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tables/table503.xml" ContentType="application/vnd.openxmlformats-officedocument.spreadsheetml.table+xml"/>
  <Override PartName="/xl/tables/table504.xml" ContentType="application/vnd.openxmlformats-officedocument.spreadsheetml.table+xml"/>
  <Override PartName="/xl/tables/table505.xml" ContentType="application/vnd.openxmlformats-officedocument.spreadsheetml.table+xml"/>
  <Override PartName="/xl/tables/table506.xml" ContentType="application/vnd.openxmlformats-officedocument.spreadsheetml.table+xml"/>
  <Override PartName="/xl/tables/table507.xml" ContentType="application/vnd.openxmlformats-officedocument.spreadsheetml.table+xml"/>
  <Override PartName="/xl/tables/table508.xml" ContentType="application/vnd.openxmlformats-officedocument.spreadsheetml.table+xml"/>
  <Override PartName="/xl/tables/table509.xml" ContentType="application/vnd.openxmlformats-officedocument.spreadsheetml.table+xml"/>
  <Override PartName="/xl/tables/table510.xml" ContentType="application/vnd.openxmlformats-officedocument.spreadsheetml.table+xml"/>
  <Override PartName="/xl/tables/table511.xml" ContentType="application/vnd.openxmlformats-officedocument.spreadsheetml.table+xml"/>
  <Override PartName="/xl/tables/table512.xml" ContentType="application/vnd.openxmlformats-officedocument.spreadsheetml.table+xml"/>
  <Override PartName="/xl/tables/table513.xml" ContentType="application/vnd.openxmlformats-officedocument.spreadsheetml.table+xml"/>
  <Override PartName="/xl/tables/table514.xml" ContentType="application/vnd.openxmlformats-officedocument.spreadsheetml.table+xml"/>
  <Override PartName="/xl/tables/table515.xml" ContentType="application/vnd.openxmlformats-officedocument.spreadsheetml.table+xml"/>
  <Override PartName="/xl/tables/table516.xml" ContentType="application/vnd.openxmlformats-officedocument.spreadsheetml.table+xml"/>
  <Override PartName="/xl/tables/table517.xml" ContentType="application/vnd.openxmlformats-officedocument.spreadsheetml.table+xml"/>
  <Override PartName="/xl/tables/table518.xml" ContentType="application/vnd.openxmlformats-officedocument.spreadsheetml.table+xml"/>
  <Override PartName="/xl/tables/table519.xml" ContentType="application/vnd.openxmlformats-officedocument.spreadsheetml.table+xml"/>
  <Override PartName="/xl/tables/table520.xml" ContentType="application/vnd.openxmlformats-officedocument.spreadsheetml.table+xml"/>
  <Override PartName="/xl/tables/table521.xml" ContentType="application/vnd.openxmlformats-officedocument.spreadsheetml.table+xml"/>
  <Override PartName="/xl/tables/table522.xml" ContentType="application/vnd.openxmlformats-officedocument.spreadsheetml.table+xml"/>
  <Override PartName="/xl/tables/table523.xml" ContentType="application/vnd.openxmlformats-officedocument.spreadsheetml.table+xml"/>
  <Override PartName="/xl/tables/table524.xml" ContentType="application/vnd.openxmlformats-officedocument.spreadsheetml.table+xml"/>
  <Override PartName="/xl/tables/table525.xml" ContentType="application/vnd.openxmlformats-officedocument.spreadsheetml.table+xml"/>
  <Override PartName="/xl/tables/table526.xml" ContentType="application/vnd.openxmlformats-officedocument.spreadsheetml.table+xml"/>
  <Override PartName="/xl/tables/table527.xml" ContentType="application/vnd.openxmlformats-officedocument.spreadsheetml.table+xml"/>
  <Override PartName="/xl/tables/table528.xml" ContentType="application/vnd.openxmlformats-officedocument.spreadsheetml.table+xml"/>
  <Override PartName="/xl/tables/table529.xml" ContentType="application/vnd.openxmlformats-officedocument.spreadsheetml.table+xml"/>
  <Override PartName="/xl/tables/table530.xml" ContentType="application/vnd.openxmlformats-officedocument.spreadsheetml.table+xml"/>
  <Override PartName="/xl/tables/table531.xml" ContentType="application/vnd.openxmlformats-officedocument.spreadsheetml.table+xml"/>
  <Override PartName="/xl/tables/table532.xml" ContentType="application/vnd.openxmlformats-officedocument.spreadsheetml.table+xml"/>
  <Override PartName="/xl/tables/table533.xml" ContentType="application/vnd.openxmlformats-officedocument.spreadsheetml.table+xml"/>
  <Override PartName="/xl/tables/table534.xml" ContentType="application/vnd.openxmlformats-officedocument.spreadsheetml.table+xml"/>
  <Override PartName="/xl/tables/table535.xml" ContentType="application/vnd.openxmlformats-officedocument.spreadsheetml.table+xml"/>
  <Override PartName="/xl/tables/table536.xml" ContentType="application/vnd.openxmlformats-officedocument.spreadsheetml.table+xml"/>
  <Override PartName="/xl/tables/table537.xml" ContentType="application/vnd.openxmlformats-officedocument.spreadsheetml.table+xml"/>
  <Override PartName="/xl/tables/table538.xml" ContentType="application/vnd.openxmlformats-officedocument.spreadsheetml.table+xml"/>
  <Override PartName="/xl/tables/table539.xml" ContentType="application/vnd.openxmlformats-officedocument.spreadsheetml.table+xml"/>
  <Override PartName="/xl/tables/table540.xml" ContentType="application/vnd.openxmlformats-officedocument.spreadsheetml.table+xml"/>
  <Override PartName="/xl/tables/table541.xml" ContentType="application/vnd.openxmlformats-officedocument.spreadsheetml.table+xml"/>
  <Override PartName="/xl/tables/table542.xml" ContentType="application/vnd.openxmlformats-officedocument.spreadsheetml.table+xml"/>
  <Override PartName="/xl/tables/table543.xml" ContentType="application/vnd.openxmlformats-officedocument.spreadsheetml.table+xml"/>
  <Override PartName="/xl/tables/table544.xml" ContentType="application/vnd.openxmlformats-officedocument.spreadsheetml.table+xml"/>
  <Override PartName="/xl/tables/table545.xml" ContentType="application/vnd.openxmlformats-officedocument.spreadsheetml.table+xml"/>
  <Override PartName="/xl/tables/table546.xml" ContentType="application/vnd.openxmlformats-officedocument.spreadsheetml.table+xml"/>
  <Override PartName="/xl/tables/table547.xml" ContentType="application/vnd.openxmlformats-officedocument.spreadsheetml.table+xml"/>
  <Override PartName="/xl/tables/table548.xml" ContentType="application/vnd.openxmlformats-officedocument.spreadsheetml.table+xml"/>
  <Override PartName="/xl/tables/table549.xml" ContentType="application/vnd.openxmlformats-officedocument.spreadsheetml.table+xml"/>
  <Override PartName="/xl/tables/table550.xml" ContentType="application/vnd.openxmlformats-officedocument.spreadsheetml.table+xml"/>
  <Override PartName="/xl/tables/table551.xml" ContentType="application/vnd.openxmlformats-officedocument.spreadsheetml.table+xml"/>
  <Override PartName="/xl/tables/table552.xml" ContentType="application/vnd.openxmlformats-officedocument.spreadsheetml.table+xml"/>
  <Override PartName="/xl/tables/table553.xml" ContentType="application/vnd.openxmlformats-officedocument.spreadsheetml.table+xml"/>
  <Override PartName="/xl/tables/table554.xml" ContentType="application/vnd.openxmlformats-officedocument.spreadsheetml.table+xml"/>
  <Override PartName="/xl/tables/table555.xml" ContentType="application/vnd.openxmlformats-officedocument.spreadsheetml.table+xml"/>
  <Override PartName="/xl/tables/table556.xml" ContentType="application/vnd.openxmlformats-officedocument.spreadsheetml.table+xml"/>
  <Override PartName="/xl/tables/table557.xml" ContentType="application/vnd.openxmlformats-officedocument.spreadsheetml.table+xml"/>
  <Override PartName="/xl/tables/table558.xml" ContentType="application/vnd.openxmlformats-officedocument.spreadsheetml.table+xml"/>
  <Override PartName="/xl/tables/table559.xml" ContentType="application/vnd.openxmlformats-officedocument.spreadsheetml.table+xml"/>
  <Override PartName="/xl/tables/table560.xml" ContentType="application/vnd.openxmlformats-officedocument.spreadsheetml.table+xml"/>
  <Override PartName="/xl/tables/table561.xml" ContentType="application/vnd.openxmlformats-officedocument.spreadsheetml.table+xml"/>
  <Override PartName="/xl/tables/table562.xml" ContentType="application/vnd.openxmlformats-officedocument.spreadsheetml.table+xml"/>
  <Override PartName="/xl/tables/table563.xml" ContentType="application/vnd.openxmlformats-officedocument.spreadsheetml.table+xml"/>
  <Override PartName="/xl/tables/table564.xml" ContentType="application/vnd.openxmlformats-officedocument.spreadsheetml.table+xml"/>
  <Override PartName="/xl/tables/table565.xml" ContentType="application/vnd.openxmlformats-officedocument.spreadsheetml.table+xml"/>
  <Override PartName="/xl/tables/table566.xml" ContentType="application/vnd.openxmlformats-officedocument.spreadsheetml.table+xml"/>
  <Override PartName="/xl/tables/table567.xml" ContentType="application/vnd.openxmlformats-officedocument.spreadsheetml.table+xml"/>
  <Override PartName="/xl/tables/table568.xml" ContentType="application/vnd.openxmlformats-officedocument.spreadsheetml.table+xml"/>
  <Override PartName="/xl/tables/table569.xml" ContentType="application/vnd.openxmlformats-officedocument.spreadsheetml.table+xml"/>
  <Override PartName="/xl/tables/table570.xml" ContentType="application/vnd.openxmlformats-officedocument.spreadsheetml.table+xml"/>
  <Override PartName="/xl/tables/table571.xml" ContentType="application/vnd.openxmlformats-officedocument.spreadsheetml.table+xml"/>
  <Override PartName="/xl/tables/table572.xml" ContentType="application/vnd.openxmlformats-officedocument.spreadsheetml.table+xml"/>
  <Override PartName="/xl/tables/table573.xml" ContentType="application/vnd.openxmlformats-officedocument.spreadsheetml.table+xml"/>
  <Override PartName="/xl/tables/table574.xml" ContentType="application/vnd.openxmlformats-officedocument.spreadsheetml.table+xml"/>
  <Override PartName="/xl/tables/table575.xml" ContentType="application/vnd.openxmlformats-officedocument.spreadsheetml.table+xml"/>
  <Override PartName="/xl/tables/table576.xml" ContentType="application/vnd.openxmlformats-officedocument.spreadsheetml.table+xml"/>
  <Override PartName="/xl/tables/table577.xml" ContentType="application/vnd.openxmlformats-officedocument.spreadsheetml.table+xml"/>
  <Override PartName="/xl/tables/table578.xml" ContentType="application/vnd.openxmlformats-officedocument.spreadsheetml.table+xml"/>
  <Override PartName="/xl/tables/table579.xml" ContentType="application/vnd.openxmlformats-officedocument.spreadsheetml.table+xml"/>
  <Override PartName="/xl/tables/table580.xml" ContentType="application/vnd.openxmlformats-officedocument.spreadsheetml.table+xml"/>
  <Override PartName="/xl/tables/table581.xml" ContentType="application/vnd.openxmlformats-officedocument.spreadsheetml.table+xml"/>
  <Override PartName="/xl/tables/table582.xml" ContentType="application/vnd.openxmlformats-officedocument.spreadsheetml.table+xml"/>
  <Override PartName="/xl/tables/table583.xml" ContentType="application/vnd.openxmlformats-officedocument.spreadsheetml.table+xml"/>
  <Override PartName="/xl/tables/table584.xml" ContentType="application/vnd.openxmlformats-officedocument.spreadsheetml.table+xml"/>
  <Override PartName="/xl/tables/table585.xml" ContentType="application/vnd.openxmlformats-officedocument.spreadsheetml.table+xml"/>
  <Override PartName="/xl/tables/table586.xml" ContentType="application/vnd.openxmlformats-officedocument.spreadsheetml.table+xml"/>
  <Override PartName="/xl/tables/table587.xml" ContentType="application/vnd.openxmlformats-officedocument.spreadsheetml.table+xml"/>
  <Override PartName="/xl/tables/table588.xml" ContentType="application/vnd.openxmlformats-officedocument.spreadsheetml.table+xml"/>
  <Override PartName="/xl/tables/table589.xml" ContentType="application/vnd.openxmlformats-officedocument.spreadsheetml.table+xml"/>
  <Override PartName="/xl/tables/table590.xml" ContentType="application/vnd.openxmlformats-officedocument.spreadsheetml.table+xml"/>
  <Override PartName="/xl/tables/table591.xml" ContentType="application/vnd.openxmlformats-officedocument.spreadsheetml.table+xml"/>
  <Override PartName="/xl/tables/table592.xml" ContentType="application/vnd.openxmlformats-officedocument.spreadsheetml.table+xml"/>
  <Override PartName="/xl/tables/table593.xml" ContentType="application/vnd.openxmlformats-officedocument.spreadsheetml.table+xml"/>
  <Override PartName="/xl/tables/table594.xml" ContentType="application/vnd.openxmlformats-officedocument.spreadsheetml.table+xml"/>
  <Override PartName="/xl/tables/table595.xml" ContentType="application/vnd.openxmlformats-officedocument.spreadsheetml.table+xml"/>
  <Override PartName="/xl/tables/table596.xml" ContentType="application/vnd.openxmlformats-officedocument.spreadsheetml.table+xml"/>
  <Override PartName="/xl/tables/table597.xml" ContentType="application/vnd.openxmlformats-officedocument.spreadsheetml.table+xml"/>
  <Override PartName="/xl/tables/table598.xml" ContentType="application/vnd.openxmlformats-officedocument.spreadsheetml.table+xml"/>
  <Override PartName="/xl/tables/table599.xml" ContentType="application/vnd.openxmlformats-officedocument.spreadsheetml.table+xml"/>
  <Override PartName="/xl/tables/table600.xml" ContentType="application/vnd.openxmlformats-officedocument.spreadsheetml.table+xml"/>
  <Override PartName="/xl/tables/table601.xml" ContentType="application/vnd.openxmlformats-officedocument.spreadsheetml.table+xml"/>
  <Override PartName="/xl/tables/table602.xml" ContentType="application/vnd.openxmlformats-officedocument.spreadsheetml.table+xml"/>
  <Override PartName="/xl/tables/table603.xml" ContentType="application/vnd.openxmlformats-officedocument.spreadsheetml.table+xml"/>
  <Override PartName="/xl/tables/table604.xml" ContentType="application/vnd.openxmlformats-officedocument.spreadsheetml.table+xml"/>
  <Override PartName="/xl/tables/table605.xml" ContentType="application/vnd.openxmlformats-officedocument.spreadsheetml.table+xml"/>
  <Override PartName="/xl/tables/table606.xml" ContentType="application/vnd.openxmlformats-officedocument.spreadsheetml.table+xml"/>
  <Override PartName="/xl/tables/table607.xml" ContentType="application/vnd.openxmlformats-officedocument.spreadsheetml.table+xml"/>
  <Override PartName="/xl/tables/table608.xml" ContentType="application/vnd.openxmlformats-officedocument.spreadsheetml.table+xml"/>
  <Override PartName="/xl/tables/table609.xml" ContentType="application/vnd.openxmlformats-officedocument.spreadsheetml.table+xml"/>
  <Override PartName="/xl/tables/table610.xml" ContentType="application/vnd.openxmlformats-officedocument.spreadsheetml.table+xml"/>
  <Override PartName="/xl/tables/table611.xml" ContentType="application/vnd.openxmlformats-officedocument.spreadsheetml.table+xml"/>
  <Override PartName="/xl/tables/table612.xml" ContentType="application/vnd.openxmlformats-officedocument.spreadsheetml.table+xml"/>
  <Override PartName="/xl/tables/table613.xml" ContentType="application/vnd.openxmlformats-officedocument.spreadsheetml.table+xml"/>
  <Override PartName="/xl/tables/table614.xml" ContentType="application/vnd.openxmlformats-officedocument.spreadsheetml.table+xml"/>
  <Override PartName="/xl/tables/table615.xml" ContentType="application/vnd.openxmlformats-officedocument.spreadsheetml.table+xml"/>
  <Override PartName="/xl/tables/table616.xml" ContentType="application/vnd.openxmlformats-officedocument.spreadsheetml.table+xml"/>
  <Override PartName="/xl/tables/table617.xml" ContentType="application/vnd.openxmlformats-officedocument.spreadsheetml.table+xml"/>
  <Override PartName="/xl/tables/table618.xml" ContentType="application/vnd.openxmlformats-officedocument.spreadsheetml.table+xml"/>
  <Override PartName="/xl/tables/table619.xml" ContentType="application/vnd.openxmlformats-officedocument.spreadsheetml.table+xml"/>
  <Override PartName="/xl/tables/table620.xml" ContentType="application/vnd.openxmlformats-officedocument.spreadsheetml.table+xml"/>
  <Override PartName="/xl/tables/table621.xml" ContentType="application/vnd.openxmlformats-officedocument.spreadsheetml.table+xml"/>
  <Override PartName="/xl/tables/table622.xml" ContentType="application/vnd.openxmlformats-officedocument.spreadsheetml.table+xml"/>
  <Override PartName="/xl/tables/table623.xml" ContentType="application/vnd.openxmlformats-officedocument.spreadsheetml.table+xml"/>
  <Override PartName="/xl/tables/table624.xml" ContentType="application/vnd.openxmlformats-officedocument.spreadsheetml.table+xml"/>
  <Override PartName="/xl/tables/table625.xml" ContentType="application/vnd.openxmlformats-officedocument.spreadsheetml.table+xml"/>
  <Override PartName="/xl/tables/table626.xml" ContentType="application/vnd.openxmlformats-officedocument.spreadsheetml.table+xml"/>
  <Override PartName="/xl/tables/table627.xml" ContentType="application/vnd.openxmlformats-officedocument.spreadsheetml.table+xml"/>
  <Override PartName="/xl/tables/table628.xml" ContentType="application/vnd.openxmlformats-officedocument.spreadsheetml.table+xml"/>
  <Override PartName="/xl/tables/table629.xml" ContentType="application/vnd.openxmlformats-officedocument.spreadsheetml.table+xml"/>
  <Override PartName="/xl/tables/table630.xml" ContentType="application/vnd.openxmlformats-officedocument.spreadsheetml.table+xml"/>
  <Override PartName="/xl/tables/table631.xml" ContentType="application/vnd.openxmlformats-officedocument.spreadsheetml.table+xml"/>
  <Override PartName="/xl/tables/table632.xml" ContentType="application/vnd.openxmlformats-officedocument.spreadsheetml.table+xml"/>
  <Override PartName="/xl/tables/table633.xml" ContentType="application/vnd.openxmlformats-officedocument.spreadsheetml.table+xml"/>
  <Override PartName="/xl/tables/table634.xml" ContentType="application/vnd.openxmlformats-officedocument.spreadsheetml.table+xml"/>
  <Override PartName="/xl/tables/table635.xml" ContentType="application/vnd.openxmlformats-officedocument.spreadsheetml.table+xml"/>
  <Override PartName="/xl/tables/table636.xml" ContentType="application/vnd.openxmlformats-officedocument.spreadsheetml.table+xml"/>
  <Override PartName="/xl/tables/table637.xml" ContentType="application/vnd.openxmlformats-officedocument.spreadsheetml.table+xml"/>
  <Override PartName="/xl/tables/table638.xml" ContentType="application/vnd.openxmlformats-officedocument.spreadsheetml.table+xml"/>
  <Override PartName="/xl/tables/table639.xml" ContentType="application/vnd.openxmlformats-officedocument.spreadsheetml.table+xml"/>
  <Override PartName="/xl/tables/table640.xml" ContentType="application/vnd.openxmlformats-officedocument.spreadsheetml.table+xml"/>
  <Override PartName="/xl/tables/table641.xml" ContentType="application/vnd.openxmlformats-officedocument.spreadsheetml.table+xml"/>
  <Override PartName="/xl/tables/table642.xml" ContentType="application/vnd.openxmlformats-officedocument.spreadsheetml.table+xml"/>
  <Override PartName="/xl/tables/table643.xml" ContentType="application/vnd.openxmlformats-officedocument.spreadsheetml.table+xml"/>
  <Override PartName="/xl/tables/table644.xml" ContentType="application/vnd.openxmlformats-officedocument.spreadsheetml.table+xml"/>
  <Override PartName="/xl/tables/table645.xml" ContentType="application/vnd.openxmlformats-officedocument.spreadsheetml.table+xml"/>
  <Override PartName="/xl/tables/table646.xml" ContentType="application/vnd.openxmlformats-officedocument.spreadsheetml.table+xml"/>
  <Override PartName="/xl/tables/table647.xml" ContentType="application/vnd.openxmlformats-officedocument.spreadsheetml.table+xml"/>
  <Override PartName="/xl/tables/table648.xml" ContentType="application/vnd.openxmlformats-officedocument.spreadsheetml.table+xml"/>
  <Override PartName="/xl/tables/table649.xml" ContentType="application/vnd.openxmlformats-officedocument.spreadsheetml.table+xml"/>
  <Override PartName="/xl/tables/table650.xml" ContentType="application/vnd.openxmlformats-officedocument.spreadsheetml.table+xml"/>
  <Override PartName="/xl/tables/table651.xml" ContentType="application/vnd.openxmlformats-officedocument.spreadsheetml.table+xml"/>
  <Override PartName="/xl/tables/table652.xml" ContentType="application/vnd.openxmlformats-officedocument.spreadsheetml.table+xml"/>
  <Override PartName="/xl/tables/table653.xml" ContentType="application/vnd.openxmlformats-officedocument.spreadsheetml.table+xml"/>
  <Override PartName="/xl/tables/table654.xml" ContentType="application/vnd.openxmlformats-officedocument.spreadsheetml.table+xml"/>
  <Override PartName="/xl/tables/table655.xml" ContentType="application/vnd.openxmlformats-officedocument.spreadsheetml.table+xml"/>
  <Override PartName="/xl/tables/table656.xml" ContentType="application/vnd.openxmlformats-officedocument.spreadsheetml.table+xml"/>
  <Override PartName="/xl/tables/table657.xml" ContentType="application/vnd.openxmlformats-officedocument.spreadsheetml.table+xml"/>
  <Override PartName="/xl/tables/table658.xml" ContentType="application/vnd.openxmlformats-officedocument.spreadsheetml.table+xml"/>
  <Override PartName="/xl/tables/table659.xml" ContentType="application/vnd.openxmlformats-officedocument.spreadsheetml.table+xml"/>
  <Override PartName="/xl/tables/table660.xml" ContentType="application/vnd.openxmlformats-officedocument.spreadsheetml.table+xml"/>
  <Override PartName="/xl/tables/table661.xml" ContentType="application/vnd.openxmlformats-officedocument.spreadsheetml.table+xml"/>
  <Override PartName="/xl/tables/table662.xml" ContentType="application/vnd.openxmlformats-officedocument.spreadsheetml.table+xml"/>
  <Override PartName="/xl/tables/table663.xml" ContentType="application/vnd.openxmlformats-officedocument.spreadsheetml.table+xml"/>
  <Override PartName="/xl/tables/table664.xml" ContentType="application/vnd.openxmlformats-officedocument.spreadsheetml.table+xml"/>
  <Override PartName="/xl/tables/table665.xml" ContentType="application/vnd.openxmlformats-officedocument.spreadsheetml.table+xml"/>
  <Override PartName="/xl/tables/table666.xml" ContentType="application/vnd.openxmlformats-officedocument.spreadsheetml.table+xml"/>
  <Override PartName="/xl/tables/table667.xml" ContentType="application/vnd.openxmlformats-officedocument.spreadsheetml.table+xml"/>
  <Override PartName="/xl/tables/table668.xml" ContentType="application/vnd.openxmlformats-officedocument.spreadsheetml.table+xml"/>
  <Override PartName="/xl/tables/table669.xml" ContentType="application/vnd.openxmlformats-officedocument.spreadsheetml.table+xml"/>
  <Override PartName="/xl/tables/table670.xml" ContentType="application/vnd.openxmlformats-officedocument.spreadsheetml.table+xml"/>
  <Override PartName="/xl/tables/table671.xml" ContentType="application/vnd.openxmlformats-officedocument.spreadsheetml.table+xml"/>
  <Override PartName="/xl/tables/table672.xml" ContentType="application/vnd.openxmlformats-officedocument.spreadsheetml.table+xml"/>
  <Override PartName="/xl/tables/table673.xml" ContentType="application/vnd.openxmlformats-officedocument.spreadsheetml.table+xml"/>
  <Override PartName="/xl/tables/table674.xml" ContentType="application/vnd.openxmlformats-officedocument.spreadsheetml.table+xml"/>
  <Override PartName="/xl/tables/table675.xml" ContentType="application/vnd.openxmlformats-officedocument.spreadsheetml.table+xml"/>
  <Override PartName="/xl/tables/table676.xml" ContentType="application/vnd.openxmlformats-officedocument.spreadsheetml.table+xml"/>
  <Override PartName="/xl/tables/table677.xml" ContentType="application/vnd.openxmlformats-officedocument.spreadsheetml.table+xml"/>
  <Override PartName="/xl/tables/table678.xml" ContentType="application/vnd.openxmlformats-officedocument.spreadsheetml.table+xml"/>
  <Override PartName="/xl/tables/table679.xml" ContentType="application/vnd.openxmlformats-officedocument.spreadsheetml.table+xml"/>
  <Override PartName="/xl/tables/table680.xml" ContentType="application/vnd.openxmlformats-officedocument.spreadsheetml.table+xml"/>
  <Override PartName="/xl/tables/table681.xml" ContentType="application/vnd.openxmlformats-officedocument.spreadsheetml.table+xml"/>
  <Override PartName="/xl/tables/table682.xml" ContentType="application/vnd.openxmlformats-officedocument.spreadsheetml.table+xml"/>
  <Override PartName="/xl/tables/table683.xml" ContentType="application/vnd.openxmlformats-officedocument.spreadsheetml.table+xml"/>
  <Override PartName="/xl/tables/table684.xml" ContentType="application/vnd.openxmlformats-officedocument.spreadsheetml.table+xml"/>
  <Override PartName="/xl/tables/table685.xml" ContentType="application/vnd.openxmlformats-officedocument.spreadsheetml.table+xml"/>
  <Override PartName="/xl/tables/table686.xml" ContentType="application/vnd.openxmlformats-officedocument.spreadsheetml.table+xml"/>
  <Override PartName="/xl/tables/table687.xml" ContentType="application/vnd.openxmlformats-officedocument.spreadsheetml.table+xml"/>
  <Override PartName="/xl/tables/table688.xml" ContentType="application/vnd.openxmlformats-officedocument.spreadsheetml.table+xml"/>
  <Override PartName="/xl/tables/table689.xml" ContentType="application/vnd.openxmlformats-officedocument.spreadsheetml.table+xml"/>
  <Override PartName="/xl/tables/table690.xml" ContentType="application/vnd.openxmlformats-officedocument.spreadsheetml.table+xml"/>
  <Override PartName="/xl/tables/table691.xml" ContentType="application/vnd.openxmlformats-officedocument.spreadsheetml.table+xml"/>
  <Override PartName="/xl/tables/table692.xml" ContentType="application/vnd.openxmlformats-officedocument.spreadsheetml.table+xml"/>
  <Override PartName="/xl/tables/table693.xml" ContentType="application/vnd.openxmlformats-officedocument.spreadsheetml.table+xml"/>
  <Override PartName="/xl/tables/table694.xml" ContentType="application/vnd.openxmlformats-officedocument.spreadsheetml.table+xml"/>
  <Override PartName="/xl/tables/table695.xml" ContentType="application/vnd.openxmlformats-officedocument.spreadsheetml.table+xml"/>
  <Override PartName="/xl/tables/table696.xml" ContentType="application/vnd.openxmlformats-officedocument.spreadsheetml.table+xml"/>
  <Override PartName="/xl/tables/table697.xml" ContentType="application/vnd.openxmlformats-officedocument.spreadsheetml.table+xml"/>
  <Override PartName="/xl/tables/table698.xml" ContentType="application/vnd.openxmlformats-officedocument.spreadsheetml.table+xml"/>
  <Override PartName="/xl/tables/table699.xml" ContentType="application/vnd.openxmlformats-officedocument.spreadsheetml.table+xml"/>
  <Override PartName="/xl/tables/table700.xml" ContentType="application/vnd.openxmlformats-officedocument.spreadsheetml.table+xml"/>
  <Override PartName="/xl/tables/table701.xml" ContentType="application/vnd.openxmlformats-officedocument.spreadsheetml.table+xml"/>
  <Override PartName="/xl/tables/table702.xml" ContentType="application/vnd.openxmlformats-officedocument.spreadsheetml.table+xml"/>
  <Override PartName="/xl/tables/table703.xml" ContentType="application/vnd.openxmlformats-officedocument.spreadsheetml.table+xml"/>
  <Override PartName="/xl/tables/table704.xml" ContentType="application/vnd.openxmlformats-officedocument.spreadsheetml.table+xml"/>
  <Override PartName="/xl/tables/table705.xml" ContentType="application/vnd.openxmlformats-officedocument.spreadsheetml.table+xml"/>
  <Override PartName="/xl/tables/table706.xml" ContentType="application/vnd.openxmlformats-officedocument.spreadsheetml.table+xml"/>
  <Override PartName="/xl/tables/table707.xml" ContentType="application/vnd.openxmlformats-officedocument.spreadsheetml.table+xml"/>
  <Override PartName="/xl/tables/table708.xml" ContentType="application/vnd.openxmlformats-officedocument.spreadsheetml.table+xml"/>
  <Override PartName="/xl/tables/table709.xml" ContentType="application/vnd.openxmlformats-officedocument.spreadsheetml.table+xml"/>
  <Override PartName="/xl/tables/table710.xml" ContentType="application/vnd.openxmlformats-officedocument.spreadsheetml.table+xml"/>
  <Override PartName="/xl/tables/table711.xml" ContentType="application/vnd.openxmlformats-officedocument.spreadsheetml.table+xml"/>
  <Override PartName="/xl/tables/table712.xml" ContentType="application/vnd.openxmlformats-officedocument.spreadsheetml.table+xml"/>
  <Override PartName="/xl/tables/table713.xml" ContentType="application/vnd.openxmlformats-officedocument.spreadsheetml.table+xml"/>
  <Override PartName="/xl/tables/table714.xml" ContentType="application/vnd.openxmlformats-officedocument.spreadsheetml.table+xml"/>
  <Override PartName="/xl/tables/table715.xml" ContentType="application/vnd.openxmlformats-officedocument.spreadsheetml.table+xml"/>
  <Override PartName="/xl/tables/table716.xml" ContentType="application/vnd.openxmlformats-officedocument.spreadsheetml.table+xml"/>
  <Override PartName="/xl/tables/table717.xml" ContentType="application/vnd.openxmlformats-officedocument.spreadsheetml.table+xml"/>
  <Override PartName="/xl/tables/table718.xml" ContentType="application/vnd.openxmlformats-officedocument.spreadsheetml.table+xml"/>
  <Override PartName="/xl/tables/table719.xml" ContentType="application/vnd.openxmlformats-officedocument.spreadsheetml.table+xml"/>
  <Override PartName="/xl/tables/table720.xml" ContentType="application/vnd.openxmlformats-officedocument.spreadsheetml.table+xml"/>
  <Override PartName="/xl/tables/table721.xml" ContentType="application/vnd.openxmlformats-officedocument.spreadsheetml.table+xml"/>
  <Override PartName="/xl/tables/table722.xml" ContentType="application/vnd.openxmlformats-officedocument.spreadsheetml.table+xml"/>
  <Override PartName="/xl/tables/table723.xml" ContentType="application/vnd.openxmlformats-officedocument.spreadsheetml.table+xml"/>
  <Override PartName="/xl/tables/table724.xml" ContentType="application/vnd.openxmlformats-officedocument.spreadsheetml.table+xml"/>
  <Override PartName="/xl/tables/table725.xml" ContentType="application/vnd.openxmlformats-officedocument.spreadsheetml.table+xml"/>
  <Override PartName="/xl/tables/table726.xml" ContentType="application/vnd.openxmlformats-officedocument.spreadsheetml.table+xml"/>
  <Override PartName="/xl/tables/table727.xml" ContentType="application/vnd.openxmlformats-officedocument.spreadsheetml.table+xml"/>
  <Override PartName="/xl/tables/table728.xml" ContentType="application/vnd.openxmlformats-officedocument.spreadsheetml.table+xml"/>
  <Override PartName="/xl/tables/table729.xml" ContentType="application/vnd.openxmlformats-officedocument.spreadsheetml.table+xml"/>
  <Override PartName="/xl/tables/table730.xml" ContentType="application/vnd.openxmlformats-officedocument.spreadsheetml.table+xml"/>
  <Override PartName="/xl/tables/table731.xml" ContentType="application/vnd.openxmlformats-officedocument.spreadsheetml.table+xml"/>
  <Override PartName="/xl/tables/table732.xml" ContentType="application/vnd.openxmlformats-officedocument.spreadsheetml.table+xml"/>
  <Override PartName="/xl/tables/table733.xml" ContentType="application/vnd.openxmlformats-officedocument.spreadsheetml.table+xml"/>
  <Override PartName="/xl/tables/table734.xml" ContentType="application/vnd.openxmlformats-officedocument.spreadsheetml.table+xml"/>
  <Override PartName="/xl/tables/table735.xml" ContentType="application/vnd.openxmlformats-officedocument.spreadsheetml.table+xml"/>
  <Override PartName="/xl/tables/table736.xml" ContentType="application/vnd.openxmlformats-officedocument.spreadsheetml.table+xml"/>
  <Override PartName="/xl/tables/table737.xml" ContentType="application/vnd.openxmlformats-officedocument.spreadsheetml.table+xml"/>
  <Override PartName="/xl/tables/table738.xml" ContentType="application/vnd.openxmlformats-officedocument.spreadsheetml.table+xml"/>
  <Override PartName="/xl/tables/table739.xml" ContentType="application/vnd.openxmlformats-officedocument.spreadsheetml.table+xml"/>
  <Override PartName="/xl/tables/table740.xml" ContentType="application/vnd.openxmlformats-officedocument.spreadsheetml.table+xml"/>
  <Override PartName="/xl/tables/table741.xml" ContentType="application/vnd.openxmlformats-officedocument.spreadsheetml.table+xml"/>
  <Override PartName="/xl/tables/table742.xml" ContentType="application/vnd.openxmlformats-officedocument.spreadsheetml.table+xml"/>
  <Override PartName="/xl/tables/table743.xml" ContentType="application/vnd.openxmlformats-officedocument.spreadsheetml.table+xml"/>
  <Override PartName="/xl/tables/table744.xml" ContentType="application/vnd.openxmlformats-officedocument.spreadsheetml.table+xml"/>
  <Override PartName="/xl/tables/table745.xml" ContentType="application/vnd.openxmlformats-officedocument.spreadsheetml.table+xml"/>
  <Override PartName="/xl/tables/table746.xml" ContentType="application/vnd.openxmlformats-officedocument.spreadsheetml.table+xml"/>
  <Override PartName="/xl/tables/table747.xml" ContentType="application/vnd.openxmlformats-officedocument.spreadsheetml.table+xml"/>
  <Override PartName="/xl/tables/table748.xml" ContentType="application/vnd.openxmlformats-officedocument.spreadsheetml.table+xml"/>
  <Override PartName="/xl/tables/table749.xml" ContentType="application/vnd.openxmlformats-officedocument.spreadsheetml.table+xml"/>
  <Override PartName="/xl/tables/table750.xml" ContentType="application/vnd.openxmlformats-officedocument.spreadsheetml.table+xml"/>
  <Override PartName="/xl/tables/table751.xml" ContentType="application/vnd.openxmlformats-officedocument.spreadsheetml.table+xml"/>
  <Override PartName="/xl/tables/table752.xml" ContentType="application/vnd.openxmlformats-officedocument.spreadsheetml.table+xml"/>
  <Override PartName="/xl/tables/table753.xml" ContentType="application/vnd.openxmlformats-officedocument.spreadsheetml.table+xml"/>
  <Override PartName="/xl/tables/table754.xml" ContentType="application/vnd.openxmlformats-officedocument.spreadsheetml.table+xml"/>
  <Override PartName="/xl/tables/table755.xml" ContentType="application/vnd.openxmlformats-officedocument.spreadsheetml.table+xml"/>
  <Override PartName="/xl/tables/table756.xml" ContentType="application/vnd.openxmlformats-officedocument.spreadsheetml.table+xml"/>
  <Override PartName="/xl/tables/table757.xml" ContentType="application/vnd.openxmlformats-officedocument.spreadsheetml.table+xml"/>
  <Override PartName="/xl/tables/table758.xml" ContentType="application/vnd.openxmlformats-officedocument.spreadsheetml.table+xml"/>
  <Override PartName="/xl/tables/table759.xml" ContentType="application/vnd.openxmlformats-officedocument.spreadsheetml.table+xml"/>
  <Override PartName="/xl/tables/table760.xml" ContentType="application/vnd.openxmlformats-officedocument.spreadsheetml.table+xml"/>
  <Override PartName="/xl/tables/table761.xml" ContentType="application/vnd.openxmlformats-officedocument.spreadsheetml.table+xml"/>
  <Override PartName="/xl/tables/table762.xml" ContentType="application/vnd.openxmlformats-officedocument.spreadsheetml.table+xml"/>
  <Override PartName="/xl/tables/table763.xml" ContentType="application/vnd.openxmlformats-officedocument.spreadsheetml.table+xml"/>
  <Override PartName="/xl/tables/table764.xml" ContentType="application/vnd.openxmlformats-officedocument.spreadsheetml.table+xml"/>
  <Override PartName="/xl/tables/table765.xml" ContentType="application/vnd.openxmlformats-officedocument.spreadsheetml.table+xml"/>
  <Override PartName="/xl/tables/table766.xml" ContentType="application/vnd.openxmlformats-officedocument.spreadsheetml.table+xml"/>
  <Override PartName="/xl/tables/table767.xml" ContentType="application/vnd.openxmlformats-officedocument.spreadsheetml.table+xml"/>
  <Override PartName="/xl/tables/table768.xml" ContentType="application/vnd.openxmlformats-officedocument.spreadsheetml.table+xml"/>
  <Override PartName="/xl/tables/table769.xml" ContentType="application/vnd.openxmlformats-officedocument.spreadsheetml.table+xml"/>
  <Override PartName="/xl/tables/table770.xml" ContentType="application/vnd.openxmlformats-officedocument.spreadsheetml.table+xml"/>
  <Override PartName="/xl/tables/table771.xml" ContentType="application/vnd.openxmlformats-officedocument.spreadsheetml.table+xml"/>
  <Override PartName="/xl/tables/table772.xml" ContentType="application/vnd.openxmlformats-officedocument.spreadsheetml.table+xml"/>
  <Override PartName="/xl/tables/table773.xml" ContentType="application/vnd.openxmlformats-officedocument.spreadsheetml.table+xml"/>
  <Override PartName="/xl/tables/table774.xml" ContentType="application/vnd.openxmlformats-officedocument.spreadsheetml.table+xml"/>
  <Override PartName="/xl/tables/table775.xml" ContentType="application/vnd.openxmlformats-officedocument.spreadsheetml.table+xml"/>
  <Override PartName="/xl/tables/table776.xml" ContentType="application/vnd.openxmlformats-officedocument.spreadsheetml.table+xml"/>
  <Override PartName="/xl/tables/table777.xml" ContentType="application/vnd.openxmlformats-officedocument.spreadsheetml.table+xml"/>
  <Override PartName="/xl/tables/table778.xml" ContentType="application/vnd.openxmlformats-officedocument.spreadsheetml.table+xml"/>
  <Override PartName="/xl/tables/table779.xml" ContentType="application/vnd.openxmlformats-officedocument.spreadsheetml.table+xml"/>
  <Override PartName="/xl/tables/table780.xml" ContentType="application/vnd.openxmlformats-officedocument.spreadsheetml.table+xml"/>
  <Override PartName="/xl/tables/table781.xml" ContentType="application/vnd.openxmlformats-officedocument.spreadsheetml.table+xml"/>
  <Override PartName="/xl/tables/table782.xml" ContentType="application/vnd.openxmlformats-officedocument.spreadsheetml.table+xml"/>
  <Override PartName="/xl/tables/table783.xml" ContentType="application/vnd.openxmlformats-officedocument.spreadsheetml.table+xml"/>
  <Override PartName="/xl/tables/table784.xml" ContentType="application/vnd.openxmlformats-officedocument.spreadsheetml.table+xml"/>
  <Override PartName="/xl/tables/table785.xml" ContentType="application/vnd.openxmlformats-officedocument.spreadsheetml.table+xml"/>
  <Override PartName="/xl/tables/table786.xml" ContentType="application/vnd.openxmlformats-officedocument.spreadsheetml.table+xml"/>
  <Override PartName="/xl/tables/table787.xml" ContentType="application/vnd.openxmlformats-officedocument.spreadsheetml.table+xml"/>
  <Override PartName="/xl/tables/table788.xml" ContentType="application/vnd.openxmlformats-officedocument.spreadsheetml.table+xml"/>
  <Override PartName="/xl/tables/table789.xml" ContentType="application/vnd.openxmlformats-officedocument.spreadsheetml.table+xml"/>
  <Override PartName="/xl/tables/table790.xml" ContentType="application/vnd.openxmlformats-officedocument.spreadsheetml.table+xml"/>
  <Override PartName="/xl/tables/table791.xml" ContentType="application/vnd.openxmlformats-officedocument.spreadsheetml.table+xml"/>
  <Override PartName="/xl/tables/table792.xml" ContentType="application/vnd.openxmlformats-officedocument.spreadsheetml.table+xml"/>
  <Override PartName="/xl/tables/table793.xml" ContentType="application/vnd.openxmlformats-officedocument.spreadsheetml.table+xml"/>
  <Override PartName="/xl/tables/table794.xml" ContentType="application/vnd.openxmlformats-officedocument.spreadsheetml.table+xml"/>
  <Override PartName="/xl/tables/table795.xml" ContentType="application/vnd.openxmlformats-officedocument.spreadsheetml.table+xml"/>
  <Override PartName="/xl/tables/table796.xml" ContentType="application/vnd.openxmlformats-officedocument.spreadsheetml.table+xml"/>
  <Override PartName="/xl/tables/table797.xml" ContentType="application/vnd.openxmlformats-officedocument.spreadsheetml.table+xml"/>
  <Override PartName="/xl/tables/table798.xml" ContentType="application/vnd.openxmlformats-officedocument.spreadsheetml.table+xml"/>
  <Override PartName="/xl/tables/table799.xml" ContentType="application/vnd.openxmlformats-officedocument.spreadsheetml.table+xml"/>
  <Override PartName="/xl/tables/table800.xml" ContentType="application/vnd.openxmlformats-officedocument.spreadsheetml.table+xml"/>
  <Override PartName="/xl/tables/table801.xml" ContentType="application/vnd.openxmlformats-officedocument.spreadsheetml.table+xml"/>
  <Override PartName="/xl/tables/table802.xml" ContentType="application/vnd.openxmlformats-officedocument.spreadsheetml.table+xml"/>
  <Override PartName="/xl/tables/table803.xml" ContentType="application/vnd.openxmlformats-officedocument.spreadsheetml.table+xml"/>
  <Override PartName="/xl/tables/table804.xml" ContentType="application/vnd.openxmlformats-officedocument.spreadsheetml.table+xml"/>
  <Override PartName="/xl/tables/table805.xml" ContentType="application/vnd.openxmlformats-officedocument.spreadsheetml.table+xml"/>
  <Override PartName="/xl/tables/table806.xml" ContentType="application/vnd.openxmlformats-officedocument.spreadsheetml.table+xml"/>
  <Override PartName="/xl/tables/table807.xml" ContentType="application/vnd.openxmlformats-officedocument.spreadsheetml.table+xml"/>
  <Override PartName="/xl/tables/table808.xml" ContentType="application/vnd.openxmlformats-officedocument.spreadsheetml.table+xml"/>
  <Override PartName="/xl/tables/table809.xml" ContentType="application/vnd.openxmlformats-officedocument.spreadsheetml.table+xml"/>
  <Override PartName="/xl/tables/table810.xml" ContentType="application/vnd.openxmlformats-officedocument.spreadsheetml.table+xml"/>
  <Override PartName="/xl/tables/table811.xml" ContentType="application/vnd.openxmlformats-officedocument.spreadsheetml.table+xml"/>
  <Override PartName="/xl/tables/table812.xml" ContentType="application/vnd.openxmlformats-officedocument.spreadsheetml.table+xml"/>
  <Override PartName="/xl/tables/table813.xml" ContentType="application/vnd.openxmlformats-officedocument.spreadsheetml.table+xml"/>
  <Override PartName="/xl/tables/table814.xml" ContentType="application/vnd.openxmlformats-officedocument.spreadsheetml.table+xml"/>
  <Override PartName="/xl/tables/table815.xml" ContentType="application/vnd.openxmlformats-officedocument.spreadsheetml.table+xml"/>
  <Override PartName="/xl/tables/table816.xml" ContentType="application/vnd.openxmlformats-officedocument.spreadsheetml.table+xml"/>
  <Override PartName="/xl/tables/table817.xml" ContentType="application/vnd.openxmlformats-officedocument.spreadsheetml.table+xml"/>
  <Override PartName="/xl/tables/table818.xml" ContentType="application/vnd.openxmlformats-officedocument.spreadsheetml.table+xml"/>
  <Override PartName="/xl/tables/table819.xml" ContentType="application/vnd.openxmlformats-officedocument.spreadsheetml.table+xml"/>
  <Override PartName="/xl/tables/table820.xml" ContentType="application/vnd.openxmlformats-officedocument.spreadsheetml.table+xml"/>
  <Override PartName="/xl/tables/table821.xml" ContentType="application/vnd.openxmlformats-officedocument.spreadsheetml.table+xml"/>
  <Override PartName="/xl/tables/table822.xml" ContentType="application/vnd.openxmlformats-officedocument.spreadsheetml.table+xml"/>
  <Override PartName="/xl/tables/table823.xml" ContentType="application/vnd.openxmlformats-officedocument.spreadsheetml.table+xml"/>
  <Override PartName="/xl/tables/table824.xml" ContentType="application/vnd.openxmlformats-officedocument.spreadsheetml.table+xml"/>
  <Override PartName="/xl/tables/table825.xml" ContentType="application/vnd.openxmlformats-officedocument.spreadsheetml.table+xml"/>
  <Override PartName="/xl/tables/table826.xml" ContentType="application/vnd.openxmlformats-officedocument.spreadsheetml.table+xml"/>
  <Override PartName="/xl/tables/table827.xml" ContentType="application/vnd.openxmlformats-officedocument.spreadsheetml.table+xml"/>
  <Override PartName="/xl/tables/table828.xml" ContentType="application/vnd.openxmlformats-officedocument.spreadsheetml.table+xml"/>
  <Override PartName="/xl/tables/table829.xml" ContentType="application/vnd.openxmlformats-officedocument.spreadsheetml.table+xml"/>
  <Override PartName="/xl/tables/table830.xml" ContentType="application/vnd.openxmlformats-officedocument.spreadsheetml.table+xml"/>
  <Override PartName="/xl/tables/table831.xml" ContentType="application/vnd.openxmlformats-officedocument.spreadsheetml.table+xml"/>
  <Override PartName="/xl/tables/table832.xml" ContentType="application/vnd.openxmlformats-officedocument.spreadsheetml.table+xml"/>
  <Override PartName="/xl/tables/table833.xml" ContentType="application/vnd.openxmlformats-officedocument.spreadsheetml.table+xml"/>
  <Override PartName="/xl/tables/table834.xml" ContentType="application/vnd.openxmlformats-officedocument.spreadsheetml.table+xml"/>
  <Override PartName="/xl/tables/table835.xml" ContentType="application/vnd.openxmlformats-officedocument.spreadsheetml.table+xml"/>
  <Override PartName="/xl/tables/table836.xml" ContentType="application/vnd.openxmlformats-officedocument.spreadsheetml.table+xml"/>
  <Override PartName="/xl/tables/table837.xml" ContentType="application/vnd.openxmlformats-officedocument.spreadsheetml.table+xml"/>
  <Override PartName="/xl/tables/table838.xml" ContentType="application/vnd.openxmlformats-officedocument.spreadsheetml.table+xml"/>
  <Override PartName="/xl/tables/table839.xml" ContentType="application/vnd.openxmlformats-officedocument.spreadsheetml.table+xml"/>
  <Override PartName="/xl/tables/table840.xml" ContentType="application/vnd.openxmlformats-officedocument.spreadsheetml.table+xml"/>
  <Override PartName="/xl/tables/table841.xml" ContentType="application/vnd.openxmlformats-officedocument.spreadsheetml.table+xml"/>
  <Override PartName="/xl/tables/table842.xml" ContentType="application/vnd.openxmlformats-officedocument.spreadsheetml.table+xml"/>
  <Override PartName="/xl/tables/table843.xml" ContentType="application/vnd.openxmlformats-officedocument.spreadsheetml.table+xml"/>
  <Override PartName="/xl/tables/table844.xml" ContentType="application/vnd.openxmlformats-officedocument.spreadsheetml.table+xml"/>
  <Override PartName="/xl/tables/table845.xml" ContentType="application/vnd.openxmlformats-officedocument.spreadsheetml.table+xml"/>
  <Override PartName="/xl/tables/table846.xml" ContentType="application/vnd.openxmlformats-officedocument.spreadsheetml.table+xml"/>
  <Override PartName="/xl/tables/table847.xml" ContentType="application/vnd.openxmlformats-officedocument.spreadsheetml.table+xml"/>
  <Override PartName="/xl/tables/table848.xml" ContentType="application/vnd.openxmlformats-officedocument.spreadsheetml.table+xml"/>
  <Override PartName="/xl/tables/table849.xml" ContentType="application/vnd.openxmlformats-officedocument.spreadsheetml.table+xml"/>
  <Override PartName="/xl/tables/table850.xml" ContentType="application/vnd.openxmlformats-officedocument.spreadsheetml.table+xml"/>
  <Override PartName="/xl/tables/table851.xml" ContentType="application/vnd.openxmlformats-officedocument.spreadsheetml.table+xml"/>
  <Override PartName="/xl/tables/table852.xml" ContentType="application/vnd.openxmlformats-officedocument.spreadsheetml.table+xml"/>
  <Override PartName="/xl/tables/table853.xml" ContentType="application/vnd.openxmlformats-officedocument.spreadsheetml.table+xml"/>
  <Override PartName="/xl/tables/table854.xml" ContentType="application/vnd.openxmlformats-officedocument.spreadsheetml.table+xml"/>
  <Override PartName="/xl/tables/table855.xml" ContentType="application/vnd.openxmlformats-officedocument.spreadsheetml.table+xml"/>
  <Override PartName="/xl/tables/table856.xml" ContentType="application/vnd.openxmlformats-officedocument.spreadsheetml.table+xml"/>
  <Override PartName="/xl/tables/table857.xml" ContentType="application/vnd.openxmlformats-officedocument.spreadsheetml.table+xml"/>
  <Override PartName="/xl/tables/table858.xml" ContentType="application/vnd.openxmlformats-officedocument.spreadsheetml.table+xml"/>
  <Override PartName="/xl/tables/table859.xml" ContentType="application/vnd.openxmlformats-officedocument.spreadsheetml.table+xml"/>
  <Override PartName="/xl/tables/table860.xml" ContentType="application/vnd.openxmlformats-officedocument.spreadsheetml.table+xml"/>
  <Override PartName="/xl/tables/table861.xml" ContentType="application/vnd.openxmlformats-officedocument.spreadsheetml.table+xml"/>
  <Override PartName="/xl/tables/table862.xml" ContentType="application/vnd.openxmlformats-officedocument.spreadsheetml.table+xml"/>
  <Override PartName="/xl/tables/table863.xml" ContentType="application/vnd.openxmlformats-officedocument.spreadsheetml.table+xml"/>
  <Override PartName="/xl/tables/table864.xml" ContentType="application/vnd.openxmlformats-officedocument.spreadsheetml.table+xml"/>
  <Override PartName="/xl/tables/table865.xml" ContentType="application/vnd.openxmlformats-officedocument.spreadsheetml.table+xml"/>
  <Override PartName="/xl/tables/table866.xml" ContentType="application/vnd.openxmlformats-officedocument.spreadsheetml.table+xml"/>
  <Override PartName="/xl/tables/table867.xml" ContentType="application/vnd.openxmlformats-officedocument.spreadsheetml.table+xml"/>
  <Override PartName="/xl/tables/table868.xml" ContentType="application/vnd.openxmlformats-officedocument.spreadsheetml.table+xml"/>
  <Override PartName="/xl/tables/table869.xml" ContentType="application/vnd.openxmlformats-officedocument.spreadsheetml.table+xml"/>
  <Override PartName="/xl/tables/table870.xml" ContentType="application/vnd.openxmlformats-officedocument.spreadsheetml.table+xml"/>
  <Override PartName="/xl/tables/table871.xml" ContentType="application/vnd.openxmlformats-officedocument.spreadsheetml.table+xml"/>
  <Override PartName="/xl/tables/table872.xml" ContentType="application/vnd.openxmlformats-officedocument.spreadsheetml.table+xml"/>
  <Override PartName="/xl/tables/table873.xml" ContentType="application/vnd.openxmlformats-officedocument.spreadsheetml.table+xml"/>
  <Override PartName="/xl/tables/table874.xml" ContentType="application/vnd.openxmlformats-officedocument.spreadsheetml.table+xml"/>
  <Override PartName="/xl/tables/table875.xml" ContentType="application/vnd.openxmlformats-officedocument.spreadsheetml.table+xml"/>
  <Override PartName="/xl/tables/table876.xml" ContentType="application/vnd.openxmlformats-officedocument.spreadsheetml.table+xml"/>
  <Override PartName="/xl/tables/table877.xml" ContentType="application/vnd.openxmlformats-officedocument.spreadsheetml.table+xml"/>
  <Override PartName="/xl/tables/table878.xml" ContentType="application/vnd.openxmlformats-officedocument.spreadsheetml.table+xml"/>
  <Override PartName="/xl/tables/table879.xml" ContentType="application/vnd.openxmlformats-officedocument.spreadsheetml.table+xml"/>
  <Override PartName="/xl/tables/table880.xml" ContentType="application/vnd.openxmlformats-officedocument.spreadsheetml.table+xml"/>
  <Override PartName="/xl/tables/table881.xml" ContentType="application/vnd.openxmlformats-officedocument.spreadsheetml.table+xml"/>
  <Override PartName="/xl/tables/table882.xml" ContentType="application/vnd.openxmlformats-officedocument.spreadsheetml.table+xml"/>
  <Override PartName="/xl/tables/table883.xml" ContentType="application/vnd.openxmlformats-officedocument.spreadsheetml.table+xml"/>
  <Override PartName="/xl/tables/table884.xml" ContentType="application/vnd.openxmlformats-officedocument.spreadsheetml.table+xml"/>
  <Override PartName="/xl/tables/table885.xml" ContentType="application/vnd.openxmlformats-officedocument.spreadsheetml.table+xml"/>
  <Override PartName="/xl/tables/table886.xml" ContentType="application/vnd.openxmlformats-officedocument.spreadsheetml.table+xml"/>
  <Override PartName="/xl/tables/table887.xml" ContentType="application/vnd.openxmlformats-officedocument.spreadsheetml.table+xml"/>
  <Override PartName="/xl/tables/table888.xml" ContentType="application/vnd.openxmlformats-officedocument.spreadsheetml.table+xml"/>
  <Override PartName="/xl/tables/table889.xml" ContentType="application/vnd.openxmlformats-officedocument.spreadsheetml.table+xml"/>
  <Override PartName="/xl/tables/table890.xml" ContentType="application/vnd.openxmlformats-officedocument.spreadsheetml.table+xml"/>
  <Override PartName="/xl/tables/table891.xml" ContentType="application/vnd.openxmlformats-officedocument.spreadsheetml.table+xml"/>
  <Override PartName="/xl/tables/table892.xml" ContentType="application/vnd.openxmlformats-officedocument.spreadsheetml.table+xml"/>
  <Override PartName="/xl/tables/table893.xml" ContentType="application/vnd.openxmlformats-officedocument.spreadsheetml.table+xml"/>
  <Override PartName="/xl/tables/table894.xml" ContentType="application/vnd.openxmlformats-officedocument.spreadsheetml.table+xml"/>
  <Override PartName="/xl/tables/table895.xml" ContentType="application/vnd.openxmlformats-officedocument.spreadsheetml.table+xml"/>
  <Override PartName="/xl/tables/table896.xml" ContentType="application/vnd.openxmlformats-officedocument.spreadsheetml.table+xml"/>
  <Override PartName="/xl/tables/table897.xml" ContentType="application/vnd.openxmlformats-officedocument.spreadsheetml.table+xml"/>
  <Override PartName="/xl/tables/table898.xml" ContentType="application/vnd.openxmlformats-officedocument.spreadsheetml.table+xml"/>
  <Override PartName="/xl/tables/table899.xml" ContentType="application/vnd.openxmlformats-officedocument.spreadsheetml.table+xml"/>
  <Override PartName="/xl/tables/table900.xml" ContentType="application/vnd.openxmlformats-officedocument.spreadsheetml.table+xml"/>
  <Override PartName="/xl/tables/table901.xml" ContentType="application/vnd.openxmlformats-officedocument.spreadsheetml.table+xml"/>
  <Override PartName="/xl/tables/table902.xml" ContentType="application/vnd.openxmlformats-officedocument.spreadsheetml.table+xml"/>
  <Override PartName="/xl/tables/table903.xml" ContentType="application/vnd.openxmlformats-officedocument.spreadsheetml.table+xml"/>
  <Override PartName="/xl/tables/table904.xml" ContentType="application/vnd.openxmlformats-officedocument.spreadsheetml.table+xml"/>
  <Override PartName="/xl/tables/table905.xml" ContentType="application/vnd.openxmlformats-officedocument.spreadsheetml.table+xml"/>
  <Override PartName="/xl/tables/table906.xml" ContentType="application/vnd.openxmlformats-officedocument.spreadsheetml.table+xml"/>
  <Override PartName="/xl/tables/table907.xml" ContentType="application/vnd.openxmlformats-officedocument.spreadsheetml.table+xml"/>
  <Override PartName="/xl/tables/table908.xml" ContentType="application/vnd.openxmlformats-officedocument.spreadsheetml.table+xml"/>
  <Override PartName="/xl/tables/table909.xml" ContentType="application/vnd.openxmlformats-officedocument.spreadsheetml.table+xml"/>
  <Override PartName="/xl/tables/table910.xml" ContentType="application/vnd.openxmlformats-officedocument.spreadsheetml.table+xml"/>
  <Override PartName="/xl/tables/table911.xml" ContentType="application/vnd.openxmlformats-officedocument.spreadsheetml.table+xml"/>
  <Override PartName="/xl/tables/table912.xml" ContentType="application/vnd.openxmlformats-officedocument.spreadsheetml.table+xml"/>
  <Override PartName="/xl/tables/table913.xml" ContentType="application/vnd.openxmlformats-officedocument.spreadsheetml.table+xml"/>
  <Override PartName="/xl/tables/table914.xml" ContentType="application/vnd.openxmlformats-officedocument.spreadsheetml.table+xml"/>
  <Override PartName="/xl/tables/table915.xml" ContentType="application/vnd.openxmlformats-officedocument.spreadsheetml.table+xml"/>
  <Override PartName="/xl/tables/table916.xml" ContentType="application/vnd.openxmlformats-officedocument.spreadsheetml.table+xml"/>
  <Override PartName="/xl/tables/table917.xml" ContentType="application/vnd.openxmlformats-officedocument.spreadsheetml.table+xml"/>
  <Override PartName="/xl/tables/table918.xml" ContentType="application/vnd.openxmlformats-officedocument.spreadsheetml.table+xml"/>
  <Override PartName="/xl/tables/table919.xml" ContentType="application/vnd.openxmlformats-officedocument.spreadsheetml.table+xml"/>
  <Override PartName="/xl/tables/table920.xml" ContentType="application/vnd.openxmlformats-officedocument.spreadsheetml.table+xml"/>
  <Override PartName="/xl/tables/table921.xml" ContentType="application/vnd.openxmlformats-officedocument.spreadsheetml.table+xml"/>
  <Override PartName="/xl/tables/table922.xml" ContentType="application/vnd.openxmlformats-officedocument.spreadsheetml.table+xml"/>
  <Override PartName="/xl/tables/table923.xml" ContentType="application/vnd.openxmlformats-officedocument.spreadsheetml.table+xml"/>
  <Override PartName="/xl/tables/table924.xml" ContentType="application/vnd.openxmlformats-officedocument.spreadsheetml.table+xml"/>
  <Override PartName="/xl/tables/table925.xml" ContentType="application/vnd.openxmlformats-officedocument.spreadsheetml.table+xml"/>
  <Override PartName="/xl/tables/table926.xml" ContentType="application/vnd.openxmlformats-officedocument.spreadsheetml.table+xml"/>
  <Override PartName="/xl/tables/table927.xml" ContentType="application/vnd.openxmlformats-officedocument.spreadsheetml.table+xml"/>
  <Override PartName="/xl/tables/table928.xml" ContentType="application/vnd.openxmlformats-officedocument.spreadsheetml.table+xml"/>
  <Override PartName="/xl/tables/table929.xml" ContentType="application/vnd.openxmlformats-officedocument.spreadsheetml.table+xml"/>
  <Override PartName="/xl/tables/table930.xml" ContentType="application/vnd.openxmlformats-officedocument.spreadsheetml.table+xml"/>
  <Override PartName="/xl/tables/table931.xml" ContentType="application/vnd.openxmlformats-officedocument.spreadsheetml.table+xml"/>
  <Override PartName="/xl/tables/table932.xml" ContentType="application/vnd.openxmlformats-officedocument.spreadsheetml.table+xml"/>
  <Override PartName="/xl/tables/table933.xml" ContentType="application/vnd.openxmlformats-officedocument.spreadsheetml.table+xml"/>
  <Override PartName="/xl/tables/table934.xml" ContentType="application/vnd.openxmlformats-officedocument.spreadsheetml.table+xml"/>
  <Override PartName="/xl/tables/table935.xml" ContentType="application/vnd.openxmlformats-officedocument.spreadsheetml.table+xml"/>
  <Override PartName="/xl/tables/table936.xml" ContentType="application/vnd.openxmlformats-officedocument.spreadsheetml.table+xml"/>
  <Override PartName="/xl/tables/table937.xml" ContentType="application/vnd.openxmlformats-officedocument.spreadsheetml.table+xml"/>
  <Override PartName="/xl/tables/table938.xml" ContentType="application/vnd.openxmlformats-officedocument.spreadsheetml.table+xml"/>
  <Override PartName="/xl/tables/table939.xml" ContentType="application/vnd.openxmlformats-officedocument.spreadsheetml.table+xml"/>
  <Override PartName="/xl/tables/table940.xml" ContentType="application/vnd.openxmlformats-officedocument.spreadsheetml.table+xml"/>
  <Override PartName="/xl/tables/table941.xml" ContentType="application/vnd.openxmlformats-officedocument.spreadsheetml.table+xml"/>
  <Override PartName="/xl/tables/table942.xml" ContentType="application/vnd.openxmlformats-officedocument.spreadsheetml.table+xml"/>
  <Override PartName="/xl/tables/table943.xml" ContentType="application/vnd.openxmlformats-officedocument.spreadsheetml.table+xml"/>
  <Override PartName="/xl/tables/table944.xml" ContentType="application/vnd.openxmlformats-officedocument.spreadsheetml.table+xml"/>
  <Override PartName="/xl/tables/table945.xml" ContentType="application/vnd.openxmlformats-officedocument.spreadsheetml.table+xml"/>
  <Override PartName="/xl/tables/table946.xml" ContentType="application/vnd.openxmlformats-officedocument.spreadsheetml.table+xml"/>
  <Override PartName="/xl/tables/table947.xml" ContentType="application/vnd.openxmlformats-officedocument.spreadsheetml.table+xml"/>
  <Override PartName="/xl/tables/table948.xml" ContentType="application/vnd.openxmlformats-officedocument.spreadsheetml.table+xml"/>
  <Override PartName="/xl/tables/table949.xml" ContentType="application/vnd.openxmlformats-officedocument.spreadsheetml.table+xml"/>
  <Override PartName="/xl/tables/table950.xml" ContentType="application/vnd.openxmlformats-officedocument.spreadsheetml.table+xml"/>
  <Override PartName="/xl/tables/table951.xml" ContentType="application/vnd.openxmlformats-officedocument.spreadsheetml.table+xml"/>
  <Override PartName="/xl/tables/table952.xml" ContentType="application/vnd.openxmlformats-officedocument.spreadsheetml.table+xml"/>
  <Override PartName="/xl/tables/table953.xml" ContentType="application/vnd.openxmlformats-officedocument.spreadsheetml.table+xml"/>
  <Override PartName="/xl/tables/table954.xml" ContentType="application/vnd.openxmlformats-officedocument.spreadsheetml.table+xml"/>
  <Override PartName="/xl/tables/table955.xml" ContentType="application/vnd.openxmlformats-officedocument.spreadsheetml.table+xml"/>
  <Override PartName="/xl/tables/table956.xml" ContentType="application/vnd.openxmlformats-officedocument.spreadsheetml.table+xml"/>
  <Override PartName="/xl/tables/table957.xml" ContentType="application/vnd.openxmlformats-officedocument.spreadsheetml.table+xml"/>
  <Override PartName="/xl/tables/table958.xml" ContentType="application/vnd.openxmlformats-officedocument.spreadsheetml.table+xml"/>
  <Override PartName="/xl/tables/table959.xml" ContentType="application/vnd.openxmlformats-officedocument.spreadsheetml.table+xml"/>
  <Override PartName="/xl/tables/table960.xml" ContentType="application/vnd.openxmlformats-officedocument.spreadsheetml.table+xml"/>
  <Override PartName="/xl/tables/table961.xml" ContentType="application/vnd.openxmlformats-officedocument.spreadsheetml.table+xml"/>
  <Override PartName="/xl/tables/table962.xml" ContentType="application/vnd.openxmlformats-officedocument.spreadsheetml.table+xml"/>
  <Override PartName="/xl/tables/table963.xml" ContentType="application/vnd.openxmlformats-officedocument.spreadsheetml.table+xml"/>
  <Override PartName="/xl/tables/table964.xml" ContentType="application/vnd.openxmlformats-officedocument.spreadsheetml.table+xml"/>
  <Override PartName="/xl/tables/table965.xml" ContentType="application/vnd.openxmlformats-officedocument.spreadsheetml.table+xml"/>
  <Override PartName="/xl/tables/table966.xml" ContentType="application/vnd.openxmlformats-officedocument.spreadsheetml.table+xml"/>
  <Override PartName="/xl/tables/table967.xml" ContentType="application/vnd.openxmlformats-officedocument.spreadsheetml.table+xml"/>
  <Override PartName="/xl/tables/table968.xml" ContentType="application/vnd.openxmlformats-officedocument.spreadsheetml.table+xml"/>
  <Override PartName="/xl/tables/table969.xml" ContentType="application/vnd.openxmlformats-officedocument.spreadsheetml.table+xml"/>
  <Override PartName="/xl/tables/table970.xml" ContentType="application/vnd.openxmlformats-officedocument.spreadsheetml.table+xml"/>
  <Override PartName="/xl/tables/table971.xml" ContentType="application/vnd.openxmlformats-officedocument.spreadsheetml.table+xml"/>
  <Override PartName="/xl/tables/table972.xml" ContentType="application/vnd.openxmlformats-officedocument.spreadsheetml.table+xml"/>
  <Override PartName="/xl/tables/table973.xml" ContentType="application/vnd.openxmlformats-officedocument.spreadsheetml.table+xml"/>
  <Override PartName="/xl/tables/table974.xml" ContentType="application/vnd.openxmlformats-officedocument.spreadsheetml.table+xml"/>
  <Override PartName="/xl/tables/table975.xml" ContentType="application/vnd.openxmlformats-officedocument.spreadsheetml.table+xml"/>
  <Override PartName="/xl/tables/table976.xml" ContentType="application/vnd.openxmlformats-officedocument.spreadsheetml.table+xml"/>
  <Override PartName="/xl/tables/table977.xml" ContentType="application/vnd.openxmlformats-officedocument.spreadsheetml.table+xml"/>
  <Override PartName="/xl/tables/table978.xml" ContentType="application/vnd.openxmlformats-officedocument.spreadsheetml.table+xml"/>
  <Override PartName="/xl/tables/table979.xml" ContentType="application/vnd.openxmlformats-officedocument.spreadsheetml.table+xml"/>
  <Override PartName="/xl/tables/table980.xml" ContentType="application/vnd.openxmlformats-officedocument.spreadsheetml.table+xml"/>
  <Override PartName="/xl/tables/table981.xml" ContentType="application/vnd.openxmlformats-officedocument.spreadsheetml.table+xml"/>
  <Override PartName="/xl/tables/table982.xml" ContentType="application/vnd.openxmlformats-officedocument.spreadsheetml.table+xml"/>
  <Override PartName="/xl/tables/table983.xml" ContentType="application/vnd.openxmlformats-officedocument.spreadsheetml.table+xml"/>
  <Override PartName="/xl/tables/table984.xml" ContentType="application/vnd.openxmlformats-officedocument.spreadsheetml.table+xml"/>
  <Override PartName="/xl/tables/table985.xml" ContentType="application/vnd.openxmlformats-officedocument.spreadsheetml.table+xml"/>
  <Override PartName="/xl/tables/table986.xml" ContentType="application/vnd.openxmlformats-officedocument.spreadsheetml.table+xml"/>
  <Override PartName="/xl/tables/table987.xml" ContentType="application/vnd.openxmlformats-officedocument.spreadsheetml.table+xml"/>
  <Override PartName="/xl/tables/table988.xml" ContentType="application/vnd.openxmlformats-officedocument.spreadsheetml.table+xml"/>
  <Override PartName="/xl/tables/table989.xml" ContentType="application/vnd.openxmlformats-officedocument.spreadsheetml.table+xml"/>
  <Override PartName="/xl/tables/table990.xml" ContentType="application/vnd.openxmlformats-officedocument.spreadsheetml.table+xml"/>
  <Override PartName="/xl/tables/table991.xml" ContentType="application/vnd.openxmlformats-officedocument.spreadsheetml.table+xml"/>
  <Override PartName="/xl/tables/table992.xml" ContentType="application/vnd.openxmlformats-officedocument.spreadsheetml.table+xml"/>
  <Override PartName="/xl/tables/table993.xml" ContentType="application/vnd.openxmlformats-officedocument.spreadsheetml.table+xml"/>
  <Override PartName="/xl/tables/table994.xml" ContentType="application/vnd.openxmlformats-officedocument.spreadsheetml.table+xml"/>
  <Override PartName="/xl/tables/table995.xml" ContentType="application/vnd.openxmlformats-officedocument.spreadsheetml.table+xml"/>
  <Override PartName="/xl/tables/table996.xml" ContentType="application/vnd.openxmlformats-officedocument.spreadsheetml.table+xml"/>
  <Override PartName="/xl/tables/table997.xml" ContentType="application/vnd.openxmlformats-officedocument.spreadsheetml.table+xml"/>
  <Override PartName="/xl/tables/table998.xml" ContentType="application/vnd.openxmlformats-officedocument.spreadsheetml.table+xml"/>
  <Override PartName="/xl/tables/table999.xml" ContentType="application/vnd.openxmlformats-officedocument.spreadsheetml.table+xml"/>
  <Override PartName="/xl/tables/table1000.xml" ContentType="application/vnd.openxmlformats-officedocument.spreadsheetml.table+xml"/>
  <Override PartName="/xl/tables/table1001.xml" ContentType="application/vnd.openxmlformats-officedocument.spreadsheetml.table+xml"/>
  <Override PartName="/xl/tables/table1002.xml" ContentType="application/vnd.openxmlformats-officedocument.spreadsheetml.table+xml"/>
  <Override PartName="/xl/tables/table1003.xml" ContentType="application/vnd.openxmlformats-officedocument.spreadsheetml.table+xml"/>
  <Override PartName="/xl/tables/table1004.xml" ContentType="application/vnd.openxmlformats-officedocument.spreadsheetml.table+xml"/>
  <Override PartName="/xl/tables/table1005.xml" ContentType="application/vnd.openxmlformats-officedocument.spreadsheetml.table+xml"/>
  <Override PartName="/xl/tables/table1006.xml" ContentType="application/vnd.openxmlformats-officedocument.spreadsheetml.table+xml"/>
  <Override PartName="/xl/tables/table1007.xml" ContentType="application/vnd.openxmlformats-officedocument.spreadsheetml.table+xml"/>
  <Override PartName="/xl/tables/table1008.xml" ContentType="application/vnd.openxmlformats-officedocument.spreadsheetml.table+xml"/>
  <Override PartName="/xl/tables/table1009.xml" ContentType="application/vnd.openxmlformats-officedocument.spreadsheetml.table+xml"/>
  <Override PartName="/xl/tables/table1010.xml" ContentType="application/vnd.openxmlformats-officedocument.spreadsheetml.table+xml"/>
  <Override PartName="/xl/tables/table1011.xml" ContentType="application/vnd.openxmlformats-officedocument.spreadsheetml.table+xml"/>
  <Override PartName="/xl/tables/table1012.xml" ContentType="application/vnd.openxmlformats-officedocument.spreadsheetml.table+xml"/>
  <Override PartName="/xl/tables/table1013.xml" ContentType="application/vnd.openxmlformats-officedocument.spreadsheetml.table+xml"/>
  <Override PartName="/xl/tables/table1014.xml" ContentType="application/vnd.openxmlformats-officedocument.spreadsheetml.table+xml"/>
  <Override PartName="/xl/tables/table1015.xml" ContentType="application/vnd.openxmlformats-officedocument.spreadsheetml.table+xml"/>
  <Override PartName="/xl/tables/table1016.xml" ContentType="application/vnd.openxmlformats-officedocument.spreadsheetml.table+xml"/>
  <Override PartName="/xl/tables/table1017.xml" ContentType="application/vnd.openxmlformats-officedocument.spreadsheetml.table+xml"/>
  <Override PartName="/xl/tables/table1018.xml" ContentType="application/vnd.openxmlformats-officedocument.spreadsheetml.table+xml"/>
  <Override PartName="/xl/tables/table1019.xml" ContentType="application/vnd.openxmlformats-officedocument.spreadsheetml.table+xml"/>
  <Override PartName="/xl/tables/table1020.xml" ContentType="application/vnd.openxmlformats-officedocument.spreadsheetml.table+xml"/>
  <Override PartName="/xl/tables/table1021.xml" ContentType="application/vnd.openxmlformats-officedocument.spreadsheetml.table+xml"/>
  <Override PartName="/xl/tables/table1022.xml" ContentType="application/vnd.openxmlformats-officedocument.spreadsheetml.table+xml"/>
  <Override PartName="/xl/tables/table1023.xml" ContentType="application/vnd.openxmlformats-officedocument.spreadsheetml.table+xml"/>
  <Override PartName="/xl/tables/table1024.xml" ContentType="application/vnd.openxmlformats-officedocument.spreadsheetml.table+xml"/>
  <Override PartName="/xl/tables/table1025.xml" ContentType="application/vnd.openxmlformats-officedocument.spreadsheetml.table+xml"/>
  <Override PartName="/xl/tables/table1026.xml" ContentType="application/vnd.openxmlformats-officedocument.spreadsheetml.table+xml"/>
  <Override PartName="/xl/tables/table1027.xml" ContentType="application/vnd.openxmlformats-officedocument.spreadsheetml.table+xml"/>
  <Override PartName="/xl/tables/table1028.xml" ContentType="application/vnd.openxmlformats-officedocument.spreadsheetml.table+xml"/>
  <Override PartName="/xl/tables/table1029.xml" ContentType="application/vnd.openxmlformats-officedocument.spreadsheetml.table+xml"/>
  <Override PartName="/xl/tables/table1030.xml" ContentType="application/vnd.openxmlformats-officedocument.spreadsheetml.table+xml"/>
  <Override PartName="/xl/tables/table1031.xml" ContentType="application/vnd.openxmlformats-officedocument.spreadsheetml.table+xml"/>
  <Override PartName="/xl/tables/table1032.xml" ContentType="application/vnd.openxmlformats-officedocument.spreadsheetml.table+xml"/>
  <Override PartName="/xl/tables/table1033.xml" ContentType="application/vnd.openxmlformats-officedocument.spreadsheetml.table+xml"/>
  <Override PartName="/xl/tables/table1034.xml" ContentType="application/vnd.openxmlformats-officedocument.spreadsheetml.table+xml"/>
  <Override PartName="/xl/tables/table1035.xml" ContentType="application/vnd.openxmlformats-officedocument.spreadsheetml.table+xml"/>
  <Override PartName="/xl/tables/table1036.xml" ContentType="application/vnd.openxmlformats-officedocument.spreadsheetml.table+xml"/>
  <Override PartName="/xl/tables/table1037.xml" ContentType="application/vnd.openxmlformats-officedocument.spreadsheetml.table+xml"/>
  <Override PartName="/xl/tables/table1038.xml" ContentType="application/vnd.openxmlformats-officedocument.spreadsheetml.table+xml"/>
  <Override PartName="/xl/tables/table1039.xml" ContentType="application/vnd.openxmlformats-officedocument.spreadsheetml.table+xml"/>
  <Override PartName="/xl/tables/table1040.xml" ContentType="application/vnd.openxmlformats-officedocument.spreadsheetml.table+xml"/>
  <Override PartName="/xl/tables/table1041.xml" ContentType="application/vnd.openxmlformats-officedocument.spreadsheetml.table+xml"/>
  <Override PartName="/xl/tables/table1042.xml" ContentType="application/vnd.openxmlformats-officedocument.spreadsheetml.table+xml"/>
  <Override PartName="/xl/tables/table1043.xml" ContentType="application/vnd.openxmlformats-officedocument.spreadsheetml.table+xml"/>
  <Override PartName="/xl/tables/table1044.xml" ContentType="application/vnd.openxmlformats-officedocument.spreadsheetml.table+xml"/>
  <Override PartName="/xl/tables/table1045.xml" ContentType="application/vnd.openxmlformats-officedocument.spreadsheetml.table+xml"/>
  <Override PartName="/xl/tables/table1046.xml" ContentType="application/vnd.openxmlformats-officedocument.spreadsheetml.table+xml"/>
  <Override PartName="/xl/tables/table1047.xml" ContentType="application/vnd.openxmlformats-officedocument.spreadsheetml.table+xml"/>
  <Override PartName="/xl/tables/table1048.xml" ContentType="application/vnd.openxmlformats-officedocument.spreadsheetml.table+xml"/>
  <Override PartName="/xl/tables/table1049.xml" ContentType="application/vnd.openxmlformats-officedocument.spreadsheetml.table+xml"/>
  <Override PartName="/xl/tables/table1050.xml" ContentType="application/vnd.openxmlformats-officedocument.spreadsheetml.table+xml"/>
  <Override PartName="/xl/tables/table1051.xml" ContentType="application/vnd.openxmlformats-officedocument.spreadsheetml.table+xml"/>
  <Override PartName="/xl/tables/table1052.xml" ContentType="application/vnd.openxmlformats-officedocument.spreadsheetml.table+xml"/>
  <Override PartName="/xl/tables/table1053.xml" ContentType="application/vnd.openxmlformats-officedocument.spreadsheetml.table+xml"/>
  <Override PartName="/xl/tables/table1054.xml" ContentType="application/vnd.openxmlformats-officedocument.spreadsheetml.table+xml"/>
  <Override PartName="/xl/tables/table1055.xml" ContentType="application/vnd.openxmlformats-officedocument.spreadsheetml.table+xml"/>
  <Override PartName="/xl/tables/table1056.xml" ContentType="application/vnd.openxmlformats-officedocument.spreadsheetml.table+xml"/>
  <Override PartName="/xl/tables/table1057.xml" ContentType="application/vnd.openxmlformats-officedocument.spreadsheetml.table+xml"/>
  <Override PartName="/xl/tables/table1058.xml" ContentType="application/vnd.openxmlformats-officedocument.spreadsheetml.table+xml"/>
  <Override PartName="/xl/tables/table1059.xml" ContentType="application/vnd.openxmlformats-officedocument.spreadsheetml.table+xml"/>
  <Override PartName="/xl/tables/table1060.xml" ContentType="application/vnd.openxmlformats-officedocument.spreadsheetml.table+xml"/>
  <Override PartName="/xl/tables/table1061.xml" ContentType="application/vnd.openxmlformats-officedocument.spreadsheetml.table+xml"/>
  <Override PartName="/xl/tables/table1062.xml" ContentType="application/vnd.openxmlformats-officedocument.spreadsheetml.table+xml"/>
  <Override PartName="/xl/tables/table1063.xml" ContentType="application/vnd.openxmlformats-officedocument.spreadsheetml.table+xml"/>
  <Override PartName="/xl/tables/table1064.xml" ContentType="application/vnd.openxmlformats-officedocument.spreadsheetml.table+xml"/>
  <Override PartName="/xl/tables/table1065.xml" ContentType="application/vnd.openxmlformats-officedocument.spreadsheetml.table+xml"/>
  <Override PartName="/xl/tables/table1066.xml" ContentType="application/vnd.openxmlformats-officedocument.spreadsheetml.table+xml"/>
  <Override PartName="/xl/tables/table1067.xml" ContentType="application/vnd.openxmlformats-officedocument.spreadsheetml.table+xml"/>
  <Override PartName="/xl/tables/table1068.xml" ContentType="application/vnd.openxmlformats-officedocument.spreadsheetml.table+xml"/>
  <Override PartName="/xl/tables/table1069.xml" ContentType="application/vnd.openxmlformats-officedocument.spreadsheetml.table+xml"/>
  <Override PartName="/xl/tables/table1070.xml" ContentType="application/vnd.openxmlformats-officedocument.spreadsheetml.table+xml"/>
  <Override PartName="/xl/tables/table1071.xml" ContentType="application/vnd.openxmlformats-officedocument.spreadsheetml.table+xml"/>
  <Override PartName="/xl/tables/table1072.xml" ContentType="application/vnd.openxmlformats-officedocument.spreadsheetml.table+xml"/>
  <Override PartName="/xl/tables/table1073.xml" ContentType="application/vnd.openxmlformats-officedocument.spreadsheetml.table+xml"/>
  <Override PartName="/xl/tables/table1074.xml" ContentType="application/vnd.openxmlformats-officedocument.spreadsheetml.table+xml"/>
  <Override PartName="/xl/tables/table1075.xml" ContentType="application/vnd.openxmlformats-officedocument.spreadsheetml.table+xml"/>
  <Override PartName="/xl/tables/table1076.xml" ContentType="application/vnd.openxmlformats-officedocument.spreadsheetml.table+xml"/>
  <Override PartName="/xl/tables/table1077.xml" ContentType="application/vnd.openxmlformats-officedocument.spreadsheetml.table+xml"/>
  <Override PartName="/xl/tables/table1078.xml" ContentType="application/vnd.openxmlformats-officedocument.spreadsheetml.table+xml"/>
  <Override PartName="/xl/tables/table1079.xml" ContentType="application/vnd.openxmlformats-officedocument.spreadsheetml.table+xml"/>
  <Override PartName="/xl/tables/table1080.xml" ContentType="application/vnd.openxmlformats-officedocument.spreadsheetml.table+xml"/>
  <Override PartName="/xl/tables/table1081.xml" ContentType="application/vnd.openxmlformats-officedocument.spreadsheetml.table+xml"/>
  <Override PartName="/xl/tables/table1082.xml" ContentType="application/vnd.openxmlformats-officedocument.spreadsheetml.table+xml"/>
  <Override PartName="/xl/tables/table1083.xml" ContentType="application/vnd.openxmlformats-officedocument.spreadsheetml.table+xml"/>
  <Override PartName="/xl/tables/table1084.xml" ContentType="application/vnd.openxmlformats-officedocument.spreadsheetml.table+xml"/>
  <Override PartName="/xl/tables/table1085.xml" ContentType="application/vnd.openxmlformats-officedocument.spreadsheetml.table+xml"/>
  <Override PartName="/xl/tables/table1086.xml" ContentType="application/vnd.openxmlformats-officedocument.spreadsheetml.table+xml"/>
  <Override PartName="/xl/tables/table1087.xml" ContentType="application/vnd.openxmlformats-officedocument.spreadsheetml.table+xml"/>
  <Override PartName="/xl/tables/table1088.xml" ContentType="application/vnd.openxmlformats-officedocument.spreadsheetml.table+xml"/>
  <Override PartName="/xl/tables/table1089.xml" ContentType="application/vnd.openxmlformats-officedocument.spreadsheetml.table+xml"/>
  <Override PartName="/xl/tables/table1090.xml" ContentType="application/vnd.openxmlformats-officedocument.spreadsheetml.table+xml"/>
  <Override PartName="/xl/tables/table1091.xml" ContentType="application/vnd.openxmlformats-officedocument.spreadsheetml.table+xml"/>
  <Override PartName="/xl/tables/table1092.xml" ContentType="application/vnd.openxmlformats-officedocument.spreadsheetml.table+xml"/>
  <Override PartName="/xl/tables/table1093.xml" ContentType="application/vnd.openxmlformats-officedocument.spreadsheetml.table+xml"/>
  <Override PartName="/xl/tables/table1094.xml" ContentType="application/vnd.openxmlformats-officedocument.spreadsheetml.table+xml"/>
  <Override PartName="/xl/tables/table1095.xml" ContentType="application/vnd.openxmlformats-officedocument.spreadsheetml.table+xml"/>
  <Override PartName="/xl/tables/table1096.xml" ContentType="application/vnd.openxmlformats-officedocument.spreadsheetml.table+xml"/>
  <Override PartName="/xl/tables/table1097.xml" ContentType="application/vnd.openxmlformats-officedocument.spreadsheetml.table+xml"/>
  <Override PartName="/xl/tables/table1098.xml" ContentType="application/vnd.openxmlformats-officedocument.spreadsheetml.table+xml"/>
  <Override PartName="/xl/tables/table1099.xml" ContentType="application/vnd.openxmlformats-officedocument.spreadsheetml.table+xml"/>
  <Override PartName="/xl/tables/table1100.xml" ContentType="application/vnd.openxmlformats-officedocument.spreadsheetml.table+xml"/>
  <Override PartName="/xl/tables/table1101.xml" ContentType="application/vnd.openxmlformats-officedocument.spreadsheetml.table+xml"/>
  <Override PartName="/xl/tables/table1102.xml" ContentType="application/vnd.openxmlformats-officedocument.spreadsheetml.table+xml"/>
  <Override PartName="/xl/tables/table1103.xml" ContentType="application/vnd.openxmlformats-officedocument.spreadsheetml.table+xml"/>
  <Override PartName="/xl/tables/table1104.xml" ContentType="application/vnd.openxmlformats-officedocument.spreadsheetml.table+xml"/>
  <Override PartName="/xl/tables/table1105.xml" ContentType="application/vnd.openxmlformats-officedocument.spreadsheetml.table+xml"/>
  <Override PartName="/xl/tables/table1106.xml" ContentType="application/vnd.openxmlformats-officedocument.spreadsheetml.table+xml"/>
  <Override PartName="/xl/tables/table1107.xml" ContentType="application/vnd.openxmlformats-officedocument.spreadsheetml.table+xml"/>
  <Override PartName="/xl/tables/table1108.xml" ContentType="application/vnd.openxmlformats-officedocument.spreadsheetml.table+xml"/>
  <Override PartName="/xl/tables/table1109.xml" ContentType="application/vnd.openxmlformats-officedocument.spreadsheetml.table+xml"/>
  <Override PartName="/xl/tables/table1110.xml" ContentType="application/vnd.openxmlformats-officedocument.spreadsheetml.table+xml"/>
  <Override PartName="/xl/tables/table1111.xml" ContentType="application/vnd.openxmlformats-officedocument.spreadsheetml.table+xml"/>
  <Override PartName="/xl/tables/table1112.xml" ContentType="application/vnd.openxmlformats-officedocument.spreadsheetml.table+xml"/>
  <Override PartName="/xl/tables/table1113.xml" ContentType="application/vnd.openxmlformats-officedocument.spreadsheetml.table+xml"/>
  <Override PartName="/xl/tables/table1114.xml" ContentType="application/vnd.openxmlformats-officedocument.spreadsheetml.table+xml"/>
  <Override PartName="/xl/tables/table1115.xml" ContentType="application/vnd.openxmlformats-officedocument.spreadsheetml.table+xml"/>
  <Override PartName="/xl/tables/table1116.xml" ContentType="application/vnd.openxmlformats-officedocument.spreadsheetml.table+xml"/>
  <Override PartName="/xl/tables/table1117.xml" ContentType="application/vnd.openxmlformats-officedocument.spreadsheetml.table+xml"/>
  <Override PartName="/xl/tables/table1118.xml" ContentType="application/vnd.openxmlformats-officedocument.spreadsheetml.table+xml"/>
  <Override PartName="/xl/tables/table1119.xml" ContentType="application/vnd.openxmlformats-officedocument.spreadsheetml.table+xml"/>
  <Override PartName="/xl/tables/table1120.xml" ContentType="application/vnd.openxmlformats-officedocument.spreadsheetml.table+xml"/>
  <Override PartName="/xl/tables/table1121.xml" ContentType="application/vnd.openxmlformats-officedocument.spreadsheetml.table+xml"/>
  <Override PartName="/xl/tables/table1122.xml" ContentType="application/vnd.openxmlformats-officedocument.spreadsheetml.table+xml"/>
  <Override PartName="/xl/tables/table1123.xml" ContentType="application/vnd.openxmlformats-officedocument.spreadsheetml.table+xml"/>
  <Override PartName="/xl/tables/table1124.xml" ContentType="application/vnd.openxmlformats-officedocument.spreadsheetml.table+xml"/>
  <Override PartName="/xl/tables/table1125.xml" ContentType="application/vnd.openxmlformats-officedocument.spreadsheetml.table+xml"/>
  <Override PartName="/xl/tables/table1126.xml" ContentType="application/vnd.openxmlformats-officedocument.spreadsheetml.table+xml"/>
  <Override PartName="/xl/tables/table1127.xml" ContentType="application/vnd.openxmlformats-officedocument.spreadsheetml.table+xml"/>
  <Override PartName="/xl/tables/table1128.xml" ContentType="application/vnd.openxmlformats-officedocument.spreadsheetml.table+xml"/>
  <Override PartName="/xl/tables/table1129.xml" ContentType="application/vnd.openxmlformats-officedocument.spreadsheetml.table+xml"/>
  <Override PartName="/xl/tables/table1130.xml" ContentType="application/vnd.openxmlformats-officedocument.spreadsheetml.table+xml"/>
  <Override PartName="/xl/tables/table1131.xml" ContentType="application/vnd.openxmlformats-officedocument.spreadsheetml.table+xml"/>
  <Override PartName="/xl/tables/table1132.xml" ContentType="application/vnd.openxmlformats-officedocument.spreadsheetml.table+xml"/>
  <Override PartName="/xl/tables/table1133.xml" ContentType="application/vnd.openxmlformats-officedocument.spreadsheetml.table+xml"/>
  <Override PartName="/xl/tables/table1134.xml" ContentType="application/vnd.openxmlformats-officedocument.spreadsheetml.table+xml"/>
  <Override PartName="/xl/tables/table1135.xml" ContentType="application/vnd.openxmlformats-officedocument.spreadsheetml.table+xml"/>
  <Override PartName="/xl/tables/table1136.xml" ContentType="application/vnd.openxmlformats-officedocument.spreadsheetml.table+xml"/>
  <Override PartName="/xl/tables/table1137.xml" ContentType="application/vnd.openxmlformats-officedocument.spreadsheetml.table+xml"/>
  <Override PartName="/xl/tables/table1138.xml" ContentType="application/vnd.openxmlformats-officedocument.spreadsheetml.table+xml"/>
  <Override PartName="/xl/tables/table1139.xml" ContentType="application/vnd.openxmlformats-officedocument.spreadsheetml.table+xml"/>
  <Override PartName="/xl/tables/table1140.xml" ContentType="application/vnd.openxmlformats-officedocument.spreadsheetml.table+xml"/>
  <Override PartName="/xl/tables/table1141.xml" ContentType="application/vnd.openxmlformats-officedocument.spreadsheetml.table+xml"/>
  <Override PartName="/xl/tables/table1142.xml" ContentType="application/vnd.openxmlformats-officedocument.spreadsheetml.table+xml"/>
  <Override PartName="/xl/tables/table1143.xml" ContentType="application/vnd.openxmlformats-officedocument.spreadsheetml.table+xml"/>
  <Override PartName="/xl/tables/table1144.xml" ContentType="application/vnd.openxmlformats-officedocument.spreadsheetml.table+xml"/>
  <Override PartName="/xl/tables/table1145.xml" ContentType="application/vnd.openxmlformats-officedocument.spreadsheetml.table+xml"/>
  <Override PartName="/xl/tables/table1146.xml" ContentType="application/vnd.openxmlformats-officedocument.spreadsheetml.table+xml"/>
  <Override PartName="/xl/tables/table1147.xml" ContentType="application/vnd.openxmlformats-officedocument.spreadsheetml.table+xml"/>
  <Override PartName="/xl/tables/table1148.xml" ContentType="application/vnd.openxmlformats-officedocument.spreadsheetml.table+xml"/>
  <Override PartName="/xl/tables/table1149.xml" ContentType="application/vnd.openxmlformats-officedocument.spreadsheetml.table+xml"/>
  <Override PartName="/xl/tables/table1150.xml" ContentType="application/vnd.openxmlformats-officedocument.spreadsheetml.table+xml"/>
  <Override PartName="/xl/tables/table1151.xml" ContentType="application/vnd.openxmlformats-officedocument.spreadsheetml.table+xml"/>
  <Override PartName="/xl/tables/table1152.xml" ContentType="application/vnd.openxmlformats-officedocument.spreadsheetml.table+xml"/>
  <Override PartName="/xl/tables/table1153.xml" ContentType="application/vnd.openxmlformats-officedocument.spreadsheetml.table+xml"/>
  <Override PartName="/xl/tables/table1154.xml" ContentType="application/vnd.openxmlformats-officedocument.spreadsheetml.table+xml"/>
  <Override PartName="/xl/tables/table1155.xml" ContentType="application/vnd.openxmlformats-officedocument.spreadsheetml.table+xml"/>
  <Override PartName="/xl/tables/table1156.xml" ContentType="application/vnd.openxmlformats-officedocument.spreadsheetml.table+xml"/>
  <Override PartName="/xl/tables/table1157.xml" ContentType="application/vnd.openxmlformats-officedocument.spreadsheetml.table+xml"/>
  <Override PartName="/xl/tables/table1158.xml" ContentType="application/vnd.openxmlformats-officedocument.spreadsheetml.table+xml"/>
  <Override PartName="/xl/tables/table1159.xml" ContentType="application/vnd.openxmlformats-officedocument.spreadsheetml.table+xml"/>
  <Override PartName="/xl/tables/table1160.xml" ContentType="application/vnd.openxmlformats-officedocument.spreadsheetml.table+xml"/>
  <Override PartName="/xl/tables/table1161.xml" ContentType="application/vnd.openxmlformats-officedocument.spreadsheetml.table+xml"/>
  <Override PartName="/xl/tables/table1162.xml" ContentType="application/vnd.openxmlformats-officedocument.spreadsheetml.table+xml"/>
  <Override PartName="/xl/tables/table1163.xml" ContentType="application/vnd.openxmlformats-officedocument.spreadsheetml.table+xml"/>
  <Override PartName="/xl/tables/table1164.xml" ContentType="application/vnd.openxmlformats-officedocument.spreadsheetml.table+xml"/>
  <Override PartName="/xl/tables/table1165.xml" ContentType="application/vnd.openxmlformats-officedocument.spreadsheetml.table+xml"/>
  <Override PartName="/xl/tables/table1166.xml" ContentType="application/vnd.openxmlformats-officedocument.spreadsheetml.table+xml"/>
  <Override PartName="/xl/tables/table1167.xml" ContentType="application/vnd.openxmlformats-officedocument.spreadsheetml.table+xml"/>
  <Override PartName="/xl/tables/table1168.xml" ContentType="application/vnd.openxmlformats-officedocument.spreadsheetml.table+xml"/>
  <Override PartName="/xl/tables/table1169.xml" ContentType="application/vnd.openxmlformats-officedocument.spreadsheetml.table+xml"/>
  <Override PartName="/xl/tables/table1170.xml" ContentType="application/vnd.openxmlformats-officedocument.spreadsheetml.table+xml"/>
  <Override PartName="/xl/tables/table1171.xml" ContentType="application/vnd.openxmlformats-officedocument.spreadsheetml.table+xml"/>
  <Override PartName="/xl/tables/table1172.xml" ContentType="application/vnd.openxmlformats-officedocument.spreadsheetml.table+xml"/>
  <Override PartName="/xl/tables/table1173.xml" ContentType="application/vnd.openxmlformats-officedocument.spreadsheetml.table+xml"/>
  <Override PartName="/xl/tables/table1174.xml" ContentType="application/vnd.openxmlformats-officedocument.spreadsheetml.table+xml"/>
  <Override PartName="/xl/tables/table1175.xml" ContentType="application/vnd.openxmlformats-officedocument.spreadsheetml.table+xml"/>
  <Override PartName="/xl/tables/table1176.xml" ContentType="application/vnd.openxmlformats-officedocument.spreadsheetml.table+xml"/>
  <Override PartName="/xl/tables/table1177.xml" ContentType="application/vnd.openxmlformats-officedocument.spreadsheetml.table+xml"/>
  <Override PartName="/xl/tables/table1178.xml" ContentType="application/vnd.openxmlformats-officedocument.spreadsheetml.table+xml"/>
  <Override PartName="/xl/tables/table1179.xml" ContentType="application/vnd.openxmlformats-officedocument.spreadsheetml.table+xml"/>
  <Override PartName="/xl/tables/table1180.xml" ContentType="application/vnd.openxmlformats-officedocument.spreadsheetml.table+xml"/>
  <Override PartName="/xl/tables/table1181.xml" ContentType="application/vnd.openxmlformats-officedocument.spreadsheetml.table+xml"/>
  <Override PartName="/xl/tables/table1182.xml" ContentType="application/vnd.openxmlformats-officedocument.spreadsheetml.table+xml"/>
  <Override PartName="/xl/tables/table1183.xml" ContentType="application/vnd.openxmlformats-officedocument.spreadsheetml.table+xml"/>
  <Override PartName="/xl/tables/table1184.xml" ContentType="application/vnd.openxmlformats-officedocument.spreadsheetml.table+xml"/>
  <Override PartName="/xl/tables/table1185.xml" ContentType="application/vnd.openxmlformats-officedocument.spreadsheetml.table+xml"/>
  <Override PartName="/xl/tables/table1186.xml" ContentType="application/vnd.openxmlformats-officedocument.spreadsheetml.table+xml"/>
  <Override PartName="/xl/tables/table1187.xml" ContentType="application/vnd.openxmlformats-officedocument.spreadsheetml.table+xml"/>
  <Override PartName="/xl/tables/table1188.xml" ContentType="application/vnd.openxmlformats-officedocument.spreadsheetml.table+xml"/>
  <Override PartName="/xl/tables/table1189.xml" ContentType="application/vnd.openxmlformats-officedocument.spreadsheetml.table+xml"/>
  <Override PartName="/xl/tables/table1190.xml" ContentType="application/vnd.openxmlformats-officedocument.spreadsheetml.table+xml"/>
  <Override PartName="/xl/tables/table1191.xml" ContentType="application/vnd.openxmlformats-officedocument.spreadsheetml.table+xml"/>
  <Override PartName="/xl/tables/table1192.xml" ContentType="application/vnd.openxmlformats-officedocument.spreadsheetml.table+xml"/>
  <Override PartName="/xl/tables/table1193.xml" ContentType="application/vnd.openxmlformats-officedocument.spreadsheetml.table+xml"/>
  <Override PartName="/xl/tables/table1194.xml" ContentType="application/vnd.openxmlformats-officedocument.spreadsheetml.table+xml"/>
  <Override PartName="/xl/tables/table1195.xml" ContentType="application/vnd.openxmlformats-officedocument.spreadsheetml.table+xml"/>
  <Override PartName="/xl/tables/table1196.xml" ContentType="application/vnd.openxmlformats-officedocument.spreadsheetml.table+xml"/>
  <Override PartName="/xl/tables/table1197.xml" ContentType="application/vnd.openxmlformats-officedocument.spreadsheetml.table+xml"/>
  <Override PartName="/xl/tables/table1198.xml" ContentType="application/vnd.openxmlformats-officedocument.spreadsheetml.table+xml"/>
  <Override PartName="/xl/tables/table1199.xml" ContentType="application/vnd.openxmlformats-officedocument.spreadsheetml.table+xml"/>
  <Override PartName="/xl/tables/table1200.xml" ContentType="application/vnd.openxmlformats-officedocument.spreadsheetml.table+xml"/>
  <Override PartName="/xl/tables/table1201.xml" ContentType="application/vnd.openxmlformats-officedocument.spreadsheetml.table+xml"/>
  <Override PartName="/xl/tables/table1202.xml" ContentType="application/vnd.openxmlformats-officedocument.spreadsheetml.table+xml"/>
  <Override PartName="/xl/tables/table1203.xml" ContentType="application/vnd.openxmlformats-officedocument.spreadsheetml.table+xml"/>
  <Override PartName="/xl/tables/table1204.xml" ContentType="application/vnd.openxmlformats-officedocument.spreadsheetml.table+xml"/>
  <Override PartName="/xl/tables/table1205.xml" ContentType="application/vnd.openxmlformats-officedocument.spreadsheetml.table+xml"/>
  <Override PartName="/xl/tables/table1206.xml" ContentType="application/vnd.openxmlformats-officedocument.spreadsheetml.table+xml"/>
  <Override PartName="/xl/tables/table1207.xml" ContentType="application/vnd.openxmlformats-officedocument.spreadsheetml.table+xml"/>
  <Override PartName="/xl/tables/table1208.xml" ContentType="application/vnd.openxmlformats-officedocument.spreadsheetml.table+xml"/>
  <Override PartName="/xl/tables/table1209.xml" ContentType="application/vnd.openxmlformats-officedocument.spreadsheetml.table+xml"/>
  <Override PartName="/xl/tables/table1210.xml" ContentType="application/vnd.openxmlformats-officedocument.spreadsheetml.table+xml"/>
  <Override PartName="/xl/tables/table1211.xml" ContentType="application/vnd.openxmlformats-officedocument.spreadsheetml.table+xml"/>
  <Override PartName="/xl/tables/table1212.xml" ContentType="application/vnd.openxmlformats-officedocument.spreadsheetml.table+xml"/>
  <Override PartName="/xl/tables/table1213.xml" ContentType="application/vnd.openxmlformats-officedocument.spreadsheetml.table+xml"/>
  <Override PartName="/xl/tables/table1214.xml" ContentType="application/vnd.openxmlformats-officedocument.spreadsheetml.table+xml"/>
  <Override PartName="/xl/tables/table1215.xml" ContentType="application/vnd.openxmlformats-officedocument.spreadsheetml.table+xml"/>
  <Override PartName="/xl/tables/table1216.xml" ContentType="application/vnd.openxmlformats-officedocument.spreadsheetml.table+xml"/>
  <Override PartName="/xl/tables/table1217.xml" ContentType="application/vnd.openxmlformats-officedocument.spreadsheetml.table+xml"/>
  <Override PartName="/xl/tables/table1218.xml" ContentType="application/vnd.openxmlformats-officedocument.spreadsheetml.table+xml"/>
  <Override PartName="/xl/tables/table1219.xml" ContentType="application/vnd.openxmlformats-officedocument.spreadsheetml.table+xml"/>
  <Override PartName="/xl/tables/table1220.xml" ContentType="application/vnd.openxmlformats-officedocument.spreadsheetml.table+xml"/>
  <Override PartName="/xl/tables/table1221.xml" ContentType="application/vnd.openxmlformats-officedocument.spreadsheetml.table+xml"/>
  <Override PartName="/xl/tables/table1222.xml" ContentType="application/vnd.openxmlformats-officedocument.spreadsheetml.table+xml"/>
  <Override PartName="/xl/tables/table1223.xml" ContentType="application/vnd.openxmlformats-officedocument.spreadsheetml.table+xml"/>
  <Override PartName="/xl/tables/table1224.xml" ContentType="application/vnd.openxmlformats-officedocument.spreadsheetml.table+xml"/>
  <Override PartName="/xl/tables/table1225.xml" ContentType="application/vnd.openxmlformats-officedocument.spreadsheetml.table+xml"/>
  <Override PartName="/xl/tables/table1226.xml" ContentType="application/vnd.openxmlformats-officedocument.spreadsheetml.table+xml"/>
  <Override PartName="/xl/tables/table1227.xml" ContentType="application/vnd.openxmlformats-officedocument.spreadsheetml.table+xml"/>
  <Override PartName="/xl/tables/table1228.xml" ContentType="application/vnd.openxmlformats-officedocument.spreadsheetml.table+xml"/>
  <Override PartName="/xl/tables/table1229.xml" ContentType="application/vnd.openxmlformats-officedocument.spreadsheetml.table+xml"/>
  <Override PartName="/xl/tables/table1230.xml" ContentType="application/vnd.openxmlformats-officedocument.spreadsheetml.table+xml"/>
  <Override PartName="/xl/tables/table1231.xml" ContentType="application/vnd.openxmlformats-officedocument.spreadsheetml.table+xml"/>
  <Override PartName="/xl/tables/table1232.xml" ContentType="application/vnd.openxmlformats-officedocument.spreadsheetml.table+xml"/>
  <Override PartName="/xl/tables/table1233.xml" ContentType="application/vnd.openxmlformats-officedocument.spreadsheetml.table+xml"/>
  <Override PartName="/xl/tables/table1234.xml" ContentType="application/vnd.openxmlformats-officedocument.spreadsheetml.table+xml"/>
  <Override PartName="/xl/tables/table1235.xml" ContentType="application/vnd.openxmlformats-officedocument.spreadsheetml.table+xml"/>
  <Override PartName="/xl/tables/table1236.xml" ContentType="application/vnd.openxmlformats-officedocument.spreadsheetml.table+xml"/>
  <Override PartName="/xl/tables/table1237.xml" ContentType="application/vnd.openxmlformats-officedocument.spreadsheetml.table+xml"/>
  <Override PartName="/xl/tables/table1238.xml" ContentType="application/vnd.openxmlformats-officedocument.spreadsheetml.table+xml"/>
  <Override PartName="/xl/tables/table1239.xml" ContentType="application/vnd.openxmlformats-officedocument.spreadsheetml.table+xml"/>
  <Override PartName="/xl/tables/table1240.xml" ContentType="application/vnd.openxmlformats-officedocument.spreadsheetml.table+xml"/>
  <Override PartName="/xl/tables/table1241.xml" ContentType="application/vnd.openxmlformats-officedocument.spreadsheetml.table+xml"/>
  <Override PartName="/xl/tables/table1242.xml" ContentType="application/vnd.openxmlformats-officedocument.spreadsheetml.table+xml"/>
  <Override PartName="/xl/tables/table1243.xml" ContentType="application/vnd.openxmlformats-officedocument.spreadsheetml.table+xml"/>
  <Override PartName="/xl/tables/table1244.xml" ContentType="application/vnd.openxmlformats-officedocument.spreadsheetml.table+xml"/>
  <Override PartName="/xl/tables/table1245.xml" ContentType="application/vnd.openxmlformats-officedocument.spreadsheetml.table+xml"/>
  <Override PartName="/xl/tables/table1246.xml" ContentType="application/vnd.openxmlformats-officedocument.spreadsheetml.table+xml"/>
  <Override PartName="/xl/tables/table1247.xml" ContentType="application/vnd.openxmlformats-officedocument.spreadsheetml.table+xml"/>
  <Override PartName="/xl/tables/table124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dades" state="visible" r:id="rId4"/>
    <sheet sheetId="2" name="1.01 PRELIMINARES" state="visible" r:id="rId5"/>
    <sheet sheetId="3" name="1.02 CIMENTACIÓN Y DESAGUES" state="visible" r:id="rId6"/>
    <sheet sheetId="4" name="1.03 ESTRUCTURAS" state="visible" r:id="rId7"/>
    <sheet sheetId="5" name="1.04 MAMPOSTERÍA" state="visible" r:id="rId8"/>
    <sheet sheetId="6" name="1.05 PAÑETES" state="visible" r:id="rId9"/>
    <sheet sheetId="7" name="1.06 INSTALACIONES HIDRÁULICAS" state="visible" r:id="rId10"/>
    <sheet sheetId="8" name="1.07 INSTALACIONES ELÉCTRICAS -" state="visible" r:id="rId11"/>
    <sheet sheetId="9" name="1.08 INSTLACIONES DE GAS" state="visible" r:id="rId12"/>
    <sheet sheetId="10" name="1.09 PINTURA" state="visible" r:id="rId13"/>
    <sheet sheetId="11" name="1.10 ENCHAPES" state="visible" r:id="rId14"/>
    <sheet sheetId="12" name="1.11 PISOS - BASES - ACABADOS" state="visible" r:id="rId15"/>
    <sheet sheetId="13" name="1.12 CUBIERTAS" state="visible" r:id="rId16"/>
    <sheet sheetId="14" name="1.13 CIELO RASOS" state="visible" r:id="rId17"/>
    <sheet sheetId="15" name="1.14 CARPINTERÍA MADERA" state="visible" r:id="rId18"/>
    <sheet sheetId="16" name="1.15 CARPINTERÍA METÁLICA" state="visible" r:id="rId19"/>
    <sheet sheetId="17" name="1.16 APARATOS SANITARIOS" state="visible" r:id="rId20"/>
    <sheet sheetId="18" name="1.17 VIDRIOS Y CERRADURAS" state="visible" r:id="rId21"/>
    <sheet sheetId="19" name="1.18 OBRAS EXTERIORES" state="visible" r:id="rId22"/>
    <sheet sheetId="20" name="1.19 INSTALACIONES DEPORTIVAS" state="visible" r:id="rId23"/>
    <sheet sheetId="21" name="1.20 OTROS" state="visible" r:id="rId24"/>
    <sheet sheetId="22" name="1.21 SISTEMA TELÉFONICO" state="visible" r:id="rId25"/>
    <sheet sheetId="23" name="1.22 CABLEADO ESTRCTURADO" state="visible" r:id="rId26"/>
    <sheet sheetId="24" name="1.23 FACHADAS Y REVESTIMIENTOS" state="visible" r:id="rId27"/>
    <sheet sheetId="25" name="2.01 TUBERIA PVC - ACUEDUCTO" state="visible" r:id="rId28"/>
    <sheet sheetId="26" name="2.02 TUBERÍA POLIETILENO PE 100" state="visible" r:id="rId29"/>
    <sheet sheetId="27" name="2.03 TUBERIA HG- ACUEDUCTO" state="visible" r:id="rId30"/>
    <sheet sheetId="28" name="2.04 ACCESORIOS- ACUEDUCTO" state="visible" r:id="rId31"/>
    <sheet sheetId="29" name="2.05 TUBERIA SANITARIA PVC - AL" state="visible" r:id="rId32"/>
    <sheet sheetId="30" name="2.06 OTRAS OBRAS - ALCANTARILAL" state="visible" r:id="rId33"/>
    <sheet sheetId="31" name="2.07 OTRAS OBRAS - CONCRETOS Y" state="visible" r:id="rId34"/>
    <sheet sheetId="32" name="2.08 ACCESORIOS DE CONTROL DE P" state="visible" r:id="rId35"/>
    <sheet sheetId="33" name="2.09 REFORESTACION" state="visible" r:id="rId36"/>
    <sheet sheetId="34" name="3.01 PRELIMINARES (VIAS)" state="visible" r:id="rId37"/>
    <sheet sheetId="35" name="3.02 EXPLANACIONES" state="visible" r:id="rId38"/>
    <sheet sheetId="36" name="3.03 OBRAS DE DRENAJE, PROTECCI" state="visible" r:id="rId39"/>
    <sheet sheetId="37" name="3.04 AFIRMADO, SUBBASES Y BASES" state="visible" r:id="rId40"/>
    <sheet sheetId="38" name="3.05 PAVIMENTO RIGIDO" state="visible" r:id="rId41"/>
    <sheet sheetId="39" name="3.06 PAVIMENTACION FLEXIBLE" state="visible" r:id="rId42"/>
    <sheet sheetId="40" name="3.07 PAVIMENTO ARTICULADO VEHIC" state="visible" r:id="rId43"/>
    <sheet sheetId="41" name="3.08 SARDINELES Y ANDENES" state="visible" r:id="rId44"/>
    <sheet sheetId="42" name="3.09 SEÑALIZACION Y DEMARCACION" state="visible" r:id="rId45"/>
    <sheet sheetId="43" name="3.10 PUENTES" state="visible" r:id="rId46"/>
    <sheet sheetId="44" name="3.11 MANTENIMIENTO" state="visible" r:id="rId47"/>
    <sheet sheetId="45" name="3.12 TRANSPORTE" state="visible" r:id="rId48"/>
    <sheet sheetId="46" name="3.13 VARIOS" state="visible" r:id="rId49"/>
    <sheet sheetId="47" name="4.01 GASODUCTOS" state="visible" r:id="rId50"/>
    <sheet sheetId="48" name="5.01 SUELDOS Y SALARIOS" state="visible" r:id="rId51"/>
    <sheet sheetId="49" name="6.01 MORTEROS" state="visible" r:id="rId52"/>
    <sheet sheetId="50" name="6.02 CONCRETOS" state="visible" r:id="rId53"/>
    <sheet sheetId="51" name="6.03 HIERRO" state="visible" r:id="rId54"/>
    <sheet sheetId="52" name="6.04 MAMPOSTERIA" state="visible" r:id="rId55"/>
    <sheet sheetId="53" name="Clasificacion" state="visible" r:id="rId56"/>
    <sheet sheetId="54" name="Insumos" state="visible" r:id="rId57"/>
  </sheets>
  <calcPr calcId="171027"/>
</workbook>
</file>

<file path=xl/sharedStrings.xml><?xml version="1.0" encoding="utf-8"?>
<sst xmlns="http://schemas.openxmlformats.org/spreadsheetml/2006/main" count="95078" uniqueCount="8049">
  <si>
    <t>Análisis de precios unitarios — actividades de obra</t>
  </si>
  <si>
    <t>Fuente: pages/Servicios/ANEXO-2.-ANALISIS-UNITARIO-DETALLADO-Lista-de-precios-unitarios-fijos-de-obra-publica-y-consultoria_compressed.docx. 1245 actividades en 51 capítulos. El detalle de insumos de cada actividad está en la hoja de su capítulo.</t>
  </si>
  <si>
    <t>CODIGO</t>
  </si>
  <si>
    <t>CAPITULO</t>
  </si>
  <si>
    <t>NOMBRE DE LA TAREA</t>
  </si>
  <si>
    <t>UNIDAD</t>
  </si>
  <si>
    <t>NOMBRE UNIDAD</t>
  </si>
  <si>
    <t>PRECIO</t>
  </si>
  <si>
    <t>DESCRIPCION</t>
  </si>
  <si>
    <t>ETAPA DE OBRA</t>
  </si>
  <si>
    <t>TIPO DE SERVICIO</t>
  </si>
  <si>
    <t>INSUMOS</t>
  </si>
  <si>
    <t>REVISAR</t>
  </si>
  <si>
    <t>CLASIFICACION</t>
  </si>
  <si>
    <t>AMBITO</t>
  </si>
  <si>
    <t>SECUENCIA</t>
  </si>
  <si>
    <t>ESPECIALIDAD</t>
  </si>
  <si>
    <t>NATURALEZA DEL PRECIO</t>
  </si>
  <si>
    <t>1.01.01</t>
  </si>
  <si>
    <t>PRELIMINARES</t>
  </si>
  <si>
    <t>ABERTURA VANO PUERTA-VENTANA</t>
  </si>
  <si>
    <t>M2</t>
  </si>
  <si>
    <t>Metro cuadrado</t>
  </si>
  <si>
    <t>Precio por M2. Mano de obra: Auxiliar De Obra 2 (0.8 hh). Equipo: Herrramienta Y Equipo Menor (3.5 %).</t>
  </si>
  <si>
    <t>1. Preliminares</t>
  </si>
  <si>
    <t>Demolición y retiro</t>
  </si>
  <si>
    <t/>
  </si>
  <si>
    <t>AM01 · ON01 · ES02 · NP01</t>
  </si>
  <si>
    <t>AM01 Edificación</t>
  </si>
  <si>
    <t>ON01 Preliminares</t>
  </si>
  <si>
    <t>ES02 Demolición y retiro</t>
  </si>
  <si>
    <t>NP01 Construcción (mano de obra y materiales)</t>
  </si>
  <si>
    <t>1.01.02</t>
  </si>
  <si>
    <t>ACARREO MATERIALES PETREOS- TIERRA-VARIOS (DISTANCIA DE 1 A 5 KM)</t>
  </si>
  <si>
    <t>M3</t>
  </si>
  <si>
    <t>Metro cúbico</t>
  </si>
  <si>
    <t>Precio por M3. Transporte: Transporte De Material (1.3 M3-km).</t>
  </si>
  <si>
    <t>Transporte y acarreo</t>
  </si>
  <si>
    <t>AM01 · ON01 · ES17 · NP01</t>
  </si>
  <si>
    <t>ES17 Transporte y equipos</t>
  </si>
  <si>
    <t>1.01.03</t>
  </si>
  <si>
    <t>CERRAMIENTO ALAMBRE DE PUAS No. 12 5 HILOS POSTES DE MADERA. DISTANCIA ENTRE POSTES 2 M</t>
  </si>
  <si>
    <t>ML</t>
  </si>
  <si>
    <t>Metro lineal</t>
  </si>
  <si>
    <t>Precio por ML. Materiales: Grapas (0.2 kg), Poste Pino Patula [1.50m] D=9-10 Cm (0.53 UND), Puntilla Con Y Sin Cabeza 2 (0.05 lb), Alambre De Puas N° 12.5 (1.5 kg). Mano de obra: Auxiliar De Obra 2 (1.2 hh). Equipo: Herrramienta Y Equipo Menor (5 %).</t>
  </si>
  <si>
    <t>Cerramiento</t>
  </si>
  <si>
    <t>AM01 · ON01 · ES01 · NP01</t>
  </si>
  <si>
    <t>ES01 Preliminares y topografía</t>
  </si>
  <si>
    <t>1.01.04</t>
  </si>
  <si>
    <t>CERRAMIENTO EN TABLA BURRA H=3.00 mts.</t>
  </si>
  <si>
    <t>Precio por ML. Materiales: Madera Tabla Burra (5.25 ML), Madera Vara De Clavo (0.32 ML), Puntilla Con Y Sin Cabeza 1 (1.05 lb). Mano de obra: Auxiliar De Obra 2 (0.4 hh), Oficial Obra 1 (0.4 hh). Equipo: Herrramienta Y Equipo Menor (4 %).</t>
  </si>
  <si>
    <t>1.01.05</t>
  </si>
  <si>
    <t>CONFIGURACIÓN-NIVELACIÓN TERRENO</t>
  </si>
  <si>
    <t>Precio por M2. Materiales: Agua (0.35 lt). Mano de obra: Auxiliar De Obra 2 (0.02 hh). Equipo: Carrotanque (0 hr), Motoniveladora Potencia Minima 120 Hp Y Max 215 Hp (0 hr).</t>
  </si>
  <si>
    <t>Replanteo y topografía</t>
  </si>
  <si>
    <t>1.01.06</t>
  </si>
  <si>
    <t>CONFORMACIÓN COMPACTACIÓN SUBRASANTE CBR=95%</t>
  </si>
  <si>
    <t>Precio por M2. Materiales: Agua (0.35 lt). Mano de obra: Auxiliar De Obra 2 (0.24 hh), Oficial Obra 1 (0.08 hh). Equipo: Carrotanque (0.02 hr), Motoniveladora Potencia Minima 120 Hp Y Max 215 Hp (0.01 hr), Vibrocompactador Ca-15 O Similar (0.01 hr).</t>
  </si>
  <si>
    <t>Excavación y movimiento de tierra</t>
  </si>
  <si>
    <t>AM01 · ON01 · ES03 · NP01</t>
  </si>
  <si>
    <t>ES03 Movimiento de tierras</t>
  </si>
  <si>
    <t>1.01.07</t>
  </si>
  <si>
    <t>CORTE ARBOL (INCL.RAICES) H&gt;3.0</t>
  </si>
  <si>
    <t>UND</t>
  </si>
  <si>
    <t>Unidad</t>
  </si>
  <si>
    <t>Precio por UND. Mano de obra: Auxiliar De Obra 2 (0.5 hh), Oficial Obra 1 (0.5 hh). Equipo: Cargador 950 O Similar (0.5 hr), Motosierra (1 hr), Herrramienta Y Equipo Menor (1 %).</t>
  </si>
  <si>
    <t>Zonas verdes y reforestación</t>
  </si>
  <si>
    <t>AM01 · ON01 · ES16 · NP01</t>
  </si>
  <si>
    <t>ES16 Vías, urbanismo y zonas verdes</t>
  </si>
  <si>
    <t>1.01.08</t>
  </si>
  <si>
    <t>CORTE DE ARBUSTO</t>
  </si>
  <si>
    <t>Precio por UND. Mano de obra: Auxiliar De Obra 2 (0.55 hh). Equipo: Herrramienta Y Equipo Menor (5 %).</t>
  </si>
  <si>
    <t>1.01.09</t>
  </si>
  <si>
    <t>CORTE RAIZ D = 30 cm - 80 cm</t>
  </si>
  <si>
    <t>Precio por ML. Mano de obra: Auxiliar De Obra 2 (1.8 hh). Equipo: Herrramienta Y Equipo Menor (5 %).</t>
  </si>
  <si>
    <t>1.01.10</t>
  </si>
  <si>
    <t>DEMOLICIÓN CONCRETO CICLOPEO (INCLUYE RETIRO)</t>
  </si>
  <si>
    <t>Precio por M3. Mano de obra: Auxiliar De Obra 2 (2.8 hh). Equipo: Compresor De 2 Martillos (1.5 hr), Herrramienta Y Equipo Menor (5 %).</t>
  </si>
  <si>
    <t>AM01 · ON01 · ES02 · NP05</t>
  </si>
  <si>
    <t>NP05 Demolición y retiro</t>
  </si>
  <si>
    <t>1.01.11</t>
  </si>
  <si>
    <t>DEMOLICIÓN SARDINEL (INCLUYE RETIRO)</t>
  </si>
  <si>
    <t>Precio por ML. Mano de obra: Auxiliar De Obra 2 (0.5 hh). Equipo: Herrramienta Y Equipo Menor (3.5 %).</t>
  </si>
  <si>
    <t>1.01.12</t>
  </si>
  <si>
    <t>DEMOLICIÓN ALFAJIA CONCRETO (INCLUYE RETIRO)</t>
  </si>
  <si>
    <t>Precio por ML. Mano de obra: Auxiliar De Obra 2 (0.35 hh). Equipo: Herrramienta Y Equipo Menor (5 %).</t>
  </si>
  <si>
    <t>1.01.13</t>
  </si>
  <si>
    <t>DEMOLICIÓN ANDEN/CONTRAPISO CONCRETO E &gt; A 12CM</t>
  </si>
  <si>
    <t>Precio por M2. Mano de obra: Auxiliar De Obra 2 (0.14 hh), Oficial Obra 1 (0.14 hh). Equipo: Compresor De 2 Martillos (0.13 hr), Herrramienta Y Equipo Menor (5 %).</t>
  </si>
  <si>
    <t>1.01.14</t>
  </si>
  <si>
    <t>DEMOLICIÓN ANDEN/CONTRAPISO CONCRETO E= 7.6CM A 12CM</t>
  </si>
  <si>
    <t>Precio por M2. Mano de obra: Auxiliar De Obra 2 (0.09 hh), Oficial Obra 1 (0.09 hh). Equipo: Compresor De 2 Martillos (0.09 hr), Herrramienta Y Equipo Menor (5 %).</t>
  </si>
  <si>
    <t>1.01.15</t>
  </si>
  <si>
    <t>DEMOLICIÓN CAJA INSPECCION</t>
  </si>
  <si>
    <t>Precio por UND. Mano de obra: Auxiliar De Obra 2 (1.3 hh). Equipo: Herrramienta Y Equipo Menor (5 %).</t>
  </si>
  <si>
    <t>1.01.16</t>
  </si>
  <si>
    <t>DEMOLICIÓN CIELO FALSO ESTERILLA- ADOBE</t>
  </si>
  <si>
    <t>Precio por M2. Mano de obra: Auxiliar De Obra 2 (0.43 hh), Oficial Obra 1 (0.43 hh). Equipo: Andamio Tubular Normalizado, Tipo Multidireccional, De Acero Galvanizado En Caliente, Según Iso 9001. (0.15 dd), Herrramienta Y Equipo Menor (0.5 %).</t>
  </si>
  <si>
    <t>1.01.17</t>
  </si>
  <si>
    <t>DEMOLICIÓN CIELO FALSO ESTRUCTURA ALUMINIO (INCLUYE RETIRO)</t>
  </si>
  <si>
    <t>Precio por M2. Mano de obra: Auxiliar De Obra 2 (0.15 hh). Equipo: Andamio Tubular Normalizado, Tipo Multidireccional, De Acero Galvanizado En Caliente, Según Iso 9001. (0.05 dd), Herrramienta Y Equipo Menor (5 %).</t>
  </si>
  <si>
    <t>1.01.18</t>
  </si>
  <si>
    <t>DEMOLICIÓN CIMIENTO CONCRETO (INCLUYE RETIRO)</t>
  </si>
  <si>
    <t>Precio por M3. Mano de obra: Auxiliar De Obra 2 (1.7 hh), Oficial Obra 1 (1.7 hh). Equipo: Compresor De 2 Martillos (1.5 hr), Herrramienta Y Equipo Menor (5 %).</t>
  </si>
  <si>
    <t>1.01.19</t>
  </si>
  <si>
    <t>DEMOLICIÓN COLUMNA CONCRETO</t>
  </si>
  <si>
    <t>Precio por M3. Mano de obra: Auxiliar De Obra 2 (3 hh). Equipo: Compresor De 2 Martillos (1.25 hr), Pulidora (1 dd), Herrramienta Y Equipo Menor (5 %).</t>
  </si>
  <si>
    <t>1.01.20</t>
  </si>
  <si>
    <t>DEMOLICIÓN CUNETA EN CONCRETO</t>
  </si>
  <si>
    <t>Precio por ML. Mano de obra: Auxiliar De Obra 2 (0.55 hh). Equipo: Herrramienta Y Equipo Menor (3.7 %).</t>
  </si>
  <si>
    <t>1.01.21</t>
  </si>
  <si>
    <t>DEMOLICION DE PISOS DE CONCRETO &lt;=10 CMS</t>
  </si>
  <si>
    <t>Precio por M2. Mano de obra: Auxiliar De Obra 2 (0.5 hh), Oficial Obra 1 (0.25 hh). Equipo: Compresor De 2 Martillos (0.17 hr), Retroexcavadora Jd-510 O Similar (0.03 hr), Herrramienta Y Equipo Menor (5 %).</t>
  </si>
  <si>
    <t>1.01.22</t>
  </si>
  <si>
    <t>DEMOLICIÓN DE SUMIDEROS</t>
  </si>
  <si>
    <t>Precio por UND. Mano de obra: Auxiliar De Obra 2 (0.55 hh). Equipo: Compresor De 2 Martillos (0.14 hr), Herrramienta Y Equipo Menor (3.7 %).</t>
  </si>
  <si>
    <t>1.01.23</t>
  </si>
  <si>
    <t>DEMOLICIÓN EDIFICACION EXISTENTE</t>
  </si>
  <si>
    <t>Precio por M2. Mano de obra: Auxiliar De Obra 2 (2.1 hh), Oficial Obra 1 (0.5 hh). Equipo: Compresor (0.05 hr), Equipo De Soldadura (0.05 hr), Andamio Tubular Normalizado, Tipo Multidireccional, De Acero Galvanizado En Caliente, Según Iso 9001. (0.2 dd), Herrramienta Y Equipo Menor (5 %).</t>
  </si>
  <si>
    <t>1.01.24</t>
  </si>
  <si>
    <t>DEMOLICIÓN ENCHAPE CERAMICO</t>
  </si>
  <si>
    <t>Precio por M2. Mano de obra: Auxiliar De Obra 2 (0.78 hh). Equipo: Herrramienta Y Equipo Menor (2.5 %).</t>
  </si>
  <si>
    <t>1.01.25</t>
  </si>
  <si>
    <t>DEMOLICIÓN ESCALERA CONCRETO REFORZADO (INCLUYE RETIRO)</t>
  </si>
  <si>
    <t>Precio por M3. Mano de obra: Auxiliar De Obra 2 (0.96 hh). Equipo: Compresor De 2 Martillos (0.23 hr), Herrramienta Y Equipo Menor (5 %).</t>
  </si>
  <si>
    <t>1.01.26</t>
  </si>
  <si>
    <t>DEMOLICIÓN GUARDAESCOBA (INCLUYE RETIRO)</t>
  </si>
  <si>
    <t>Precio por ML. Mano de obra: Auxiliar De Obra 2 (0.2 hh). Equipo: Herrramienta Y Equipo Menor (1 %).</t>
  </si>
  <si>
    <t>1.01.27</t>
  </si>
  <si>
    <t>DEMOLICIÓN LAVADERO EXISTENTE</t>
  </si>
  <si>
    <t>Precio por UND. Mano de obra: Auxiliar De Obra 2 (3.85 hh). Equipo: Herrramienta Y Equipo Menor (4 %).</t>
  </si>
  <si>
    <t>1.01.28</t>
  </si>
  <si>
    <t>DEMOLICIÓN MESON CONCRETO (INCLUYE RETIRO)</t>
  </si>
  <si>
    <t>Precio por M2. Mano de obra: Auxiliar De Obra 2 (2.7 hh). Equipo: Herrramienta Y Equipo Menor (3.5 %).</t>
  </si>
  <si>
    <t>1.01.29</t>
  </si>
  <si>
    <t>DEMOLICIÓN MURO ADOBE (INCLUYE RETIRO)</t>
  </si>
  <si>
    <t>Precio por M2. Mano de obra: Auxiliar De Obra 2 (0.25 hh). Equipo: Herrramienta Y Equipo Menor (5 %).</t>
  </si>
  <si>
    <t>1.01.30</t>
  </si>
  <si>
    <t>DEMOLICIÓN MURO CONCRETO E=30CM</t>
  </si>
  <si>
    <t>Precio por M2. Mano de obra: Auxiliar De Obra 2 (1 hh), Oficial Obra 1 (0.5 hh). Equipo: Compresor De 2 Martillos (0.5 hr), Herrramienta Y Equipo Menor (5 %).</t>
  </si>
  <si>
    <t>1.01.31</t>
  </si>
  <si>
    <t>DEMOLICIÓN MURO CONCRETO HASTA E= 15CM</t>
  </si>
  <si>
    <t>Precio por M2. Mano de obra: Auxiliar De Obra 2 (0.8 hh), Oficial Obra 1 (0.1 hh). Equipo: Compresor De 2 Martillos (0.22 hr), Herrramienta Y Equipo Menor (4 %).</t>
  </si>
  <si>
    <t>1.01.32</t>
  </si>
  <si>
    <t>DEMOLICION MUROS EN LADRILLO E = 0.25 mts.</t>
  </si>
  <si>
    <t>Precio por M2. Mano de obra: Auxiliar De Obra 2 (0.46 hh), Oficial Obra 1 (0.46 hh). Equipo: Herrramienta Y Equipo Menor (5 %).</t>
  </si>
  <si>
    <t>1.01.33</t>
  </si>
  <si>
    <t>DEMOLICIÓN MUROS LADRILLO E = 0.15 mts.</t>
  </si>
  <si>
    <t>Precio por M2. Mano de obra: Auxiliar De Obra 2 (0.4 hh), Oficial Obra 1 (0.4 hh). Equipo: Herrramienta Y Equipo Menor (5 %).</t>
  </si>
  <si>
    <t>1.01.34</t>
  </si>
  <si>
    <t>DEMOLICIÓN PAÑETES</t>
  </si>
  <si>
    <t>Precio por M2. Mano de obra: Auxiliar De Obra 2 (0.5 hh). Equipo: Herrramienta Y Equipo Menor (2 %).</t>
  </si>
  <si>
    <t>1.01.35</t>
  </si>
  <si>
    <t>DEMOLICIÓN PAÑETES TECHO</t>
  </si>
  <si>
    <t>Precio por M2. Mano de obra: Auxiliar De Obra 2 (0.55 hh). Equipo: Herrramienta Y Equipo Menor (2 %).</t>
  </si>
  <si>
    <t>1.01.36</t>
  </si>
  <si>
    <t>DEMOLICIÓN PISO BALDOSA+MORTERO</t>
  </si>
  <si>
    <t>1.01.37</t>
  </si>
  <si>
    <t>DEMOLICIÓN PISO GRANO PULIDO</t>
  </si>
  <si>
    <t>Precio por M2. Mano de obra: Auxiliar De Obra 2 (0.37 hh). Equipo: Herrramienta Y Equipo Menor (3 %).</t>
  </si>
  <si>
    <t>1.01.38</t>
  </si>
  <si>
    <t>DEMOLICIÓN PLACA DE PISO E= 10 cm.</t>
  </si>
  <si>
    <t>Precio por M2. Mano de obra: Auxiliar De Obra 2 (1 hh), Oficial Obra 1 (0.5 hh). Equipo: Compresor De 2 Martillos (0.3 hr), Herrramienta Y Equipo Menor (5 %).</t>
  </si>
  <si>
    <t>1.01.39</t>
  </si>
  <si>
    <t>DEMOLICIÓN PLACAS ALIGERADAS CONCRETO E&lt;= 25 cm.</t>
  </si>
  <si>
    <t>Precio por M2. Mano de obra: Auxiliar De Obra 2 (0.8 hh), Oficial Obra 1 (0.05 hh). Equipo: Compresor De 2 Martillos (0.19 hr), Herrramienta Y Equipo Menor (2 %).</t>
  </si>
  <si>
    <t>1.01.40</t>
  </si>
  <si>
    <t>DEMOLICIÓN PLACAS ALIGERADAS CONCRETO E&gt;=25 cm.</t>
  </si>
  <si>
    <t>Precio por M2. Mano de obra: Auxiliar De Obra 2 (1 hh), Oficial Obra 1 (0.05 hh). Equipo: Compresor De 2 Martillos (0.35 hr), Herrramienta Y Equipo Menor (2.2 %).</t>
  </si>
  <si>
    <t>1.01.41</t>
  </si>
  <si>
    <t>DEMOLICIÓN PLACAS MACIZAS CONCRETO E &lt;= 20 cm.</t>
  </si>
  <si>
    <t>Precio por M2. Mano de obra: Auxiliar De Obra 2 (0.4 hh), Oficial Obra 1 (0.2 hh). Equipo: Compresor De 2 Martillos (0.3 hr), Herrramienta Y Equipo Menor (5 %).</t>
  </si>
  <si>
    <t>1.01.42</t>
  </si>
  <si>
    <t>DEMOLICIÓN VIGA AMARRE CONCRETO &lt; 25 CM - 35 CM</t>
  </si>
  <si>
    <t>Precio por ML. Mano de obra: Auxiliar De Obra 2 (0.3 hh), Oficial Obra 1 (0.05 hh). Equipo: Compresor De 2 Martillos (0.02 hr), Herrramienta Y Equipo Menor (5 %).</t>
  </si>
  <si>
    <t>1.01.43</t>
  </si>
  <si>
    <t>DEMOLICIÓN VIGA CANAL.</t>
  </si>
  <si>
    <t>Precio por ML. Mano de obra: Auxiliar De Obra 2 (1.2 hh), Oficial Obra 1 (0.2 hh). Equipo: Compresor De 2 Martillos (0.02 hr), Herrramienta Y Equipo Menor (5 %).</t>
  </si>
  <si>
    <t>1.01.44</t>
  </si>
  <si>
    <t>DEMOLICIÓN VIGA CONCRETO 25cm- 35cm</t>
  </si>
  <si>
    <t>Precio por ML. Mano de obra: Auxiliar De Obra 2 (0.25 hh), Oficial Obra 1 (0.1 hh). Equipo: Compresor De 2 Martillos (0.02 hr), Herrramienta Y Equipo Menor (5 %).</t>
  </si>
  <si>
    <t>1.01.45</t>
  </si>
  <si>
    <t>DEMOLICIÓN VIGA CONCRETO 35cm- 45cm</t>
  </si>
  <si>
    <t>Precio por ML. Mano de obra: Auxiliar De Obra 2 (0.35 hh), Oficial Obra 1 (0.1 hh). Equipo: Compresor De 2 Martillos (0.04 hr), Herrramienta Y Equipo Menor (5 %).</t>
  </si>
  <si>
    <t>1.01.46</t>
  </si>
  <si>
    <t>DESCAPOTE MANUAL (HASTA 20 CM ) DISTANCIA DE 1 A 5 KM</t>
  </si>
  <si>
    <t>Precio por M2. Materiales: Transporte De Material Suelto (0.2 M3-km), Señalizacion (1 glb). Mano de obra: Auxiliar De Obra 2 (0.2 hh), Oficial Obra 1 (0.2 hh). Equipo: Herrramienta Y Equipo Menor (5 %).</t>
  </si>
  <si>
    <t>1.01.47</t>
  </si>
  <si>
    <t>DESMONTE ADOQUIN PREFABRICADO</t>
  </si>
  <si>
    <t>Precio por M2. Mano de obra: Auxiliar De Obra 2 (0.38 hh). Equipo: Herrramienta Y Equipo Menor (4.5 %).</t>
  </si>
  <si>
    <t>1.01.48</t>
  </si>
  <si>
    <t>DESMONTE ALAMBRE PÚAS CERRAMIENTO 3 - 5 LÍNEAS INCLUYE POSTES.</t>
  </si>
  <si>
    <t>Precio por ML. Mano de obra: Auxiliar De Obra 1 (0.1 jr). Equipo: Herrramienta Y Equipo Menor (5 %).</t>
  </si>
  <si>
    <t>1.01.49</t>
  </si>
  <si>
    <t>DESMONTE CANALES - BAJANTES.</t>
  </si>
  <si>
    <t>Precio por ML. Mano de obra: Auxiliar De Obra 2 (0.1 hh), Oficial Obra 1 (0.1 hh). Equipo: Andamio Tubular Normalizado, Tipo Multidireccional, De Acero Galvanizado En Caliente, Según Iso 9001. (0.1 dd), Herrramienta Y Equipo Menor (2 %).</t>
  </si>
  <si>
    <t>1.01.50</t>
  </si>
  <si>
    <t>DESMONTE CIELO FALSO MADERA</t>
  </si>
  <si>
    <t>Precio por M2. Mano de obra: Auxiliar De Carpinterias 1 (0.2 hh), Oficial Carpinterias (0.05 hh). Equipo: Andamio Tubular Normalizado, Tipo Multidireccional, De Acero Galvanizado En Caliente, Según Iso 9001. (0.1 dd), Herrramienta Y Equipo Menor (2 %).</t>
  </si>
  <si>
    <t>1.01.51</t>
  </si>
  <si>
    <t>DESMONTE CORREA METÁLICA</t>
  </si>
  <si>
    <t>Precio por ML. Mano de obra: Auxiliar De Obra 2 (0.25 hh). Equipo: Andamio Tubular Normalizado, Tipo Multidireccional, De Acero Galvanizado En Caliente, Según Iso 9001. (0.1 dd), Herrramienta Y Equipo Menor (2 %).</t>
  </si>
  <si>
    <t>1.01.52</t>
  </si>
  <si>
    <t>DESMONTE CORREA-VIGA-COLUMNA MADERA.</t>
  </si>
  <si>
    <t>Precio por ML. Mano de obra: Auxiliar De Obra 2 (0.35 hh). Equipo: Andamio Tubular Normalizado, Tipo Multidireccional, De Acero Galvanizado En Caliente, Según Iso 9001. (0.06 dd), Herrramienta Y Equipo Menor (2 %).</t>
  </si>
  <si>
    <t>1.01.53</t>
  </si>
  <si>
    <t>DESMONTE CUBIERTA TEJA DE BARRO.</t>
  </si>
  <si>
    <t>Precio por M2. Mano de obra: Auxiliar De Obra 2 (1 hh), Oficial Obra 1 (1 hh). Equipo: Andamio Tubular Normalizado, Tipo Multidireccional, De Acero Galvanizado En Caliente, Según Iso 9001. (0.1 dd), Herrramienta Y Equipo Menor (5 %).</t>
  </si>
  <si>
    <t>1.01.54</t>
  </si>
  <si>
    <t>DESMONTE CUBIERTAS TEJA DE ASBESTO Y/ O ASBESTO CEMENTO.</t>
  </si>
  <si>
    <t>Precio por M2. Mano de obra: Auxiliar De Obra 2 (0.3 hh), Oficial Obra 1 (0.3 hh). Equipo: Andamio Tubular Normalizado, Tipo Multidireccional, De Acero Galvanizado En Caliente, Según Iso 9001. (0.08 dd), Herrramienta Y Equipo Menor (2 %).</t>
  </si>
  <si>
    <t>1.01.55</t>
  </si>
  <si>
    <t>DESMONTE DE CUBIERTA LAMINA</t>
  </si>
  <si>
    <t>Precio por M2. Mano de obra: Auxiliar De Obra 2 (0.3 hh), Oficial Obra 1 (0.15 hh). Equipo: Andamio Tubular Normalizado, Tipo Multidireccional, De Acero Galvanizado En Caliente, Según Iso 9001. (0.08 dd), Herrramienta Y Equipo Menor (2 %).</t>
  </si>
  <si>
    <t>1.01.56</t>
  </si>
  <si>
    <t>DESMONTE DE CUBIERTA ZINC + ENTRAMADO.</t>
  </si>
  <si>
    <t>Precio por M2. Mano de obra: Auxiliar De Carpinterias 1 (0.5 hh), Oficial Carpinterias (0.3 hh). Equipo: Andamio Tubular Normalizado, Tipo Multidireccional, De Acero Galvanizado En Caliente, Según Iso 9001. (0.1 dd), Herrramienta Y Equipo Menor (2 %).</t>
  </si>
  <si>
    <t>1.01.57</t>
  </si>
  <si>
    <t>DESMONTE DIVISIÓN - PISO A TECHO.</t>
  </si>
  <si>
    <t>Precio por M2. Mano de obra: Auxiliar De Obra 2 (0.48 hh). Equipo: Herrramienta Y Equipo Menor (6 %).</t>
  </si>
  <si>
    <t>1.01.58</t>
  </si>
  <si>
    <t>DESMONTE ESTRUCTURA MADERA CIELO FALSO</t>
  </si>
  <si>
    <t>Precio por M2. Mano de obra: Auxiliar De Obra 2 (0.2 hh), Oficial Obra 1 (0.1 hh). Equipo: Andamio Tubular Normalizado, Tipo Multidireccional, De Acero Galvanizado En Caliente, Según Iso 9001. (0.1 dd), Herrramienta Y Equipo Menor (2 %).</t>
  </si>
  <si>
    <t>1.01.59</t>
  </si>
  <si>
    <t>DESMONTE ESTRUCTURA MADERA TEJA EN ASBESTO CEMENTO</t>
  </si>
  <si>
    <t>Precio por M2. Mano de obra: Auxiliar De Obra 2 (0.35 hh), Oficial Obra 1 (0.15 hh). Equipo: Andamio Tubular Normalizado, Tipo Multidireccional, De Acero Galvanizado En Caliente, Según Iso 9001. (0.1 dd), Herrramienta Y Equipo Menor (2 %).</t>
  </si>
  <si>
    <t>1.01.60</t>
  </si>
  <si>
    <t>DESMONTE ESTRUCTURA MADERA TEJA DE BARRO</t>
  </si>
  <si>
    <t>Precio por M2. Mano de obra: Auxiliar De Obra 2 (0.4 hh), Oficial Obra 1 (0.2 hh). Equipo: Andamio Tubular Normalizado, Tipo Multidireccional, De Acero Galvanizado En Caliente, Según Iso 9001. (0.25 dd), Herrramienta Y Equipo Menor (2 %).</t>
  </si>
  <si>
    <t>1.01.61</t>
  </si>
  <si>
    <t>DESMONTE ESTRUCTURA METÁLICA PERFILES-VIGAS.</t>
  </si>
  <si>
    <t>kg</t>
  </si>
  <si>
    <t>Kilogramo</t>
  </si>
  <si>
    <t>Precio por kg. Mano de obra: Auxiliar De Obra 2 (0.1 hh), Auxiliar De Carpinterias 1 (0 hh), Oficial Carpinterias (0 hh). Equipo: Oxicorte (0.01 dd), Andamio Tubular Normalizado, Tipo Multidireccional, De Acero Galvanizado En Caliente, Según Iso 9001. (0.08 dd), Herrramienta Y Equipo Menor (2 %).</t>
  </si>
  <si>
    <t>1.01.62</t>
  </si>
  <si>
    <t>DESMONTE MALLA ESLABONADA H=2.0 M.</t>
  </si>
  <si>
    <t>Precio por ML. Mano de obra: Auxiliar De Obra 2 (0.4 hh). Equipo: Herrramienta Y Equipo Menor (2 %).</t>
  </si>
  <si>
    <t>1.01.63</t>
  </si>
  <si>
    <t>DESMONTE MARCOS, PUERTAS Y VENTANAS</t>
  </si>
  <si>
    <t>1.01.64</t>
  </si>
  <si>
    <t>DESMONTE REJA METÁLICA.</t>
  </si>
  <si>
    <t>Precio por M2. Mano de obra: Auxiliar De Obra 2 (1.15 hh). Equipo: Herrramienta Y Equipo Menor (5 %).</t>
  </si>
  <si>
    <t>1.01.65</t>
  </si>
  <si>
    <t>DESMONTE VIDRIO</t>
  </si>
  <si>
    <t>Precio por M2. Mano de obra: Auxiliar De Obra 2 (0.25 hh). Equipo: Herrramienta Y Equipo Menor (2 %).</t>
  </si>
  <si>
    <t>1.01.66</t>
  </si>
  <si>
    <t>INSTALACIÓN PROVISIONAL ACUEDUCTO</t>
  </si>
  <si>
    <t>mes</t>
  </si>
  <si>
    <t>Mes</t>
  </si>
  <si>
    <t>Precio por mes. Materiales: Servicio De Agua (1 mes).</t>
  </si>
  <si>
    <t>Instalaciones hidráulicas</t>
  </si>
  <si>
    <t>AM01 · ON01 · ES13 · NP04</t>
  </si>
  <si>
    <t>ES13 Hidrosanitarias</t>
  </si>
  <si>
    <t>NP04 Solo instalación</t>
  </si>
  <si>
    <t>1.01.67</t>
  </si>
  <si>
    <t>INSTALACIÓN PROVISIONAL ENERGIA</t>
  </si>
  <si>
    <t>Precio por mes. Materiales: Servicio De Energia (1 mes).</t>
  </si>
  <si>
    <t>Instalaciones eléctricas</t>
  </si>
  <si>
    <t>AM01 · ON01 · ES14 · NP04</t>
  </si>
  <si>
    <t>ES14 Eléctricas y comunicaciones</t>
  </si>
  <si>
    <t>1.01.68</t>
  </si>
  <si>
    <t>LOCALIZACIÓN Y REPLANTEO OBRA ARQUITECTÓNICA</t>
  </si>
  <si>
    <t>Precio por M2. Materiales: Madera Durmiente Ord 4*4 (0.26 ML), Puntilla Con Y Sin Cabeza 1 (0.02 lb). Mano de obra: Auxiliar De Obra 2 (0.14 hh), Comision Topografica (0.02 hh), Oficial Obra 1 (0.14 hh). Equipo: Herrramienta Y Equipo Menor (1.6 %).</t>
  </si>
  <si>
    <t>1.01.69</t>
  </si>
  <si>
    <t>LOCALIZACIÓN Y REPLANTEO REDES HASTA H=50 cm.</t>
  </si>
  <si>
    <t>Precio por M2. Materiales: Madera Durmiente Ord 4*4 (0.03 ML), Puntilla Con Y Sin Cabeza 1 (0.01 lb). Mano de obra: Auxiliar De Obra 1 (0.03 jr), Comision Topografica (0.02 hh), Oficial Obra 1 (0.02 hh). Equipo: Herrramienta Y Equipo Menor (3.7 %).</t>
  </si>
  <si>
    <t>1.01.70</t>
  </si>
  <si>
    <t>RED ELÉCTRICA PROVISIONAL L/50 M</t>
  </si>
  <si>
    <t>Precio por UND. Materiales: Taco Termomagnético Unipolar Hqp 30 A (4 UND), Toma Trifásica (5 UND), Vara De Clavo (35 ML), Cable Aluminio Aislado Pvc 1/0 Awg (130 ML) y 3 más. Mano de obra: Mano De Obra Bb (20 hc). Equipo: Herrramienta Y Equipo Menor (35 %).</t>
  </si>
  <si>
    <t>AM01 · ON01 · ES14 · NP01</t>
  </si>
  <si>
    <t>1.01.71</t>
  </si>
  <si>
    <t>REGATAS SOBRE MUROS EN CONCRETO, LADRILLO Y BLOQUE</t>
  </si>
  <si>
    <t>Precio por ML. Mano de obra: Auxiliar De Obra 2 (0.17 hh). Equipo: Herrramienta Y Equipo Menor (4 %).</t>
  </si>
  <si>
    <t>1.01.72</t>
  </si>
  <si>
    <t>RETIRO TUBERÍA AGUA (GALVANIZADA- PVC-AC) HASTA 1"</t>
  </si>
  <si>
    <t>Precio por ML. Mano de obra: Auxiliar De Instalaciones 1 (0.08 hh), Oficial Instalaciones (0.08 hh). Equipo: Herrramienta Y Equipo Menor (5 %).</t>
  </si>
  <si>
    <t>1.01.73</t>
  </si>
  <si>
    <t>RETIRO TUBERIA EXISTENTE 0" A 12"</t>
  </si>
  <si>
    <t>Precio por ML. Mano de obra: Auxiliar De Obra 2 (0.5 hh). Equipo: Herrramienta Y Equipo Menor (3 %).</t>
  </si>
  <si>
    <t>1.01.74</t>
  </si>
  <si>
    <t>RETIRO TUBERIA EXISTENTE 12" A 24"</t>
  </si>
  <si>
    <t>Precio por ML. Mano de obra: Auxiliar De Obra 2 (1.5 hh). Equipo: Retroexcavadora Jd-510 O Similar (0.03 hr), Herrramienta Y Equipo Menor (5 %).</t>
  </si>
  <si>
    <t>1.01.75</t>
  </si>
  <si>
    <t>ROTURA PAVIMENTO</t>
  </si>
  <si>
    <t>Precio por M2. Mano de obra: Auxiliar De Obra 2 (0.8 hh). Equipo: Herrramienta Y Equipo Menor (8 %).</t>
  </si>
  <si>
    <t>1.01.76</t>
  </si>
  <si>
    <t>ALQUILER DE CAMIONETA D300 O SIMILAR(ACARREOS, TRANSPORTES)</t>
  </si>
  <si>
    <t>hr</t>
  </si>
  <si>
    <t>Hora</t>
  </si>
  <si>
    <t>Precio por hr. Mano de obra: Auxiliar De Obra 2 (1 hh). Equipo: Camioneta D300 (1 hr).</t>
  </si>
  <si>
    <t>AM01 · ON01 · ES17 · NP07</t>
  </si>
  <si>
    <t>NP07 Alquiler</t>
  </si>
  <si>
    <t>1.01.77</t>
  </si>
  <si>
    <t>ALQUILER DE CAMION 350 O SIMILAR(ACARREOS, TRANSPORTES)</t>
  </si>
  <si>
    <t>Precio por hr. Mano de obra: Auxiliar De Obra 2 (1 hh). Equipo: Camion 350 (1 hr).</t>
  </si>
  <si>
    <t>1.02.01</t>
  </si>
  <si>
    <t>CIMENTACIÓN Y DESAGUES</t>
  </si>
  <si>
    <t>BASE EN CONCRETO POBRE E=0.05 mts. 14 Mpa - (2000 PSI)</t>
  </si>
  <si>
    <t>Precio por M2. Materiales: Concreto 1:3:5 14 Mpa (0.05 M3). Mano de obra: Auxiliar De Obra 2 (0.35 hh), Oficial Obra 1 (0.35 hh). Equipo: Herrramienta Y Equipo Menor (0.01 %).</t>
  </si>
  <si>
    <t>3. Cimentación</t>
  </si>
  <si>
    <t>Concreto y estructura</t>
  </si>
  <si>
    <t>AM01 · ON03 · ES04 · NP01</t>
  </si>
  <si>
    <t>ON03 Cimentación</t>
  </si>
  <si>
    <t>ES04 Concreto</t>
  </si>
  <si>
    <t>1.02.02</t>
  </si>
  <si>
    <t>CAJAS DE INSPECCION DE 1.00 X 1.00 X 1.00 MTS LADRILLO</t>
  </si>
  <si>
    <t>Precio por UND. Materiales: Mortero 1:3 Impermeabilizado (0.18 M3), Acero 60000 Psi (6.83 kg), Ladrillo Tolete Comun (244 UND), Marco Y Tapa 100 X 100 (1 UND) y 2 más. Mano de obra: Auxiliar De Obra 2 (3.5 hh), Oficial Obra 1 (3.5 hh). Equipo: Herrramienta Y Equipo Menor (1 %).</t>
  </si>
  <si>
    <t>6. Instalaciones</t>
  </si>
  <si>
    <t>Tubería y redes sanitarias</t>
  </si>
  <si>
    <t>AM01 · OG06 · ES13 · NP01</t>
  </si>
  <si>
    <t>OG06 Instalaciones</t>
  </si>
  <si>
    <t>1.02.03</t>
  </si>
  <si>
    <t>CAJAS DE INSPECCION DE 1.20 X 1.20 X 1.20 MTS LADRILLO</t>
  </si>
  <si>
    <t>Precio por UND. Materiales: Mortero 1:3 Impermeabilizado (0.14 M3), Acero 60000 Psi (8.2 kg), Ladrillo Tolete Comun (292.8 UND), Marco Y Tapa 120 X 120 (1 UND) y 2 más. Mano de obra: Auxiliar De Obra 2 (4 hh), Oficial Obra 1 (4 hh). Equipo: Herrramienta Y Equipo Menor (1 %).</t>
  </si>
  <si>
    <t>1.02.04</t>
  </si>
  <si>
    <t>CAJAS DE INSPECCION DE 60x60x60 cm LADRILLO</t>
  </si>
  <si>
    <t>Precio por UND. Materiales: Mortero 1:3 Impermeabilizado (0.05 M3), Acero 60000 Psi (0.9 kg), Ladrillo Tolete Comun (93 UND), Marco Y Tapa 60 X 60 (1 UND) y 2 más. Mano de obra: Auxiliar De Obra 2 (5.1 hh), Oficial Obra 1 (3.5 hh). Equipo: Herrramienta Y Equipo Menor (1 %).</t>
  </si>
  <si>
    <t>1.02.05</t>
  </si>
  <si>
    <t>CAJAS DE INSPECCION DE 80 X 80 X 80 cm LADRILLO</t>
  </si>
  <si>
    <t>Precio por UND. Materiales: Mortero 1:3 Impermeabilizado (0.1 M3), Acero 60000 Psi (4.57 kg), Ladrillo Tolete Comun (188.6 UND), Marco Y Tapa 80 X 80 (1 UND) y 2 más. Mano de obra: Auxiliar De Obra 2 (5.4 hh), Oficial Obra 1 (3.5 hh). Equipo: Herrramienta Y Equipo Menor (1 %).</t>
  </si>
  <si>
    <t>1.02.06</t>
  </si>
  <si>
    <t>CONCRETO CICLOPEO 10,5MPa (1500 PSI) RELACIÓN 60C/40P</t>
  </si>
  <si>
    <t>Precio por M3. Materiales: Concreto 1:4:7 - 10.1 Mpa -  - (0.6 M3), Piedra Media Zonga (0.4 M3). Mano de obra: Auxiliar De Obra 2 (6 hh), Oficial Obra 1 (2 hh). Equipo: Herrramienta Y Equipo Menor (3 %). Transporte: Transporte De Material (1 M3-km).</t>
  </si>
  <si>
    <t>1.02.07</t>
  </si>
  <si>
    <t>CONCRETO CICLOPEO 14MPa (2000 PSI) RELACIÓN 60C/40P</t>
  </si>
  <si>
    <t>Precio por M3. Materiales: Concreto 1:3:5 14 Mpa (0.6 M3), Piedra Media Zonga (0.4 M3). Mano de obra: Auxiliar De Obra 2 (7.8 hh), Oficial Obra 1 (2.6 hh). Equipo: Herrramienta Y Equipo Menor (1 %). Transporte: Transporte De Material (1 M3-km).</t>
  </si>
  <si>
    <t>1.02.08</t>
  </si>
  <si>
    <t>CONCRETO CICLOPEO 17.5MPa (2500 PSI) RELACIÓN 60C/40P</t>
  </si>
  <si>
    <t>Precio por M3. Materiales: Concreto 1:2:4 17.5 Mpa (0.6 M3), Piedra Media Zonga (0.4 M3). Mano de obra: Auxiliar De Obra 2 (7.8 hh), Oficial Obra 1 (2.6 hh). Equipo: Herrramienta Y Equipo Menor (3 %). Transporte: Transporte De Material (1 M3-km).</t>
  </si>
  <si>
    <t>1.02.09</t>
  </si>
  <si>
    <t>CONCRETO CICLOPEO 21MPa (3000 PSI) RELACIÓN 60C/40P</t>
  </si>
  <si>
    <t>Precio por M3. Materiales: Concreto Clase D 21 Mpa (0.6 M3), Piedra Media Zonga (0.4 M3). Mano de obra: Auxiliar De Obra 2 (7.8 hh), Oficial Obra 1 (2.6 hh). Equipo: Herrramienta Y Equipo Menor (3 %). Transporte: Transporte De Material (1 M3-km).</t>
  </si>
  <si>
    <t>1.02.10</t>
  </si>
  <si>
    <t>CONCRETO DE ZAPATAS 21 MPa - (3000 PSI)</t>
  </si>
  <si>
    <t>Precio por M3. Materiales: Concreto Clase D 21 Mpa (1.05 M3). Mano de obra: Vibrador De Concreto (0.03 dd), Auxiliar De Obra 2 (7.7 hh), Oficial Obra 1 (7.7 hh). Equipo: Herrramienta Y Equipo Menor (5 %).</t>
  </si>
  <si>
    <t>1.02.11</t>
  </si>
  <si>
    <t>CONCRETO DE ZAPATAS 21MPa + FORMALETA</t>
  </si>
  <si>
    <t>Precio por M3. Materiales: Tabla 1x05x300 Otobo (3.05 UND), Concreto Clase D 21 Mpa (1.05 M3), Cuarton 2" X 4" X 300 (1.03 ML), Puntilla Con Y Sin Cabeza 2 (0.1 lb). Mano de obra: Auxiliar De Obra 2 (7.77 hh), Oficial Obra 1 (7.77 hh). Equipo: Vibrador De Concreto (0.03 dd), Herrramienta Y Equipo Menor (0.05 %).</t>
  </si>
  <si>
    <t>1.02.12</t>
  </si>
  <si>
    <t>CONCRETO VIGA DE AMARRE 21,1 MPa TE INVERTIDA</t>
  </si>
  <si>
    <t>Precio por M3. Materiales: Tabla 1x05x300 Otobo (3.5 UND), Vareta 1``x1``x 3m (1.03 UND), Concreto Clase D 21 Mpa (1.05 M3), Puntilla Con Y Sin Cabeza 2 (1.5 lb). Mano de obra: Auxiliar De Obra 2 (6.5 hh), Oficial Obra 1 (6.5 hh). Equipo: Vibrador De Concreto (0.03 dd), Herrramienta Y Equipo Menor (5 %). Transporte: Transporte De Material (1 M3-km).</t>
  </si>
  <si>
    <t>1.02.13</t>
  </si>
  <si>
    <t>CONCRETO VIGA DE AMARRE 21,1 MPa, SECCION RECTANGULAR</t>
  </si>
  <si>
    <t>Precio por M3. Materiales: Tabla 1x05x300 Otobo (3.5 UND), Vareta 1``x1``x 3m (1.3 UND), Concreto Clase D 21 Mpa (1.05 M3), Puntilla Con Y Sin Cabeza 2 (1 lb). Mano de obra: Auxiliar De Obra 2 (5.9 hh), Oficial Obra 1 (5.9 hh). Equipo: Vibrador De Concreto (0.03 dd), Herrramienta Y Equipo Menor (5 %). Transporte: Transporte De Material (1 M3-km).</t>
  </si>
  <si>
    <t>1.02.14</t>
  </si>
  <si>
    <t>CONSTRUCCION DE MUROS EN GAVIONES, INCLUYE MALLA ESLABONADA TRIPLE TORSION CAL. 12</t>
  </si>
  <si>
    <t>Precio por M3. Materiales: Tabla Burra 3 M (5 ML), Cuarton 2`` X 4`` X 300 Otobo (0.4 UND), Malla Galvanizada Tipo A Cal. 12 2x0,5x1 (0.5 UND), Piedra Media Zonga (1.2 M3) y 2 más. Mano de obra: Auxiliar De Obra 2 (4.25 hh), Oficial Obra 1 (0.85 hh). Equipo: Herrramienta Y Equipo Menor (3 %).</t>
  </si>
  <si>
    <t>AM01 · ON03 · ES01 · NP01</t>
  </si>
  <si>
    <t>1.02.15</t>
  </si>
  <si>
    <t>EXCAVACION DE CORTES Y CANALES SIN CLASIFICAR INCLUYE ACARREO LIBRE DE 5 KM</t>
  </si>
  <si>
    <t>Precio por M3. Mano de obra: Auxiliar De Obra 1 (0.01 jr), Paleteros (0.01 jr). Equipo: Bulldozer Tipo D-6 O Similar (0.01 hr), Retroexcavadora 320 O Similar (0.08 hr), Herrramienta Y Equipo Menor (5 %). Transporte: Transporte De Material (1 M3).</t>
  </si>
  <si>
    <t>2. Excavaciones</t>
  </si>
  <si>
    <t>AM01 · ON02 · ES17 · NP01</t>
  </si>
  <si>
    <t>ON02 Excavaciones</t>
  </si>
  <si>
    <t>1.02.16</t>
  </si>
  <si>
    <t>EXCAVACION DE CORTES, CANALES Y PRESTAMOS EN MATERIAL COMUN A MAQUINA INCLUYE CARGUE Y ACARREO LIBRE DE 5 KM</t>
  </si>
  <si>
    <t>Precio por M3. Equipo: Bulldozer Tipo D-6 O Similar (0.01 hr), Retroexcavadora 320 O Similar (0.01 hr). Transporte: Transporte M3/Km (6.25 M3-km).</t>
  </si>
  <si>
    <t>1.02.17</t>
  </si>
  <si>
    <t>EXCAVACION MANUAL EN MATERIAL COMUN (INCLUYE RETIRO)</t>
  </si>
  <si>
    <t>Precio por M3. Mano de obra: Auxiliar De Obra 1 (0.4 jr), Oficial Obra 2 (0.2 jr). Equipo: Herrramienta Y Equipo Menor (3.3 %). Transporte: Viaje Volqueta M3 (0.17 M3).</t>
  </si>
  <si>
    <t>AM01 · ON02 · ES02 · NP05</t>
  </si>
  <si>
    <t>1.02.18</t>
  </si>
  <si>
    <t>EXCAVACION MECANICA EN ROCA DE LA EXPLANEACION, CANALES Y PRESTAMOS SIN EXPLOSIVOS, (INCLUYE RETIRO)</t>
  </si>
  <si>
    <t>Precio por M3. Mano de obra: Auxiliar De Obra 1 (0.03 jr), Paleteros (0.01 jr). Equipo: Retroexcavadora E200 O Similar Con Martillo Neumatico (0.25 hr), Retroexcavadora 320 O Similar (0.25 hr), Herrramienta Y Equipo Menor (1 %). Transporte: Viaje Volqueta M3 (0.17 M3).</t>
  </si>
  <si>
    <t>1.02.19</t>
  </si>
  <si>
    <t>LOSA FLOTANTE CASETON-VIGAS H = 40 CM - 45 CM</t>
  </si>
  <si>
    <t>Precio por M2. Materiales: Concreto Clase D 21 Mpa (0.05 M3), Tabla Burra Ordinario 0.30 (0.06 ML), Esterilla De Guadua (1.1 M2), Puntilla Con Y Sin Cabeza 1 (0.02 lb) y 1 más. Mano de obra: Auxiliar De Obra 2 (3.88 hh), Oficial Obra 1 (3.88 hh), Transporte De Material (0.55 M3-km). Equipo: Vibrador De Concreto (0.02 dd), Herrramienta Y Equipo Menor (1 %).</t>
  </si>
  <si>
    <t>1.02.20</t>
  </si>
  <si>
    <t>LOSA MACIZA CIMIENTO CONCRETO 21 MPa - 3000 PSI H=10 CM</t>
  </si>
  <si>
    <t>Precio por M2. Materiales: Concreto Clase D 21 Mpa (0.1 M3), Tabla Chapa (0.4 ML), Cuarton 2" X 4" X 300 (2 ML), Puntilla Con Y Sin Cabeza 2 (0.15 lb). Mano de obra: Auxiliar De Obra 2 (1.5 hh), Oficial Obra 1 (0.5 hh). Equipo: Vibrador De Concreto (0.02 dd), Herrramienta Y Equipo Menor (1 %). Transporte: Transporte De Material (1 M3-km).</t>
  </si>
  <si>
    <t>1.02.21</t>
  </si>
  <si>
    <t>LOSA MACIZA CIMIENTO CONCRETO 21 MPa - 3000 PSI H=15 CM</t>
  </si>
  <si>
    <t>Precio por M2. Materiales: Concreto Clase D 21 Mpa (0.15 M3), Tabla Chapa (0.4 ML), Cuarton 2" X 4" X 300 (1 ML), Puntilla Con Y Sin Cabeza 2 (0.17 lb). Mano de obra: Auxiliar De Obra 2 (1.65 hh), Oficial Obra 1 (0.55 hh). Equipo: Vibrador De Concreto (0.02 dd), Herrramienta Y Equipo Menor (5 %). Transporte: Transporte De Material (1 M3-km).</t>
  </si>
  <si>
    <t>1.02.22</t>
  </si>
  <si>
    <t>LOSA MACIZA CIMIENTO CONCRETO 21 MPa - 3000 PSI H=20 CM</t>
  </si>
  <si>
    <t>Precio por M2. Materiales: Concreto Clase D 21 Mpa (0.2 M3), Tabla Chapa (1 ML), Cuarton 2" X 4" X 300 (1 ML), Puntilla Con Y Sin Cabeza 2 (0.17 lb). Mano de obra: Auxiliar De Obra 2 (1.8 hh), Oficial Obra 1 (0.6 hh). Equipo: Vibrador De Concreto (0.02 dd), Herrramienta Y Equipo Menor (5 %). Transporte: Transporte De Material (2.2 M3-km).</t>
  </si>
  <si>
    <t>1.02.23</t>
  </si>
  <si>
    <t>MURO CONTENCION CONCRETO CICLOPEO H&lt;1.5 MTS 40%</t>
  </si>
  <si>
    <t>Precio por M3. Materiales: Tabla 1x05x300 Otobo (1 UND), Concreto Clase D 21 Mpa (0.6 M3), Tablero O Plaqueta De 1.4mt X O.7mt (16 dd), Cuarton 2" X 4" X 300 (6 ML) y 2 más. Mano de obra: Auxiliar De Obra 2 (7 hh), Oficial Obra 1 (7 hh). Equipo: Andamio Tubular Normalizado, Tipo Multidireccional, De Acero Galvanizado En Caliente, Según Iso 9001. (2.8 dd), Herrramienta Y Equipo Menor (5 %). Transporte: Transporte De Material (1 M3-km).</t>
  </si>
  <si>
    <t>1.02.24</t>
  </si>
  <si>
    <t>MURO DE CONTENCIÓN EN CONCRETO DE 21 MPa - 3000 PSI 1.01MTS H 2.00MTS</t>
  </si>
  <si>
    <t>Precio por M3. Materiales: Tabla 1x05x300 Otobo (0.2 UND), Concreto Clase D 21 Mpa (1.05 M3), Tablero O Plaqueta De 1.4mt X O.7mt (7.33 dd), Cuarton 2" X 4" X 300 (0.1 ML) y 2 más. Mano de obra: Auxiliar De Obra 2 (18 hh), Oficial Obra 1 (6 hh). Equipo: Vibrador De Concreto (0.03 dd), Herrramienta Y Equipo Menor (5 %). Transporte: Transporte De Material (11 M3-km).</t>
  </si>
  <si>
    <t>1.02.25</t>
  </si>
  <si>
    <t>MURO DE CONTENCIÓN EN CONCRETO DE 21 MPa - 3000 PSI 2.01MTS H 3,5 MTS</t>
  </si>
  <si>
    <t>Precio por M3. Materiales: Tabla 1x05x300 Otobo (0.2 UND), Concreto Clase D 21 Mpa (1.05 M3), Tablero O Plaqueta De 1.4mt X O.7mt (8 dd), Cuarton 2" X 4" X 300 (0.3 ML) y 2 más. Mano de obra: Auxiliar De Obra 2 (18 hh), Oficial Obra 1 (6 hh). Equipo: Vibrador De Concreto (0.04 dd), Andamio Tubular Normalizado, Tipo Multidireccional, De Acero Galvanizado En Caliente, Según Iso 9001. (1.8 dd), Herrramienta Y Equipo Menor (0.01 %). Transporte: Transporte De Material (11 M3-km).</t>
  </si>
  <si>
    <t>1.02.26</t>
  </si>
  <si>
    <t>PEDESTAL CONCRETO 21,1 Mpa (3000 PSI)</t>
  </si>
  <si>
    <t>Precio por M3. Materiales: Tabla 1x05x300 Otobo (2.67 UND), Concreto Clase D 21 Mpa (1.05 M3), Cuarton 2" X 4" X 300 (4 ML), Puntilla Con Y Sin Cabeza 2 (2 lb). Mano de obra: Auxiliar De Obra 2 (3 hh), Oficial Obra 1 (3 hh). Equipo: Herrramienta Y Equipo Menor (0.05 %). Transporte: Vibrador De Concreto (0.05 dd), Transporte De Material (11 M3-km).</t>
  </si>
  <si>
    <t>1.02.27</t>
  </si>
  <si>
    <t>RELLENO CON MATERIAL DEL SITIO COMPACTADO CILINDRO</t>
  </si>
  <si>
    <t>Precio por M3. Materiales: Agua (10 lt). Mano de obra: Auxiliar De Obra 2 (1.1 hh). Equipo: Vibrocompactador Rana (0.13 dd), Herrramienta Y Equipo Menor (5 %).</t>
  </si>
  <si>
    <t>AM01 · ON02 · ES03 · NP01</t>
  </si>
  <si>
    <t>1.02.28</t>
  </si>
  <si>
    <t>SOLADO CONCRETO ESPESOR E=0.05MTS 14MPa (2000PSI)</t>
  </si>
  <si>
    <t>Precio por M2. Materiales: Concreto Clase F 14 Mpa (0.05 M3). Mano de obra: Auxiliar De Obra 2 (0.3 hh), Oficial Obra 1 (0.3 hh). Equipo: Herrramienta Y Equipo Menor (0.2 %).</t>
  </si>
  <si>
    <t>1.02.29</t>
  </si>
  <si>
    <t>SOLADO CONCRETO ESPESOR E=0.07MTS 14MPa (2000PSI)</t>
  </si>
  <si>
    <t>Precio por M2. Materiales: Concreto Clase F 14 Mpa (0.07 M3). Mano de obra: Auxiliar De Obra 2 (0.3 hh), Oficial Obra 1 (0.3 hh). Equipo: Herrramienta Y Equipo Menor (0.2 %).</t>
  </si>
  <si>
    <t>1.02.30</t>
  </si>
  <si>
    <t>SUMINISTRO E INSTALACIÓN MALLA ELECTROSOLDADA U-84</t>
  </si>
  <si>
    <t>Precio por kg. Materiales: Malla Electrosoldada H 1.31/U131 (1.05 kg). Mano de obra: Auxiliar De Obra 2 (0.03 hh), Oficial Obra 1 (0.06 hh). Equipo: Herrramienta Y Equipo Menor (77 %).</t>
  </si>
  <si>
    <t>Acero de refuerzo</t>
  </si>
  <si>
    <t>AM01 · ON03 · ES05 · NP02</t>
  </si>
  <si>
    <t>ES05 Acero de refuerzo</t>
  </si>
  <si>
    <t>NP02 Suministro e instalación</t>
  </si>
  <si>
    <t>1.02.31</t>
  </si>
  <si>
    <t>SUMINISTRO E INSTALACIÓN TUBERÍA DE ALCANTARILLADO PVC D= 6"</t>
  </si>
  <si>
    <t>Precio por ML. Materiales: Tubería Novafort 6" (1.05 ML), Union Novafort 6" (0.17 UND), Limpiador Y Soldadura (1.5 glb). Mano de obra: Auxiliar De Obra 1 (0.05 jr), Comision Topografica (0.01 hh), Oficial Obra 2 (0.05 jr). Equipo: Herrramienta Y Equipo Menor (5 %).</t>
  </si>
  <si>
    <t>AM01 · OG06 · ES13 · NP02</t>
  </si>
  <si>
    <t>1.02.32</t>
  </si>
  <si>
    <t>SUMINISTRO E INSTALACIÓN TUBERÍA DE ALCANTARILLADO PVC D=4"</t>
  </si>
  <si>
    <t>Precio por ML. Materiales: Tubería Novafort 4" (1.03 ML), Union Novafort 4" (0.17 undi), Limpiador Y Soldadura (1.1 glb). Mano de obra: Auxiliar De Obra 1 (0.04 jr), Comision Topografica (0.01 hh), Oficial Obra 2 (0.04 jr). Equipo: Herrramienta Y Equipo Menor (3.4 %).</t>
  </si>
  <si>
    <t>1.02.33</t>
  </si>
  <si>
    <t>SUMINISTRO E INSTALACIÓN TUBERIA PVC D=4" DRENAJE SIN FILTRO</t>
  </si>
  <si>
    <t>Precio por ML. Materiales: Tubería Drenaje 100 Pvc Corr (1 ML). Mano de obra: Auxiliar De Instalaciones 1 (0.2 hh), Oficial Instalaciones (0.2 hh). Equipo: Herrramienta Y Equipo Menor (3 %).</t>
  </si>
  <si>
    <t>1.02.34</t>
  </si>
  <si>
    <t>SUMINISTRO E INSTALACIÓN TUBERIA PVC D=6" DRENAJE SIN FILTRO</t>
  </si>
  <si>
    <t>Precio por ML. Materiales: Tubería Drenaje 160 Pvc Corr (1 ML). Mano de obra: Auxiliar De Instalaciones 1 (0.2 hh), Oficial Instalaciones (0.2 hh). Equipo: Herrramienta Y Equipo Menor (3 %).</t>
  </si>
  <si>
    <t>1.02.35</t>
  </si>
  <si>
    <t>SUMINISTRO E INSTALACIÓN TUBERIA PVC D=8" DRENAJE CON FILTRO</t>
  </si>
  <si>
    <t>Precio por ML. Materiales: Tubería Drenaje 200 Pvc Corr (1 ML), Gravilla ¾, ½ (0.04 M3). Mano de obra: Auxiliar De Instalaciones 1 (0.4 hh), Oficial Instalaciones (0.4 hh). Equipo: Herrramienta Y Equipo Menor (3 %).</t>
  </si>
  <si>
    <t>1.02.36</t>
  </si>
  <si>
    <t>SUMINISTRO E INSTALACIÓN TUBERIA PVC D=8" DRENAJE SIN FILTRO</t>
  </si>
  <si>
    <t>Precio por ML. Materiales: Tubería Drenaje 200 Pvc Corr (1 ML). Mano de obra: Auxiliar De Instalaciones 1 (0.4 hh), Oficial Instalaciones (0.4 hh). Equipo: Herrramienta Y Equipo Menor (3 %).</t>
  </si>
  <si>
    <t>1.02.37</t>
  </si>
  <si>
    <t>SUMINISTRO E INSTALACION TUBERIA PVC SANITARIA D= 2"</t>
  </si>
  <si>
    <t>Precio por ML. Materiales: Tubería Sanitaria 2`` Pvc (1.05 ML), Limpiador Pvc 760 Grms (0 UND), Soldadura Liquida Pvc 1/4`` (0 gl). Mano de obra: Auxiliar De Instalaciones 1 (0.2 hh), Oficial Instalaciones (0.2 hh). Equipo: Herrramienta Y Equipo Menor (11 %).</t>
  </si>
  <si>
    <t>1.02.38</t>
  </si>
  <si>
    <t>SUMINISTRO E INSTALACION TUBERIA PVC SANITARIA D= 3"</t>
  </si>
  <si>
    <t>Precio por ML. Materiales: Tubería Pvc 3`` Sanit (1 ML), Limpiador Pvc 760 Grms (0 UND), Soldadura Liquida Pvc 1/4`` (0 gl). Mano de obra: Auxiliar De Instalaciones 1 (0.2 hh), Oficial Instalaciones (0.2 hh). Equipo: Herrramienta Y Equipo Menor (11 %).</t>
  </si>
  <si>
    <t>1.02.39</t>
  </si>
  <si>
    <t>SUMINISTRO E INSTALACIÓN TUBERÍA SANITARIA DE DESAGUE PVC D=2"</t>
  </si>
  <si>
    <t>Precio por ML. Materiales: Tubería Sanitaria 2`` Pvc (1 ML), Unión Pvc Sanitaria D = 2`` (1 UND), Limpiador Y Soldadura (1.1 glb). Mano de obra: Auxiliar De Obra 1 (0.04 jr), Comision Topografica (0.01 hh), Oficial Obra 2 (0.04 jr). Equipo: Herrramienta Y Equipo Menor (3.4 %).</t>
  </si>
  <si>
    <t>1.02.40</t>
  </si>
  <si>
    <t>SUMINISTRO E INSTALACIÓN TUBERÍA SANITARIA DE DESAGUE PVC D=4"</t>
  </si>
  <si>
    <t>Precio por ML. Materiales: Tubería Pvc 4`` Sanit (1.05 ML), Union Pvc Sanitaria D=4`` (1 UND), Limpiador Y Soldadura (1.1 glb). Mano de obra: Auxiliar De Obra 1 (0.04 jr), Comision Topografica (0.01 hh), Oficial Obra 2 (0.04 jr). Equipo: Herrramienta Y Equipo Menor (3.4 %).</t>
  </si>
  <si>
    <t>1.02.41</t>
  </si>
  <si>
    <t>SUMINISTRO FIGURADA Y AMARRE DE ACERO 37000 PSI 240 MPa</t>
  </si>
  <si>
    <t>Precio por kg. Materiales: Alambre Negro No. 18 (0.03 kg), Acero 37000 Psi (1.05 kg), Segueta (0.03 UND). Mano de obra: Auxiliar De Obra 2 (0.05 hh), Oficial Obra 1 (0.02 hh). Equipo: Herrramienta Y Equipo Menor (5 %).</t>
  </si>
  <si>
    <t>AM01 · ON03 · ES05 · NP03</t>
  </si>
  <si>
    <t>NP03 Solo suministro</t>
  </si>
  <si>
    <t>1.02.42</t>
  </si>
  <si>
    <t>SUMINISTRO FIGURADA Y AMARRE DE ACERO 60000 PSI 420 MPa</t>
  </si>
  <si>
    <t>Precio por kg. Materiales: Alambre Negro No. 18 (0.03 kg), Acero 60000 Psi (1.05 kg), Segueta (0.03 UND). Mano de obra: Auxiliar De Obra 2 (0.06 hh), Oficial Obra 1 (0.03 hh). Equipo: Herrramienta Y Equipo Menor (7.2 %).</t>
  </si>
  <si>
    <t>1.03.01</t>
  </si>
  <si>
    <t>ESTRUCTURAS</t>
  </si>
  <si>
    <t>COLUMNAS EN CONCRETO 21 MPa - (3000 PSI), ALTURA MENOR A TRES METROS- FORMALETA MADERA</t>
  </si>
  <si>
    <t>Precio por M3. Materiales: Alambre Negro No. 18 (2 kg), Tabla Burra Cedro Macho 0.28 (2.64 UND), Concreto Clase D 21 Mpa (1.1 M3), Madera Repisa 3 M (7.26 ML) y 2 más. Mano de obra: Auxiliar De Obra 2 (10.29 hh), Oficial Obra 1 (10.29 hh). Equipo: Vibrador De Concreto (0.04 dd), Andamio Tubular Normalizado, Tipo Multidireccional, De Acero Galvanizado En Caliente, Según Iso 9001. (4 dd), Herrramienta Y Equipo Menor (1 %).</t>
  </si>
  <si>
    <t>4. Estructura</t>
  </si>
  <si>
    <t>AM01 · ON04 · ES04 · NP01</t>
  </si>
  <si>
    <t>ON04 Estructura</t>
  </si>
  <si>
    <t>1.03.02</t>
  </si>
  <si>
    <t>COLUMNAS EN CONCRETO 21 MPa (3000 PSI), ALTURA MAYOR A 3 mts- FORMALETA MADERA</t>
  </si>
  <si>
    <t>Precio por M3. Materiales: Alambre Negro No. 18 (2 kg), Tabla Burra Cedro Macho 0.28 (2.64 UND), Concreto Clase D 21 Mpa (1.1 M3), Madera Repisa 3 M (7.26 ML) y 1 más. Mano de obra: Vibrador De Concreto (0.04 dd), Andamio Tubular Normalizado, Tipo Multidireccional, De Acero Galvanizado En Caliente, Según Iso 9001. (4 dd), Auxiliar De Obra 2 (12.75 hh), Oficial Obra 1 (12.75 hh). Equipo: Herrramienta Y Equipo Menor (1 %).</t>
  </si>
  <si>
    <t>1.03.03</t>
  </si>
  <si>
    <t>CONSTRUCCION DE VIGA CANAL EN CONCRETO IMPERMEABILZADO 21 MPa - (3000 PSI)</t>
  </si>
  <si>
    <t>Precio por M3. Materiales: Tabla Burra 3 M (4 ML), Transporte De Material Suelto (1 M3-km), Guadua [taco] 2.50 A 3.00 M (6 UND), Concreto De 21 Mpa -  Impermeabilizado (1.03 M3) y 2 más. Mano de obra: Auxiliar De Obra 2 (30 hh), Oficial Obra 1 (6 hh). Equipo: Vibrador De Concreto (0.14 dd), Andamio Tubular Normalizado, Tipo Multidireccional, De Acero Galvanizado En Caliente, Según Iso 9001. (4 dd), Herrramienta Y Equipo Menor (0.5 %).</t>
  </si>
  <si>
    <t>1.03.04</t>
  </si>
  <si>
    <t>CONSTRUCCION DE VIGA CANAL EN CONCRETO IMPERMEABILZADO 24.5 MPa - (3500 PSI)</t>
  </si>
  <si>
    <t>Precio por M3. Materiales: Tabla Burra 3 M (4 ML), Concreto 1:2:2 24.5 Mpa (1.03 M3), Transporte De Material Suelto (1 M3-km), Guadua [taco] 2.50 A 3.00 M (6 UND) y 3 más. Mano de obra: Auxiliar De Obra 2 (30 hh), Oficial Obra 1 (6 hh). Equipo: Vibrador De Concreto (0.14 dd), Andamio Tubular Normalizado, Tipo Multidireccional, De Acero Galvanizado En Caliente, Según Iso 9001. (4 dd), Herrramienta Y Equipo Menor (0.5 %).</t>
  </si>
  <si>
    <t>1.03.05</t>
  </si>
  <si>
    <t>CONSTRUCCION DE VIGA CANAL EN CONCRETO IMPERMEABILZADO 28 MPa - (4000 PSI)</t>
  </si>
  <si>
    <t>Precio por M3. Materiales: Tabla Burra 3 M (4 ML), Concreto Clase C 28 Mpa (1.03 M3), Guadua [taco] 2.50 A 3.00 M (6 UND), Impermeabilizante (1 gl) y 2 más. Mano de obra: Auxiliar De Obra 2 (30 hh), Oficial Obra 1 (6 hh). Equipo: Vibrador De Concreto (0.14 dd), Andamio Tubular Normalizado, Tipo Multidireccional, De Acero Galvanizado En Caliente, Según Iso 9001. (4 dd), Herrramienta Y Equipo Menor (0.5 %). Transporte: Transporte De Material (1 M3-km).</t>
  </si>
  <si>
    <t>1.03.06</t>
  </si>
  <si>
    <t>ESCALERAS MACIZA 21 MPa - (3000 PSI)</t>
  </si>
  <si>
    <t>Precio por M3. Materiales: Alambre Negro No. 18 (0.12 kg), Concreto Clase D 21 Mpa (1.04 M3), Madera Repisa 3 M (2.74 ML), Madera Tabla Burra (9.12 ML) y 1 más. Mano de obra: Auxiliar De Obra 2 (21.35 hh), Oficial Obra 1 (21.35 hh). Equipo: Formaleta (16 dd), Vibrador De Concreto (0.1 dd), Herrramienta Y Equipo Menor (5 %).</t>
  </si>
  <si>
    <t>1.03.07</t>
  </si>
  <si>
    <t>PLACA CASETON ESTERILLA DE GUADUA ALTURA DE 30 CMS 24.5 MPa - (3500 PSI)</t>
  </si>
  <si>
    <t>Precio por M2. Materiales: Alambre Negro No. 18 (0.14 kg), Acero 60000 Psi (4 kg), Tabla Burra Ordinario 0.30 (0.06 ML), Caseton H: 0.25 (1.8 ML) y 2 más. Mano de obra: Auxiliar De Obra 2 (4 hh), Oficial Obra 1 (2 hh). Equipo: Formaleta Entrepisos (0.88 mes), Vibrador De Concreto (0.05 dd), Herrramienta Y Equipo Menor (5 %).</t>
  </si>
  <si>
    <t>1.03.08</t>
  </si>
  <si>
    <t>PLACA CASETON ESTERILLA DE GUADUA ALTURA DE 30 CMS 21 MPa - (3000 PSI)</t>
  </si>
  <si>
    <t>Precio por M2. Materiales: Alambre Negro No. 18 (0.14 kg), Concreto Clase D 21 Mpa (0.12 M3), Acero 60000 Psi (4 kg), Tabla Burra Ordinario 0.30 (0.06 ML) y 2 más. Mano de obra: Auxiliar De Obra 2 (4 hh), Oficial Obra 1 (2 hh). Equipo: Formaleta Entrepisos (0.88 mes), Vibrador De Concreto (0.05 dd), Herrramienta Y Equipo Menor (5 %).</t>
  </si>
  <si>
    <t>1.03.09</t>
  </si>
  <si>
    <t>PLACA CASETON ESTERILLA DE GUADUA ALTURA DE 35 CMS 24.5 MPa - (3500 PSI)</t>
  </si>
  <si>
    <t>Precio por M2. Materiales: Alambre Negro No. 18 (0.14 kg), Acero 60000 Psi (6.52 kg), Tabla Burra Ordinario 0.30 (0.06 ML), Caseton H: 0.30 (1.8 ML) y 2 más. Mano de obra: Auxiliar De Obra 2 (4.02 hh), Oficial Obra 1 (2.01 hh). Equipo: Formaleta Entrepisos (0.88 mes), Vibrador De Concreto (0.01 dd), Herrramienta Y Equipo Menor (5 %).</t>
  </si>
  <si>
    <t>1.03.10</t>
  </si>
  <si>
    <t>PLACA CASETON ESTERILLA DE GUADUA ALTURA DE 35 CMS 21 MPa - (3000 PSI)</t>
  </si>
  <si>
    <t>Precio por M2. Materiales: Alambre Negro No. 18 (0.14 kg), Concreto Clase D 21 Mpa (0.14 M3), Acero 60000 Psi (6.52 kg), Tabla Burra Ordinario 0.30 (0.06 ML) y 2 más. Mano de obra: Auxiliar De Obra 2 (4.02 hh), Oficial Obra 1 (2.01 hh). Equipo: Formaleta Entrepisos (0.88 mes), Vibrador De Concreto (0.01 dd), Herrramienta Y Equipo Menor (5 %).</t>
  </si>
  <si>
    <t>1.03.11</t>
  </si>
  <si>
    <t>PLACA CASETON ESTERILLA DE GUADUA ALTURA DE 40 CMS 21 MPa - (3000 PSI)</t>
  </si>
  <si>
    <t>Precio por M2. Materiales: Alambre Negro No. 18 (0.14 kg), Concreto Clase D 21 Mpa (0.15 M3), Acero 60000 Psi (6.52 kg), Tabla Burra Ordinario 0.30 (0.06 ML) y 2 más. Mano de obra: Formaleta Entrepisos (0.88 mes), Vibrador De Concreto (0.01 dd), Auxiliar De Obra 2 (4.02 hh), Oficial Obra 1 (2.01 hh). Equipo: Herrramienta Y Equipo Menor (5 %).</t>
  </si>
  <si>
    <t>1.03.12</t>
  </si>
  <si>
    <t>PLACA CASETON ESTERILLA DE GUADUA ALTURA DE 40 CMS 24.5 MPa - (3500 PSI)</t>
  </si>
  <si>
    <t>Precio por M2. Materiales: Alambre Negro No. 18 (0.14 kg), Acero 60000 Psi (6.52 kg), Tabla Burra Ordinario 0.30 (0.06 ML), Caseton H: 0.35 (1.8 ML) y 2 más. Mano de obra: Auxiliar De Obra 2 (4.02 hh), Oficial Obra 1 (2.01 hh). Equipo: Formaleta Entrepisos (0.88 mes), Vibrador De Concreto (0.01 dd), Herrramienta Y Equipo Menor (5 %).</t>
  </si>
  <si>
    <t>1.03.13</t>
  </si>
  <si>
    <t>PLACA CON STEEL DECK 21 MPa - (3000 PSI) E=0.10MTS</t>
  </si>
  <si>
    <t>Precio por M2. Materiales: Concreto Clase D 21 Mpa (0.08 M3), Tabla Burra Ordinario 0.30 (0.05 ML), Malla Electrosoldada Q 3.1 (0.02 UND), Metaldeck 2 Cal 22 (1 M2). Mano de obra: Auxiliar De Obra 2 (1.34 hh), Oficial Obra 1 (0.67 hh). Equipo: Vibrador De Concreto (0.05 dd), Herrramienta Y Equipo Menor (3 %).</t>
  </si>
  <si>
    <t>1.03.14</t>
  </si>
  <si>
    <t>PLACA CON STEEL DECK 24.5 MPa - (3500 PSI) E= 0.10 MTS</t>
  </si>
  <si>
    <t>Precio por M2. Materiales: Tabla Burra Ordinario 0.30 (0.05 ML), Concreto 1:2:2 24.5 Mpa (0.08 M3), Malla Electrosoldada Q 3.1 (0.02 UND), Metaldeck 2 Cal 22 (1 M2). Mano de obra: Vibrador De Concreto (0.05 dd), Auxiliar De Obra 2 (1.34 hh), Oficial Obra 1 (0.67 hh). Equipo: Herrramienta Y Equipo Menor (3 %).</t>
  </si>
  <si>
    <t>1.03.15</t>
  </si>
  <si>
    <t>PLACA ENTREPISO ALIGERADO BLOQUE CONCRETO 21 MPa - (3000 PSI)</t>
  </si>
  <si>
    <t>Precio por M2. Materiales: Alambre Negro No. 18 (0.12 kg), Concreto Clase D 21 Mpa (0.12 M3), Acero 60000 Psi (6.62 kg), Bloque No. 4 (12 UND) y 5 más. Mano de obra: Auxiliar De Obra 2 (2.4 hh), Oficial Obra 1 (2.4 hh). Equipo: Formaleta (24 dd), Vibrador De Concreto (0.01 dd), Herrramienta Y Equipo Menor (5 %).</t>
  </si>
  <si>
    <t>1.03.16</t>
  </si>
  <si>
    <t>PLACA ENTREPISO IMPERMEABILIZADO ALIGERADO CASETON DE LONA E=0.30 mts. 28 MPa - (4000 PSI)</t>
  </si>
  <si>
    <t>Precio por M2. Materiales: Alambre Negro No. 18 (0.12 kg), Acero 60000 Psi (6.62 kg), Concreto Simple De 28 Mpa -  Impermeabilizado (0.17 M3), Lona Plastica Para Caseton (1.02 M2) y 4 más. Mano de obra: Auxiliar De Obra 2 (2.3 hh), Oficial Obra 1 (2.3 hh). Equipo: Vibrador De Concreto (0.01 dd), Andamio Tubular Normalizado, Tipo Multidireccional, De Acero Galvanizado En Caliente, Según Iso 9001. (2.3 dd), Herrramienta Y Equipo Menor (5 %).</t>
  </si>
  <si>
    <t>1.03.17</t>
  </si>
  <si>
    <t>PLACA FACIL 21 MPa - (3000 PSI) E= 0.05 MTS</t>
  </si>
  <si>
    <t>Precio por M2. Materiales: Vigueta 8 X 20 Cal. 20 (1.03 ML), Concreto Clase D 21 Mpa (0.06 M3), Tabla Burra Ordinario 0.30 (0.08 ML), Bloquelon 80x23x8 (5.5 UND) y 2 más. Mano de obra: Auxiliar De Obra 2 (8.34 hh), Oficial Obra 1 (4.17 hh). Equipo: Herrramienta Y Equipo Menor (3 %).</t>
  </si>
  <si>
    <t>1.03.18</t>
  </si>
  <si>
    <t>PLACA FACIL 24.5 MPa - (3500 PSI) E= 0.05 MTS</t>
  </si>
  <si>
    <t>Precio por M2. Materiales: Vigueta 8 X 20 Cal. 20 (1.03 ML), Tabla Burra Ordinario 0.30 (0.08 ML), Bloquelon 80x23x8 (5.5 UND), Concreto 1:2:2 24.5 Mpa (0.06 M3) y 2 más. Mano de obra: Auxiliar De Obra 2 (8.34 hh), Oficial Obra 1 (4.17 hh). Equipo: Herrramienta Y Equipo Menor (3 %).</t>
  </si>
  <si>
    <t>1.03.19</t>
  </si>
  <si>
    <t>PLACA MACIZA 21 MPa - (3000 PSI) E=0.10 MTS</t>
  </si>
  <si>
    <t>Precio por M2. Materiales: Concreto Clase D 21 Mpa (0.11 M3). Mano de obra: Auxiliar De Obra 2 (2.2 hh), Oficial Obra 1 (2.2 hh). Equipo: Formaleta (24 dd), Vibrador De Concreto (0.1 dd), Herrramienta Y Equipo Menor (5 %).</t>
  </si>
  <si>
    <t>1.03.20</t>
  </si>
  <si>
    <t>PLACA MACIZA 21 MPa - (3000 PSI) E=0.12 MTS</t>
  </si>
  <si>
    <t>Precio por M2. Materiales: Concreto Clase D 21 Mpa (0.13 M3). Mano de obra: Auxiliar De Obra 2 (2 hh), Oficial Obra 1 (2 hh). Equipo: Formaleta (24 dd), Vibrador De Concreto (0.1 dd), Herrramienta Y Equipo Menor (5 %).</t>
  </si>
  <si>
    <t>1.03.21</t>
  </si>
  <si>
    <t>PLACA MACIZA 21 MPa - (3000 PSI) E=0.15 MTS</t>
  </si>
  <si>
    <t>Precio por M2. Materiales: Concreto Clase D 21 Mpa (0.16 M3). Mano de obra: Auxiliar De Obra 2 (3 hh), Oficial Obra 1 (3 hh). Equipo: Formaleta (24 dd), Vibrador De Concreto (0.1 dd), Herrramienta Y Equipo Menor (5 %).</t>
  </si>
  <si>
    <t>1.03.22</t>
  </si>
  <si>
    <t>REFUERZOS MALLA ELECTROSOLDADA H-257</t>
  </si>
  <si>
    <t>Precio por kg. Materiales: Alambre Negro No. 18 (0.03 kg), Malla Electrosoldada M-221 Q-6  15*15 (1.05 kg). Mano de obra: Auxiliar De Obra 2 (0.03 hh), Oficial Obra 1 (0.03 hh). Equipo: Herrramienta Y Equipo Menor (5 %).</t>
  </si>
  <si>
    <t>AM01 · ON04 · ES05 · NP01</t>
  </si>
  <si>
    <t>1.03.23</t>
  </si>
  <si>
    <t>VIGA AEREA 21 MPa - (3000 PSI)</t>
  </si>
  <si>
    <t>Precio por M3. Materiales: Alambre Negro No. 18 (2 kg), Concreto Clase D 21 Mpa (1.03 M3), Madera Repisa 3 M (4.53 ML), Madera Tabla Burra (7 ML) y 1 más. Mano de obra: Auxiliar De Obra 2 (18.5 hh), Oficial Obra 1 (18.5 hh). Equipo: Vibrador De Concreto (0.04 dd), Andamio Tubular Normalizado, Tipo Multidireccional, De Acero Galvanizado En Caliente, Según Iso 9001. (4 dd), Herrramienta Y Equipo Menor (5 %).</t>
  </si>
  <si>
    <t>1.03.24</t>
  </si>
  <si>
    <t>VIGA AMARRE SOBRE MURO 21 MPa - (3000 PSI)</t>
  </si>
  <si>
    <t>Precio por M3. Materiales: Alambre Negro No. 18 (2 kg), Concreto Clase D 21 Mpa (1.03 M3), Madera Repisa 3 M (3.11 ML), Madera Tabla Burra (3.52 ML) y 1 más. Mano de obra: Auxiliar De Obra 2 (12 hh), Oficial Obra 1 (12 hh). Equipo: Vibrador De Concreto (0.04 dd), Herrramienta Y Equipo Menor (5 %).</t>
  </si>
  <si>
    <t>1.03.25</t>
  </si>
  <si>
    <t>COLUMNAS EN CONCRETO 21 MPa - (3000 PSI), ALTURA MENOR A TRES METROS FORMALETA METALICA</t>
  </si>
  <si>
    <t>Precio por M3. Materiales: Concreto Clase D 21 Mpa (1.1 M3). Mano de obra: Auxiliar De Obra 2 (10.29 hh), Oficial Obra 1 (10.29 hh). Equipo: Vibrador De Concreto (0.04 dd), Andamio Tubular Normalizado, Tipo Multidireccional, De Acero Galvanizado En Caliente, Según Iso 9s0e0c1c. Ión Formaleta Metalica Para (4 dd), Columnas (66 dd), Paral Largo Y Corto (96 dd) y 1 más.</t>
  </si>
  <si>
    <t>1.03.26</t>
  </si>
  <si>
    <t>COLUMNAS EN CONCRETO 21 MPa (3000 PSI), ALTURA MAYOR A 3 mts-</t>
  </si>
  <si>
    <t>Precio por M3. Materiales: Concreto Clase D 21 Mpa (1.1 M3). Mano de obra: Vibrador De Concreto (0.04 dd), Andamio Tubular Normalizado, Tipo Multidireccional, De Acero Galvanizado En Caliente, Según Iso 9s0e0c1c. Ión Formaleta Metalica Para (4 dd), Columnas (66 dd), Paral Largo Y Corto (96 dd) y 2 más. Equipo: Herrramienta Y Equipo Menor (1 %).</t>
  </si>
  <si>
    <t>1.04.01</t>
  </si>
  <si>
    <t>MAMPOSTERÍA</t>
  </si>
  <si>
    <t>ALFAGIA EN CONCRETO E=0.15mts. 17.5 MPa - (2500 PSI) INC. REFUERZO</t>
  </si>
  <si>
    <t>Precio por ML. Materiales: Alambre Negro No. 18 (0.02 kg), Acero 60000 Psi (0.73 kg), Arena Lavada De Río (0.01 M3), Concreto 1:2:4 17.5 Mpa (0.02 M3) y 3 más. Mano de obra: Auxiliar De Obra 2 (0.77 hh), Oficial Obra 1 (0.77 hh). Equipo: Herrramienta Y Equipo Menor (3.3 %).</t>
  </si>
  <si>
    <t>5. Mampostería</t>
  </si>
  <si>
    <t>AM01 · OG05 · ES05 · NP01</t>
  </si>
  <si>
    <t>OG05 Mampostería</t>
  </si>
  <si>
    <t>1.04.02</t>
  </si>
  <si>
    <t>ALFAGIA EN CONCRETO E=0.25mts. 17.5 MPa - (2500 PSI) INC. REFUERZO</t>
  </si>
  <si>
    <t>Precio por ML. Materiales: Alambre Negro No. 18 (0.03 kg), Acero 60000 Psi (1 kg), Arena Lavada De Río (0.01 M3), Concreto 1:2:4 17.5 Mpa (0.02 M3) y 3 más. Mano de obra: Auxiliar De Obra 2 (1.65 hh), Oficial Obra 1 (1.65 hh). Equipo: Herrramienta Y Equipo Menor (3.3 %).</t>
  </si>
  <si>
    <t>1.04.03</t>
  </si>
  <si>
    <t>ALFAGIA LADRILLO PRENSADO TIPO MAGUNCIA</t>
  </si>
  <si>
    <t>Precio por ML. Materiales: Ladrillo Semiprensado Maguncia (17 UND), Mortero 1:4 (0.03 M3). Mano de obra: Auxiliar De Obra 2 (0.7 hh), Oficial Obra 1 (0.54 hh). Equipo: Herrramienta Y Equipo Menor (3.3 %).</t>
  </si>
  <si>
    <t>Mampostería</t>
  </si>
  <si>
    <t>AM01 · OG05 · ES06 · NP01</t>
  </si>
  <si>
    <t>ES06 Mampostería</t>
  </si>
  <si>
    <t>1.04.04</t>
  </si>
  <si>
    <t>DINTELES EN BLOQUE E=0.15 MTS</t>
  </si>
  <si>
    <t>Precio por ML. Materiales: Arena Amarilla (0.02 M3), Arena Lavada De Río (0.02 M3), Bloque No. 5 Estándar (3.6 UND), Cemento Gris (3.15 kg) y 2 más. Mano de obra: Mano De Obra Aa (0.45 hc). Equipo: Herrramienta Y Equipo Menor (3.3 %).</t>
  </si>
  <si>
    <t>1.04.05</t>
  </si>
  <si>
    <t>DINTELES EN CONCRETO DE 15X20 cms. 17.5 MPa - (2500 PSI) INC. REFUERZO</t>
  </si>
  <si>
    <t>Precio por ML. Materiales: Alambre Negro No. 18 (0.11 kg), Acero 60000 Psi (2.9 kg), Concreto 1:2:4 17.5 Mpa (0.03 M3), Madera Tabla Burra (0.5 ML) y 1 más. Mano de obra: Auxiliar De Obra 2 (0.5 hh), Oficial Obra 1 (1 hh). Equipo: Herrramienta Y Equipo Menor (3 %).</t>
  </si>
  <si>
    <t>1.04.06</t>
  </si>
  <si>
    <t>ENCHAPES LADRILLO PRENSADO</t>
  </si>
  <si>
    <t>Precio por M2. Materiales: Arena De Peña (0.03 M3), Cemento Gris (9.04 kg), Disco Diamante (0.25 UND), Ladrillo Prensado Macizo Santafe (58 UND) y 1 más. Mano de obra: Mano De Obra Aa (1.1 hc). Equipo: Cortadora De Ladrillo (0.05 dd), Herrramienta Y Equipo Menor (3.3 %).</t>
  </si>
  <si>
    <t>1.04.07</t>
  </si>
  <si>
    <t>LAVADA DE FACHADA INC. ACIDO MURIATICO</t>
  </si>
  <si>
    <t>Precio por M2. Materiales: Acido Muriatico (0.03 gl), Agua (10 lt). Mano de obra: Andamio Tubular Normalizado, Tipo Multidireccional, De Acero Galvanizado En Caliente, Según Iso 9001. (0.15 dd), Auxiliar De Obra 2 (0.25 hh). Equipo: Herrramienta Y Equipo Menor (10 %).</t>
  </si>
  <si>
    <t>Limpieza y aseo</t>
  </si>
  <si>
    <t>AM01 · OG05 · ES01 · NP01</t>
  </si>
  <si>
    <t>1.04.08</t>
  </si>
  <si>
    <t>MESONES EN CONCRETO A=0.60 mts. 17.5 MPa - (2500PSI) INC. REFUERZO E:0.10</t>
  </si>
  <si>
    <t>Precio por M2. Materiales: Alambre Negro No. 18 (0.24 kg), Acero 60000 Psi (8 kg), Concreto 1:2:4 17.5 Mpa (0.11 M3), Madera Tabla 0.10 (0.46 ML) y 2 más. Mano de obra: Auxiliar De Obra 2 (2.17 hh), Oficial Obra 1 (2.17 hh). Equipo: Herrramienta Y Equipo Menor (3.3 %).</t>
  </si>
  <si>
    <t>1.04.09</t>
  </si>
  <si>
    <t>MURO EN ADOBE ESTABILIZADO E= 0.65 MTS</t>
  </si>
  <si>
    <t>Precio por M2. Materiales: Barro De Pega (0.25 kg), Ladrillo Adobe (108 UND). Mano de obra: Auxiliar De Obra 2 (3 hh), Oficial Obra 1 (1.5 hh). Equipo: Herrramienta Y Equipo Menor (3.3 %).</t>
  </si>
  <si>
    <t>1.04.10</t>
  </si>
  <si>
    <t>MURO EN BAHAREQUE E= 0.20 MTS</t>
  </si>
  <si>
    <t>Precio por M2. Materiales: Alambre Negro No. 18 (0.31 kg), Viga En Madera 2" X 5"x 3m (0.5 UND), Esterilla De Guadua (2 M2), Guadua [taco] 2.50 A 3.00 M (3 UND) y 2 más. Mano de obra: Auxiliar De Obra 2 (3 hh), Oficial Obra 1 (1.5 hh). Equipo: Andamio Tubular Normalizado, Tipo Multidireccional, De Acero Galvanizado En Caliente, Según Iso 9001. (0.2 dd), Herrramienta Y Equipo Menor (6.7 %).</t>
  </si>
  <si>
    <t>1.04.11</t>
  </si>
  <si>
    <t>MURO EN BLOQUE CONCRETO E=0.10 MTS</t>
  </si>
  <si>
    <t>Precio por M2. Materiales: Bloque Concreto 10x20x40 (13 UND), Mortero 1:4 (0.01 M3). Mano de obra: Mano De Obra Aa (1.12 hc). Equipo: Herrramienta Y Equipo Menor (3.3 %).</t>
  </si>
  <si>
    <t>AM01 · OG05 · ES04 · NP01</t>
  </si>
  <si>
    <t>1.04.12</t>
  </si>
  <si>
    <t>MURO EN BLOQUE CONCRETO E=0.20 MTS</t>
  </si>
  <si>
    <t>Precio por M2. Materiales: Bloque Concreto 20x20x40 (13 UND), Mortero 1:4 (0.02 M3). Mano de obra: Mano De Obra Aa (1.12 hc). Equipo: Herrramienta Y Equipo Menor (3.3 %).</t>
  </si>
  <si>
    <t>1.04.13</t>
  </si>
  <si>
    <t>MURO EN BLOQUE No.4 E=0.10 MTS</t>
  </si>
  <si>
    <t>Precio por M2. Materiales: Bloque No. 4 (13 UND), Mortero 1:4 (0.03 M3). Mano de obra: Auxiliar De Obra 2 (0.51 hh), Oficial Obra 1 (0.51 hh). Equipo: Herrramienta Y Equipo Menor (3.3 %).</t>
  </si>
  <si>
    <t>1.04.14</t>
  </si>
  <si>
    <t>MURO EN BLOQUE No.4 E=0.25 MTS</t>
  </si>
  <si>
    <t>Precio por M2. Materiales: Bloque No. 4 (40 UND), Mortero 1:4 (0.09 M3). Mano de obra: Auxiliar De Obra 2 (1 hh), Oficial Obra 1 (1 hh). Equipo: Herrramienta Y Equipo Menor (3.3 %).</t>
  </si>
  <si>
    <t>1.04.15</t>
  </si>
  <si>
    <t>MURO EN BLOQUE No.5 E=0.12 MTS</t>
  </si>
  <si>
    <t>Precio por M2. Materiales: Bloque No. 5 (16 UND), Mortero 1:4 (0.02 M3). Mano de obra: Auxiliar De Obra 2 (0.51 hh), Oficial Obra 1 (0.51 hh). Equipo: Herrramienta Y Equipo Menor (3.3 %).</t>
  </si>
  <si>
    <t>1.04.16</t>
  </si>
  <si>
    <t>MURO EN BLOQUE No.5 E=0.23 MTS</t>
  </si>
  <si>
    <t>Precio por M2. Materiales: Bloque No. 5 (26 UND), Mortero 1:4 (0.04 M3). Mano de obra: Auxiliar De Obra 2 (1 hh), Oficial Obra 1 (1 hh). Equipo: Herrramienta Y Equipo Menor (3.3 %).</t>
  </si>
  <si>
    <t>1.04.17</t>
  </si>
  <si>
    <t>MURO EN DRY WALL 1/2`` DOBLE CARA E =0.10 MTS</t>
  </si>
  <si>
    <t>Precio por M2. Materiales: Tornillo 6x1 (27.22 UND), Tornillo Autoperforante (2.82 UND), Paral B6 X 2.44 Cal 26 (0.71 UND), Canal B 6 X 2.44 Cal 26 (0.35 UND) y 6 más. Mano de obra: Auxiliar De Obra 2 (1.04 hh), Oficial Obra 1 (1.03 hh). Equipo: Herrramienta Y Equipo Menor (3.3 %).</t>
  </si>
  <si>
    <t>1.04.18</t>
  </si>
  <si>
    <t>MURO EN DRY WALL 1/2`` DOBLE CARA E =0.12 MTS</t>
  </si>
  <si>
    <t>Precio por M2. Materiales: Tornillo 6x1 (27.22 UND), Tornillo Autoperforante (2.82 UND), Paral B6 X 2.44 Cal 26 (0.71 UND), Canal B 9 X 2.44 Cal 26 (0.35 UND) y 6 más. Mano de obra: Auxiliar De Obra 2 (1.04 hh), Oficial Obra 1 (1.03 hh). Equipo: Herrramienta Y Equipo Menor (3.3 %).</t>
  </si>
  <si>
    <t>1.04.19</t>
  </si>
  <si>
    <t>MURO EN LADRILLO ESTRUCTURAL E=0.15 MTS</t>
  </si>
  <si>
    <t>Precio por M2. Materiales: Arena Lavada De Río (0.04 M3), Cal (0.5 kg), Cemento Gris (18 kg), Ladrillo Portante Prensado (48 UND) y 2 más. Mano de obra: Auxiliar De Obra 2 (1.74 hh), Oficial Obra 1 (0.87 hh). Equipo: Herrramienta Y Equipo Menor (3.3 %).</t>
  </si>
  <si>
    <t>1.04.20</t>
  </si>
  <si>
    <t>MURO EN TAPIA PISADA E=0.50 MTS ANCHO, INCLUYE FORMALETA</t>
  </si>
  <si>
    <t>Precio por M2. Materiales: Tierra Negra (0.75 M3), Tabla Chapa (15.42 ML), Tabla De Cedro (8 ML), Piedra Media Zonga (0.1 M3) y 1 más. Mano de obra: Auxiliar De Obra 2 (5.6 hh), Oficial Obra 1 (2.8 hh). Equipo: Herrramienta Y Equipo Menor (9.9 %).</t>
  </si>
  <si>
    <t>1.04.21</t>
  </si>
  <si>
    <t>MURO LADRILLO VITRIFICADO E=0.12 MTS</t>
  </si>
  <si>
    <t>Precio por M2. Materiales: Ladrillo Vitrificado (56 UND), Mortero 1:4 (0.05 M3). Mano de obra: Auxiliar De Obra 2 (1.06 hh), Oficial Obra 1 (1.06 hh). Equipo: Herrramienta Y Equipo Menor (3.3 %).</t>
  </si>
  <si>
    <t>1.04.22</t>
  </si>
  <si>
    <t>MURO PRENSADO SANTA FE E=0.25 MTS LIVIANO</t>
  </si>
  <si>
    <t>Precio por M2. Materiales: Ladrillo Prensado Macizo Santafe (118 UND), Mortero 1:4 (0.07 M3). Mano de obra: Mano De Obra Aa (1.7 hc). Equipo: Herrramienta Y Equipo Menor (3.3 %).</t>
  </si>
  <si>
    <t>1.04.23</t>
  </si>
  <si>
    <t>MURO PRENSADO SANTA FE E=0.25 MTS MACIZO</t>
  </si>
  <si>
    <t>Precio por M2. Materiales: Ladrillo Prensado Macizo Santafe (118 UND), Mortero 1:5 (0.07 M3). Mano de obra: Mano De Obra Aa (1.7 hc). Equipo: Herrramienta Y Equipo Menor (3.3 %).</t>
  </si>
  <si>
    <t>1.04.24</t>
  </si>
  <si>
    <t>MURO PRENSADO TIPO SANTA FE E=0.12 mts</t>
  </si>
  <si>
    <t>Precio por M2. Materiales: Ladrillo Prensado Macizo Santafe (55 UND), Mortero 1:4 (0.03 M3). Mano de obra: Auxiliar De Obra 2 (1.06 hh), Oficial Obra 1 (1.06 hh). Equipo: Herrramienta Y Equipo Menor (3.3 %).</t>
  </si>
  <si>
    <t>1.04.25</t>
  </si>
  <si>
    <t>MURO PRENSADO TIPO SANTA FE E=0.25 mts.</t>
  </si>
  <si>
    <t>Precio por M2. Materiales: Ladrillo Prensado Macizo Santafe (118 UND), Mortero 1:4 (0.07 M3). Mano de obra: Auxiliar De Obra 2 (1.7 hh), Oficial Obra 1 (1.7 hh). Equipo: Herrramienta Y Equipo Menor (3.3 %).</t>
  </si>
  <si>
    <t>1.04.26</t>
  </si>
  <si>
    <t>MURO SEMIPRENSADO TIPO MAGUNCIA E=0.12 mts.</t>
  </si>
  <si>
    <t>Precio por M2. Materiales: Ladrillo Semiprensado Maguncia (56 UND), Mortero 1:4 (0.03 M3). Mano de obra: Auxiliar De Obra 2 (1.06 hh), Oficial Obra 1 (1.06 hh). Equipo: Herrramienta Y Equipo Menor (3.3 %).</t>
  </si>
  <si>
    <t>1.04.27</t>
  </si>
  <si>
    <t>MURO SEMIPRENSADO TIPO MAGUNCIA E=0.25 mts.</t>
  </si>
  <si>
    <t>Precio por M2. Materiales: Ladrillo Semiprensado Maguncia (114 UND), Mortero 1:4 (0.07 M3). Mano de obra: Auxiliar De Obra 2 (1.7 hh), Oficial Obra 1 (1.7 hh). Equipo: Herrramienta Y Equipo Menor (3.3 %).</t>
  </si>
  <si>
    <t>1.04.28</t>
  </si>
  <si>
    <t>MURO TERMOACÚSTICO CON PAÑETE</t>
  </si>
  <si>
    <t>Precio por M2. Materiales: Anclaje Estructural Platina ¼ (1.7 UND), Durapanel Tipo Psmc50 (1.05 M2), Accesorio Para Unión Tipo Canastilla Rgu (0.3 UND), Accesorio Para Unión Tipo Malla Plana Rg2 (0.3 UND) y 3 más. Mano de obra: Mano De Obra Aa (0.45 hc). Equipo: Herrramienta Y Equipo Menor (3.3 %).</t>
  </si>
  <si>
    <t>1.04.29</t>
  </si>
  <si>
    <t>MURO TOLETE COMUN E=0.06 mts.</t>
  </si>
  <si>
    <t>Precio por M2. Materiales: Ladrillo Tolete Comun (31 UND), Mortero 1:4 (0.01 M3). Mano de obra: Auxiliar De Obra 2 (0.86 hh), Oficial Obra 1 (0.86 hh). Equipo: Herrramienta Y Equipo Menor (3.3 %).</t>
  </si>
  <si>
    <t>1.04.30</t>
  </si>
  <si>
    <t>MURO TOLETE COMUN E=0.10 mts.</t>
  </si>
  <si>
    <t>Precio por M2. Materiales: Ladrillo Tolete Comun (55 UND), Mortero 1:4 (0.02 M3). Mano de obra: Auxiliar De Obra 2 (0.75 hh), Oficial Obra 1 (0.75 hh). Equipo: Herrramienta Y Equipo Menor (3.3 %).</t>
  </si>
  <si>
    <t>1.04.31</t>
  </si>
  <si>
    <t>MURO TOLETE COMUN E=0.25 mts</t>
  </si>
  <si>
    <t>Precio por M2. Materiales: Ladrillo Tolete Comun (118 UND), Mortero 1:4 (0.03 M3). Mano de obra: Auxiliar De Obra 2 (1.37 hh), Oficial Obra 1 (1.37 hh). Equipo: Herrramienta Y Equipo Menor (3.3 %).</t>
  </si>
  <si>
    <t>1.04.32</t>
  </si>
  <si>
    <t>PASAMANOS EN CONCRETO 17.5 MPA (2500 PSI) INC. REFUERZO</t>
  </si>
  <si>
    <t>Precio por ML. Materiales: Alambre Negro No. 18 (0.03 kg), Acero 60000 Psi (1 kg), Arena Lavada De Río (0.01 M3), Concreto 1:2:4 17.5 Mpa (0.02 M3) y 3 más. Mano de obra: Auxiliar De Obra 2 (2.21 hh), Oficial Obra 1 (2.21 hh). Equipo: Herrramienta Y Equipo Menor (3.3 %).</t>
  </si>
  <si>
    <t>1.04.33</t>
  </si>
  <si>
    <t>REMATES LADRILLO PRENSADO</t>
  </si>
  <si>
    <t>Precio por ML. Materiales: Arena De Peña (0.05 M3), Cemento Gris (3 kg), Ladrillo Prensado Macizo Santafe (16 UND), Agua (7.5 lt). Mano de obra: Mano De Obra Aa (0.88 hc). Equipo: Herrramienta Y Equipo Menor (3 %).</t>
  </si>
  <si>
    <t>1.04.34</t>
  </si>
  <si>
    <t>SOBRECIMIENTO TOLETE COMUN E=0.12 mts.INCLUYE PAÑETE IMP.</t>
  </si>
  <si>
    <t>Precio por ML. Materiales: Ladrillo Tolete Comun (12 UND), Mortero 1:4 (0.05 M3), Sika 2 (0.35 kg). Mano de obra: Auxiliar De Obra 2 (0.8 hh), Oficial Obra 1 (0.8 hh). Equipo: Herrramienta Y Equipo Menor (3.3 %).</t>
  </si>
  <si>
    <t>1.04.35</t>
  </si>
  <si>
    <t>SOBRECIMIENTOS E= 0.25 MTS</t>
  </si>
  <si>
    <t>Precio por ML. Materiales: Arena Lavada De Peña (0.04 M3), Cemento Gris (12 kg), Ladrillo Tolete Recocido (24.21 UND), Agua (2.5 lt) y 1 más. Mano de obra: Mano De Obra Aa (1.12 hc). Equipo: Herrramienta Y Equipo Menor (3.3 %).</t>
  </si>
  <si>
    <t>1.04.36</t>
  </si>
  <si>
    <t>SOBRERCIMIENTO TOLETE COMUN E=0.20 mts.INCLUYE PAÑETE IMP.</t>
  </si>
  <si>
    <t>Precio por M2. Materiales: Ladrillo Tolete Comun (24.21 UND), Mortero 1:4 (0.06 M3), Sika 2 (0.53 kg). Mano de obra: Auxiliar De Obra 2 (1.12 hh), Oficial Obra 1 (1.12 hh). Equipo: Herrramienta Y Equipo Menor (3.3 %).</t>
  </si>
  <si>
    <t>1.04.37</t>
  </si>
  <si>
    <t>SUMINISTRO E INSTALACION DE LAMINA SUPERBOARD E= 8 MM</t>
  </si>
  <si>
    <t>Precio por M2. Materiales: Tiro (4 UND), Tornillo 6x1 (16 UND), Tornillo Autoperforante Con Cabeza Extraplana T1 # 7 7/16 (16 UND), Paral B6 Cal. 22 (2 ML) y 7 más. Mano de obra: Mano De Obra Muro Superboard (1 M2). Equipo: Herrramienta Y Equipo Menor (3.3 %).</t>
  </si>
  <si>
    <t>Cielo rasos y drywall</t>
  </si>
  <si>
    <t>AM01 · OG05 · ES11 · NP02</t>
  </si>
  <si>
    <t>ES11 Cielos y drywall</t>
  </si>
  <si>
    <t>1.05.01</t>
  </si>
  <si>
    <t>PAÑETES</t>
  </si>
  <si>
    <t>ENTRAMADO MADERA CIELO RASO</t>
  </si>
  <si>
    <t>Precio por ML. Materiales: Puntilla Con Y Sin Cabeza 2 (0.08 lb), Repisa Ordinaria 3 Mt (2.16 ML). Mano de obra: Mano De Obra Aa (0.55 hc). Equipo: Herrramienta Y Equipo Menor (3.3 %).</t>
  </si>
  <si>
    <t>8. Acabados</t>
  </si>
  <si>
    <t>AM01 · OB08 · ES11 · NP01</t>
  </si>
  <si>
    <t>OB08 Acabados</t>
  </si>
  <si>
    <t>1.05.02</t>
  </si>
  <si>
    <t>FILOS Y DILATACIONES EN PAÑETES</t>
  </si>
  <si>
    <t>Precio por ML. Materiales: Mortero 1:4 (0.01 M3), Agua (1 lt). Mano de obra: Auxiliar De Obra 2 (0.15 hh), Oficial Obra 1 (0.15 hh). Equipo: Herrramienta Y Equipo Menor (5.5 %).</t>
  </si>
  <si>
    <t>Pañetes y estucos</t>
  </si>
  <si>
    <t>AM01 · OB08 · ES07 · NP01</t>
  </si>
  <si>
    <t>ES07 Pañetes y estucos</t>
  </si>
  <si>
    <t>1.05.03</t>
  </si>
  <si>
    <t>GOTERAS</t>
  </si>
  <si>
    <t>Precio por M2. Materiales: Mortero 1:4 (0.01 M3), Agua (1 lt). Mano de obra: Auxiliar De Obra 2 (0.23 hh), Oficial Obra 1 (0.23 hh). Equipo: Herrramienta Y Equipo Menor (5.5 %).</t>
  </si>
  <si>
    <t>1.05.04</t>
  </si>
  <si>
    <t>GUADUA BAJO ENTRAMADO</t>
  </si>
  <si>
    <t>Precio por M2. Materiales: Alambre Negro No.18 (0.05 kg), Esterilla De Guadua (1 M2), Puntilla Con Y Sin Cabeza 2 (0.2 lb). Mano de obra: Mano De Obra Aa (0.5 hc). Equipo: Herrramienta Y Equipo Menor (3.3 %).</t>
  </si>
  <si>
    <t>1.05.05</t>
  </si>
  <si>
    <t>MALLA BAJO ENTRAMADO</t>
  </si>
  <si>
    <t>Precio por M2. Materiales: Malla Con Vena 0.60x2.00 (0.88 UND), Puntilla Con Y Sin Cabeza 2 (0.04 lb). Mano de obra: Mano De Obra Aa (0.4 hc). Equipo: Herrramienta Y Equipo Menor (3.3 %).</t>
  </si>
  <si>
    <t>1.05.06</t>
  </si>
  <si>
    <t>PAÑETE BAJO MALLA 1:5</t>
  </si>
  <si>
    <t>Precio por M2. Materiales: Arena De Peña (0.03 M3), Cemento Gris (8.45 kg), Agua (4.17 lt). Mano de obra: Mano De Obra Aa (0.6 hc). Equipo: Herrramienta Y Equipo Menor (3.3 %).</t>
  </si>
  <si>
    <t>1.05.07</t>
  </si>
  <si>
    <t>PAÑETE BAJO MALLA 1:6</t>
  </si>
  <si>
    <t>Precio por M2. Materiales: Arena De Peña (0.03 M3), Cemento Gris (7.3 kg), Agua (3.6 lt). Mano de obra: Mano De Obra Aa (0.6 hc). Equipo: Herrramienta Y Equipo Menor (3.3 %).</t>
  </si>
  <si>
    <t>1.05.08</t>
  </si>
  <si>
    <t>PAÑETE IMPERMEABILIZADO 1:3</t>
  </si>
  <si>
    <t>Precio por M2. Materiales: Arena De Peña (0.03 M3), Cemento Gris (10 kg), Agua (3.63 lt), Sika 1 (0.05 kg). Mano de obra: Auxiliar De Obra 2 (0.56 hh), Oficial Obra 1 (0.56 hh). Equipo: Herrramienta Y Equipo Menor (0.45 %).</t>
  </si>
  <si>
    <t>1.05.09</t>
  </si>
  <si>
    <t>PAÑETE LISO BAJO PLACA 1.4</t>
  </si>
  <si>
    <t>Precio por M2. Materiales: Arena De Peña (0.03 M3), Cemento Gris (9.1 kg), Agua (5.5 lt). Mano de obra: Auxiliar De Obra 2 (0.48 hh), Oficial Obra 1 (0.48 hh). Equipo: Andamio Tubular Normalizado, Tipo Multidireccional, De Acero Galvanizado En Caliente, Según Iso 9001. (0.25 dd), Herrramienta Y Equipo Menor (5.5 %).</t>
  </si>
  <si>
    <t>AM01 · OB08 · ES04 · NP01</t>
  </si>
  <si>
    <t>1.05.10</t>
  </si>
  <si>
    <t>PAÑETE LISO BAJO MALLA 1:4</t>
  </si>
  <si>
    <t>Precio por M2. Materiales: Mortero 1:4 (0.03 M3), Agua (4 lt). Mano de obra: Andamio Tubular Normalizado, Tipo Multidireccional, De Acero Galvanizado En Caliente, Según Iso 9001. (0.2 dd), Auxiliar De Obra 2 (0.6 hh), Oficial Obra 1 (0.6 hh). Equipo: Herrramienta Y Equipo Menor (5.5 %).</t>
  </si>
  <si>
    <t>1.05.11</t>
  </si>
  <si>
    <t>PAÑETE LISO CULATAS 1:4</t>
  </si>
  <si>
    <t>Precio por M2. Materiales: Mortero 1:4 (0.03 M3), Agua (4 lt). Mano de obra: Auxiliar De Obra 2 (0.52 hh), Oficial Obra 1 (0.52 hh). Equipo: Andamio Tubular Normalizado, Tipo Multidireccional, De Acero Galvanizado En Caliente, Según Iso 9001. (0.3 dd), Herrramienta Y Equipo Menor (5.5 %).</t>
  </si>
  <si>
    <t>1.05.12</t>
  </si>
  <si>
    <t>PAÑETE LISO CULATAS 1:5</t>
  </si>
  <si>
    <t>Precio por M2. Materiales: Agua (4 lt), Mortero 1:5 (0.03 M3). Mano de obra: Auxiliar De Obra 2 (0.52 hh), Oficial Obra 1 (0.52 hh). Equipo: Andamio Tubular Normalizado, Tipo Multidireccional, De Acero Galvanizado En Caliente, Según Iso 9001. (0.3 dd), Herrramienta Y Equipo Menor (5.5 %).</t>
  </si>
  <si>
    <t>1.05.13</t>
  </si>
  <si>
    <t>PAÑETE LISO MUROS 1:4</t>
  </si>
  <si>
    <t>Precio por M2. Materiales: Mortero 1:4 (0.02 M3), Agua (3.63 lt). Mano de obra: Auxiliar De Obra 2 (0.46 hh), Oficial Obra 1 (0.46 hh). Equipo: Herrramienta Y Equipo Menor (5.5 %).</t>
  </si>
  <si>
    <t>AM01 · OB08 · ES06 · NP01</t>
  </si>
  <si>
    <t>1.05.14</t>
  </si>
  <si>
    <t>PAÑETE LISO MUROS 1:5</t>
  </si>
  <si>
    <t>Precio por M2. Materiales: Agua (3.63 lt), Mortero 1:5 (0.02 M3). Mano de obra: Auxiliar De Obra 2 (0.46 hh), Oficial Obra 1 (0.46 hh). Equipo: Herrramienta Y Equipo Menor (5.5 %).</t>
  </si>
  <si>
    <t>1.05.15</t>
  </si>
  <si>
    <t>PAÑETE RUSTICO MUROS 1:5</t>
  </si>
  <si>
    <t>Precio por M2. Materiales: Agua (4 lt), Mortero 1:5 (0.02 M3). Mano de obra: Auxiliar De Obra 2 (0.56 hh), Oficial Obra 1 (0.56 hh). Equipo: Andamio Tubular Normalizado, Tipo Multidireccional, De Acero Galvanizado En Caliente, Según Iso 9001. (0.2 dd), Herrramienta Y Equipo Menor (5.5 %).</t>
  </si>
  <si>
    <t>1.05.16</t>
  </si>
  <si>
    <t>PAÑETE RUSTICO PLACAS 1:5</t>
  </si>
  <si>
    <t>Precio por M2. Materiales: Arena De Peña (0.04 M3), Cemento Gris (9.5 kg), Agua (7.2 lt). Mano de obra: Mano De Obra Aa (0.61 hc). Equipo: Herrramienta Y Equipo Menor (3.3 %).</t>
  </si>
  <si>
    <t>1.06.01</t>
  </si>
  <si>
    <t>INSTALACIONES HIDRÁULICAS Y</t>
  </si>
  <si>
    <t>SUMINISTRO E INSTALACION DE ACCESORIO CODO 90° 1/4 CXC SANITARIO EN PVC 6``</t>
  </si>
  <si>
    <t>Precio por UND. Materiales: Codo 90° 1/4 Cxc Sanitario 6" (1 UND), Limpiador Pvc 760 Grms (0 UND), Soldadura Liquida Pvc 1/4`` (0 gl). Mano de obra: Auxiliar De Obra 2 (1.4 hh), Oficial Instalaciones (0.7 hh). Equipo: Herrramienta Y Equipo Menor (4 %).</t>
  </si>
  <si>
    <t>Aparatos sanitarios</t>
  </si>
  <si>
    <t>1.06.02</t>
  </si>
  <si>
    <t>SUMINISTRO E INSTALACION DE ACCESORIO SIFON EN PVC 135 4``</t>
  </si>
  <si>
    <t>Precio por UND. Materiales: Limpiador Pvc 760 Grms (0 UND), Sifón Pvc 135 4`` (1.03 UND), Soldadura Liquida Pvc 1/4`` (0 gl). Mano de obra: Auxiliar De Obra 2 (1.2 hh), Oficial Instalaciones (0.6 hh). Equipo: Herrramienta Y Equipo Menor (4 %).</t>
  </si>
  <si>
    <t>1.06.03</t>
  </si>
  <si>
    <t>SUMINISTRO E INSTALACION DE BAJANTE PVC 3"</t>
  </si>
  <si>
    <t>Precio por ML. Materiales: Union Canal Pvc All (0.34 UND), Bajante Blanco Raingo (1.05 ML), Codo Bajante All 45° (0.06 UND), Soporte Canal Pvc All (2.74 UND). Mano de obra: Auxiliar De Instalaciones 1 (0.9 hh), Oficial Instalaciones (0.89 hh). Equipo: Herrramienta Y Equipo Menor (2 %).</t>
  </si>
  <si>
    <t>1.06.04</t>
  </si>
  <si>
    <t>SUMINISTRO E INSTALACION DE BAJANTE DE AGUA LLUVIA PVC 4"</t>
  </si>
  <si>
    <t>Precio por ML. Materiales: Tubería Pvc 4`` All (1.05 ML), Codo Pvc 90° 4" Sanit (0.06 UND), Limpiador 1/4 Pvc (0.03 gl), Soldadura Liquida Pvc 1/4`` (0.03 gl). Mano de obra: Auxiliar De Instalaciones 1 (0.7 hh), Oficial Instalaciones (0.7 hh). Equipo: Herrramienta Y Equipo Menor (2 %).</t>
  </si>
  <si>
    <t>1.06.05</t>
  </si>
  <si>
    <t>SUMINISTRO E INSTALACION DE BAJANTE DE AGUA LLUVIA. PVC. 3.</t>
  </si>
  <si>
    <t>Precio por ML. Materiales: Tubería Pvc 3`` All (1.05 ML), Codo C X C 90° Pvc-S 3" (0.06 UND), Limpiador 1/4 Pvc (0.01 gl), Soldadura Liquida Pvc 1/4`` (0.01 gl). Mano de obra: Auxiliar De Instalaciones 1 (0.6 hh), Oficial Instalaciones (0.6 hh). Equipo: Herrramienta Y Equipo Menor (2 %).</t>
  </si>
  <si>
    <t>1.06.06</t>
  </si>
  <si>
    <t>SUMINISTRO E INSTALACION DE BAJANTE DE AGUA NEGRA PVC 3"</t>
  </si>
  <si>
    <t>Precio por ML. Materiales: Tubería Pvc 3`` Sanit (1.05 ML), Codo C X C 90° Pvc-S 3" (0.06 UND), Limpiador 1/4 Pvc (0.01 gl), Soldadura Liquida Pvc 1/4`` (0.01 gl). Mano de obra: Auxiliar De Instalaciones 1 (0.5 hh), Oficial Instalaciones (0.5 hh). Equipo: Herrramienta Y Equipo Menor (2 %).</t>
  </si>
  <si>
    <t>1.06.07</t>
  </si>
  <si>
    <t>SUMINISTRO E INSTALACION DE BAJANTE DE AGUA NEGRA PVC 4"</t>
  </si>
  <si>
    <t>Precio por ML. Materiales: Tubería Pvc 4`` Sanit (1.05 ML), Codo Pvc 90° 4" Sanit (0.06 UND), Limpiador 1/4 Pvc (0.01 gl), Soldadura Liquida Pvc 1/4`` (0.01 gl). Mano de obra: Auxiliar De Instalaciones 1 (0.73 hh), Oficial Instalaciones (0.73 hh). Equipo: Herrramienta Y Equipo Menor (2 %).</t>
  </si>
  <si>
    <t>1.06.08</t>
  </si>
  <si>
    <t>SUMINISTRO E INSTALACION DE BAJANTE DE AGUA NEGRA PVC 6"</t>
  </si>
  <si>
    <t>Precio por ML. Materiales: Tubería Pvc 6`` San (1.05 ML), Codo Pvc 90° 6" Sanit (0.06 UND), Limpiador 1/4 Pvc (0.01 gl), Soldadura Liquida Pvc 1/4`` (0.02 gl). Mano de obra: Auxiliar De Instalaciones 1 (0.7 hh), Oficial Instalaciones (0.7 hh). Equipo: Herrramienta Y Equipo Menor (5 %).</t>
  </si>
  <si>
    <t>1.06.09</t>
  </si>
  <si>
    <t>SUMINISTRO E INSTALACION DE CANAL EN LAMINA COLD ROLLED CAL. 20 D=0.75 CON PINTURA Y ANTICORROSIVO</t>
  </si>
  <si>
    <t>Precio por ML. Materiales: Canal Lamina Cold Rolled Cal. 20 Con Pintura Y Anticorrosivo (1 ML), Elementos De Anclaje Y Fijación (1.75 glb), Soldadura De Estaño (0.25 UND). Mano de obra: Auxiliar De Instalaciones 1 (1.5 hh), Oficial Instalaciones (1 hh). Equipo: Herrramienta Y Equipo Menor (5 %).</t>
  </si>
  <si>
    <t>Pintura</t>
  </si>
  <si>
    <t>AM01 · OG06 · ES09 · NP02</t>
  </si>
  <si>
    <t>ES09 Pintura</t>
  </si>
  <si>
    <t>1.06.10</t>
  </si>
  <si>
    <t>SUMINISTRO E INSTALACION DE CANAL EN LAMINA GALV. CAL. 22 TIPO "PECHO DE PALOMA"</t>
  </si>
  <si>
    <t>Precio por ML. Materiales: Elementos De Anclaje Y Fijación (1.25 glb), Lamina Galvanizada Cal. 22 (0.8 UND), Soldadura De Estaño (0.2 UND). Mano de obra: Auxiliar De Instalaciones 1 (1 hh), Oficial Instalaciones (1 hh). Equipo: Herrramienta Y Equipo Menor (5 %).</t>
  </si>
  <si>
    <t>Cubierta e impermeabilización</t>
  </si>
  <si>
    <t>AM01 · OG06 · ES10 · NP02</t>
  </si>
  <si>
    <t>ES10 Cubiertas e impermeabilización</t>
  </si>
  <si>
    <t>1.06.11</t>
  </si>
  <si>
    <t>CONEXIÓN TANQUE ELEVADO PVC 2" INCLUY. VALVULA Y REGISTRO</t>
  </si>
  <si>
    <t>Precio por UND. Materiales: Tee Pvc Presion 2`` (2.75 UND), Tubería Pvc-P 2`` Rde21 (3 ML), Union Pvc 2`` (3 UND), Valvula De Bola 2`` (1 UND) y 4 más. Mano de obra: Auxiliar De Instalaciones 1 (4 hh), Oficial Instalaciones (4 hh). Equipo: Herrramienta Y Equipo Menor (12 %).</t>
  </si>
  <si>
    <t>1.06.12</t>
  </si>
  <si>
    <t>INSTALACION LAVAMANOS Y SANITARIO</t>
  </si>
  <si>
    <t>Precio por UND. Materiales: Cemento Blanco (0.75 kg), Cinta Teflon 10 M 1/2" (1 rl). Mano de obra: Auxiliar De Instalaciones 1 (2 hh), Oficial Instalaciones (2 hh). Equipo: Herrramienta Y Equipo Menor (5 %).</t>
  </si>
  <si>
    <t>AM01 · OG06 · ES13 · NP04</t>
  </si>
  <si>
    <t>1.06.13</t>
  </si>
  <si>
    <t>PUNTO AGUA CALIENTE CPVC 1/2" PARAL DE TECHO</t>
  </si>
  <si>
    <t>Precio por UND. Materiales: Tapon Soldado Cpvc 1/2`` (3 UND), Tubería Cpvc 1/2`` A.c. 82°c 100 Psi (3.75 ML), Cinta Teflon 10 M 1/2" (1 rl), Codo 45° Cpvc 1/2" (3 UND) y 4 más. Mano de obra: Auxiliar De Instalaciones 1 (3.5 hh), Oficial Instalaciones (1.75 hh). Equipo: Herrramienta Y Equipo Menor (5 %).</t>
  </si>
  <si>
    <t>1.06.14</t>
  </si>
  <si>
    <t>PUNTO AGUA FRIA PVC-P 1/2" PARAL DE TECHO</t>
  </si>
  <si>
    <t>Precio por UND. Materiales: Tapon Soldado Cpvc 1/2`` (1 UND), Tubería Pvc-P 1/2`` Rde9 (3.75 ML), Cinta Teflon 10 M 1/2" (3 rl), Codo 45° Presión 1/2" (3 UND) y 5 más. Mano de obra: Auxiliar De Instalaciones 1 (3 hh), Oficial Instalaciones (1.5 hh). Equipo: Herrramienta Y Equipo Menor (3.3 %).</t>
  </si>
  <si>
    <t>1.06.15</t>
  </si>
  <si>
    <t>PUNTO SUMINISTRO GALVANIZADO</t>
  </si>
  <si>
    <t>Precio por UND. Materiales: Tubería De Acero Galvanizado Presion 1/2`` (0.75 ML), Tubería De Acero Galvanizado Presion 3/4`` (0.58 ML), Tubo Galvanizado 1`` (0.49 ML), Tubo Galvanizado 2 1/2`` (0.43 ML) y 4 más. Mano de obra: Auxiliar De Instalaciones 1 (1.8 hh), Oficial Instalaciones (1.8 hh). Equipo: Herrramienta Y Equipo Menor (5 %).</t>
  </si>
  <si>
    <t>1.06.16</t>
  </si>
  <si>
    <t>SUMINISTRO E INSTALACION DE RED SUMINISTRO CPVC 1/2" A.CAL. 82°C 100 PSI</t>
  </si>
  <si>
    <t>Precio por ML. Materiales: Tee Cpvc 1/2`` (0.5 UND), Tubería Cpvc 1/2`` A.c. 82°c 100 Psi (1.05 ML), Codo 90° Cpvc 1/2" (0.5 UND), Adaptador Macho Cpvc 1/2" (0.5 UND) y 6 más. Mano de obra: Auxiliar De Instalaciones 1 (0.15 hh), Oficial Instalaciones (0.15 hh), Auxiliar De Instalaciones 1 (0.18 hh), Oficial Instalaciones (0.08 hh). Equipo: Herrramienta Y Equipo Menor (3.3 %), Herrramienta Y Equipo Menor (3.3 %).</t>
  </si>
  <si>
    <t>Costo total del documento (14728.06) distinto a la suma de insumos (32693.19)</t>
  </si>
  <si>
    <t>1.06.18</t>
  </si>
  <si>
    <t>SUMINISTRO E INSTALACION DE RED SUMINISTRO GALVANIZADA 1/2"</t>
  </si>
  <si>
    <t>Precio por ML. Materiales: Tubería De Acero Galvanizado Presion 1/2`` (1.05 ML), Codo Galvanizado 90° 1/2" (1 UND). Mano de obra: Auxiliar De Instalaciones 1 (1 hh), Oficial Instalaciones (0.5 hh). Equipo: Herrramienta Y Equipo Menor (5 %).</t>
  </si>
  <si>
    <t>1.06.19</t>
  </si>
  <si>
    <t>SUMINISTRO E INSTALACION DE RED SUMINISTRO GALVANIZADA 3/4"</t>
  </si>
  <si>
    <t>Precio por ML. Materiales: Tubería De Acero Galvanizado Presion 3/4`` (1.05 ML), Codo Galvanizado 90° 3/4" (1 UND). Mano de obra: Auxiliar De Instalaciones 1 (1 hh), Oficial Instalaciones (0.6 hh). Equipo: Herrramienta Y Equipo Menor (5 %).</t>
  </si>
  <si>
    <t>1.06.20</t>
  </si>
  <si>
    <t>SUMINISTRO E INSTALACION DE RED SUMINISTRO PARA GAS EXTERIOR (TUBERIA GALVANIZADA D=3/4")</t>
  </si>
  <si>
    <t>Precio por ML. Materiales: Tornillo De Acero 1/2 * 1/4 (2 UND), Tuberia De Gas Galv. 3/4 (1.1 ML), Abrazadera Plastica 5/8 (1 UND), Soldadura 95-5 Plata (0.04 lb). Mano de obra: Auxiliar De Instalaciones 1 (1 hh), Oficial Instalaciones (1 hh). Equipo: Herrramienta Y Equipo Menor (5 %).</t>
  </si>
  <si>
    <t>Instalaciones de gas</t>
  </si>
  <si>
    <t>AM01 · OG06 · ES15 · NP02</t>
  </si>
  <si>
    <t>ES15 Gas</t>
  </si>
  <si>
    <t>1.06.21</t>
  </si>
  <si>
    <t>SUMINISTRO E INSTLACION DE RED SUMINISTRO PVC 1" RDE 13.5</t>
  </si>
  <si>
    <t>Precio por ML. Materiales: Tee Pvc Presion 1`` (0.25 UND), Tubería Pvc 1`` Rde13.5 (1.05 ML), Union Pvc 1`` (1 UND), Codo 45° Presión 1" (0.25 UND) y 3 más. Mano de obra: Auxiliar De Instalaciones 1 (0.14 hh), Oficial Instalaciones (0.14 hh). Equipo: Herrramienta Y Equipo Menor (5 %).</t>
  </si>
  <si>
    <t>1.06.22</t>
  </si>
  <si>
    <t>SUMINISTRO E INSTALACION DE RED SUMINISTRO PVC-P 3/4" RDE 11</t>
  </si>
  <si>
    <t>Precio por ML. Materiales: Tee Pvc Presion 3/4`` (1 UND), Tubería Pvc-P 3/4`` Rde11 (1.05 ML), Union Pvc 3/4`` (1 UND), Codo 45° Presión 3/4" (0.5 UND) y 3 más. Mano de obra: Auxiliar De Instalaciones 1 (0.14 hh), Oficial Instalaciones (0.14 hh). Equipo: Herrramienta Y Equipo Menor (3.3 %).</t>
  </si>
  <si>
    <t>1.06.23</t>
  </si>
  <si>
    <t>SUMINISTRO E INSTALACION DE RED SUMINISTRO TUBERIA PVC-P 1/2" RDE 9</t>
  </si>
  <si>
    <t>Precio por ML. Materiales: Tee Pvc Presion 1/2`` (1 UND), Tubería Pvc-P 1/2`` Rde9 (1.05 ML), Union Pvc Presion Soldar D = 1/2`` (1 UND), Codo 90° Pvc-P 1/2" (1 UND) y 2 más. Mano de obra: Auxiliar De Instalaciones 1 (0.1 hh), Oficial Instalaciones (0.1 hh). Equipo: Herrramienta Y Equipo Menor (3.3 %).</t>
  </si>
  <si>
    <t>1.06.24</t>
  </si>
  <si>
    <t>SUMINISTRO E INSTALREGISTRO CORTINA ROSCADO RED-WHITE 1/2"</t>
  </si>
  <si>
    <t>Precio por UND. Materiales: Registro Cortina Roscado Red-White 1/2`` (1 UND). Mano de obra: Auxiliar De Instalaciones 1 (0.3 hh), Oficial Instalaciones (0.3 hh). Equipo: Herrramienta Y Equipo Menor (1 %).</t>
  </si>
  <si>
    <t>1.06.25</t>
  </si>
  <si>
    <t>SUMINISTRO E INSTALACION DE REGISTROS 1`` EN BRONCE</t>
  </si>
  <si>
    <t>Precio por UND. Materiales: Registro Cortina Roscado Tipo Red- White Ref. 206 1`` (1 UND). Mano de obra: Auxiliar De Instalaciones 1 (0.7 hh), Oficial Instalaciones (0.7 hh). Equipo: Herrramienta Y Equipo Menor (5 %).</t>
  </si>
  <si>
    <t>1.06.26</t>
  </si>
  <si>
    <t>SUMINISTRO E INSTALACION DE REGISTROS 3/4`` EN BRONCE</t>
  </si>
  <si>
    <t>Precio por UND. Materiales: Registro Cortina Roscado Red-White 3/4`` (1 UND). Mano de obra: Auxiliar De Instalaciones 1 (0.55 hh), Oficial Instalaciones (0.55 hh). Equipo: Herrramienta Y Equipo Menor (5 %).</t>
  </si>
  <si>
    <t>1.06.27</t>
  </si>
  <si>
    <t>REVENTILACION PVC 3"</t>
  </si>
  <si>
    <t>Precio por ML. Materiales: Tubería Pvc Rev 3`` (1.05 ML), Codo C X C 90° Pvc-S 3" (0.25 UND), Limpiador 1/4 Pvc (0.01 gl), Soldadura Liquida Pvc 1/4`` (0.01 gl). Mano de obra: Auxiliar De Instalaciones 1 (0.4 hh), Oficial Instalaciones (0.4 hh). Equipo: Herrramienta Y Equipo Menor (5 %).</t>
  </si>
  <si>
    <t>1.06.28</t>
  </si>
  <si>
    <t>SALIDA SANITARIA PVC 3"</t>
  </si>
  <si>
    <t>Precio por UND. Materiales: Tubería Pvc 3`` Sanit (2.75 ML), Yee Sanitaria Sencilla Pvc-S 3`` (1 UND), Codo C X C 90° Pvc-S 3" (1 UND), Codo C X E 45° Pvc-S 3" (1 UND) y 2 más. Mano de obra: Auxiliar De Instalaciones 1 (2 hh), Oficial Instalaciones (1 hh). Equipo: Herrramienta Y Equipo Menor (5 %).</t>
  </si>
  <si>
    <t>1.06.29</t>
  </si>
  <si>
    <t>SUMINISTRO E INSTALACIÓN CHEQUE RED-W HITE 1 1/2"</t>
  </si>
  <si>
    <t>Precio por UND. Materiales: Universal Galvanizada 1 1/2`` (1 UND), Cheque Red - Write 1 1/2" (1 UND). Mano de obra: Auxiliar De Instalaciones 1 (0.5 hh), Oficial Instalaciones (0.5 hh). Equipo: Herrramienta Y Equipo Menor (5 %).</t>
  </si>
  <si>
    <t>Obra general</t>
  </si>
  <si>
    <t>AM01 · OG06 · ES18 · NP02</t>
  </si>
  <si>
    <t>ES18 Personal y generales</t>
  </si>
  <si>
    <t>1.06.30</t>
  </si>
  <si>
    <t>SUMINISTRO E INSTALACIÓN CHEQUE RED-WHITE 1"</t>
  </si>
  <si>
    <t>Precio por UND. Materiales: Universal Galvanizada 1`` (1 UND), Cheque Red - Write Roscado 1" (1 UND). Mano de obra: Auxiliar De Instalaciones 1 (0.5 hh), Oficial Instalaciones (0.5 hh). Equipo: Herrramienta Y Equipo Menor (3 %).</t>
  </si>
  <si>
    <t>1.06.31</t>
  </si>
  <si>
    <t>SUMINISTRO E INSTALACIÓN DE ACOMETIDA 2" X 3/4" INCLUYE TUBERÍA PF + UAD 3/4" , REGISTRO DE CORTE, COLLAR DERIVACIÓN Y ACCESORIOS COMPLEMENTARIOS PARA SU CONEXIÓN.</t>
  </si>
  <si>
    <t>Precio por UND. Materiales: Valvula Elastico 3/4`` (1 UND), Codo 90° Presión 3/4" (1 UND), Adaptador Hembra D = 3/4" (1 UND), Collar De Derivacion De 2 * 3/4`` (1 UND) y 4 más. Mano de obra: Auxiliar De Instalaciones 1 (1 hh), Oficial Instalaciones (1 hh). Equipo: Herrramienta Y Equipo Menor (1 %).</t>
  </si>
  <si>
    <t>AM01 · OG06 · ES14 · NP02</t>
  </si>
  <si>
    <t>1.06.32</t>
  </si>
  <si>
    <t>SUMINISTRO E INSTALACIÓN DE ACOMETIDA 2" X 1/2" INCLUYE TUBERÍA PF + UAD 1/2", REGISTRO DE CORTE, COLLAR DERIVACIÓN Y ACCESORIOS COMPLEMENTARIOS PARA SU CONEXIÓN.</t>
  </si>
  <si>
    <t>Precio por UND. Materiales: Codo Presion 90° Pd+uad 1/2`` (1 UND), Adaptador Hembra D = 1/2" (1 UND), Collar De Derivacion De 2 * 1/2`` (1 UND), Adaptador Hembra Unión Platino Pf + Uad D = 1/2" (2 UND) y 3 más. Mano de obra: Auxiliar De Instalaciones 1 (1 hh), Oficial Instalaciones (1 hh). Equipo: Herrramienta Y Equipo Menor (1 %).</t>
  </si>
  <si>
    <t>1.06.33</t>
  </si>
  <si>
    <t>SUMINISTRO E INSTALACIÓN DE ACOMETIDA 3" X 3/4" INCLUYE TUBERÍA PF + UAD 3/4" , REGISTRO DE CORTE, COLLAR DERIVACIÓN Y ACCESORIOS COMPLEMENTARIOS PARA SU CONEXIÓN.</t>
  </si>
  <si>
    <t>Precio por UND. Materiales: Valvula Elastico 3/4`` (1 UND), Codo 90° Presión 3/4" (1 UND), Adaptador Hembra D = 3/4" (1 UND), Collar De Derivacion De 3* 3/4`` (1 UND) y 4 más. Mano de obra: Auxiliar De Instalaciones 1 (1 hh), Oficial Instalaciones (1 hh). Equipo: Herrramienta Y Equipo Menor (1 %).</t>
  </si>
  <si>
    <t>1.06.34</t>
  </si>
  <si>
    <t>SUMINISTRO E INSTALACIÓN DE ACOMETIDA 3" X 1/2" INCLUYE TUBERÍA PF + UAD 1/2", REGISTRO DE CORTE, COLLAR DERIVACIÓN Y ACCESORIOS COMPLEMENTARIOS PARA SU CONEXIÓN.</t>
  </si>
  <si>
    <t>Precio por UND. Materiales: Codo Presion 90° Pd+uad 1/2`` (1 UND), Adaptador Hembra D = 1/2" (1 UND), Collar De Derivacion De 3* 1/2`` (1 UND), Adaptador Hembra Unión Platino Pf + Uad D = 1/2" (1 UND) y 3 más. Mano de obra: Auxiliar De Instalaciones 1 (1 hh), Oficial Instalaciones (1 hh). Equipo: Herrramienta Y Equipo Menor (1 %).</t>
  </si>
  <si>
    <t>1.06.35</t>
  </si>
  <si>
    <t>SUMINISTRO E INSTALACIÓN TANQUE ELEVADO PVC 1000 LTS. INC. ACCESORIOS</t>
  </si>
  <si>
    <t>Precio por UND. Materiales: Tanque Plastico 1000 Lt (1 UND), Tubería Pvc 1`` Rde13.5 (1.05 ML), Tubería Pvc-P 2`` Rde21 (1.05 ML), Cinta Teflon 10 M 1/2" (1 rl) y 4 más. Mano de obra: Auxiliar De Instalaciones 1 (4 hh), Oficial Instalaciones (2 hh). Equipo: Herrramienta Y Equipo Menor (12 %).</t>
  </si>
  <si>
    <t>1.06.36</t>
  </si>
  <si>
    <t>SUMINISTRO E INSTALACIÓN TANQUE ELEVADO PVC 2000 LTS. INC. ACCESORIOS</t>
  </si>
  <si>
    <t>Precio por UND. Materiales: Tanque Plastico 2000 Lt (1 UND), Tubería Pvc 1`` Rde13.5 (1.05 ML), Tubería Pvc-P 2`` Rde21 (1.05 ML), Cinta Teflon 10 M 1/2" (1 rl) y 4 más. Mano de obra: Auxiliar De Instalaciones 1 (4 hh), Oficial Instalaciones (2 hh). Equipo: Herrramienta Y Equipo Menor (12 %).</t>
  </si>
  <si>
    <t>1.06.37</t>
  </si>
  <si>
    <t>SUMINISTRO E INSTALACIÓN TANQUE ELEVADO PVC 250 LTS. INCLUYE ACCESORIOS</t>
  </si>
  <si>
    <t>Precio por UND. Materiales: Tanque Plastico 250 Lt (1 UND), Tubería Pvc 1`` Rde13.5 (1.05 ML), Tubería Pvc-P 2`` Rde21 (1.05 ML), Cinta Teflon 10 M 1/2" (0.7 rl) y 4 más. Mano de obra: Auxiliar De Instalaciones 1 (2.8 hh), Oficial Instalaciones (1.3 hh). Equipo: Herrramienta Y Equipo Menor (12 %).</t>
  </si>
  <si>
    <t>1.06.38</t>
  </si>
  <si>
    <t>SUMINISTRO E INSTALACIÓN TANQUE ELEVADO PVC 500 LTS. INC. ACCESORIOS</t>
  </si>
  <si>
    <t>Precio por UND. Materiales: Tanque Plastico 500 Lt (1 UND), Tubería Pvc 1`` Rde13.5 (1.05 ML), Tubería Pvc-P 2`` Rde21 (1.05 ML), Cinta Teflon 10 M 1/2" (1 rl) y 4 más. Mano de obra: Auxiliar De Instalaciones 1 (4 hh), Oficial Instalaciones (2 hh). Equipo: Herrramienta Y Equipo Menor (12 %).</t>
  </si>
  <si>
    <t>1.06.39</t>
  </si>
  <si>
    <t>SUMINISTRO E INSTALACIÓN TANQUE ELEVADO PVC 5000 LTS. INC. ACCESORIOS</t>
  </si>
  <si>
    <t>Precio por UND. Materiales: Tanque Plastico 5000 Lt (1 UND), Tubería Pvc 1`` Rde13.5 (1.05 ML), Tubería Pvc-P 2`` Rde21 (1.05 ML), Cinta Teflon 10 M 1/2" (1 rl) y 4 más. Mano de obra: Auxiliar De Instalaciones 1 (9 hh), Oficial Instalaciones (3 hh). Equipo: Herrramienta Y Equipo Menor (12 %).</t>
  </si>
  <si>
    <t>1.06.40</t>
  </si>
  <si>
    <t>TUBERIA DE 4`` PVC SANITARIA, INCLUYE INSTALACION</t>
  </si>
  <si>
    <t>Precio por ML. Materiales: Tubería San 4```` Pvc (1.03 ML), Limpiador Pvc 760 Grms (0.21 UND), Soldadura Liquida Pvc 1/4`` (0.02 gl). Mano de obra: Auxiliar De Instalaciones 1 (0.12 hh), Oficial Instalaciones (0.12 hh). Equipo: Herrramienta Y Equipo Menor (2.2 %).</t>
  </si>
  <si>
    <t>1.06.41</t>
  </si>
  <si>
    <t>TUBERIA DE 6`` PVC SANITARIA, INCLUYE INSTALACION</t>
  </si>
  <si>
    <t>Precio por ML. Materiales: Tubería San 6`` Pvc-160m (1 ML), Limpiador 1/4 Pvc (0.04 gl), Soldadura Liquida Pvc 1/4`` (0.04 gl). Mano de obra: Auxiliar De Instalaciones 1 (0.13 hh), Oficial Instalaciones (0.13 hh). Equipo: Herrramienta Y Equipo Menor (2.2 %).</t>
  </si>
  <si>
    <t>1.06.42</t>
  </si>
  <si>
    <t>TUBERIA PVC DRENAJES D= 6`` CON HIDROSELLO, INCLUYE INSTALACIÓN</t>
  </si>
  <si>
    <t>Precio por ML. Materiales: Tubería San 6`` Pvc-160m (1 ML), Hidrosello Novafort 160mm (0.18 UND), Adhesivo Novafort (0.03 gl). Mano de obra: Auxiliar De Obra 2 (0.4 hh), Auxiliar De Instalaciones 1 (0.4 hh), Oficial Instalaciones (0.4 hh). Equipo: Herrramienta Y Equipo Menor (5 %).</t>
  </si>
  <si>
    <t>1.07.01</t>
  </si>
  <si>
    <t>INSTALACIONES ELÉCTRICAS - LUMINARIAS - LÁMPARAS</t>
  </si>
  <si>
    <t>ACOMETIDA AÉREA 10 M/ PVC</t>
  </si>
  <si>
    <t>Precio por UND. Materiales: Tubería Pvc Conduit 1/2`` (6.3 ML), Tubería Pvc Conduit 1`` (6.3 ML), Caja 60x60x12 Cm (1 UND), Adaptador Terminal 1`` Conduit (3 UND) y 5 más. Mano de obra: Auxiliar De Instalaciones 1 (6 hh), Oficial Instalaciones (6 hh). Equipo: Herrramienta Y Equipo Menor (3.3 %).</t>
  </si>
  <si>
    <t>AM01 · OG06 · ES14 · NP01</t>
  </si>
  <si>
    <t>1.07.02</t>
  </si>
  <si>
    <t>SALIDA BIFÁSICA+ TOMA, TUBO EMT Ø 1/2</t>
  </si>
  <si>
    <t>Precio por UND. Materiales: Suplemento Caja Doble Met.galv.2400 (1 UND), Tomac. Bif. 20a-250v Pata Trabada (1 UND), Tubería Conduit Galv. Emt 1/2 (6 ML), Unión Conduit Galv. Emt , 1/2 (2 UND) y 4 más. Mano de obra: Auxiliar De Instalaciones 1 (4 hh), Oficial Instalaciones (4 hh). Equipo: Herrramienta Y Equipo Menor (5 %).</t>
  </si>
  <si>
    <t>1.07.03</t>
  </si>
  <si>
    <t>SALIDA DE VOZ Y DATOS</t>
  </si>
  <si>
    <t>Precio por UND. Materiales: Toma Jack Rj45-110 Cat. 5e Amp (1 UND), Wall Plate Ajuste Sencillo (1 UND), Placa De Identificación 2x1 Cm (1 UND). Mano de obra: Auxiliar De Instalaciones 1 (0.53 hh), Oficial Instalaciones (0.53 hh). Equipo: Herrramienta Y Equipo Menor (5 %).</t>
  </si>
  <si>
    <t>Voz, datos y telefonía</t>
  </si>
  <si>
    <t>1.07.04</t>
  </si>
  <si>
    <t>SALIDA LAMPARA TOMA PVC COMPLETA</t>
  </si>
  <si>
    <t>Precio por UND. Materiales: Tubería Pvc Conduit 1/2`` (4 ML), Caja Sencilla Conduit (1 UND), Adaptador Terminal 1/2`` Conduit (3 UND), Interruptor Doble (1 UND) y 5 más. Mano de obra: Auxiliar De Instalaciones 1 (3.5 hh), Oficial Instalaciones (3.5 hh). Equipo: Herrramienta Y Equipo Menor (3.3 %).</t>
  </si>
  <si>
    <t>Iluminación</t>
  </si>
  <si>
    <t>1.07.05</t>
  </si>
  <si>
    <t>SALIDA LAMPARA. CONMUTABLE PVC COMPLETA.</t>
  </si>
  <si>
    <t>Precio por UND. Materiales: Tubería Pvc Conduit 1/2`` (4 ML), Caja Sencilla Conduit (2 UND), Adaptador Terminal 1/2`` Conduit (3 UND), Interruptor Conm. Doble (1 UND) y 5 más. Mano de obra: Auxiliar De Instalaciones 1 (3.5 hh), Oficial Instalaciones (3.5 hh). Equipo: Herrramienta Y Equipo Menor (3.3 %).</t>
  </si>
  <si>
    <t>1.07.06</t>
  </si>
  <si>
    <t>SALIDA T.V PVC COMPLETA.</t>
  </si>
  <si>
    <t>Precio por UND. Materiales: Tubería Pvc Conduit 1/2`` (12 ML), Cable Coaxial (16 ML), Caja Sencilla Conduit (1.05 UND), Adaptador Terminal Emt 1/2 (2 UND) y 2 más. Mano de obra: Auxiliar De Instalaciones 1 (2.5 hh), Oficial Instalaciones (2.5 hh). Equipo: Herrramienta Y Equipo Menor (3.3 %).</t>
  </si>
  <si>
    <t>1.07.07</t>
  </si>
  <si>
    <t>SALIDA TELEFONO PVC COMPLETA</t>
  </si>
  <si>
    <t>Precio por UND. Materiales: Alambre Telefónico 2x22 Trenzado (10 ML), Alambre Telefónico N 22 Estañado (10 ML), Toma Telefonica (1 UND), Tubería Pvc Conduit 1/2`` (10 ML) y 4 más. Mano de obra: Auxiliar De Instalaciones 1 (3.33 hh), Oficial Instalaciones (3.33 hh). Equipo: Herrramienta Y Equipo Menor (3.3 %).</t>
  </si>
  <si>
    <t>1.07.08</t>
  </si>
  <si>
    <t>SALIDA TIMBRE PVC COMPLETA</t>
  </si>
  <si>
    <t>Precio por UND. Materiales: Alambre Telefónico 2x22 Trenzado (10 ML), Tubería Pvc Conduit 1/2`` (10 ML), Caja Sencilla Conduit (1.05 UND), Adaptador Terminal Emt 1/2 (2 UND) y 3 más. Mano de obra: Auxiliar De Instalaciones 1 (3.33 hh), Oficial Instalaciones (3.33 hh). Equipo: Herrramienta Y Equipo Menor (3.3 %).</t>
  </si>
  <si>
    <t>1.07.09</t>
  </si>
  <si>
    <t>SALIDA TRIFÁSICA + TOMA, TUBO EMT</t>
  </si>
  <si>
    <t>Precio por UND. Materiales: Suplemento Caja Doble Met.galv.2400 (1 UND), Toma Trifásica (1 UND), Tubería Conduit Galv. Emt, 3/4 (6 ML), Unión Conduit Galv. Emt , 3/4 (2 UND) y 4 más. Mano de obra: Auxiliar De Instalaciones 1 (6.8 hh), Oficial Instalaciones (3.4 hh). Equipo: Herrramienta Y Equipo Menor (8 %).</t>
  </si>
  <si>
    <t>1.07.10</t>
  </si>
  <si>
    <t>SALIDA TRIFÁSICA + TOMA, TUBO EMT PVC COMPLETA</t>
  </si>
  <si>
    <t>Precio por UND. Materiales: Suplemento Caja Doble Met.galv.2400 (1 UND), Tubería Conduit Galv. Emt, 3/4 (6 ML), Unión Conduit Galv. Emt , 3/4 (2 UND), Caja Cuadrada 10x10x10 Cm (1 UND) y 5 más. Mano de obra: Auxiliar De Instalaciones 1 (4 hh), Oficial Instalaciones (4 hh). Equipo: Herrramienta Y Equipo Menor (3.3 %).</t>
  </si>
  <si>
    <t>1.07.11</t>
  </si>
  <si>
    <t>SOCKETS + BALASTO P/40 W</t>
  </si>
  <si>
    <t>Precio por UND. Materiales: Arrancador Tubo Corriente (1 UND), Balasto Mercurio 400w (1 UND), Sockets Dulux Fluorescente (1 UND). Mano de obra: Cuadrilla Instal. Internas (0.5 hc). Equipo: Herrramienta Y Equipo Menor (5 %).</t>
  </si>
  <si>
    <t>1.07.12</t>
  </si>
  <si>
    <t>SOCKETS + BALASTO P/48 W</t>
  </si>
  <si>
    <t>Precio por UND. Materiales: Balasto Mag Slim Line De 2x48w 120v (1 UND), Sockets Dulux Fluorescente (1 UND). Mano de obra: Cuadrilla Instal. Internas (0.5 hc). Equipo: Herrramienta Y Equipo Menor (5 %).</t>
  </si>
  <si>
    <t>1.07.13</t>
  </si>
  <si>
    <t>SOPORTE PROYECTORES</t>
  </si>
  <si>
    <t>Precio por UND. Materiales: Soporte Para Reflectores (1 UND). Mano de obra: Cuadrilla Instal. Internas (0.5 hc). Equipo: Herrramienta Y Equipo Menor (5 %).</t>
  </si>
  <si>
    <t>AM01 · OG06 · ES18 · NP01</t>
  </si>
  <si>
    <t>1.07.14</t>
  </si>
  <si>
    <t>SALIDA TOMA GFCI CABLE12AWG THHN. PVC Ø 1/2 INCLUYE TOMA</t>
  </si>
  <si>
    <t>Precio por UND. Materiales: Tubería Conduit Pvc 1/2 (2 ML), Tomacorriente Gfci (1 UND), Caja Doble Met. Galv. 2400 (1 UND), Curva Conduit Galv. Emt ø 1/2 (1 UND) y 4 más. Mano de obra: Auxiliar De Instalaciones 1 (3.5 hh), Oficial Instalaciones (3.5 hh). Equipo: Herrramienta Y Equipo Menor (3.3 %).</t>
  </si>
  <si>
    <t>1.07.15</t>
  </si>
  <si>
    <t>SALIDA TOMA DOBLE CABLE 12AWG HFFR-LS PVC 1/2 COMPLETA</t>
  </si>
  <si>
    <t>Precio por UND. Materiales: Toma Corriente De Polo Aislado (1 UND), Tubería Conduit Pvc 1/2 (2 ML), Cable De Cobre Aislado 12 Hffr Ls (6 ML), Caja Doble Met. Galv. 2400 (1 UND) y 4 más. Mano de obra: Auxiliar De Instalaciones 1 (3.5 hh), Oficial Instalaciones (3.5 hh). Equipo: Herrramienta Y Equipo Menor (3.3 %).</t>
  </si>
  <si>
    <t>1.07.16</t>
  </si>
  <si>
    <t>SUMINISTRO E INSTALACIÓN PANEL LED INCRUSTAR 12W</t>
  </si>
  <si>
    <t>Precio por UND. Materiales: Panel Led Incrustar 12w (1 UND). Mano de obra: Auxiliar De Instalaciones 1 (0.03 hh), Oficial Instalaciones (0.03 hh). Equipo: Herrramienta Y Equipo Menor (5 %).</t>
  </si>
  <si>
    <t>1.07.17</t>
  </si>
  <si>
    <t>SUMINISTRO E INSTALACIÓN DE LÁMPARA LED HERMÉTICA 2x32W</t>
  </si>
  <si>
    <t>Precio por UND. Materiales: Clavija Plastica 15a-120v Con Polo A Tierra (1 UND), Lámpara Hermética 2x32 (1 UND), Cable Encauchetado St 3x16 (2 ML). Mano de obra: Auxiliar De Instalaciones 1 (0.3 hh), Oficial Instalaciones (0.3 hh). Equipo: Herrramienta Y Equipo Menor (5 %).</t>
  </si>
  <si>
    <t>1.07.18</t>
  </si>
  <si>
    <t>SUMINISTRO E INSTALACIÓN PANEL LED SOBREPONER 60*60 48W</t>
  </si>
  <si>
    <t>Precio por UND. Materiales: Lámpara Panel Sobreponer Led 60x60 48w Blanca (1 UND). Mano de obra: Auxiliar De Instalaciones 1 (0.03 hh), Oficial Instalaciones (0.03 hh). Equipo: Herrramienta Y Equipo Menor (5 %).</t>
  </si>
  <si>
    <t>1.07.19</t>
  </si>
  <si>
    <t>SUMINISTRO E INSTALACIÓN DE LÁMPARA LED HERMÉTICA 2x18W</t>
  </si>
  <si>
    <t>Precio por UND. Materiales: Clavija Plastica 15a-120v Con Polo A Tierra (1 UND), Lámpara Hermética Led 2x18 (1 UND), Cable Encauchetado St 3x16 (2 ML). Mano de obra: Auxiliar De Instalaciones 1 (0.3 hh), Oficial Instalaciones (0.3 hh). Equipo: Herrramienta Y Equipo Menor (5 %).</t>
  </si>
  <si>
    <t>1.07.20</t>
  </si>
  <si>
    <t>SUMINISTRO E INSTALACION DE CONTADOR ELECTRICO MONOFASICO</t>
  </si>
  <si>
    <t>Precio por UND. Materiales: Contador Electrico Monofasico 15 A 20 Amp (1 UND). Mano de obra: Auxiliar De Instalaciones 1 (6 hh), Oficial Instalaciones (6 hh). Equipo: Herrramienta Y Equipo Menor (5 %).</t>
  </si>
  <si>
    <t>1.07.21</t>
  </si>
  <si>
    <t>SUMINISTRO E INSTALACIÓN DE CONTADOR ELECTRICO TRIFASICO</t>
  </si>
  <si>
    <t>Precio por UND. Materiales: Contador Electrico Trifasico 20 A 80 Amp (1 UN). Mano de obra: Auxiliar De Instalaciones 1 (8 hh), Oficial Instalaciones (8 hh). Equipo: Herrramienta Y Equipo Menor (7 %).</t>
  </si>
  <si>
    <t>1.07.22</t>
  </si>
  <si>
    <t>SUMINISTRO E INSTALACIÓN DE FLUORESCENTE (4P) PLACA</t>
  </si>
  <si>
    <t>Precio por UND. Materiales: Carga Fulminante Fuerte + Clavo 5/16 B. Vel 1 (4 UND), Perno Alt.vel. 1/4 X 2 (4 UND). Mano de obra: Cuadrilla Instal. Internas (0.75 hc). Equipo: Herrramienta Y Equipo Menor (5 %).</t>
  </si>
  <si>
    <t>AM01 · OG06 · ES04 · NP02</t>
  </si>
  <si>
    <t>1.07.23</t>
  </si>
  <si>
    <t>SUMINISTRO E INSTALACIÓN DE FLUORESCENTE (6P) PLACA</t>
  </si>
  <si>
    <t>Precio por UND. Materiales: Carga Fulminante Fuerte + Clavo 5/16 B. Vel 1 (6 UND), Perno Alt.vel. 1/4 X 2 (6 UND). Mano de obra: Cuadrilla Instal. Internas (1 hc). Equipo: Herrramienta Y Equipo Menor (5 %).</t>
  </si>
  <si>
    <t>1.07.24</t>
  </si>
  <si>
    <t>SUMINISTRO E INSTALACIÓN DE LAMPARA 2*48 BAJO PLACA LAMINA LATERAL INDUSTRIAL</t>
  </si>
  <si>
    <t>Precio por UND. Materiales: Carga Fulm Fuerte 330 (4 UND), Lampara 2*48 Lateral Lamina Industrial (1 UND), Perno Alt.vel. 1/4 X 2 (4 UND). Mano de obra: Auxiliar De Instalaciones 1 (0.5 hh), Oficial Instalaciones (0.5 hh). Equipo: Herrramienta Y Equipo Menor (3.3 %).</t>
  </si>
  <si>
    <t>1.07.25</t>
  </si>
  <si>
    <t>SUMINISTRO E INSTALACIÓN DE LAMPARA 2*96 BAJO PLACA LAMINA LATERAL INDUSTRIAL</t>
  </si>
  <si>
    <t>Precio por UND. Materiales: Carga Fulminante Fuerte + Clavo 5/16 B. Vel 1 (4 UND), Lampara 2*96 Lateral Lamina Industrial (1 UND), Perno Alt.vel. 1/4 X 2 (4 UND). Mano de obra: Auxiliar De Instalaciones 1 (0.8 hh), Oficial Instalaciones (0.8 hh). Equipo: Herrramienta Y Equipo Menor (3.3 %).</t>
  </si>
  <si>
    <t>1.07.26</t>
  </si>
  <si>
    <t>SUMINISTRO E INSTALACIÓN DE LÁMPARA 2X48 BAJO PLACA</t>
  </si>
  <si>
    <t>Precio por UND. Materiales: Carga Fulminante Fuerte + Clavo 5/16 B. Vel 1 (4 UND), Lámpara Slim 2x48 X-20km (1 UND), Perno Alt.vel. 1/4 X 2 (4 UND). Mano de obra: Cuadrilla Instal. Internas (0.5 hc). Equipo: Herrramienta Y Equipo Menor (5 %).</t>
  </si>
  <si>
    <t>1.07.27</t>
  </si>
  <si>
    <t>SUMINISTRO E INSTALACIÓN DE LÁMPARA 2X96 BAJO PLACA</t>
  </si>
  <si>
    <t>Precio por UND. Materiales: Carga Fulminante Fuerte + Clavo 5/16 B. Vel 1 (6 UND), Lámpara Slim 2x96 X-20km (1 UND), Perno Alt.vel. 1/4 X 2 (6 UND). Mano de obra: Cuadrilla Instal. Internas (1 hc). Equipo: Herrramienta Y Equipo Menor (5 %).</t>
  </si>
  <si>
    <t>1.07.28</t>
  </si>
  <si>
    <t>SALIDA LÁMPARA-TOMA / ECONÓMICA</t>
  </si>
  <si>
    <t>Precio por UND. Materiales: Toma Sencilla Americana (1 UND), Tubería Conduit Pvc 1/2 (5 ML), Caja Sencilla Conduit (2 UND), Adaptador Terminal Conduit 1/2 (3 UND) y 4 más. Mano de obra: Cuadrilla Instal. Internas (2 hc). Equipo: Herrramienta Y Equipo Menor (5 %).</t>
  </si>
  <si>
    <t>1.07.29</t>
  </si>
  <si>
    <t>SUMINISTRO E INSTALACIÓN DE LUMINARIA COLONIAL</t>
  </si>
  <si>
    <t>Precio por UND. Materiales: Farol Colonial 70 W. Sodio (1 UND). Mano de obra: Cuadrilla Instal. Internas (1 hc). Equipo: Herrramienta Y Equipo Menor (5 %).</t>
  </si>
  <si>
    <t>1.07.30</t>
  </si>
  <si>
    <t>SUMINISTRO E INSTALACIÓN DE LUMINARIA DJK 125 W</t>
  </si>
  <si>
    <t>Precio por UND. Materiales: Farol Djk 70 W (1 UND). Mano de obra: Cuadrilla Instal. Internas (0.75 hc). Equipo: Herrramienta Y Equipo Menor (5 %).</t>
  </si>
  <si>
    <t>1.07.31</t>
  </si>
  <si>
    <t>SUMINISTRO E INSTALACIÓN DE LUMINARIA AP LED 18-35W 5040 lm</t>
  </si>
  <si>
    <t>Precio por UND. Materiales: Fotocelda Para Luminaria (1 UN), Luminaria Ap Led Street Urban 18-35w 5040lm (1 UN), Brazo Luminaria 3/4 (1 UND), Alambre Cobre Thw 12 Awg Thhn/Nn (4 ML). Mano de obra: Hr. Cuadrilla Of+aux. Eléctrico (1 hc). Equipo: Herrramienta Y Equipo Menor (3.3 %).</t>
  </si>
  <si>
    <t>1.07.32</t>
  </si>
  <si>
    <t>SUMINISTRO E INSTALACIÓN DE LUMINARIA AP LED 30-60W 8400 lm</t>
  </si>
  <si>
    <t>Precio por UND. Materiales: Fotocelda Para Luminaria (1 UN), Luminaria Ap Led Street Urban 30-60w 8400lm (1 UN), Brazo Luminaria 3/4 (1 UND), Alambre Cobre Thw 12 Awg Thhn/Nn (4 ML). Mano de obra: Hr. Cuadrilla Of+aux. Eléctrico (1 hc). Equipo: Herrramienta Y Equipo Menor (3.3 %).</t>
  </si>
  <si>
    <t>1.07.33</t>
  </si>
  <si>
    <t>SUMINISTRO E INSTALACIÓN DE LUMINARIA AP LED 60W 7500 lm</t>
  </si>
  <si>
    <t>Precio por UND. Materiales: Fotocelda Para Luminaria (1 UN), Luminaria Ap Led 60w 7500lm (1 UN), Brazo Luminaria 3/4 (1 UND), Alambre Cobre Thw 12 Awg Thhn/Nn (4 ML). Mano de obra: Hr. Cuadrilla Of+aux. Eléctrico (1 hc). Equipo: Herrramienta Y Equipo Menor (3.3 %).</t>
  </si>
  <si>
    <t>1.07.34</t>
  </si>
  <si>
    <t>SUMINISTRO E INSTALACIÓN DE LUMINARIA PARA POSTE</t>
  </si>
  <si>
    <t>Precio por UND. Materiales: Luminaria Y Jk-A 400w. Sodio (1 UND). Mano de obra: Cuadrilla Instal. Internas (0.75 hc). Equipo: Herrramienta Y Equipo Menor (3.3 %).</t>
  </si>
  <si>
    <t>1.07.35</t>
  </si>
  <si>
    <t>SUMINISTRO E INSTALACIÓN DE LUMINARIA PEDESTAL</t>
  </si>
  <si>
    <t>Precio por UND. Materiales: Farol De Pedestal 70 W (1 UND). Mano de obra: Cuadrilla Instal. Internas (1 hc). Equipo: Herrramienta Y Equipo Menor (5 %).</t>
  </si>
  <si>
    <t>1.07.36</t>
  </si>
  <si>
    <t>SUMINISTRO E INSTALACIÓN DE LUMINARIA SODIO 150 W</t>
  </si>
  <si>
    <t>Precio por UND. Materiales: Brazo Luminaria 3/4 (1 UND), Lámpara De Sodio De 150w Calima 2 (1 UND), Alambre Cobre Thw 12 Awg Thhn/Nn (4 ML). Mano de obra: Hr. Cuadrilla Of+aux. Eléctrico (1 hc). Equipo: Herrramienta Y Equipo Menor (3.3 %).</t>
  </si>
  <si>
    <t>1.07.37</t>
  </si>
  <si>
    <t>SUMINISTRO E INSTALACIÓN DE LUMINARIA SODIO 250 W</t>
  </si>
  <si>
    <t>Precio por UND. Materiales: Brazo Luminaria 3/4 (1 UND), Luminaria Sodio Ltp-Vc 250w (1 UND), Alambre Cobre Thw 12 Awg Thhn/Nn (4 ML). Mano de obra: Hr. Cuadrilla Of+aux. Eléctrico (1 hc). Equipo: Herrramienta Y Equipo Menor (3.3 %).</t>
  </si>
  <si>
    <t>1.07.38</t>
  </si>
  <si>
    <t>SUMINISTRO E INSTALACIÓN DE LUMINARIA SODIO 400 W</t>
  </si>
  <si>
    <t>Precio por UND. Materiales: Brazo Luminaria 3/4 (1 UND), Luminaria Sodio Ltp-Vc 400w (1 UND), Alambre Cobre Thw 12 Awg Thhn/Nn (4 ML). Mano de obra: Hr. Cuadrilla Of+aux. Eléctrico (1 hc). Equipo: Herrramienta Y Equipo Menor (3.3 %).</t>
  </si>
  <si>
    <t>1.07.39</t>
  </si>
  <si>
    <t>SUMINISTRO E INSTALACIÓN DE REFLECTOR DE PISO 250 W</t>
  </si>
  <si>
    <t>Precio por UND. Materiales: Proyector Piso Rra 250 W (1 UND). Mano de obra: Cuadrilla Instal. Internas (1 hc). Equipo: Herrramienta Y Equipo Menor (5 %).</t>
  </si>
  <si>
    <t>1.07.40</t>
  </si>
  <si>
    <t>SUMINISTRO E INSTALACIÓN DE REFLECTOR DE PISO 400 W</t>
  </si>
  <si>
    <t>Precio por UND. Materiales: Proyector Piso Rra 400 W (1 UND). Mano de obra: Cuadrilla Instal. Internas (1 hc). Equipo: Herrramienta Y Equipo Menor (5 %).</t>
  </si>
  <si>
    <t>1.07.41</t>
  </si>
  <si>
    <t>SUMINISTRO E INSTALACIÓN DE RIEL ELÉCTRICO 2.34 M</t>
  </si>
  <si>
    <t>Precio por UND. Materiales: Riel Para 2 Spot Incandescente 60w (1 UND). Mano de obra: Auxiliar De Instalaciones 1 (1 hh), Oficial Instalaciones (1 hh). Equipo: Herrramienta Y Equipo Menor (5 %).</t>
  </si>
  <si>
    <t>1.07.42</t>
  </si>
  <si>
    <t>SUMINISTRO E INSTALACIÓN DE ROSETA BAKELITA</t>
  </si>
  <si>
    <t>Precio por UND. Materiales: Roseta Bakelita (1 UND). Mano de obra: Auxiliar De Instalaciones 1 (0.1 hh), Oficial Instalaciones (0.1 hh). Equipo: Herrramienta Y Equipo Menor (5 %).</t>
  </si>
  <si>
    <t>1.07.43</t>
  </si>
  <si>
    <t>SUMINISTRO E INSTALACIÓN DE ROSETA PORCELANA</t>
  </si>
  <si>
    <t>Precio por UND. Materiales: Roseta Porcelana (1 UND). Mano de obra: Cuadrilla Instal. Internas (0.1 hc). Equipo: Herrramienta Y Equipo Menor (5 %).</t>
  </si>
  <si>
    <t>1.07.44</t>
  </si>
  <si>
    <t>SUMINISTRO E INSTALACIÓN DE TABLERO PARCIAL 12 CIRCUITOS.</t>
  </si>
  <si>
    <t>Precio por UND. Materiales: Tablero Bif. 125a-240v S/Pta., 12 Ctos (1 UND), Placa De Identificación 2x1 Cm (18 UND). Mano de obra: Auxiliar De Instalaciones 1 (4 hh), Oficial Instalaciones (4 hh). Equipo: Herrramienta Y Equipo Menor (3.3 %).</t>
  </si>
  <si>
    <t>1.07.45</t>
  </si>
  <si>
    <t>SUMINISTRO E INSTALACIÓN DE TABLERO PARCIAL 18 CIRCUITOS.</t>
  </si>
  <si>
    <t>Precio por UND. Materiales: Tablero Trif .225a, P-C.,esp. Total, 18 Ctos (1 UND), Placa De Identificación 2x1 Cm (18 UND). Mano de obra: Auxiliar De Instalaciones 1 (3 hh), Oficial Instalaciones (3 hh). Equipo: Herrramienta Y Equipo Menor (5 %).</t>
  </si>
  <si>
    <t>1.07.46</t>
  </si>
  <si>
    <t>SUMINISTRO E INSTALACIÓN DE TABLERO PARCIALES 4 CIRCUITOS.</t>
  </si>
  <si>
    <t>Precio por UND. Materiales: Tablero Monof. 125a, 120/127v, 3h, 4 Ctos (1 UND), Placa De Identificación 2x1 Cm (4 UND). Mano de obra: Auxiliar De Instalaciones 1 (3 hh), Oficial Instalaciones (3 hh). Equipo: Herrramienta Y Equipo Menor (3.3 %).</t>
  </si>
  <si>
    <t>1.07.47</t>
  </si>
  <si>
    <t>SUMINISTRO E INSTALACIÓN DE TUBERIA PVC CONDUIT 1 1/2".</t>
  </si>
  <si>
    <t>Precio por ML. Materiales: Tubería Pvc Conduit 1 1/2`` (1.05 ML), Adaptador Terminal 1 1/2`` Conduit (2 UND), Limpiador 1/4 Pvc (0.01 gl), Soldadura Liquida Pvc 1/4`` (0.01 gl) y 4 más. Mano de obra: Auxiliar De Instalaciones 1 (0.4 hh), Oficial Instalaciones (0.4 hh), Auxiliar De Instalaciones 1 (0.45 hh), Oficial Instalaciones (0.45 hh). Equipo: Herrramienta Y Equipo Menor (3.3 %), Herrramienta Y Equipo Menor (5 %).</t>
  </si>
  <si>
    <t>Costo total del documento (28612.47) distinto a la suma de insumos (50965.84)</t>
  </si>
  <si>
    <t>1.07.49</t>
  </si>
  <si>
    <t>SUMINISTRO E INSTALACIÓN DE TUBERIA PVC CONDUIT 3/4".</t>
  </si>
  <si>
    <t>Precio por ML. Materiales: Tubería Pvc Conduit 3/4`` (1 ML), Adaptador Terminal 3/4`` Conduit (2 UND), Limpiador 1/4 Pvc (0.01 gl), Soldadura Liquida Pvc 1/4`` (0.01 gl). Mano de obra: Auxiliar De Instalaciones 1 (0.4 hh), Oficial Instalaciones (0.4 hh). Equipo: Herrramienta Y Equipo Menor (3.3 %).</t>
  </si>
  <si>
    <t>1.07.50</t>
  </si>
  <si>
    <t>SUMINSITO E INTALACIÓN DE CAJA EMPALME 75X75X35MM CABLEADO EST</t>
  </si>
  <si>
    <t>Precio por UND. Materiales: Caja Empalme 75x75x35mm Cableado Estructurado (1 UND). Mano de obra: Auxiliar De Instalaciones 1 (0.2 hh), Oficial Instalaciones (0.2 hh). Equipo: Herrramienta Y Equipo Menor (6.7 %).</t>
  </si>
  <si>
    <t>AM01 · OG06 · ES14 · NP03</t>
  </si>
  <si>
    <t>1.07.51</t>
  </si>
  <si>
    <t>SUMINSTRO E INSTALACIÓN DE STRIP TELEFONICO 10 PARES</t>
  </si>
  <si>
    <t>Precio por UND. Materiales: Caja 0,30 X 0,30 X 0,10 (1 UND), Placa De Identificación 2x1 Cm (10 UND), Regleta Strip Telefónico 10 Pares (1 UND), Soldadura Electrica (0.22 kg). Mano de obra: Auxiliar De Instalaciones 1 (4 hh), Oficial Instalaciones (4 hh). Equipo: Herrramienta Y Equipo Menor (3.3 %).</t>
  </si>
  <si>
    <t>1.07.52</t>
  </si>
  <si>
    <t>TIERRA TABLERO GENERAL (VARILLA COOPER WELL)</t>
  </si>
  <si>
    <t>Precio por UND. Materiales: Varilla Cw 1/2 X 2.40 (1.05 UND), Cable Cobre Desnudo Awg 1/O (3 ML), Soldadura Exotérmica (1.5 UND). Mano de obra: Auxiliar De Instalaciones 1 (4 hh), Oficial Instalaciones (4 hh). Equipo: Herrramienta Y Equipo Menor (3.3 %).</t>
  </si>
  <si>
    <t>1.07.53</t>
  </si>
  <si>
    <t>SALIDA PARA INTERRUPTOR SENCILLO CABLE 12AWG THHN COBRE PVC 1/2". INCLUYE INTERRUPTOR</t>
  </si>
  <si>
    <t>Precio por UND. Materiales: Tubería Conduit Pvc 1/2 (2 ML), Caja Doble Met. Galv. 2400 (1 UND), Curva Conduit Galv. Emt ø 1/2 (2 UND), Adaptador Terminal 1/2`` Conduit (1 UND) y 4 más. Mano de obra: Auxiliar De Instalaciones 1 (2 hh), Oficial Instalaciones (1 hh). Equipo: Herrramienta Y Equipo Menor (5 %).</t>
  </si>
  <si>
    <t>1.07.54</t>
  </si>
  <si>
    <t>SALIDA PARA INTERRUPTOR DOBLE CABLE 12AWG THHN COBRE PVC 1/2". INCLUYE INTERRUPTOR</t>
  </si>
  <si>
    <t>1.07.55</t>
  </si>
  <si>
    <t>SALIDA PARA INTERRUPTOR DOBLE CABLE 12AWG HFFR LS COBRE PVC 1/2". INCLUYE INTERRUPTOR</t>
  </si>
  <si>
    <t>Precio por UND. Materiales: Tubería Conduit Pvc 1/2 (2 ML), Cable De Cobre Aislado 12 Hffr Ls (6 ML), Caja Doble Met. Galv. 2400 (1 UND), Curva Conduit Galv. Emt ø 1/2 (2 UND) y 4 más. Mano de obra: Auxiliar De Instalaciones 1 (2 hh), Oficial Instalaciones (1 hh). Equipo: Herrramienta Y Equipo Menor (5 %).</t>
  </si>
  <si>
    <t>1.07.56</t>
  </si>
  <si>
    <t>SALIDA PARA INTERRUPTOR SENCILLO CABLE 12AWG HFFR LS COBRE PVC 1/2". INCLUYE INTERRUPTOR</t>
  </si>
  <si>
    <t>1.07.57</t>
  </si>
  <si>
    <t>SALIDA PARA LUMINARIA CABLE 12AWG THHN PVC 1/2.</t>
  </si>
  <si>
    <t>Precio por UND. Materiales: Tubería Conduit Pvc 1/2 (2 ML), Caja Doble Met. Galv. 2400 (1 UND), Curva Conduit Galv. Emt ø 1/2 (1 UND), Adaptador Terminal 1/2`` Conduit (1 UND) y 3 más. Mano de obra: Auxiliar De Instalaciones 1 (3.5 hh), Oficial Instalaciones (3.5 hh). Equipo: Herrramienta Y Equipo Menor (5 %).</t>
  </si>
  <si>
    <t>1.07.58</t>
  </si>
  <si>
    <t>SALIDA PARA LUMINARIA CABLE 12AWG HFFR LS PVC 1/2".</t>
  </si>
  <si>
    <t>Precio por UND. Materiales: Tubería Conduit Pvc 1/2 (2 ML), Cable De Cobre Aislado 12 Hffr Ls (6 ML), Caja Sencilla Conduit (1 UND), Curva Conduit Galv. Emt ø 1/2 (1 UND) y 3 más. Mano de obra: Auxiliar De Instalaciones 1 (3.5 hh), Oficial Instalaciones (3.5 hh). Equipo: Herrramienta Y Equipo Menor (5 %).</t>
  </si>
  <si>
    <t>1.08.01</t>
  </si>
  <si>
    <t>INSTLACIONES DE GAS</t>
  </si>
  <si>
    <t>SUMINISTRO E INSTALACION DE ACCESORIO CODO 90° COBRE 1/2</t>
  </si>
  <si>
    <t>Precio por UND. Materiales: Codo 90 Cobre 1/2 (0.4 UND), Limpiador Fundente Cobre (0.04 lb), Soldadura Estaño De Plata 95,5 (0.02 lb). Mano de obra: Auxiliar De Instalaciones 1 (0.08 hh), Oficial Instalaciones (0.08 hh). Equipo: Herrramienta Y Equipo Menor (3.3 %).</t>
  </si>
  <si>
    <t>1.08.02</t>
  </si>
  <si>
    <t>SUMINISTRO E INSTALACION DE ACCESORIO CODO 90° GALVANIZADO 1/2</t>
  </si>
  <si>
    <t>Precio por UND. Materiales: Cinta Teflon 10 M 1/2" (0.01 rl), Codo Galvanizado 90° 1/2" (0.4 UND), Sellante Acero Traba Quimica Anaerobica .55 Gr (0.04 UND). Mano de obra: Auxiliar De Instalaciones 1 (0.13 hh), Oficial Instalaciones (0.13 hh). Equipo: Herrramienta Y Equipo Menor (3.3 %).</t>
  </si>
  <si>
    <t>1.08.03</t>
  </si>
  <si>
    <t>SUMINISTRO E INSTALACION DE TUBERÍA ACERO GALVANIZADA 1/2</t>
  </si>
  <si>
    <t>Precio por ML. Materiales: Tubería Galvanizada Sch 40 1/2 (1 ML), Abrazadera Con Recubrimiento En Cobre 1/2 (0.6 UND), Sellante Acero Traba Quimica Anaerobica .55 Gr (0.08 UND). Mano de obra: Auxiliar De Instalaciones 1 (0.08 hh), Oficial Instalaciones (0.08 hh). Equipo: Herrramienta Y Equipo Menor (3.3 %).</t>
  </si>
  <si>
    <t>AM01 · OG06 · ES05 · NP02</t>
  </si>
  <si>
    <t>1.08.04</t>
  </si>
  <si>
    <t>SUMINISTRO E INSTALACION DE TUBERÍA COBRE 1/2</t>
  </si>
  <si>
    <t>Precio por ML. Materiales: Tubería De Cobre Tipo L 1/2 (1 ML), Abrazadera Con Recubrimiento En Cobre 1/2 (0.6 UND), Limpiador Fundente Cobre (0.04 lb), Soldadura Estaño De Plata 95,5 (0.02 lb). Mano de obra: Auxiliar De Instalaciones 1 (0.08 hh), Oficial Instalaciones (0.08 hh). Equipo: Herrramienta Y Equipo Menor (3.3 %).</t>
  </si>
  <si>
    <t>1.08.05</t>
  </si>
  <si>
    <t>SUMINISTRO E INSTALACION DE VALVULA DE BOLA GAS 1/2</t>
  </si>
  <si>
    <t>Precio por UND. Materiales: Válvula De Bola 1/2 (1 UND), Sellante Acero Traba Quimica Anaerobica .55 Gr (0.15 UND). Mano de obra: Auxiliar De Instalaciones 1 (0.08 hh), Oficial Instalaciones (0.08 hh). Equipo: Herrramienta Y Equipo Menor (3.3 %).</t>
  </si>
  <si>
    <t>1.08.06</t>
  </si>
  <si>
    <t>SUMINISTRO E INSTALACION DE ACCESORIO TEE COBRE 1/2</t>
  </si>
  <si>
    <t>Precio por UND. Materiales: Tee Cobre 1/2 (1 UND), Limpiador Fundente Cobre (0.04 lb), Soldadura Estaño De Plata 95,5 (0.02 lb). Mano de obra: Auxiliar De Instalaciones 1 (0.08 hh), Oficial Instalaciones (0.08 hh). Equipo: Herrramienta Y Equipo Menor (3.3 %).</t>
  </si>
  <si>
    <t>1.08.07</t>
  </si>
  <si>
    <t>SUMINISTRO E INSTALACION DE ACCESORIO TEE GALVANIZADO 1/2</t>
  </si>
  <si>
    <t>Precio por UND. Materiales: Tee Galvanizada 1/2 (1 UND), Cinta Teflon 10 M 1/2" (0.01 rl), Sellante Acero Traba Quimica Anaerobica .55 Gr (0.04 UND). Mano de obra: Auxiliar De Instalaciones 1 (0.13 hh), Oficial Instalaciones (0.13 hh). Equipo: Herrramienta Y Equipo Menor (3.3 %).</t>
  </si>
  <si>
    <t>1.08.08</t>
  </si>
  <si>
    <t>SUMINISTRO E INSTALACION DE ACCESORIO UNION COBRE 1/2</t>
  </si>
  <si>
    <t>Precio por UND. Materiales: Unión Cobre 1/2 (1 UND), Limpiador Fundente Cobre (0.04 lb), Soldadura Estaño De Plata 95,5 (0.02 lb). Mano de obra: Auxiliar De Instalaciones 1 (0.08 hh), Oficial Instalaciones (0.08 hh). Equipo: Herrramienta Y Equipo Menor (3.3 %).</t>
  </si>
  <si>
    <t>1.08.09</t>
  </si>
  <si>
    <t>SUMINISTRO E INSTALACION DE ACCESORIO UNION GALVANIZADO 1/2</t>
  </si>
  <si>
    <t>Precio por UND. Materiales: Unión Galvanizada 1/2 (1 UND), Cinta Teflon 10 M 1/2" (0.01 rl), Sellante Acero Traba Quimica Anaerobica .55 Gr (0.04 UND). Mano de obra: Auxiliar De Instalaciones 1 (0.13 hh), Oficial Instalaciones (0.13 hh). Equipo: Herrramienta Y Equipo Menor (3.3 %).</t>
  </si>
  <si>
    <t>1.09.01</t>
  </si>
  <si>
    <t>PINTURA</t>
  </si>
  <si>
    <t>ADHERENTE EPOXICO SIKADUR 32</t>
  </si>
  <si>
    <t>Precio por M2. Materiales: Adherente Epoxico Sikadur 32 (0.6 kg). Mano de obra: Auxiliar De Obra 2 (0.2 hh), Oficial Obra 1 (0.15 hh). Equipo: Herrramienta Y Equipo Menor (5.6 %).</t>
  </si>
  <si>
    <t>AM01 · OB08 · ES09 · NP01</t>
  </si>
  <si>
    <t>1.09.02</t>
  </si>
  <si>
    <t>CARBURO SOBRE PAÑETE BAJO PLACA</t>
  </si>
  <si>
    <t>Precio por M2. Materiales: Cal (2.25 kg), Agua (1 lt). Mano de obra: Auxiliar De Pintura 1 (0.21 hh), Oficial Pintura (0.21 hh). Equipo: Andamio Tubular Normalizado, Tipo Multidireccional, De Acero Galvanizado En Caliente, Según Iso 9001. (0.11 dd), Herrramienta Y Equipo Menor (12 %).</t>
  </si>
  <si>
    <t>1.09.03</t>
  </si>
  <si>
    <t>CARBURO SOBRE PAÑETE EN MUROS</t>
  </si>
  <si>
    <t>Precio por M2. Materiales: Cal (1.75 kg), Agua (0.5 lt). Mano de obra: Auxiliar De Pintura 1 (0.19 hh), Oficial Pintura (0.19 hh). Equipo: Herrramienta Y Equipo Menor (12 %).</t>
  </si>
  <si>
    <t>1.09.04</t>
  </si>
  <si>
    <t>ESMALTE LAMINA LINEAL 3 MANOS</t>
  </si>
  <si>
    <t>Precio por ML. Materiales: Disolvente Thiner (0.01 gl), Lija (0.16 UND), Pintura Esmalte Sintetico Tipo Ii (0.02 gl). Mano de obra: Auxiliar De Pintura 1 (0.15 hh), Oficial Pintura (0.15 hh). Equipo: Herrramienta Y Equipo Menor (5 %).</t>
  </si>
  <si>
    <t>1.09.05</t>
  </si>
  <si>
    <t>ESMALTE LAMINA LLENA 3 MANOS</t>
  </si>
  <si>
    <t>Precio por M2. Materiales: Disolvente Thiner (0.03 gl), Lija (0.4 UND), Pintura Esmalte Sintetico Tipo Ii (0.04 gl). Mano de obra: Auxiliar De Pintura 1 (0.33 hh), Oficial Pintura (0.33 hh). Equipo: Herrramienta Y Equipo Menor (4 %).</t>
  </si>
  <si>
    <t>1.09.06</t>
  </si>
  <si>
    <t>ESMALTE MADERA LINEAL 3 MANOS</t>
  </si>
  <si>
    <t>Precio por ML. Materiales: Barniz Tapa Poro (0.01 gl), Disolvente Thiner (0.02 gl), Lija (0.2 UND), Pintura Esmalte Sintetico Tipo Ii (0.03 gl). Mano de obra: Auxiliar De Pintura 1 (0.07 hh), Oficial Pintura (0.07 hh). Equipo: Herrramienta Y Equipo Menor (6 %).</t>
  </si>
  <si>
    <t>1.09.07</t>
  </si>
  <si>
    <t>ESMALTE MADERA LLENA 3 MANOS</t>
  </si>
  <si>
    <t>Precio por M2. Materiales: Barniz Tapa Poro (0.02 gl), Disolvente Thiner (0.02 gl), Lija (1.05 UND), Pintura Esmalte Sintetico Tipo Ii (0.05 gl). Mano de obra: Auxiliar De Pintura 1 (0.35 hh), Oficial Pintura (0.35 hh). Equipo: Herrramienta Y Equipo Menor (6 %).</t>
  </si>
  <si>
    <t>1.09.08</t>
  </si>
  <si>
    <t>ESMALTE MARCOS LAMINA 3 MANOS</t>
  </si>
  <si>
    <t>Precio por M2. Materiales: Disolvente Thiner (0.02 gl), Lija (0.2 UND), Pintura Esmalte Sintetico Tipo Ii (0.04 gl), Revestimento Marmoplast Fachada (1 M2). Mano de obra: Auxiliar De Pintura 1 (0.28 hh), Oficial Pintura (0.28 hh), Auxiliar De Pintura 1 (0.17 hh), Oficial Pintura (0.17 hh). Equipo: Herrramienta Y Equipo Menor (10 %), Herrramienta Y Equipo Menor (4 %).</t>
  </si>
  <si>
    <t>Costo total del documento (11058.25) distinto a la suma de insumos (27918.69)</t>
  </si>
  <si>
    <t>1.09.09</t>
  </si>
  <si>
    <t>ESMALTE MARCOS MADERA 3 MANOS</t>
  </si>
  <si>
    <t>Precio por ML. Materiales: Barniz Tapa Poro (0.03 gl), Disolvente Thiner (0.02 gl), Lija (0.75 UND), Pintura Esmalte Sintetico Tipo Ii (0.03 gl). Mano de obra: Auxiliar De Pintura 1 (0.28 hh), Oficial Pintura (0.28 hh). Equipo: Herrramienta Y Equipo Menor (5 %).</t>
  </si>
  <si>
    <t>1.09.10</t>
  </si>
  <si>
    <t>ESTUCO BAJO PLACA</t>
  </si>
  <si>
    <t>Precio por M2. Materiales: Yeso Corriente (0.03 bt), Caolin * 40 Kg (0.12 bt), Cemento Gris (0.35 kg), Lija (0.1 UND). Mano de obra: Auxiliar De Obra 2 (0.22 hh), Oficial Obra 1 (0.22 hh). Equipo: Andamio Tubular Normalizado, Tipo Multidireccional, De Acero Galvanizado En Caliente, Según Iso 9001. (0.35 dd).</t>
  </si>
  <si>
    <t>1.09.11</t>
  </si>
  <si>
    <t>ESTUCO MUROS</t>
  </si>
  <si>
    <t>Precio por M2. Materiales: Yeso Corriente (0.01 bt), Caolin * 40 Kg (0.09 bt), Cemento Gris (0.26 kg), Lija (0.1 UND). Mano de obra: Auxiliar De Obra 2 (0.21 hh), Oficial Obra 1 (0.21 hh). Equipo: Herrramienta Y Equipo Menor (10 %).</t>
  </si>
  <si>
    <t>1.09.12</t>
  </si>
  <si>
    <t>ESTUCO Y VINILO TRES MANOS BAJO PLACA</t>
  </si>
  <si>
    <t>Precio por M2. Materiales: Yeso Corriente (0.03 bt), Caolin * 40 Kg (0.15 bt), Cemento Gris (0.32 kg), Lija (0.02 UND) y 1 más. Mano de obra: Auxiliar De Obra 2 (0.3 hh), Oficial Obra 1 (0.3 hh). Equipo: Andamio Tubular Normalizado, Tipo Multidireccional, De Acero Galvanizado En Caliente, Según Iso 9001. (0.3 dd), Herrramienta Y Equipo Menor (12 %).</t>
  </si>
  <si>
    <t>1.09.13</t>
  </si>
  <si>
    <t>ESTUCO Y VINILO TRES MANOS EN MUROS</t>
  </si>
  <si>
    <t>Precio por M2. Materiales: Yeso Corriente (0.01 bt), Caolin * 40 Kg (0.09 bt), Cemento Gris (0.26 kg), Lija (0.04 UND) y 1 más. Mano de obra: Auxiliar De Obra 2 (0.3 hh), Oficial Obra 1 (0.3 hh). Equipo: Herrramienta Y Equipo Menor (12 %).</t>
  </si>
  <si>
    <t>1.09.14</t>
  </si>
  <si>
    <t>FILOS Y DILATACIONES EN ESTUCO</t>
  </si>
  <si>
    <t>Precio por ML. Materiales: Yeso Corriente (0.03 bt), Cemento Gris (0.25 kg), Lija (0.02 UND). Mano de obra: Auxiliar De Pintura 1 (0.2 hh), Oficial Pintura (0.2 hh). Equipo: Herrramienta Y Equipo Menor (10 %).</t>
  </si>
  <si>
    <t>1.09.15</t>
  </si>
  <si>
    <t>MARMOLINA SOBRE PAÑETE.</t>
  </si>
  <si>
    <t>Precio por M2. Materiales: Carburo No.2 (0.2 kg), Cemento Blanco (1.05 kg), Marmolina Bto 48 Kg (0.36 bt), Agua (0.5 lt). Mano de obra: Auxiliar De Pintura 1 (0.2 hh), Oficial Pintura (0.2 hh). Equipo: Herrramienta Y Equipo Menor (12 %).</t>
  </si>
  <si>
    <t>1.09.16</t>
  </si>
  <si>
    <t>MARMOPLAST FACHADA</t>
  </si>
  <si>
    <t>Precio por M2. Materiales: Revestimento Marmoplast Fachada (1 M2). Mano de obra: Auxiliar De Pintura 1 (0.23 hh), Oficial Pintura (0.23 hh). Equipo: Herrramienta Y Equipo Menor (5 %).</t>
  </si>
  <si>
    <t>1.09.17</t>
  </si>
  <si>
    <t>PINTURA FACHADA EN VINILO PARA EXTERIORES</t>
  </si>
  <si>
    <t>Precio por M2. Materiales: Pintura Vinilo Para Exterior (0.05 gl). Mano de obra: Auxiliar De Pintura 1 (0.3 hh), Oficial Pintura (0.3 hh). Equipo: Andamio Tubular Normalizado, Tipo Multidireccional, De Acero Galvanizado En Caliente, Según Iso 9001. (0.1 dd), Herrramienta Y Equipo Menor (5 %).</t>
  </si>
  <si>
    <t>1.09.18</t>
  </si>
  <si>
    <t>VINILO TIPO I SOBRE PAÑETE TRES MANOS SOBRE ESTUCO</t>
  </si>
  <si>
    <t>Precio por M2. Materiales: Vinilo Tipo I (0.06 gl), Lija (0.1 UND), Agua (0.03 lt). Mano de obra: Auxiliar De Pintura 1 (0.15 hh), Oficial Pintura (0.15 hh). Equipo: Herrramienta Y Equipo Menor (12 %).</t>
  </si>
  <si>
    <t>1.09.19</t>
  </si>
  <si>
    <t>TINTILLA SOBRE MADERA LINEAL</t>
  </si>
  <si>
    <t>Precio por ML. Materiales: Tintilla Para Madera Café (0.02 gl), Barniz Tapa Poro (0.01 gl), Lija (0.16 UND). Mano de obra: Auxiliar De Pintura 1 (0.09 hh), Oficial Pintura (0.09 hh). Equipo: Herrramienta Y Equipo Menor (5 %).</t>
  </si>
  <si>
    <t>1.09.20</t>
  </si>
  <si>
    <t>TINTILLA SOBRE MADERA LLENA</t>
  </si>
  <si>
    <t>Precio por M2. Materiales: Tintilla Para Madera Café (0.02 gl), Barniz Tapa Poro (0.02 gl), Lija (0.5 UND). Mano de obra: Auxiliar De Pintura 1 (0.35 hh), Oficial Pintura (0.35 hh). Equipo: Herrramienta Y Equipo Menor (5 %).</t>
  </si>
  <si>
    <t>1.09.21</t>
  </si>
  <si>
    <t>TINTILLA SOBRE MUEBLES</t>
  </si>
  <si>
    <t>Precio por ML. Materiales: Tintilla Para Madera Café (0.18 gl), Barniz Tapa Poro (0.11 gl), Lija (3.15 UND). Mano de obra: Auxiliar De Pintura 1 (1.23 hh), Oficial Pintura (1.23 hh). Equipo: Herrramienta Y Equipo Menor (5 %).</t>
  </si>
  <si>
    <t>1.09.22</t>
  </si>
  <si>
    <t>VINILO TIPO II SOBRE PAÑETE DOS MANOS BAJO PLACA</t>
  </si>
  <si>
    <t>Precio por M2. Materiales: Pintura Vinilo Tipo Ii (0.06 gl). Mano de obra: Auxiliar De Pintura 1 (0.17 hh), Oficial Pintura (0.17 hh). Equipo: Andamio Tubular Normalizado, Tipo Multidireccional, De Acero Galvanizado En Caliente, Según Iso 9001. (0.3 dd), Herrramienta Y Equipo Menor (12 %).</t>
  </si>
  <si>
    <t>1.09.23</t>
  </si>
  <si>
    <t>VINILO TIPO II SOBRE PAÑETE DOS MANOS EN MUROS</t>
  </si>
  <si>
    <t>Precio por M2. Materiales: Pintura Vinilo Tipo Ii (0.04 gl). Mano de obra: Auxiliar De Pintura 1 (0.15 hh), Oficial Pintura (0.15 hh). Equipo: Herrramienta Y Equipo Menor (12 %).</t>
  </si>
  <si>
    <t>1.10.01</t>
  </si>
  <si>
    <t>ENCHAPES</t>
  </si>
  <si>
    <t>SUMINISTRO E INSTALACION DE ENCHAPE EN PIEDRA CREMA</t>
  </si>
  <si>
    <t>Precio por M2. Materiales: Arena De Peña (0.04 M3), Cemento Blanco (0.51 kg), Cemento Gris (9.41 kg), Enchape Piedra Crema E=20mm (1.03 M2) y 1 más. Mano de obra: Auxiliar De Obra 2 (1.3 hh), Oficial Obra 1 (1.3 hh). Equipo: Andamio Tubular Normalizado, Tipo Multidireccional, De Acero Galvanizado En Caliente, Según Iso 9001. (0.25 dd), Herrramienta Y Equipo Menor (3.3 %).</t>
  </si>
  <si>
    <t>Pisos y enchapes</t>
  </si>
  <si>
    <t>AM01 · OB08 · ES08 · NP02</t>
  </si>
  <si>
    <t>ES08 Pisos y enchapes</t>
  </si>
  <si>
    <t>1.10.02</t>
  </si>
  <si>
    <t>SUMINISTRO E INSTALACION DE ENCHAPE EN PIEDRA MUÑECA</t>
  </si>
  <si>
    <t>Precio por M2. Materiales: Arena Lavada De Río (0.04 M3), Cemento Blanco (0.51 kg), Cemento Gris (9.41 kg), Enchape Piedra Muñeca E=20 Mm (1.03 M2) y 1 más. Mano de obra: Auxiliar De Obra 2 (1.3 hh), Oficial Obra 1 (1.3 hh). Equipo: Andamio Tubular Normalizado, Tipo Multidireccional, De Acero Galvanizado En Caliente, Según Iso 9001. (0.25 dd), Herrramienta Y Equipo Menor (3.3 %).</t>
  </si>
  <si>
    <t>1.10.03</t>
  </si>
  <si>
    <t>SUMINISTRO E INSTALACION DE ENCHAPE EN PIEDRA SANTA ROSEÑA O SIMILAR</t>
  </si>
  <si>
    <t>Precio por M2. Materiales: Arena Lavada De Río (0.04 M3), Cemento Blanco (0.51 kg), Cemento Gris (9.41 kg), Enchape Piedra Santa Roseña (1.03 M2) y 1 más. Mano de obra: Auxiliar De Obra 2 (1.3 hh), Oficial Obra 1 (1.3 hh). Equipo: Andamio Tubular Normalizado, Tipo Multidireccional, De Acero Galvanizado En Caliente, Según Iso 9001. (0.25 dd), Herrramienta Y Equipo Menor (3.3 %).</t>
  </si>
  <si>
    <t>1.10.04</t>
  </si>
  <si>
    <t>SUMINISTRO E INSTALACION DE ENCHAPE EN PORCELANA ATLANTIS O SIMILAR 20*20</t>
  </si>
  <si>
    <t>Precio por M2. Materiales: Cemento Blanco (0.7 kg), Enchape Porcelana 56.6*56.6 (1.05 M2), Hilasa (0.5 kg), Pegacor (3.15 kg) y 1 más. Mano de obra: Auxiliar De Obra 2 (0.8 hh), Oficial Obra 1 (0.8 hh). Equipo: Herrramienta Y Equipo Menor (3.3 %).</t>
  </si>
  <si>
    <t>1.10.05</t>
  </si>
  <si>
    <t>SUMINISTRO E INSTALACION DE ENCHAPE EN PORCELANA OLIMPIA 20X20 O SIMILAR</t>
  </si>
  <si>
    <t>Precio por M2. Materiales: Cemento Blanco (0.7 kg), Enchape Porcelana 20*20 (1.05 M2), Hilasa (0.5 kg), Pegacor (3.15 kg) y 1 más. Mano de obra: Auxiliar De Obra 2 (0.74 hh), Oficial Obra 1 (0.73 hh). Equipo: Herrramienta Y Equipo Menor (3.3 %).</t>
  </si>
  <si>
    <t>1.10.06</t>
  </si>
  <si>
    <t>SUMINISTRO E INSTALACION DE ESPACATO TRAVERTINO</t>
  </si>
  <si>
    <t>Precio por M2. Materiales: Spacato (1.03 M2), Arena De Peña (0.2 M3), Cemento Gris (8.31 kg), Agua (2.85 lt). Mano de obra: Auxiliar De Obra 2 (1.6 hh), Oficial Obra 1 (1.6 hh). Equipo: Herrramienta Y Equipo Menor (3.3 %).</t>
  </si>
  <si>
    <t>AM01 · OB08 · ES18 · NP02</t>
  </si>
  <si>
    <t>1.10.07</t>
  </si>
  <si>
    <t>SUMINISTRO E INSTALACION DE INCRUSTACIONES 3 PIEZAS EN PORCELANA COLOR BLANCO</t>
  </si>
  <si>
    <t>jgo</t>
  </si>
  <si>
    <t>Juego</t>
  </si>
  <si>
    <t>Precio por jgo. Materiales: Cemento Blanco (1.54 kg), Juego Incrustaciones 3 Piezas (1 UND). Mano de obra: Auxiliar De Obra 2 (2 hh), Oficial Obra 1 (2 hh). Equipo: Herrramienta Y Equipo Menor (3.3 %).</t>
  </si>
  <si>
    <t>AM01 · OB08 · ES13 · NP02</t>
  </si>
  <si>
    <t>1.10.08</t>
  </si>
  <si>
    <t>SUMINISTRO E INSTALACION DE INCRUSTACIONES 6 PIEZAS EN PORCELANA COLOR BLANCO</t>
  </si>
  <si>
    <t>Precio por jgo. Materiales: Cemento Blanco (1.54 kg), Juego Incrustaciones 6 Piezas (1 UND). Mano de obra: Auxiliar De Obra 2 (2 hh), Oficial Obra 1 (2 hh). Equipo: Herrramienta Y Equipo Menor (3.3 %).</t>
  </si>
  <si>
    <t>1.10.09</t>
  </si>
  <si>
    <t>SUMINNISTRO E INSTALACION DE INCRUSTACIONES 8 PIEZAS EN PORCELANA COLOR BLANCO</t>
  </si>
  <si>
    <t>Precio por jgo. Materiales: Cemento Blanco (1.54 kg), Juego Incrustaciones 8 Piezas En Porcelana (1 UND). Mano de obra: Auxiliar De Obra 2 (2.5 hh), Oficial Obra 1 (2.5 hh). Equipo: Herrramienta Y Equipo Menor (3.3 %).</t>
  </si>
  <si>
    <t>1.10.10</t>
  </si>
  <si>
    <t>MURETE DUCHA 0.10 X 0.20 MTS</t>
  </si>
  <si>
    <t>Precio por ML. Materiales: Tabla 0.10 (1.1 ML), Concreto 1:3:5 14 Mpa (0.02 M3), Bocel Remates Ceramicos (0.66 UND), Cemento Blanco (0.58 kg) y 3 más. Mano de obra: Auxiliar De Obra 2 (0.79 hh), Oficial Obra 1 (0.79 hh). Equipo: Herrramienta Y Equipo Menor (3.3 %).</t>
  </si>
  <si>
    <t>AM01 · OB08 · ES13 · NP01</t>
  </si>
  <si>
    <t>1.10.11</t>
  </si>
  <si>
    <t>MURETE DUCHA 0.20 X 0.30 MTS</t>
  </si>
  <si>
    <t>Precio por ML. Materiales: Concreto 1:3:5 14 Mpa (0.02 M3), Bocel Remates Ceramicos (0.66 UND), Cemento Blanco (0.58 kg), Enchape Porcelana 20*20 (0.7 M2) y 2 más. Mano de obra: Auxiliar De Obra 2 (0.79 hh), Oficial Obra 1 (0.79 hh). Equipo: Herrramienta Y Equipo Menor (3.3 %).</t>
  </si>
  <si>
    <t>1.10.12</t>
  </si>
  <si>
    <t>SUMINISTRO E INSTALACION DE REJILLAS CUPULA TRAGANTE 5*3</t>
  </si>
  <si>
    <t>Precio por UND. Materiales: Cemento Blanco (0.2 kg), Rejillas Tragante 5*3 Aluminio (1 UND). Mano de obra: Auxiliar De Obra 2 (0.3 hh), Oficial Obra 1 (0.3 hh). Equipo: Herrramienta Y Equipo Menor (3.3 %).</t>
  </si>
  <si>
    <t>AM01 · OB08 · ES10 · NP02</t>
  </si>
  <si>
    <t>1.10.13</t>
  </si>
  <si>
    <t>SUMINISTRO E INSTALACION DE REJILLAS CUPULA TRAGANTE 6*4</t>
  </si>
  <si>
    <t>Precio por UND. Materiales: Cemento Blanco (0.2 kg), Rejillas Tragante 6*4 Aluminio (1 UND). Mano de obra: Auxiliar De Obra 2 (0.3 hh), Oficial Obra 1 (0.3 hh). Equipo: Herrramienta Y Equipo Menor (3.3 %).</t>
  </si>
  <si>
    <t>1.10.14</t>
  </si>
  <si>
    <t>SUMINISTRO E INSTALACIOREJILLAS DE PISO SOSCO 4*4*3 ALUMINIO</t>
  </si>
  <si>
    <t>Precio por UND. Materiales: Cemento Blanco (0.2 kg), Rejillas Sosco 4*4*3 Aluminio (1 UND). Mano de obra: Auxiliar De Obra 2 (0.3 hh), Oficial Obra 1 (0.3 hh). Equipo: Herrramienta Y Equipo Menor (3.3 %).</t>
  </si>
  <si>
    <t>1.10.15</t>
  </si>
  <si>
    <t>SUMINISTRO E INSTALACION DE REJILLAS PLANA BRONCE 20*20</t>
  </si>
  <si>
    <t>Precio por UND. Materiales: Cemento Blanco (0.2 kg), Rejillas Sifon 20*20 Aluminio (1 UND). Mano de obra: Auxiliar De Obra 2 (0.3 hh), Oficial Obra 1 (0.3 hh). Equipo: Herrramienta Y Equipo Menor (3.3 %).</t>
  </si>
  <si>
    <t>1.10.16</t>
  </si>
  <si>
    <t>SUMINISTRO E INSTALACION DE REJILLAS PLASTICA SOSCO 5*3</t>
  </si>
  <si>
    <t>Precio por UND. Materiales: Cemento Blanco (0.05 kg), Rejillas Sosco 5*3 Aluminio (1 UND). Mano de obra: Auxiliar De Obra 2 (0.3 hh), Oficial Obra 1 (0.3 hh). Equipo: Herrramienta Y Equipo Menor (3.3 %).</t>
  </si>
  <si>
    <t>1.10.17</t>
  </si>
  <si>
    <t>SUMINISTRO E INSTALACION DE REJILLAS PLASTICAS SOSCO 4*4*3</t>
  </si>
  <si>
    <t>Precio por UND. Materiales: Cemento Blanco (0.05 kg), Rejillas Sosco 4*4*3 Plasticas (1 UND). Mano de obra: Auxiliar De Obra 2 (0.3 hh), Oficial Obra 1 (0.3 hh). Equipo: Herrramienta Y Equipo Menor (3.3 %).</t>
  </si>
  <si>
    <t>1.10.18</t>
  </si>
  <si>
    <t>SUMINISTRO E INSTALACION REJILLAS VENTILACION 20*20 ALUMINIO</t>
  </si>
  <si>
    <t>1.10.19</t>
  </si>
  <si>
    <t>REMATE BOCEL ALUMINIO "WINGS"</t>
  </si>
  <si>
    <t>Precio por ML. Materiales: Cemento Blanco (0.2 kg). Mano de obra: Auxiliar De Obra 2 (0.29 hh), Oficial Obra 1 (0.29 hh). Equipo: Bocel Aluminio (1.05 UND), Herrramienta Y Equipo Menor (3.3 %).</t>
  </si>
  <si>
    <t>AM01 · OB08 · ES18 · NP01</t>
  </si>
  <si>
    <t>1.10.20</t>
  </si>
  <si>
    <t>REMATE BOCEL PORCELANA E= 0.11 MTS</t>
  </si>
  <si>
    <t>Precio por ML. Materiales: Bocel Remates Ceramicos (0.67 UND), Cemento Blanco (0.51 kg), Pegacor (1.05 kg). Mano de obra: Auxiliar De Obra 2 (0.5 hh), Oficial Obra 1 (0.5 hh). Equipo: Herrramienta Y Equipo Menor (3.3 %).</t>
  </si>
  <si>
    <t>1.10.21</t>
  </si>
  <si>
    <t>SUMINISTRO E INSTALACION DE TUBO CORTINA DUCHA E= 1.50 MTS</t>
  </si>
  <si>
    <t>Precio por UND. Materiales: Soporte Muro Metalico 3/4`` (2 UND), Tubo Cortina Ducha 19 Mm`` (1.5 ML). Mano de obra: Auxiliar De Obra 2 (0.3 hh), Oficial Obra 1 (0.3 hh). Equipo: Herrramienta Y Equipo Menor (3.3 %).</t>
  </si>
  <si>
    <t>1.11.01</t>
  </si>
  <si>
    <t>PISOS - BASES - ACABADOS</t>
  </si>
  <si>
    <t>ALISTADO ENDURECIDO 4CM</t>
  </si>
  <si>
    <t>Precio por M2. Materiales: Mortero 1:3 (0.04 M3), Rocktop Rojo (3.5 kg). Mano de obra: Mano De Obra Aa (0.3 hc). Equipo: Herrramienta Y Equipo Menor (5 %).</t>
  </si>
  <si>
    <t>AM01 · OB08 · ES08 · NP01</t>
  </si>
  <si>
    <t>1.11.02</t>
  </si>
  <si>
    <t>ALISTADO PARA LISTÓN 4CM</t>
  </si>
  <si>
    <t>Precio por M2. Materiales: Tiras Alistado 3 X 3 X 3 Ord (3 ML), Arena De Peña (0.01 M3), Cemento Gris (1.22 kg), Agua (0.55 lt). Mano de obra: Mano De Obra Aa (0.4 hc). Equipo: Herrramienta Y Equipo Menor (5 %).</t>
  </si>
  <si>
    <t>1.11.03</t>
  </si>
  <si>
    <t>ALISTADO IMPERMEABILIZADO E=4CM - 1:3</t>
  </si>
  <si>
    <t>Precio por M2. Materiales: Mortero 1:3 Impermeabilizado (0.04 M3). Mano de obra: Auxiliar De Obra 2 (0.4 hh), Oficial Obra 1 (0.4 hh). Equipo: Herrramienta Y Equipo Menor (5 %).</t>
  </si>
  <si>
    <t>1.11.04</t>
  </si>
  <si>
    <t>ALISTADO PISO E= 4 CM - 1:5</t>
  </si>
  <si>
    <t>Precio por M2. Materiales: Mortero 1:5 (0.04 M3). Mano de obra: Auxiliar De Obra 2 (0.4 hh), Oficial Obra 1 (0.4 hh). Equipo: Herrramienta Y Equipo Menor (5 %).</t>
  </si>
  <si>
    <t>1.11.05</t>
  </si>
  <si>
    <t>ALISTADO TERRAZAS E=8 CM</t>
  </si>
  <si>
    <t>Precio por M2. Materiales: Arena De Peña (0.1 M3), Cemento Gris (24.88 kg), Agua (14.8 lt), Sika 2 (1.8 kg). Mano de obra: Mano De Obra Aa (0.6 hc). Equipo: Herrramienta Y Equipo Menor (5 %).</t>
  </si>
  <si>
    <t>1.11.06</t>
  </si>
  <si>
    <t>BASE EN MATERIAL DE AFIRMADO COMPACTADO</t>
  </si>
  <si>
    <t>Precio por M3. Materiales: Material De Afirmado (1.2 M3), Agua (0.25 lt). Mano de obra: Auxiliar De Obra 1 (0.1 jr), Oficial Obra 2 (0.1 jr). Equipo: Vibrocompactador Rana (0.33 hr), Herrramienta Y Equipo Menor (3.3 %).</t>
  </si>
  <si>
    <t>Vías, andenes y pavimentos</t>
  </si>
  <si>
    <t>AM01 · OB08 · ES16 · NP01</t>
  </si>
  <si>
    <t>1.11.07</t>
  </si>
  <si>
    <t>BOCA PUERTA EN GRANITO PULIDO</t>
  </si>
  <si>
    <t>Precio por ML. Materiales: Cemento Gris (6 kg), Dilatacion Bronce (0.36 ML), Granito Blanco # 3 (0.05 bt), Mortero 1:3 (0.01 M3) y 3 más. Mano de obra: Auxiliar De Obra 2 (0.5 hh), Oficial Obra 1 (2 hh). Equipo: Pulidora (0.2 dd), Herrramienta Y Equipo Menor (1 %).</t>
  </si>
  <si>
    <t>1.11.08</t>
  </si>
  <si>
    <t>BOCA PUERTA EN GRANITO SIN PULIR</t>
  </si>
  <si>
    <t>Precio por ML. Materiales: Cemento Gris (6 kg), Dilatacion Bronce (0.36 ML), Granito Blanco # 3 (0.05 bt), Mortero 1:3 (0.01 M3) y 3 más. Mano de obra: Auxiliar De Obra 2 (0.5 hh), Oficial Obra 1 (1.6 hh). Equipo: Herrramienta Y Equipo Menor (0.7 %).</t>
  </si>
  <si>
    <t>1.11.09</t>
  </si>
  <si>
    <t>PASO ESCALERA GRANITO DE 80 A 100 CM</t>
  </si>
  <si>
    <t>Precio por ML. Materiales: Arena Lavada De Río (0.07 M3), Cemento Blanco (10.5 kg), Cemento Gris (12 kg), Dilatacion Bronce (0.2 ML) y 5 más. Mano de obra: Auxiliar De Obra 2 (2.3 hh), Oficial Obra 1 (2.3 hh). Equipo: Herrramienta Y Equipo Menor (5 %).</t>
  </si>
  <si>
    <t>1.11.10</t>
  </si>
  <si>
    <t>PASOS ESCALERA GRAVILLA LAVADA</t>
  </si>
  <si>
    <t>Precio por ML. Materiales: Cemento Blanco (3.5 kg), Gravilla De Trituradora (0.1 M3), Mineral (0.15 kg), Pirlan Aluminio Dorado (1.03 ML) y 1 más. Mano de obra: Auxiliar De Obra 2 (2.3 hh), Oficial Obra 1 (2.3 hh). Equipo: Herrramienta Y Equipo Menor (5 %).</t>
  </si>
  <si>
    <t>1.11.11</t>
  </si>
  <si>
    <t>PIRLANES ALUMINIO</t>
  </si>
  <si>
    <t>Precio por ML. Materiales: Tornillo Para Madera 1 No.6 (3 UND), Pirlan Aluminio Dorado (1.03 ML). Mano de obra: Mano De Obra Aa (0.3 hc). Equipo: Herrramienta Y Equipo Menor (5 %).</t>
  </si>
  <si>
    <t>1.11.12</t>
  </si>
  <si>
    <t>PIRLANES LADRILLO</t>
  </si>
  <si>
    <t>Precio por ML. Materiales: Arena De Peña (0.02 M3), Cemento Gris (3.32 kg), Ladrillo Tolete Recocido (11 UND). Mano de obra: Mano De Obra Aa (0.84 hc). Equipo: Herrramienta Y Equipo Menor (5 %).</t>
  </si>
  <si>
    <t>1.11.13</t>
  </si>
  <si>
    <t>PISO ALFOMBRA RESIDENCIAL ALFA BERBER O SIMILAR</t>
  </si>
  <si>
    <t>Precio por M2. Materiales: Pegante (0.3 gl), Piso Alfombra Ref. Alfa Berber (1.05 M2). Mano de obra: Auxiliar De Obra 2 (0.16 hh), Oficial Obra 1 (0.16 hh). Equipo: Herrramienta Y Equipo Menor (5 %).</t>
  </si>
  <si>
    <t>1.11.14</t>
  </si>
  <si>
    <t>PISO ALFOMBRA RESIDENCIAL TERUEL 7 mm O SIMILAR</t>
  </si>
  <si>
    <t>Precio por M2. Materiales: Pegante (0.3 gl), Piso Alfombra Argollada Tráfico Pesado (1.05 M2). Mano de obra: Auxiliar De Obra 2 (0.1 hh), Oficial Obra 1 (0.1 hh). Equipo: Herrramienta Y Equipo Menor (5 %).</t>
  </si>
  <si>
    <t>1.11.15</t>
  </si>
  <si>
    <t>PISO CERÁMICA 25*25 CM</t>
  </si>
  <si>
    <t>Precio por M2. Materiales: Emboquillador (0.5 kg), Hilasa (0.2 kg), Pegacor (3.1 kg), Piso Ceramica 20,5*2o,5 (1.05 M2) y 1 más. Mano de obra: Auxiliar De Obra 2 (0.85 hh), Oficial Obra 1 (0.85 hh). Equipo: Herrramienta Y Equipo Menor (5 %).</t>
  </si>
  <si>
    <t>1.11.16</t>
  </si>
  <si>
    <t>PISO EN GRAMA (SEMILLAS)</t>
  </si>
  <si>
    <t>Precio por M2. Materiales: Tierra Negra (0.02 M3), Grama (1.1 M2). Mano de obra: Mano De Obra Aa (0.1 hc). Equipo: Herrramienta Y Equipo Menor (5 %).</t>
  </si>
  <si>
    <t>1.11.17</t>
  </si>
  <si>
    <t>PISO EN GRANITO LAVADO</t>
  </si>
  <si>
    <t>Precio por M2. Materiales: Arena Lavada De Río (0.09 M3), Cemento Blanco (21 kg), Cemento Gris (18.7 kg), Dilatacion Bronce (1.35 ML) y 4 más. Mano de obra: Auxiliar De Obra 2 (1.5 hh), Oficial Obra 1 (1.5 hh). Equipo: Herrramienta Y Equipo Menor (5 %).</t>
  </si>
  <si>
    <t>1.11.18</t>
  </si>
  <si>
    <t>PISO EN POLVO DE LADRILLO</t>
  </si>
  <si>
    <t>Precio por M3. Materiales: Polvo De Ladrillo (1.2 M3). Mano de obra: Vibrocompactador Rana (0.04 dd), Mano De Obra Aa (0.7 hc).</t>
  </si>
  <si>
    <t>1.11.19</t>
  </si>
  <si>
    <t>PISO GRANITO PULIDO</t>
  </si>
  <si>
    <t>Precio por M2. Materiales: Arena Lavada De Río (0.09 M3), Cemento Blanco (18.7 kg), Cemento Gris (15 kg), Dilatacion Bronce (1.35 ML) y 4 más. Mano de obra: Pulidora (0.25 dd), Auxiliar De Obra 2 (1.5 hh), Oficial Obra 1 (1.5 hh). Equipo: Herrramienta Y Equipo Menor (5 %).</t>
  </si>
  <si>
    <t>1.11.20</t>
  </si>
  <si>
    <t>PISO GRAVILLA LAVADA DE RIO</t>
  </si>
  <si>
    <t>Precio por M2. Materiales: Arena Lavada De Río (0.03 M3), Cemento Gris (6.98 kg), Dilatacion Bronce (0.8 ML), Gravilla De Trituradora (0.02 M3) y 2 más. Mano de obra: Auxiliar De Obra 2 (2.5 hh), Oficial Obra 1 (2.5 hh). Equipo: Herrramienta Y Equipo Menor (5 %).</t>
  </si>
  <si>
    <t>1.11.21</t>
  </si>
  <si>
    <t>PISO LISTON MADERA M.H. AMARILLO E= 8CM</t>
  </si>
  <si>
    <t>Precio por M2. Materiales: Tornillo M 2*8 (40 UND), Chazo Expansible 3/8"*1 (40 UND), Machimbre L. Amarillo 8x1 Cm X 3m Largo (1.1 M2), Pegante Boxer (0.3 gl) y 1 más. Mano de obra: Auxiliar De Carpinterias 1 (0.5 hh), Oficial Carpinterias (0.5 hh). Equipo: Herrramienta Y Equipo Menor (5 %).</t>
  </si>
  <si>
    <t>1.11.22</t>
  </si>
  <si>
    <t>PISO PLANCHUELA DE MARMOL BRECCIA</t>
  </si>
  <si>
    <t>Precio por M2. Materiales: Cemento Blanco (1.03 kg), Mortero 1:4 (0.02 M3), Piso Marmol Imperio 51x51-1 (1.03 M2). Mano de obra: Auxiliar De Obra 2 (1.3 hh), Oficial Obra 1 (1.3 hh). Equipo: Herrramienta Y Equipo Menor (5 %).</t>
  </si>
  <si>
    <t>1.11.23</t>
  </si>
  <si>
    <t>PISO TABLÓN DE GRES 30*30 CM</t>
  </si>
  <si>
    <t>Precio por M2. Materiales: Cemento Gris (2.1 kg), Mortero 1:4 (0.03 M3), Piso Tablon De Gres 30 * 30 (1.05 M2). Mano de obra: Auxiliar De Obra 2 (1 hh), Oficial Obra 1 (0.8 hh). Equipo: Pulidora (0.05 dd), Herrramienta Y Equipo Menor (4.9 %).</t>
  </si>
  <si>
    <t>1.11.24</t>
  </si>
  <si>
    <t>PISO VINILO PISOPAK 1.6MM</t>
  </si>
  <si>
    <t>Precio por M2. Materiales: Pegante Boxer (0.09 gl), Pisopak Residencial 1.6mm (1 M2). Mano de obra: Auxiliar De Obra 2 (0.25 hh), Oficial Obra 1 (0.25 hh). Equipo: Herrramienta Y Equipo Menor (5 %).</t>
  </si>
  <si>
    <t>1.11.25</t>
  </si>
  <si>
    <t>PLACA BASE EN CONCRETO E= 8 CM 2500 PSI</t>
  </si>
  <si>
    <t>Precio por M2. Materiales: Concreto 1:2:4 17.5 Mpa (0.09 M3), Madera T. Chapa-Ordinario 0.30 (0.51 ML). Mano de obra: Auxiliar De Obra 2 (0.8 hh), Oficial Obra 1 (0.8 hh). Equipo: Herrramienta Y Equipo Menor (5 %).</t>
  </si>
  <si>
    <t>1.11.26</t>
  </si>
  <si>
    <t>PLACA BASE EN CONCRETO E= 10 CM 2500 PSI</t>
  </si>
  <si>
    <t>Precio por M2. Materiales: Concreto 1:2:4 17.5 Mpa (0.11 M3), Madera T. Chapa-Ordinario 0.30 (0.51 ML). Mano de obra: Auxiliar De Obra 2 (0.66 hh), Oficial Obra 1 (0.66 hh). Equipo: Herrramienta Y Equipo Menor (3 %).</t>
  </si>
  <si>
    <t>1.11.27</t>
  </si>
  <si>
    <t>POYOS COCINA Y BASE MUEBLES A= 60 CM E= 8 CM</t>
  </si>
  <si>
    <t>Precio por M2. Materiales: Concreto 1:2:4 17.5 Mpa (0.05 M3), Madera T. Chapa-Ordinario 0.30 (1 ML). Mano de obra: Auxiliar De Obra 2 (0.52 hh), Oficial Obra 1 (0.52 hh). Equipo: Herrramienta Y Equipo Menor (5 %).</t>
  </si>
  <si>
    <t>1.11.28</t>
  </si>
  <si>
    <t>PULIDA Y DESTRONADO DE PISO EN BALDOSÍN DE GRANITO</t>
  </si>
  <si>
    <t>Precio por M2. Materiales: Cera Para Pisos (0.03 gl), Agua (2 lt). Mano de obra: Auxiliar De Obra 2 (0.35 hh), Oficial Obra 1 (0.35 hh). Equipo: Pulidora Piso 2 Ejes (0.25 dd), Herrramienta Y Equipo Menor (5 %).</t>
  </si>
  <si>
    <t>1.11.29</t>
  </si>
  <si>
    <t>PULIDAD DE PISO EN MARMOL</t>
  </si>
  <si>
    <t>Precio por M2. Mano de obra: Auxiliar De Obra 2 (0.7 hh), Oficial Obra 1 (0.7 hh). Equipo: Pulidora (0.15 dd), Herrramienta Y Equipo Menor (5.25 %).</t>
  </si>
  <si>
    <t>1.11.30</t>
  </si>
  <si>
    <t>SUMINISTRO E INSTALACIÓN DE ADOQUÍN PEATONAL CONCRETO 6 CM</t>
  </si>
  <si>
    <t>Precio por M2. Materiales: Arena Lavada De Peña (0.03 M3), Adoquín Concreto 10x6x20 (50 UND), Agua (2.85 lt). Mano de obra: Mano De Obra Aa (0.5 hc). Equipo: Herrramienta Y Equipo Menor (5 %).</t>
  </si>
  <si>
    <t>AM01 · OB08 · ES04 · NP02</t>
  </si>
  <si>
    <t>1.11.31</t>
  </si>
  <si>
    <t>SUMINISTRO E INSTALACIÓN DE ADOQUÍN VEHICULAR CONCRETO 8 CM</t>
  </si>
  <si>
    <t>Precio por M2. Materiales: Arena Lavada De Peña (0.03 M3), Adoquín Concreto 10x8x20 (50 UND), Agua (2.85 lt). Mano de obra: Mano De Obra Aa (0.7 hc). Equipo: Herrramienta Y Equipo Menor (5 %).</t>
  </si>
  <si>
    <t>1.11.32</t>
  </si>
  <si>
    <t>SUMINISTRO E INSTALACIÓN ADOQUÍN DE GRES PEATONAL 10*20*25 CM</t>
  </si>
  <si>
    <t>Precio por M2. Materiales: Arena De Peña (0.02 M3), Mineral (1.03 kg), Adoquin Peatonal 10x20x2.5 (1.03 M2), Agua (2.8 lt). Mano de obra: Auxiliar De Obra 2 (1 hh), Oficial Obra 1 (1.05 hh). Equipo: Herrramienta Y Equipo Menor (5 %).</t>
  </si>
  <si>
    <t>1.11.33</t>
  </si>
  <si>
    <t>SUMINISTRO E INSTALACIÓN DE BALDOSÍN DE CEMENTO 25*25 CM</t>
  </si>
  <si>
    <t>Precio por M2. Materiales: Cemento Blanco (0.3 kg), Mortero 1:4 (0.02 M3), Piso Baldosin Cemento 25*25 (1.03 M2). Mano de obra: Auxiliar De Obra 2 (0.95 hh), Oficial Obra 1 (0.95 hh). Equipo: Herrramienta Y Equipo Menor (5 %).</t>
  </si>
  <si>
    <t>1.11.34</t>
  </si>
  <si>
    <t>SUMINISTRO E INSTALACIÓN DE BALDOSÍN DE GRANITO No. 5 30*30*1.7 CM</t>
  </si>
  <si>
    <t>Precio por M2. Materiales: Cemento Blanco (0.25 kg), Mortero 1:4 (0.02 M3), Piso Baldosin De Granito 30*30 E=1.7 (1.03 M2). Mano de obra: Auxiliar De Obra 2 (0.95 hh), Oficial Obra 1 (0.95 hh). Equipo: Herrramienta Y Equipo Menor (5 %).</t>
  </si>
  <si>
    <t>1.11.35</t>
  </si>
  <si>
    <t>SUMINISTRO E INSTALACIÓN DE CAÑUELA CONCRETO 0.20 X 0.12 MTS</t>
  </si>
  <si>
    <t>Precio por ML. Materiales: Tabla Burra 3 M (0.33 ML), Concreto 1:3:5 14 Mpa (0.02 M3). Mano de obra: Mano De Obra Aa (0.8 hc). Equipo: Herrramienta Y Equipo Menor (5 %).</t>
  </si>
  <si>
    <t>1.11.36</t>
  </si>
  <si>
    <t>SUMINISTRO E INSTALACIÓN DE GUARDAESCOBA GRANITO</t>
  </si>
  <si>
    <t>Precio por ML. Materiales: Cemento Blanco (0.25 kg), Guardaescoba Granito (1.03 ML), Marmolina Bto 48 Kg (0.1 bt), Mortero 1:4 (0 M3) y 1 más. Mano de obra: Auxiliar De Obra 2 (0.5 hh), Oficial Obra 1 (0.5 hh). Equipo: Herrramienta Y Equipo Menor (5 %).</t>
  </si>
  <si>
    <t>1.11.37</t>
  </si>
  <si>
    <t>SUMINISTRO E INSTALACIÓN DE GUARDAESCOBA BALDOSIN</t>
  </si>
  <si>
    <t>Precio por ML. Materiales: Cemento Blanco (0.25 kg), Guardaescoba Baldosin (4.92 UND), Mortero 1:4 (0 M3). Mano de obra: Auxiliar De Obra 2 (0.5 hh), Oficial Obra 1 (0.5 hh). Equipo: Herrramienta Y Equipo Menor (5 %).</t>
  </si>
  <si>
    <t>1.11.38</t>
  </si>
  <si>
    <t>SUMINISTRO E INSTALACIÓN DE GUARDAESCOBA CON BALDOSÍN DE GRANITO</t>
  </si>
  <si>
    <t>Precio por ML. Materiales: Baldosin De Granito (1.05 ML), Cemento Blanco (4 kg), Marmolina Bto 48 Kg (0.15 bt), Mineral (0.1 kg). Mano de obra: Auxiliar De Obra 2 (0.5 hh), Oficial Obra 1 (0.5 hh). Equipo: Herrramienta Y Equipo Menor (5 %).</t>
  </si>
  <si>
    <t>1.11.39</t>
  </si>
  <si>
    <t>SUMINISTRO E INSTALACIÓN DE GUARDAESCOBA VINISOL 7 CM</t>
  </si>
  <si>
    <t>Precio por ML. Materiales: Guardaescoba Vinisol (1.03 ML), Pegante Boxer (0.06 gl). Mano de obra: Auxiliar De Obra 2 (0.25 hh), Oficial Obra 1 (0.25 hh). Equipo: Herrramienta Y Equipo Menor (5 %).</t>
  </si>
  <si>
    <t>1.11.40</t>
  </si>
  <si>
    <t>SUMINISTRO E INSTALACIÓN DE GUARDAESCOBA VIROLA 8 CM</t>
  </si>
  <si>
    <t>Precio por ML. Materiales: Chazo Madera 0,4 X 0,4 (2 UND), Guardaescoba Virola (1.03 ML). Mano de obra: Auxiliar De Obra 2 (0.2 hh), Oficial Obra 1 (0.2 hh). Equipo: Herrramienta Y Equipo Menor (5 %).</t>
  </si>
  <si>
    <t>1.11.41</t>
  </si>
  <si>
    <t>SUMINISTRO E INSTALACIÓN DE GUARDAESCOBA EN PINO</t>
  </si>
  <si>
    <t>Precio por ML. Materiales: Disolvente Thiner (0 gl), Guardaescoba En Pino 8 Cm (1.03 ML), Laca Madera Mate 7402 (0.08 lt), Lija (0.05 UND) y 1 más. Mano de obra: Auxiliar De Carpinterias 1 (0.2 hh), Auxiliar De Pintura 1 (0.05 hh), Oficial Carpinterias (0.2 hh), Oficial Pintura (0.05 hh). Equipo: Herrramienta Y Equipo Menor (5 %).</t>
  </si>
  <si>
    <t>1.11.42</t>
  </si>
  <si>
    <t>SUMINISTRO E INSTALACIÓN DE TABLETA DE GRES 20*20 CM</t>
  </si>
  <si>
    <t>Precio por M2. Materiales: Mortero 1:4 (0.02 M3), Piso Tableta De Gres 20*20 (1.05 M2). Mano de obra: Auxiliar De Obra 2 (0.7 hh), Oficial Obra 1 (0.7 hh). Equipo: Herrramienta Y Equipo Menor (5 %).</t>
  </si>
  <si>
    <t>1.11.43</t>
  </si>
  <si>
    <t>SUMINISTRO E INSTALACIÓN TABLÓN DE GRES 30*30 CM</t>
  </si>
  <si>
    <t>Precio por M2. Materiales: Emboquillador (2.05 kg), Mortero 1:4 (0.03 M3), Piso Tablon De Gres 30 * 30 (1.05 M2). Mano de obra: Auxiliar De Obra 2 (0.5 hh), Oficial Obra 1 (0.5 hh). Equipo: Herrramienta Y Equipo Menor (5 %).</t>
  </si>
  <si>
    <t>1.12.01</t>
  </si>
  <si>
    <t>CUBIERTAS</t>
  </si>
  <si>
    <t>AFINADO CUBIERTAS PLANAS E= 6CM</t>
  </si>
  <si>
    <t>Precio por M2. Materiales: Arena Lavada De Río (0.06 M3), Cemento Gris (23.38 kg), Agua (13.93 lt). Mano de obra: Auxiliar De Obra 2 (0.7 hh), Oficial Obra 1 (0.7 hh). Equipo: Andamio Tubular Normalizado, Tipo Multidireccional, De Acero Galvanizado En Caliente, Según Iso 9001. (0.1 dd), Herrramienta Y Equipo Menor (20 %).</t>
  </si>
  <si>
    <t>7. Cubierta</t>
  </si>
  <si>
    <t>AM01 · ON07 · ES08 · NP01</t>
  </si>
  <si>
    <t>ON07 Cubierta</t>
  </si>
  <si>
    <t>1.12.02</t>
  </si>
  <si>
    <t>ALISTADO E IMPERMEABILIZADO PARA TEJA BARRO</t>
  </si>
  <si>
    <t>Precio por M2. Materiales: Alambre Negro No. 18 (0.02 kg), Mortero 1:3 Impermeabilizado (0.05 M3), Asfalto Tipo 90 (1.02 kg), Guadua 6m (0.85 UND) y 2 más. Mano de obra: Auxiliar De Instalaciones 1 (1.4 hh), Oficial Obra 1 (1.4 hh). Equipo: Andamio Tubular Normalizado, Tipo Multidireccional, De Acero Galvanizado En Caliente, Según Iso 9001. (0.1 dd), Herrramienta Y Equipo Menor (3.3 %).</t>
  </si>
  <si>
    <t>1.12.03</t>
  </si>
  <si>
    <t>SUMINISTRO E INSTALACIÓN DE BAJANTE AMAZONA</t>
  </si>
  <si>
    <t>Precio por ML. Materiales: Tornillo Para Madera 1 No.6 (2 UND), Unión De Canal Amazona (0.34 UND), Bajante Amazona (1.05 ML), Codo Bajante 45° Blanco (0.17 UND) y 1 más. Mano de obra: Andamio Tubular Normalizado, Tipo Multidireccional, De Acero Galvanizado En Caliente, Según Iso 9001. (0.1 dd), Mano De Obra Bb (0.6 hc). Equipo: Herrramienta Y Equipo Menor (3.3 %).</t>
  </si>
  <si>
    <t>AM01 · ON07 · ES13 · NP02</t>
  </si>
  <si>
    <t>1.12.04</t>
  </si>
  <si>
    <t>SUMINISTRO E INSTALACIÓN DE CANAL AMAZONA</t>
  </si>
  <si>
    <t>Precio por ML. Materiales: Tapa Externa Derecha E Izquierda (0.68 UND), Unión De Canal Amazona (0.34 UND), Canal Amazona (1.03 ML), Soporte De Canal Amazona (3 UND). Mano de obra: Mano De Obra Bb (0.85 hc). Equipo: Herrramienta Y Equipo Menor (3.3 %).</t>
  </si>
  <si>
    <t>AM01 · ON07 · ES10 · NP02</t>
  </si>
  <si>
    <t>1.12.05</t>
  </si>
  <si>
    <t>SUMINISTRO E INSTALACIÓN DE CANAL PAVCO RAINGO</t>
  </si>
  <si>
    <t>Precio por ML. Materiales: Tapa Externa Canal Raingo (0.17 UND), Unión De Canal (0.17 UND), Canal Raingo (1.03 ML), Soporte De Canal Raingo (3 UND). Mano de obra: Mano De Obra Bb (0.8 hc). Equipo: Herrramienta Y Equipo Menor (3.3 %).</t>
  </si>
  <si>
    <t>1.12.06</t>
  </si>
  <si>
    <t>SUMINISTRO E INSTALACIÓN DE CANAL PVC REF 12445</t>
  </si>
  <si>
    <t>Precio por ML. Materiales: Tapa Externa Derecha E Izquierda (0.17 UND), Tornillo Para Madera 1 No.6 (4 UND), Unión Canal Blanco (0.17 UND), Canal Ref.12445 Blanco (1.03 ML) y 1 más. Mano de obra: Andamio Tubular Normalizado, Tipo Multidireccional, De Acero Galvanizado En Caliente, Según Iso 9001. (0.09 dd), Mano De Obra Bb (0.74 hc). Equipo: Herrramienta Y Equipo Menor (3.3 %).</t>
  </si>
  <si>
    <t>1.12.07</t>
  </si>
  <si>
    <t>SUMINISTRO E INSTALACIÓN DE CUBIERTA GALVANIZADA CL 30</t>
  </si>
  <si>
    <t>Precio por M2. Materiales: Torn. Autoperforante/Sello De Neopreno (1.6 UND), Cubierta Arquitectonica Galvanizada O Similar  0.3 Mm Cl 30 (0.47 UND). Mano de obra: Mano De Obra Aa (0.3 hc). Equipo: Andamio Tubular Normalizado, Tipo Multidireccional, De Acero Galvanizado En Caliente, Según Iso 9001. (0.04 dd), Herrramienta Y Equipo Menor (3.3 %).</t>
  </si>
  <si>
    <t>1.12.08</t>
  </si>
  <si>
    <t>SUMINISTRO E INSTALACIÓN DE CUBIERTA SENCILLA HUNTER DOUGLAS</t>
  </si>
  <si>
    <t>Precio por M2. Materiales: Teja Modular Tipo C (1.05 M2), Torn. Autoperforante/Sello De Neopreno (3 UND), Clip Tipo C Sencillo (3 UND). Mano de obra: Andamio Tubular Normalizado, Tipo Multidireccional, De Acero Galvanizado En Caliente, Según Iso 9001. (0.05 dd), Mano De Obra Aa (0.37 hc). Equipo: Herrramienta Y Equipo Menor (3.3 %).</t>
  </si>
  <si>
    <t>1.12.09</t>
  </si>
  <si>
    <t>SUMINISTRO E INSTALACION DE CUBIERTA TEJA CALIFORNIA DINALSA O SIMILAR</t>
  </si>
  <si>
    <t>Precio por M2. Materiales: Torn. Autoperforante/Sello De Neopreno (2.12 UND), Espesor 1 (0.42 ML). Mano de obra: Mano De Obra Aa (0.3 hc). Equipo: Herrramienta Y Equipo Menor (3.3 %).</t>
  </si>
  <si>
    <t>1.12.10</t>
  </si>
  <si>
    <t>SUMINISTRO E INSTALACIÓN DE CUBIERTA TEJA DURALUM 812 DINALSA</t>
  </si>
  <si>
    <t>Precio por M2. Materiales: Teja Duralum 812 - 6,00 M (1 M2), Torn. Autoperforante/Sello De Neopreno (3 UND). Mano de obra: Andamio Tubular Normalizado, Tipo Multidireccional, De Acero Galvanizado En Caliente, Según Iso 9001. (0.04 dd), Mano De Obra Aa (0.3 hc). Equipo: Herrramienta Y Equipo Menor (3.3 %).</t>
  </si>
  <si>
    <t>1.12.11</t>
  </si>
  <si>
    <t>SUMINISTRO E INSTALACIÓN DE ESTRUCTURA DE MADERA P/TEJA DE BARRO</t>
  </si>
  <si>
    <t>Precio por ML. Materiales: Durmiente 3 M (5 ML), Puntilla Con Y Sin Cabeza 2 (0.3 lb). Mano de obra: Mano De Obra Aa (1.86 hc). Equipo: Andamio Tubular Normalizado, Tipo Multidireccional, De Acero Galvanizado En Caliente, Según Iso 9001. (0.19 dd), Herrramienta Y Equipo Menor (3.3 %).</t>
  </si>
  <si>
    <t>1.12.12</t>
  </si>
  <si>
    <t>SUMINISTRO E INSTALACIÓN DE ESTRUCTURA DE MADERA P/TEJA DE FIBROCEMENTO</t>
  </si>
  <si>
    <t>Precio por ML. Materiales: Malla Bajo Entramado (0.75 M2), Planchón Ordinario 3 M (0.75 ML), Puntilla Con Y Sin Cabeza 2 (0.2 lb), Repisa Ordinaria 3 Mt (1.5 ML). Mano de obra: Mano De Obra Aa (1 hc). Equipo: Andamio Tubular Normalizado, Tipo Multidireccional, De Acero Galvanizado En Caliente, Según Iso 9001. (0.13 dd), Herrramienta Y Equipo Menor (3.3 %).</t>
  </si>
  <si>
    <t>1.12.13</t>
  </si>
  <si>
    <t>SUMINISTRO E INSTALACIÓN DE ESTRUCTURA METÁLICA P/TEJA FIBROCEMENTO</t>
  </si>
  <si>
    <t>Precio por ML. Materiales: Barra G-60 3/8 6m (1.5 kg), Perfil Tipo Perlin En C Negro P-10-12n (0.75 ML), Soldadura Eléctrica 004kg De 3/32 (0.3 kg). Mano de obra: Andamio Tubular Normalizado, Tipo Multidireccional, De Acero Galvanizado En Caliente, Según Iso 9001. (0.13 dd), Mano De Obra Aa (1 hc). Equipo: Herrramienta Y Equipo Menor (3.3 %).</t>
  </si>
  <si>
    <t>1.12.14</t>
  </si>
  <si>
    <t>IMPERMEABILIZACIÓN AUTOPROTEGIDA</t>
  </si>
  <si>
    <t>Precio por ML. Materiales: Manto Metal Fl 2.5mm Fiberglass Rollo Por 10m2 (0.11 rl), Mortero 1:4 (0.04 M3), Sika 1 (0.5 kg). Mano de obra: Mano De Obra Aa (0.75 hc). Equipo: Andamio Tubular Normalizado, Tipo Multidireccional, De Acero Galvanizado En Caliente, Según Iso 9001. (0.09 dd), Herrramienta Y Equipo Menor (3.3 %).</t>
  </si>
  <si>
    <t>AM01 · ON07 · ES10 · NP01</t>
  </si>
  <si>
    <t>1.12.15</t>
  </si>
  <si>
    <t>SUMINISTRO E INSTALACIÓN CUBIERTA SHINGLE CON IMPERMEABILIZANTE</t>
  </si>
  <si>
    <t>Precio por M2. Materiales: Dura Felt Plus Fiberglass 20 M2 (2 rl), Emulsión Asfáltica Ed/9 Cuñete 5 Gl Texsa (0.5 gl), Puntilla Con Y Sin Cabeza 1 (0.3 lb), Shingle Evergreen Blend Ct-20 (2.2 M2). Mano de obra: Mano De Obra Aa (0.82 hc). Equipo: Andamio Tubular Normalizado, Tipo Multidireccional, De Acero Galvanizado En Caliente, Según Iso 9001. (0.1 dd), Herrramienta Y Equipo Menor (3.3 %).</t>
  </si>
  <si>
    <t>1.12.16</t>
  </si>
  <si>
    <t>SUMINISTRO E INSTALACIÓN BAJANTE EN LAMINA 12 X 6 CAL. 22</t>
  </si>
  <si>
    <t>Precio por ML. Materiales: Elementos De Anclaje Y Fijación (1 glb), Lamina Galvanizada Cal. 22 (1.05 UND), Platina 1/8 X 1 X 6 M (0.1 UND), Soldadura De Estaño (0.05 UND). Mano de obra: Auxiliar De Obra 2 (0.3 hh), Oficial Obra 1 (0.3 hh). Equipo: Andamio Tubular Normalizado, Tipo Multidireccional, De Acero Galvanizado En Caliente, Según Iso 9001. (0.03 dd), Herrramienta Y Equipo Menor (3.3 %).</t>
  </si>
  <si>
    <t>1.12.17</t>
  </si>
  <si>
    <t>SUMINISTRO E INSTALACIÓN BAJANTE PLASTICA ALL X 3M</t>
  </si>
  <si>
    <t>Precio por ML. Materiales: Tornillo 1*6`` Canal Raingo (1 UND), Unión De Canal (0.33 UND), Bajante Plastica Rectangular All X 3m (1.05 ML), Codo Bajante 45° Blanco (0.06 UND) y 1 más. Mano de obra: Andamio Tubular Normalizado, Tipo Multidireccional, De Acero Galvanizado En Caliente, Según Iso 9001. (0.13 dd), Auxiliar De Instalaciones 1 (1 hh), Oficial Instalaciones (0.43 hh). Equipo: Herrramienta Y Equipo Menor (3.3 %).</t>
  </si>
  <si>
    <t>1.12.18</t>
  </si>
  <si>
    <t>SUMINISTRO E INSTALACIÓN CABALLETE ARTICULADO TEJA ESPAÑOLA EN FIBROCEMENTO</t>
  </si>
  <si>
    <t>Precio por ML. Materiales: Caballete Articulado Fibrocemento Superior E Inferior (2 UND), Gancho Especial Para Caballete Fibrocemento (2 UND), Igas Gris Sellante 5 Kg (0.1 gl). Mano de obra: Auxiliar De Obra 2 (0.3 hh), Oficial Obra 1 (0.3 hh). Equipo: Andamio Tubular Normalizado, Tipo Multidireccional, De Acero Galvanizado En Caliente, Según Iso 9001. (0.04 dd), Herrramienta Y Equipo Menor (3.3 %).</t>
  </si>
  <si>
    <t>1.12.19</t>
  </si>
  <si>
    <t>SUMINISTRO E INSTALACIÓN CABALLETE ONDULADO FIBROCEMENTO</t>
  </si>
  <si>
    <t>Precio por ML. Materiales: Caballete Eternit Pf/7 Fijo (1 UND), Gancho Teja Eternit 55 Mm (5 UND). Mano de obra: Andamio Tubular Normalizado, Tipo Multidireccional, De Acero Galvanizado En Caliente, Según Iso 9001. (0.07 dd), Auxiliar De Obra 2 (0.54 hh), Oficial Obra 1 (0.54 hh). Equipo: Herrramienta Y Equipo Menor (3.3 %).</t>
  </si>
  <si>
    <t>1.12.20</t>
  </si>
  <si>
    <t>SUMINISTRO E INSTALACIÓN CANAL EN LAMINA CAL. 22</t>
  </si>
  <si>
    <t>Precio por ML. Materiales: Elementos De Anclaje Y Fijación (1 glb), Lamina Galvanizada Cal. 22 (1 UND), Platina 1/8 X 1 X 6 M (0.2 UND), Soldadura De Estaño (0.05 UND). Mano de obra: Auxiliar De Obra 2 (0.3 hh), Oficial Obra 1 (0.3 hh). Equipo: Andamio Tubular Normalizado, Tipo Multidireccional, De Acero Galvanizado En Caliente, Según Iso 9001. (0.04 dd), Herrramienta Y Equipo Menor (3.3 %).</t>
  </si>
  <si>
    <t>1.12.21</t>
  </si>
  <si>
    <t>SUMINISTRO E INSTALACIÓN CANAL PLASTICA ALL 3 M</t>
  </si>
  <si>
    <t>Precio por ML. Materiales: Tapa Externa (0.33 UND), Unión De Canal (0.33 UND), Canal Plastica X 3 M (1.03 ML), Soporte Canal (3 UND). Mano de obra: Auxiliar De Instalaciones 1 (1.6 hh), Oficial Instalaciones (0.72 hh). Equipo: Andamio Tubular Normalizado, Tipo Multidireccional, De Acero Galvanizado En Caliente, Según Iso 9001. (0.2 dd), Herrramienta Y Equipo Menor (3.3 %).</t>
  </si>
  <si>
    <t>1.12.22</t>
  </si>
  <si>
    <t>SUMINISTRO E INSTALACIÓN CUBIERTA ARQUITECTÓNICA GALVANIZADA O SIMILAR CAL 30</t>
  </si>
  <si>
    <t>Precio por M2. Materiales: Cubierta Arquitectonica Galvanizada O Similar  0.3 Mm Cl 30 (0.47 UND), Gancho Teja Eternit 55 Mm (2 UND). Mano de obra: Andamio Tubular Normalizado, Tipo Multidireccional, De Acero Galvanizado En Caliente, Según Iso 9001. (0.17 dd), Auxiliar De Obra 2 (1.4 hh), Oficial Obra 1 (0.7 hh). Equipo: Herrramienta Y Equipo Menor (3.3 %).</t>
  </si>
  <si>
    <t>1.12.23</t>
  </si>
  <si>
    <t>SUMINISTRO E INSTALACIÓN CUBIERTA EN TEJA FIBROCEMENTO NUMERO 10</t>
  </si>
  <si>
    <t>Precio por M2. Materiales: Teja Fibrocemento No. 10 92 X 305 Cms (0.47 UND), Gancho Teja Eternit 55 Mm (2 UND). Mano de obra: Auxiliar De Obra 2 (1.5 hh), Oficial Obra 1 (0.75 hh). Equipo: Andamio Tubular Normalizado, Tipo Multidireccional, De Acero Galvanizado En Caliente, Según Iso 9001. (0.19 dd), Herrramienta Y Equipo Menor (3.3 %).</t>
  </si>
  <si>
    <t>1.12.24</t>
  </si>
  <si>
    <t>SUMINISTRO E INSTALACIÓN CUBIERTA EN TEJA FIBROCEMENTO NUMERO 4</t>
  </si>
  <si>
    <t>Precio por M2. Materiales: Teja Fibrocemento No. 4 92 X 122 Cms (1.03 UND), Gancho Galvanizado Para Madera (1 UND). Mano de obra: Auxiliar De Obra 2 (0.8 hh), Oficial Obra 1 (0.4 hh). Equipo: Andamio Tubular Normalizado, Tipo Multidireccional, De Acero Galvanizado En Caliente, Según Iso 9001. (0.1 dd), Herrramienta Y Equipo Menor (3.3 %).</t>
  </si>
  <si>
    <t>1.12.25</t>
  </si>
  <si>
    <t>SUMINISTRO E INSTALACIÓN CUBIERTA EN TEJA FIBROCEMENTO NUMERO 6</t>
  </si>
  <si>
    <t>Precio por M2. Materiales: Teja Fibrocemento No. 6 92 X 183 Cms (0.63 UND), Gancho Teja Eternit 55 Mm (1.3 UND). Mano de obra: Andamio Tubular Normalizado, Tipo Multidireccional, De Acero Galvanizado En Caliente, Según Iso 9001. (0.15 dd), Auxiliar De Obra 2 (1.2 hh), Oficial Obra 1 (0.6 hh). Equipo: Herrramienta Y Equipo Menor (3.3 %).</t>
  </si>
  <si>
    <t>1.12.26</t>
  </si>
  <si>
    <t>SUMINISTRO E INSTALACIÓN CUBIERTA EN TEJA FIBROCEMENTO NUMERO 8</t>
  </si>
  <si>
    <t>Precio por M2. Materiales: Teja Fibrocemento No. 8 92 X 244 Cms (0.45 UND), Gancho Teja Eternit 55 Mm (1.3 UND). Mano de obra: Andamio Tubular Normalizado, Tipo Multidireccional, De Acero Galvanizado En Caliente, Según Iso 9001. (0.18 dd), Auxiliar De Obra 2 (1.4 hh), Oficial Obra 1 (0.7 hh). Equipo: Herrramienta Y Equipo Menor (3.3 %).</t>
  </si>
  <si>
    <t>1.12.27</t>
  </si>
  <si>
    <t>SUMINISTRO E INSTALACIÓN CUBIERTA EN TEJA POLICARBONATO P7 N° 6</t>
  </si>
  <si>
    <t>Precio por M2. Materiales: Teja Policarbonato P7 No 6 (0.63 UND), Gancho Teja Eternit 55 Mm (2 UND). Mano de obra: Auxiliar De Obra 2 (1.2 hh), Oficial Obra 1 (0.6 hh). Equipo: Andamio Tubular Normalizado, Tipo Multidireccional, De Acero Galvanizado En Caliente, Según Iso 9001. (0.15 dd), Herrramienta Y Equipo Menor (3.3 %).</t>
  </si>
  <si>
    <t>1.12.28</t>
  </si>
  <si>
    <t>SUMINISTRO E INSTALACIÓN CUBIERTA EN TEJA PANEL METÁLICO DE ALUZINC - ALUZINC CAL 26 TIPO SANDUCHE, CON POLIURETANO EXPANDIDO DE ALTA DENSIDAD, ACABADO EN PINTURA POLIESTER</t>
  </si>
  <si>
    <t>Precio por M2. Materiales: Teja Panel Metálico De Aluzinc - Aluzinc Cal 26 Tipo Sanduche (1 M2). Mano de obra: Andamio Tubular Normalizado, Tipo Multidireccional, De Acero Galvanizado En Caliente, Según Iso 9001. (0.18 dd), Auxiliar De Obra 2 (1.4 hh), Oficial Obra 1 (0.7 hh). Equipo: Herrramienta Y Equipo Menor (3.3 %).</t>
  </si>
  <si>
    <t>AM01 · ON07 · ES09 · NP02</t>
  </si>
  <si>
    <t>1.12.29</t>
  </si>
  <si>
    <t>SUMINISTRO E INSTALACIÓN CUBIERTA EN TEJA TECHOLINE</t>
  </si>
  <si>
    <t>Precio por M2. Materiales: Teja Techoline B.t. (0.53 UND), Fijaciones Techoline (4 UND). Mano de obra: Auxiliar De Obra 2 (11 hh), Oficial Obra 1 (5.5 hh). Equipo: Andamio Tubular Normalizado, Tipo Multidireccional, De Acero Galvanizado En Caliente, Según Iso 9001. (0.18 dd), Herrramienta Y Equipo Menor (3.3 %).</t>
  </si>
  <si>
    <t>1.12.30</t>
  </si>
  <si>
    <t>SUMINISTRO E INSTALACIÓN CUBIERTA EN TEJA TRANSPARENTE No. 6 NO INCLUYE ENTRAMADO</t>
  </si>
  <si>
    <t>Precio por M2. Materiales: Teja Transparente Ajover No.6 (0.63 UND), Puntilla Con Y Sin Cabeza 1 (1.3 lb). Mano de obra: Auxiliar De Obra 2 (0.55 hh), Oficial Obra 1 (0.55 hh). Equipo: Andamio Tubular Normalizado, Tipo Multidireccional, De Acero Galvanizado En Caliente, Según Iso 9001. (0.07 dd), Herrramienta Y Equipo Menor (3.3 %).</t>
  </si>
  <si>
    <t>1.12.31</t>
  </si>
  <si>
    <t>SUMINISTRO E INSTALACIÓN CUBIERTA LAMINA POLICARBONATO Cal. 6 mm</t>
  </si>
  <si>
    <t>Precio por M2. Materiales: Tornillo Autoperforante 3/4 (3 UND), Lamina De Policarbonato Alveolar 6 Mm Cristal 2.10*11.80 (0.12 UND). Mano de obra: Auxiliar De Obra 2 (0.6 hh), Oficial Obra 1 (0.6 hh). Equipo: Andamio Tubular Normalizado, Tipo Multidireccional, De Acero Galvanizado En Caliente, Según Iso 9001. (0.08 dd), Herrramienta Y Equipo Menor (3.3 %).</t>
  </si>
  <si>
    <t>1.12.32</t>
  </si>
  <si>
    <t>SUMINISTRO E INSTALACIÓN CUBIERTA TEJA ONDULADA THERMOACUSTICA 0.83 X 12</t>
  </si>
  <si>
    <t>Precio por M2. Materiales: Teja Ondulada Thermoacustica Con Asfalto Modificado 0.83 X 12 (0.1 UND), Gancho De Fijacion (4 UND). Mano de obra: Auxiliar De Obra 2 (1 hh), Oficial Obra 1 (0.5 hh). Equipo: Andamio Tubular Normalizado, Tipo Multidireccional, De Acero Galvanizado En Caliente, Según Iso 9001. (0.14 dd), Herrramienta Y Equipo Menor (3.3 %).</t>
  </si>
  <si>
    <t>1.12.33</t>
  </si>
  <si>
    <t>SUMINISTRO E INSTALACIÓN CUBIERTA THERMOACUSTICA ONDULADA EN POLIPROPILENO No. 10</t>
  </si>
  <si>
    <t>Precio por M2. Materiales: Teja Thermoacustica Ondulada En Polipropileno No. 10 0.83 X 12 M (0.1 UND), Gancho De Fijacion (4 UND). Mano de obra: Auxiliar De Obra 2 (0.65 hh), Oficial Obra 1 (0.65 hh). Equipo: Andamio Tubular Normalizado, Tipo Multidireccional, De Acero Galvanizado En Caliente, Según Iso 9001. (0.08 dd), Herrramienta Y Equipo Menor (3.3 %).</t>
  </si>
  <si>
    <t>1.12.34</t>
  </si>
  <si>
    <t>SUMINISTRO E INSTALACIÓN ENTRAMADO PARA TEJA ESPAÑOLA EN FIBROCEMENTO</t>
  </si>
  <si>
    <t>Precio por M2. Materiales: Madera Planchon Ordinario 5 M (2.62 ML), Madera Repisa 3 M (0.51 ML), Puntilla Con Y Sin Cabeza 2 (0.2 lb). Mano de obra: Auxiliar De Obra 2 (1 hh), Oficial Obra 1 (1 hh). Equipo: Andamio Tubular Normalizado, Tipo Multidireccional, De Acero Galvanizado En Caliente, Según Iso 9001. (0.13 dd), Herrramienta Y Equipo Menor (3.3 %).</t>
  </si>
  <si>
    <t>1.12.35</t>
  </si>
  <si>
    <t>SUMINISTRO E INSTALACIÓN ENTRAMADO PARA TEJA ONDULADA</t>
  </si>
  <si>
    <t>1.12.36</t>
  </si>
  <si>
    <t>SUMINISTRO E INSTALACIÓN ENTRAMADO PARA TEJA DE BARRO</t>
  </si>
  <si>
    <t>Precio por M2. Materiales: Madera Planchon Ordinario 3 M (2.62 ML), Madera Repisa 3 M (1.03 ML), Puntilla Con Y Sin Cabeza 2 (0.3 lb). Mano de obra: Auxiliar De Obra 2 (1.85 hh), Oficial Obra 1 (1.85 hh). Equipo: Andamio Tubular Normalizado, Tipo Multidireccional, De Acero Galvanizado En Caliente, Según Iso 9001. (0.23 dd), Herrramienta Y Equipo Menor (3.3 %).</t>
  </si>
  <si>
    <t>1.12.37</t>
  </si>
  <si>
    <t>SUMINISTRO E INSTALACIÓN FLANCHE EN LAMINA</t>
  </si>
  <si>
    <t>Precio por ML. Materiales: Lamina Galvanizada Cal. 22 (0.2 UND), Soldadura Estaño (0.2 UND). Mano de obra: Andamio Tubular Normalizado, Tipo Multidireccional, De Acero Galvanizado En Caliente, Según Iso 9001. (0.09 dd), Auxiliar De Obra 2 (0.7 hh), Oficial Obra 1 (0.7 hh). Equipo: Herrramienta Y Equipo Menor (3.3 %).</t>
  </si>
  <si>
    <t>1.12.38</t>
  </si>
  <si>
    <t>SUMINISTRO E INSTALACIÓN IMPERFRESCO CUBIERTA</t>
  </si>
  <si>
    <t>Precio por ML. Materiales: Ladrillo Tolete Comun (13 UND), Mortero 1:4 (0.02 M3). Mano de obra: Auxiliar De Obra 2 (0.85 hh), Oficial Obra 1 (0.85 hh). Equipo: Herrramienta Y Equipo Menor (3.3 %).</t>
  </si>
  <si>
    <t>1.12.39</t>
  </si>
  <si>
    <t>SUMINISTRO E INSTALACIÓN IMPERMEABILIZACION EN MANTO ASFALTICO</t>
  </si>
  <si>
    <t>Precio por ML. Materiales: Mortero 1:3 Impermeabilizado (0.04 M3), Manto Protector 3mm Fiberglass Rollo Por 10 M2 (0.09 rl). Mano de obra: Auxiliar De Obra 2 (1.5 hh), Oficial Obra 1 (0.75 hh). Equipo: Herrramienta Y Equipo Menor (3.3 %).</t>
  </si>
  <si>
    <t>AM01 · ON07 · ES16 · NP02</t>
  </si>
  <si>
    <t>1.12.40</t>
  </si>
  <si>
    <t>SUMINISTRO E INSTALACIÓN LAMINA ALVEOLAR 4MM FIBRA DE CARBONO</t>
  </si>
  <si>
    <t>Precio por M2. Materiales: Accesorios De Instalaciòn Teja De Fibra De Carbón (9 UND), Lamina Alveolar 4 Mm (1.05 M2). Mano de obra: Andamio Tubular Normalizado, Tipo Multidireccional, De Acero Galvanizado En Caliente, Según Iso 9001. (0.08 dd), Auxiliar De Obra 2 (0.6 hh), Oficial Obra 1 (0.6 hh). Equipo: Herrramienta Y Equipo Menor (3.3 %).</t>
  </si>
  <si>
    <t>AM01 · ON07 · ES14 · NP02</t>
  </si>
  <si>
    <t>1.12.41</t>
  </si>
  <si>
    <t>SUMINISTRO E INSTALACIÓN LAMINA ALVEOLAR 6MM FIBRA DE CARBONO</t>
  </si>
  <si>
    <t>Precio por M2. Materiales: Elementos De Anclaje Y Fijación (1 glb), Lamina Alveolar 6 Mm  11.8x2.10 (1.05 M2). Mano de obra: Andamio Tubular Normalizado, Tipo Multidireccional, De Acero Galvanizado En Caliente, Según Iso 9001. (0.08 dd), Auxiliar De Obra 2 (0.6 hh), Oficial Obra 1 (0.6 hh). Equipo: Herrramienta Y Equipo Menor (3.3 %).</t>
  </si>
  <si>
    <t>1.12.42</t>
  </si>
  <si>
    <t>SUMINISTRO E INSTALACIÓN MANTO FIBERGLASS</t>
  </si>
  <si>
    <t>Precio por M2. Materiales: Mortero 1:3 Impermeabilizado (0.05 M3), Manto Protector 3mm Fiberglass Rollo Por 10 M2 (0.09 rl). Mano de obra: Auxiliar De Obra 2 (1.2 hh), Oficial Obra 1 (0.6 hh). Equipo: Herrramienta Y Equipo Menor (3.3 %).</t>
  </si>
  <si>
    <t>1.12.43</t>
  </si>
  <si>
    <t>SUMINISTRO E INSTALACIÓN PERFILERIA METALICA PARA ESTRUCTURA DE CUBIERTA. DIMENSIONES Y CALIBRES SEGÚN DISEÑO</t>
  </si>
  <si>
    <t>Precio por kg. Materiales: Anticorrosivo Phcl (0 gl), Acero 60000 Psi (0.13 kg), Acero Estruct. Astm A-36 (1 kg), Soldadura 6011 X 1/8`` (0.05 kg). Mano de obra: Auxiliar De Obra 2 (0.06 hh), Auxiliar De Carpinterias 1 (0.06 hh), Auxiliar De Pintura 1 (0.01 hh), Oficial Carpinterias (0.06 hh) y 2 más. Equipo: Oxicorte (0.01 dd), Andamio Tubular Normalizado, Tipo Multidireccional, De Acero Galvanizado En Caliente, Según Iso 9001. (0.05 dd), Herrramienta Y Equipo Menor (3.3 %).</t>
  </si>
  <si>
    <t>1.12.44</t>
  </si>
  <si>
    <t>SUMINISTRO E INSTALACIÓN TEJA ESPAÑOLA ETERNIT (NO INCLUYE ENTRAMADO)</t>
  </si>
  <si>
    <t>Precio por M2. Materiales: Teja Eternit Española 0.7 (1 M2), Gancho Teja Eternit 55 Mm (4 UND). Mano de obra: Andamio Tubular Normalizado, Tipo Multidireccional, De Acero Galvanizado En Caliente, Según Iso 9001. (0.06 dd), Auxiliar De Obra 2 (0.45 hh), Oficial Obra 1 (0.45 hh). Equipo: Herrramienta Y Equipo Menor (3.3 %).</t>
  </si>
  <si>
    <t>1.12.45</t>
  </si>
  <si>
    <t>SUMINISTRO E INSTALACIÓN TEJA DE BARRO SOBRE ETERNIT.</t>
  </si>
  <si>
    <t>Precio por M2. Materiales: Teja De Barro Española 18/16 X 40 Cm (24 UND), Mortero 1:3 Impermeabilizado (0.04 M3). Mano de obra: Auxiliar De Obra 2 (0.7 hh), Oficial Obra 1 (0.7 hh). Equipo: Andamio Tubular Normalizado, Tipo Multidireccional, De Acero Galvanizado En Caliente, Según Iso 9001. (0.08 dd), Herrramienta Y Equipo Menor (3.3 %).</t>
  </si>
  <si>
    <t>1.12.46</t>
  </si>
  <si>
    <t>SUMINISTRO E INSTALACIÓN TEJA DE BARRO TIPO ESPAÑOLA</t>
  </si>
  <si>
    <t>Precio por M2. Materiales: Teja De Barro Tipo ``española`` (48 UND), Mortero 1:3 Impermeabilizado (0.05 M3). Mano de obra: Andamio Tubular Normalizado, Tipo Multidireccional, De Acero Galvanizado En Caliente, Según Iso 9001. (0.18 dd), Auxiliar De Obra 2 (1.4 hh), Oficial Obra 1 (1.4 hh). Equipo: Herrramienta Y Equipo Menor (3.3 %).</t>
  </si>
  <si>
    <t>1.12.47</t>
  </si>
  <si>
    <t>SUMINISTRO E INSTALACIÓN TEJA THERMOACUSTICA TIPO TRAPEZOIDAL a 360</t>
  </si>
  <si>
    <t>Precio por M2. Materiales: Teja Termoacustica Tipo Trapezoidal A 360 (1.05 ML), Gancho De Fijacion (4 UND). Mano de obra: Andamio Tubular Normalizado, Tipo Multidireccional, De Acero Galvanizado En Caliente, Según Iso 9001. (0.07 dd), Auxiliar De Obra 2 (0.55 hh), Oficial Obra 1 (0.55 hh). Equipo: Herrramienta Y Equipo Menor (3.3 %).</t>
  </si>
  <si>
    <t>1.12.48</t>
  </si>
  <si>
    <t>SUMINISTRO E INTALACION CUBIERTA ARQUITECTONICA METALICA TIPO ACESCO O SIMILAR 0.73 X 3.66 M</t>
  </si>
  <si>
    <t>Precio por M2. Materiales: Cubierta Arquitectonica Tipo Acesco O Similar 0.73 X 3m Cl 30 (0.46 UND), Gancho De Fijacion (2.5 UND). Mano de obra: Auxiliar De Obra 2 (0.3 hh), Oficial Obra 1 (0.2 hh). Equipo: Herrramienta Y Equipo Menor (3.3 %).</t>
  </si>
  <si>
    <t>AM01 · ON07 · ES10 · NP03</t>
  </si>
  <si>
    <t>1.12.49</t>
  </si>
  <si>
    <t>TRAGANTES 6</t>
  </si>
  <si>
    <t>Precio por UND. Materiales: Mortero 1:3 Impermeabilizado (0 M3), Cúpula Tragante C 6x4 (1 UND). Mano de obra: Mano De Obra Aa (0.4 hc). Equipo: Herrramienta Y Equipo Menor (3.3 %).</t>
  </si>
  <si>
    <t>1.13.01</t>
  </si>
  <si>
    <t>CIELO RASOS</t>
  </si>
  <si>
    <t>APLIQUE DE LUZ EN YESO O SIMILAR</t>
  </si>
  <si>
    <t>Precio por UND. Materiales: Aplique De Luz (1 UND). Mano de obra: Auxiliar De Obra 2 (0.5 hh), Oficial Obra 1 (0.5 hh). Equipo: Herrramienta Y Equipo Menor (3.3 %).</t>
  </si>
  <si>
    <t>AM01 · OB08 · ES14 · NP01</t>
  </si>
  <si>
    <t>1.13.02</t>
  </si>
  <si>
    <t>ARMADURA MADERA Y MALLA.</t>
  </si>
  <si>
    <t>Precio por M2. Materiales: Malla Con Vena 0.60x2.00 (0.9 UND), Puntilla Con Y Sin Cabeza 2 (0.04 lb), Repisa Ordinaria 3 Mt (0.74 ML). Mano de obra: Mano De Obra Aa (1.1 hc). Equipo: Andamio Tubular Normalizado, Tipo Multidireccional, De Acero Galvanizado En Caliente, Según Iso 9001. (0.1 dd), Herrramienta Y Equipo Menor (3.3 %).</t>
  </si>
  <si>
    <t>Carpintería y herrería</t>
  </si>
  <si>
    <t>AM01 · OB08 · ES12 · NP01</t>
  </si>
  <si>
    <t>ES12 Carpintería, herrería y cerraduras</t>
  </si>
  <si>
    <t>1.13.03</t>
  </si>
  <si>
    <t>ARMADURA MADERA Y MALLA CON VENA</t>
  </si>
  <si>
    <t>Precio por M2. Materiales: Madera Repisa 3 M (2.16 ML), Malla Con Vena 0.60x2.00 (0.73 UND), Puntilla Con Y Sin Cabeza 2 (0.04 lb). Mano de obra: Andamio Tubular Normalizado, Tipo Multidireccional, De Acero Galvanizado En Caliente, Según Iso 9001. (0.15 dd), Auxiliar De Obra 2 (1 hh), Oficial Obra 1 (1 hh). Equipo: Herrramienta Y Equipo Menor (2 %).</t>
  </si>
  <si>
    <t>1.13.04</t>
  </si>
  <si>
    <t>CIELO RASO BÓVEDAS DRYWALL</t>
  </si>
  <si>
    <t>Precio por M2. Materiales: Vinilux (0.05 gl), Cielo Raso Pvc (1.05 M2). Mano de obra: Mano De Obra Dd (1.4 hc). Equipo: Herrramienta Y Equipo Menor (5 %).</t>
  </si>
  <si>
    <t>1.13.05</t>
  </si>
  <si>
    <t>CIELO RASO DURACUSTICO CIROCCO</t>
  </si>
  <si>
    <t>Precio por M2. Materiales: Angulo Perimetral De 1x1 Cal 26 (0.5 UND), Tee Aluminio 1" X 3/4 (0.8 ML), Duracustic Cirocco 2x4x5/8s.w. (1 lm), Remache Pop 4-2 1/4``x1/8 (4 UND). Mano de obra: Mano De Obra Bb (0.6 hc). Equipo: Andamio Tubular Normalizado, Tipo Multidireccional, De Acero Galvanizado En Caliente, Según Iso 9001. (0.13 dd), Herrramienta Y Equipo Menor (3.3 %).</t>
  </si>
  <si>
    <t>1.13.06</t>
  </si>
  <si>
    <t>CIELO RASO EN DRYWALL 1/2</t>
  </si>
  <si>
    <t>Precio por M2. Materiales: Tornillo 6x1 (5.4 UND), Tornillo Largo Para Lamina Cabeza De Lenteja (11 UND), Angulo Perimetral De 1x1 Cal 26 (0.45 UND), Vigueta En Aluminio Cal 26 (0.56 UND) y 4 más. Mano de obra: Auxiliar De Obra 2 (1 hh), Oficial Obra 1 (1 hh). Equipo: Andamio Tubular Normalizado, Tipo Multidireccional, De Acero Galvanizado En Caliente, Según Iso 9001. (0.13 dd), Herrramienta Y Equipo Menor (3.3 %).</t>
  </si>
  <si>
    <t>1.13.07</t>
  </si>
  <si>
    <t>CIELO RASO EN LAMINA DURACUSTIC 5/8" R.H</t>
  </si>
  <si>
    <t>Precio por M2. Materiales: Angulo Perimetral De 1x1 Cal 26 (0.5 UND), Tee Aluminio 1" X 3/4 (0.8 ML), Lamina Duracustic 5/8`` R-H (1 UND), Remache Pop 4-2 1/4``x1/8 (4 UND). Mano de obra: Auxiliar De Obra 2 (0.6 hh), Oficial Obra 1 (0.6 hh). Equipo: Andamio Tubular Normalizado, Tipo Multidireccional, De Acero Galvanizado En Caliente, Según Iso 9001. (0.13 dd), Herrramienta Y Equipo Menor (3.3 %).</t>
  </si>
  <si>
    <t>1.13.08</t>
  </si>
  <si>
    <t>CIELO RASO EN MADERA MACHIMBRE</t>
  </si>
  <si>
    <t>Precio por M2. Materiales: Machimbre (1 M2), Repisa Ordinaria 3 Mt (2 ML). Mano de obra: Auxiliar De Obra 2 (0.5 hh), Oficial Obra 1 (0.5 hh). Equipo: Andamio Tubular Normalizado, Tipo Multidireccional, De Acero Galvanizado En Caliente, Según Iso 9001. (0.13 dd), Herrramienta Y Equipo Menor (3.3 %).</t>
  </si>
  <si>
    <t>1.13.09</t>
  </si>
  <si>
    <t>CIELO RASO EN SUPERBOARD 8MM</t>
  </si>
  <si>
    <t>Precio por M2. Materiales: Tornillo 6x1 (9 UND), Tornillo Largo Para Lamina Cabeza De Lenteja (11 UND), Angulo Perimetral De 1x1 Cal 26 (0.42 UND), Vigueta En Aluminio Cal 26 (0.56 UND) y 4 más. Mano de obra: Auxiliar De Obra 2 (1.2 hh), Oficial Obra 1 (1.2 hh). Equipo: Andamio Tubular Normalizado, Tipo Multidireccional, De Acero Galvanizado En Caliente, Según Iso 9001. (0.13 dd), Herrramienta Y Equipo Menor (3.3 %).</t>
  </si>
  <si>
    <t>1.13.10</t>
  </si>
  <si>
    <t>CIELO RASO LISTON MACHIEMBRIADO CIPRES</t>
  </si>
  <si>
    <t>Precio por M2. Materiales: Toc Madera Transparente (0.05 kg), Cielo Raso Liston Machimbre Cipres (1.03 M2), Madera Media Caña (0.2 ML), Madera Tiras Alistado .03x.03x2.7m (2 ML) y 1 más. Mano de obra: Andamio Tubular Normalizado, Tipo Multidireccional, De Acero Galvanizado En Caliente, Según Iso 9001. (0.13 dd), Auxiliar De Obra 2 (1.5 hh), Oficial Obra 1 (1.5 hh). Equipo: Herrramienta Y Equipo Menor (2.5 %).</t>
  </si>
  <si>
    <t>1.13.11</t>
  </si>
  <si>
    <t>CIELO RASO METALICOS</t>
  </si>
  <si>
    <t>Precio por M2. Materiales: Angulo Perimetral De 1x1 Cal 26 (1.25 UND), Tee Aluminio 1" X 3/4 (0.8 ML), Disolvente Thiner (0.01 gl), Lamina Galvanizada Cal. 22 (1.26 UND) y 5 más. Mano de obra: Auxiliar De Carpinterias 1 (1.9 hh), Oficial Carpinterias (0.95 hh), Oficial Pintura (0.28 hh). Equipo: Andamio Tubular Normalizado, Tipo Multidireccional, De Acero Galvanizado En Caliente, Según Iso 9001. (0.4 dd), Herrramienta Y Equipo Menor (3.3 %).</t>
  </si>
  <si>
    <t>1.13.12</t>
  </si>
  <si>
    <t>CIELO RASO THERMOACUSTICOS EN SUPERBOARD 8 MM</t>
  </si>
  <si>
    <t>Precio por M2. Materiales: Tornillo 6x1 (9 UND), Tornillo Largo Para Lamina Cabeza De Lenteja (11 UND), Angulo Perimetral De 1x1 Cal 26 (0.42 UND), Vigueta En Aluminio Cal 26 (0.56 UND) y 5 más. Mano de obra: Auxiliar De Obra 2 (1.2 hh), Oficial Obra 1 (1.2 hh). Equipo: Herrramienta Y Equipo Menor (3.3 %).</t>
  </si>
  <si>
    <t>1.13.13</t>
  </si>
  <si>
    <t>MALLA CON VENA PARA PAÑETAR</t>
  </si>
  <si>
    <t>Precio por M2. Materiales: Malla Con Vena 0.60x2.00 (0.73 UND), Puntilla Con Y Sin Cabeza 2 (0.02 lb). Mano de obra: Auxiliar De Obra 2 (0.35 hh), Oficial Obra 1 (0.35 hh). Equipo: Andamio Tubular Normalizado, Tipo Multidireccional, De Acero Galvanizado En Caliente, Según Iso 9001. (0.13 dd), Herrramienta Y Equipo Menor (2 %).</t>
  </si>
  <si>
    <t>1.13.14</t>
  </si>
  <si>
    <t>TABLEX PIZANO 9 MM INCLUYE ALISTADO INMUNIZADO</t>
  </si>
  <si>
    <t>Precio por M2. Materiales: Triplex Pizano 4 Mm 1.22 X 2.44 (0.34 UND), Madera Repisa 3 M (2.54 ML), Merulex (0.2 kg), Puntilla Con Y Sin Cabeza 2 (2.06 lb). Mano de obra: Andamio Tubular Normalizado, Tipo Multidireccional, De Acero Galvanizado En Caliente, Según Iso 9001. (0.13 dd), Auxiliar De Obra 2 (1.1 hh), Oficial Obra 1 (1.1 hh). Equipo: Herrramienta Y Equipo Menor (0.9 %).</t>
  </si>
  <si>
    <t>1.13.15</t>
  </si>
  <si>
    <t>CORNISAS EN YESO</t>
  </si>
  <si>
    <t>Precio por ML. Materiales: Cornisa 16 (1 ML). Mano de obra: Mano De Obra Aa (0.25 hc). Equipo: Herrramienta Y Equipo Menor (5 %).</t>
  </si>
  <si>
    <t>1.13.16</t>
  </si>
  <si>
    <t>LAMINA ICOPOR RUSTICO INCUYE ALISTADO ALUMINIO</t>
  </si>
  <si>
    <t>Precio por M2. Materiales: Angulo Perimetral De 1x1 Cal 26 (1.25 UND), Tee Aluminio 1" X 3/4 (0.8 ML), Cielo Raso Icopor Rustico (1.03 M2), Remache Pop 4-2 1/4``x1/8 (4 UND). Mano de obra: Auxiliar De Obra 2 (1.4 hh), Oficial Obra 1 (0.7 hh). Equipo: Andamio Tubular Normalizado, Tipo Multidireccional, De Acero Galvanizado En Caliente, Según Iso 9001. (0.13 dd), Herrramienta Y Equipo Menor (5 %).</t>
  </si>
  <si>
    <t>1.13.17</t>
  </si>
  <si>
    <t>LAMINA PANEL(PVC-FOIL ALUM)</t>
  </si>
  <si>
    <t>Precio por M2. Materiales: Lamina Cielo R. Falso Yeso+pvc+fo (1.35 UND), Perfil Galv L 1 X1 -305 (0.34 UND), Perfil Galv T 1 X1 -122 (1 UND), Perfil Galv T 1.1/2x1-366 (0.34 UND) y 2 más. Mano de obra: Auxiliar De Carpinterias 1 (0.8 hh), Oficial Carpinterias (0.4 hh). Equipo: Herrramienta Y Equipo Menor (3.3 %).</t>
  </si>
  <si>
    <t>1.13.18</t>
  </si>
  <si>
    <t>LAMINA PLANA ETERNIT O SIMILAR INCLUYE ALISTADO ALUMINIO</t>
  </si>
  <si>
    <t>Precio por M2. Materiales: Tornillo 6x1 (9 UND), Tornillo Largo Para Lamina Cabeza De Lenteja (11 UND), Angulo Perimetral De 1x1 Cal 26 (0.42 UND), Vigueta En Aluminio Cal 26 (0.56 UND) y 4 más. Mano de obra: Andamio Tubular Normalizado, Tipo Multidireccional, De Acero Galvanizado En Caliente, Según Iso 9001. (0.13 dd), Auxiliar De Obra 2 (1 hh), Oficial Obra 1 (1 hh). Equipo: Herrramienta Y Equipo Menor (1.8 %).</t>
  </si>
  <si>
    <t>1.13.19</t>
  </si>
  <si>
    <t>LAMINA PLANA SUPERCELL INCLUYE ALISTADO ALUMINIO</t>
  </si>
  <si>
    <t>Precio por M2. Materiales: Angulo Perimetral De 1x1 Cal 26 (1.25 UND), Tee Aluminio 1" X 3/4 (0.8 ML), Cielo Raso Lamina Plana Supercell (1.03 M2), Remache Pop 4-2 1/4``x1/8 (4 UND). Mano de obra: Auxiliar De Obra 2 (1.4 hh), Oficial Obra 1 (0.7 hh). Equipo: Herrramienta Y Equipo Menor (8.5 %).</t>
  </si>
  <si>
    <t>1.13.20</t>
  </si>
  <si>
    <t>LISTÓN M.H. EN PINO CIPRÉS INCLUYE MEDIA CAÑA</t>
  </si>
  <si>
    <t>Precio por M2. Materiales: Toc Madera Transparente (0.05 kg), Listón M.h. Pino Cipres (4.32 ML), Madera Tiras Alistado .03x.03x2.7m (2 ML), Media Caña 9x3 (0.54 ML) y 1 más. Mano de obra: Andamio Tubular Normalizado, Tipo Multidireccional, De Acero Galvanizado En Caliente, Según Iso 9001. (0.13 dd), Mano De Obra Aa (0.5 hc). Equipo: Herrramienta Y Equipo Menor (5 %).</t>
  </si>
  <si>
    <t>1.13.21</t>
  </si>
  <si>
    <t>LUXACELL ACERO</t>
  </si>
  <si>
    <t>Precio por M2. Materiales: Cielo Raso Aluzinc Cell 5x5 (1.03 M2). Equipo: Mano De Obra Aa (0.03 hc), Herrramienta Y Equipo Menor (5 %).</t>
  </si>
  <si>
    <t>AM01 · OB08 · ES05 · NP01</t>
  </si>
  <si>
    <t>1.14.01</t>
  </si>
  <si>
    <t>CARPINTERÍA MADERA</t>
  </si>
  <si>
    <t>BARANDA EN MADERA CEDRO MACHO</t>
  </si>
  <si>
    <t>Precio por ML. Materiales: Tornillo M 2*8 (2 UND), Madera Cedro Macho Pieza (1 UND), Puntilla Con Y Sin Cabeza 1 (0.25 lb). Mano de obra: Auxiliar De Carpinterias 1 (2 hh), Oficial Carpinterias (2 hh). Equipo: Herrramienta Y Equipo Menor (2.5 %).</t>
  </si>
  <si>
    <t>1.14.02</t>
  </si>
  <si>
    <t>CLOSET TIPO A CEDRO CAQUETA FORRADO (entablerado)</t>
  </si>
  <si>
    <t>Precio por M2. Materiales: Tornillo M 2*8 (4 UND), Triplex Pizano 9mm 2.44 X 1.22 (2.18 UND), Bisagra Comun 3`` (2 UND), Madera Cedro Caqueta Pieza (1.5 UND) y 2 más. Mano de obra: Auxiliar De Carpinterias 1 (14 hh), Oficial Carpinterias (14 hh). Equipo: Herrramienta Y Equipo Menor (2 %).</t>
  </si>
  <si>
    <t>1.14.03</t>
  </si>
  <si>
    <t>CLOSET TIPO B CEDRO CAQUETA SIN FORRAR (puerta entablerada)</t>
  </si>
  <si>
    <t>Precio por M2. Materiales: Tornillo M 2*8 (4 UND), Bisagra Comun 3`` (2 UND), Madera Cedro Caqueta Pieza (1.3 UND), Madera Triplex 4mm (1.07 UND) y 2 más. Mano de obra: Auxiliar De Carpinterias 1 (10 hh), Oficial Carpinterias (10 hh). Equipo: Herrramienta Y Equipo Menor (2 %).</t>
  </si>
  <si>
    <t>1.14.04</t>
  </si>
  <si>
    <t>CLOSETS MADERA ABARCO (puerta entablerada; sin forrar)</t>
  </si>
  <si>
    <t>Precio por M2. Materiales: Tornillo Madera 8*2 (4 UND), Bisagra Comun 3`` (2 UND), Madera Abarco (2 UND), Madera Triplex 4mm (1.07 UND) y 2 más. Mano de obra: Auxiliar De Carpinterias 1 (8 hh), Oficial Carpinterias (8 hh). Equipo: Herrramienta Y Equipo Menor (5 %).</t>
  </si>
  <si>
    <t>1.14.05</t>
  </si>
  <si>
    <t>CLOSETS MADERA AMARILLO (puerta entablerada; sin forrar)</t>
  </si>
  <si>
    <t>Precio por M2. Materiales: Tornillo Madera 8*2 (4 UND), Bisagra Comun 3`` (0.76 UND), Madera Amarillo (2 UND), Madera Triplex 4mm (1.75 UND) y 2 más. Mano de obra: Auxiliar De Carpinterias 1 (7 hh), Oficial Carpinterias (7 hh). Equipo: Herrramienta Y Equipo Menor (0.7 %).</t>
  </si>
  <si>
    <t>1.14.06</t>
  </si>
  <si>
    <t>CLOSETS MADERA GUAYACÁN (puerta entablerada; sin forrar)</t>
  </si>
  <si>
    <t>Precio por M2. Materiales: Tornillo Madera 8*2 (4 UND), Bisagra Comun 3`` (0.8 UND), Madera Guayacan (1.3 UND), Madera Triplex 4mm (1.07 UND) y 2 más. Mano de obra: Auxiliar De Carpinterias 1 (8 hh), Oficial Carpinterias (8 hh). Equipo: Herrramienta Y Equipo Menor (2.5 %).</t>
  </si>
  <si>
    <t>1.14.07</t>
  </si>
  <si>
    <t>CLOSETS MADERA PINO</t>
  </si>
  <si>
    <t>Precio por M2. Materiales: Tornillo Madera 8*2 (4 UND), Bisagra Comun 3`` (3 UND), Madera Pino (1.75 UND), Madera Triplex 4mm (1.5 UND) y 2 más. Mano de obra: Auxiliar De Carpinterias 1 (8 hh), Oficial Carpinterias (8 hh). Equipo: Herrramienta Y Equipo Menor (5 %).</t>
  </si>
  <si>
    <t>1.14.08</t>
  </si>
  <si>
    <t>GABINETES DE BAÑOS MADERA ABARCO 80 CM (tamboreado y forrado)</t>
  </si>
  <si>
    <t>Precio por ML. Materiales: Tornillo Madera 8*2 (7 UND), Bisagra Comun 3`` (0.76 UND), Madera Abarco (2 UND), Madera Triplex 4mm (2.5 UND) y 2 más. Mano de obra: Auxiliar De Carpinterias 1 (8 hh), Oficial Carpinterias (8 hh). Equipo: Herrramienta Y Equipo Menor (5 %).</t>
  </si>
  <si>
    <t>1.14.09</t>
  </si>
  <si>
    <t>GABINETES DE BAÑOS MADERA AMARILLO 80 CM (tablereado y forrado)</t>
  </si>
  <si>
    <t>Precio por ML. Materiales: Tornillo Madera 8*2 (7 UND), Bisagra Comun 3`` (0.76 UND), Madera Amarillo (2.75 UND), Madera Triplex 4mm (2 UND) y 2 más. Mano de obra: Auxiliar De Carpinterias 1 (10 hh), Oficial Carpinterias (10 hh). Equipo: Herrramienta Y Equipo Menor (2.3 %).</t>
  </si>
  <si>
    <t>1.14.10</t>
  </si>
  <si>
    <t>GABINETES DE BAÑOS MADERA GUAYACÁN 80 CM ALTO</t>
  </si>
  <si>
    <t>Precio por ML. Materiales: Tornillo Madera 8*2 (7 UND), Triplex Pizano 9mm 2.44 X 1.22 (0.75 UND), Bisagra Comun 3`` (0.76 UND), Madera Guayacan (2.1 UND) y 2 más. Mano de obra: Auxiliar De Carpinterias 1 (9 hh), Oficial Carpinterias (9 hh). Equipo: Herrramienta Y Equipo Menor (3 %).</t>
  </si>
  <si>
    <t>1.14.11</t>
  </si>
  <si>
    <t>GABINETES DE BAÑOS MADERA PINO 80 CM</t>
  </si>
  <si>
    <t>Precio por ML. Materiales: Tornillo Madera 8*2 (7 UND), Bisagra Comun 3`` (4 UND), Madera Pino (2 UND), Madera Triplex 4mm (2.5 UND) y 2 más. Mano de obra: Auxiliar De Carpinterias 1 (8 hh), Oficial Carpinterias (8 hh). Equipo: Herrramienta Y Equipo Menor (2.5 %).</t>
  </si>
  <si>
    <t>1.14.12</t>
  </si>
  <si>
    <t>GABINETES DE COCINA MADERA ABARCO</t>
  </si>
  <si>
    <t>Precio por M2. Materiales: Tornillo Madera 8*2 (7 UND), Bisagra Comun 3`` (0.76 UND), Madera Abarco (2.3 UND), Madera Triplex 4mm (1 UND) y 2 más. Mano de obra: Auxiliar De Carpinterias 1 (8 hh), Oficial Carpinterias (8 hh). Equipo: Herrramienta Y Equipo Menor (5 %).</t>
  </si>
  <si>
    <t>1.14.13</t>
  </si>
  <si>
    <t>GABINETES DE COCINA MADERA AMARILLO</t>
  </si>
  <si>
    <t>Precio por M2. Materiales: Tornillo Madera 8*2 (7 UND), Bisagra Comun 3`` (0.76 UND), Madera Amarillo (1.75 UND), Madera Triplex 4mm (1.5 UND) y 2 más. Mano de obra: Auxiliar De Carpinterias 1 (7 hh), Oficial Carpinterias (7 hh). Equipo: Herrramienta Y Equipo Menor (2.5 %).</t>
  </si>
  <si>
    <t>1.14.14</t>
  </si>
  <si>
    <t>GABINETES DE COCINA MADERA GUAYACAN</t>
  </si>
  <si>
    <t>Precio por M2. Materiales: Tornillo Madera 8*2 (7 UND), Triplex Pizano 9mm 2.44 X 1.22 (0.3 UND), Bisagra Comun 3`` (4 UND), Madera Guayacan (2.1 UND) y 3 más. Mano de obra: Auxiliar De Carpinterias 1 (8 hh), Oficial Carpinterias (8 hh). Equipo: Herrramienta Y Equipo Menor (3 %).</t>
  </si>
  <si>
    <t>1.14.15</t>
  </si>
  <si>
    <t>GABINETES DE COCINA MADERA PINO</t>
  </si>
  <si>
    <t>Precio por M2. Materiales: Tornillo Madera 8*2 (7 UND), Bisagra Comun 3`` (0.76 UND), Madera Pino (1.25 UND), Madera Triplex 4mm (1.5 UND) y 2 más. Mano de obra: Auxiliar De Carpinterias 1 (8 hh), Oficial Carpinterias (8 hh). Equipo: Herrramienta Y Equipo Menor (2.5 %).</t>
  </si>
  <si>
    <t>1.14.16</t>
  </si>
  <si>
    <t>HOJA PUERTA FORTEC O SIMILAR DE 60 CM ECONÓMICO</t>
  </si>
  <si>
    <t>Precio por UND. Materiales: Puerta Fortec Res.0.60 (1 UND). Mano de obra: Auxiliar De Carpinterias 1 (0.5 hh), Oficial Carpinterias (0.5 hh). Equipo: Herrramienta Y Equipo Menor (2 %).</t>
  </si>
  <si>
    <t>1.14.17</t>
  </si>
  <si>
    <t>HOJA PUERTA FORTEC O SIMILAR DE 80 CM ECONÓMICO</t>
  </si>
  <si>
    <t>Precio por UND. Materiales: Puerta Fortec Res.0.80 (1 UND). Mano de obra: Auxiliar De Carpinterias 1 (0.5 hh), Oficial Carpinterias (0.5 hh). Equipo: Herrramienta Y Equipo Menor (2 %).</t>
  </si>
  <si>
    <t>1.14.18</t>
  </si>
  <si>
    <t>HOJA PUERTA FORTEC O SIMILAR 100 CM ECONÓMICO</t>
  </si>
  <si>
    <t>Precio por UND. Materiales: Puerta Fortec Res.1.00 (1 UND). Mano de obra: Auxiliar De Carpinterias 1 (0.5 hh), Oficial Carpinterias (0.5 hh). Equipo: Herrramienta Y Equipo Menor (2 %).</t>
  </si>
  <si>
    <t>1.14.19</t>
  </si>
  <si>
    <t>HOJA PUERTA TRIPLEX DE 60 CM ECONÓMICA PIZANO O SIMILAR</t>
  </si>
  <si>
    <t>Precio por UND. Materiales: Puerta Pizano Eco. 0.60 (1 UND). Mano de obra: Auxiliar De Carpinterias 1 (0.7 hh), Oficial Carpinterias (0.7 hh). Equipo: Herrramienta Y Equipo Menor (2 %).</t>
  </si>
  <si>
    <t>1.14.20</t>
  </si>
  <si>
    <t>HOJA PUERTA TRIPLEX DE 80 CM ECONÓMICO PIZANO O SIMILAR</t>
  </si>
  <si>
    <t>Precio por UND. Materiales: Puerta Pizano Eco. 0.80 (1 UND). Mano de obra: Auxiliar De Carpinterias 1 (0.5 hh), Oficial Carpinterias (0.5 hh). Equipo: Herrramienta Y Equipo Menor (2 %).</t>
  </si>
  <si>
    <t>1.14.21</t>
  </si>
  <si>
    <t>HOJA PUERTA TRIPLEX DE 100 CM ECONÓMICO PIZANO O SIMILAR</t>
  </si>
  <si>
    <t>Precio por UND. Materiales: Puerta Pizano Eco. 1.00 (1 UND). Mano de obra: Auxiliar De Carpinterias 1 (0.5 hh), Oficial Carpinterias (0.5 hh). Equipo: Herrramienta Y Equipo Menor (2 %).</t>
  </si>
  <si>
    <t>1.14.22</t>
  </si>
  <si>
    <t>MARCO Y PUERTA MADERA PINO ENTABL. TRIPLEX 70-90 * 200 CM</t>
  </si>
  <si>
    <t>Precio por UND. Materiales: Tornillo Madera 8*2 (18 UND), Triplex Pizano 9mm 2.44 X 1.22 (0.54 UND), Bisagra Comun 3`` (3 UND), Madera Pino (4 UND) y 2 más. Mano de obra: Auxiliar De Carpinterias 1 (4 hh), Oficial Carpinterias (4 hh). Equipo: Herrramienta Y Equipo Menor (5 %).</t>
  </si>
  <si>
    <t>1.14.23</t>
  </si>
  <si>
    <t>MUEBLE BAJO DE 80 CM CEDRO CAQUETA</t>
  </si>
  <si>
    <t>Precio por ML. Materiales: Tornillo M 2*8 (7 UND), Bisagra Comun 3`` (4.6 UND), Madera Cedro Caqueta Pieza (1.6 UND), Madera Triplex 4mm (1.74 UND) y 2 más. Mano de obra: Auxiliar De Carpinterias 1 (12 hh), Oficial Carpinterias (12 hh). Equipo: Herrramienta Y Equipo Menor (2 %).</t>
  </si>
  <si>
    <t>1.14.24</t>
  </si>
  <si>
    <t>MUEBLE TIPO LINOS CEDRO CAQUETA</t>
  </si>
  <si>
    <t>Precio por M2. Materiales: Tornillo M 2*8 (4.56 UND), Triplex Pizano 9mm 2.44 X 1.22 (1 UND), Madera Cedro Caqueta Pieza (1.15 UND), Pegante Para Madera (0.2 kg) y 1 más. Mano de obra: Auxiliar De Carpinterias 1 (10 hh), Oficial Carpinterias (10 hh). Equipo: Herrramienta Y Equipo Menor (2.5 %).</t>
  </si>
  <si>
    <t>1.14.25</t>
  </si>
  <si>
    <t>PASA MANOS ESCALERA ABARCO</t>
  </si>
  <si>
    <t>Precio por ML. Materiales: Tornillo Madera 8*2 (2 UND), Madera Abarco (0.75 UND), Puntilla Con Y Sin Cabeza 1 (0.25 lb). Mano de obra: Auxiliar De Carpinterias 1 (1.4 hh), Oficial Carpinterias (1.4 hh). Equipo: Herrramienta Y Equipo Menor (5 %).</t>
  </si>
  <si>
    <t>1.14.26</t>
  </si>
  <si>
    <t>PASA MANOS ESCALERA AMARILLO</t>
  </si>
  <si>
    <t>Precio por ML. Materiales: Tornillo Madera 8*2 (2 UND), Madera Amarillo (1 UND), Puntilla Con Y Sin Cabeza 1 (0.25 lb). Mano de obra: Auxiliar De Carpinterias 1 (1.2 hh), Oficial Carpinterias (1.2 hh). Equipo: Herrramienta Y Equipo Menor (5 %).</t>
  </si>
  <si>
    <t>1.14.27</t>
  </si>
  <si>
    <t>PASA MANOS ESCALERA GUAYACÁN</t>
  </si>
  <si>
    <t>Precio por ML. Materiales: Tornillo Madera 8*2 (2 UND), Madera Guayacan (1 UND), Puntilla Con Y Sin Cabeza 1 (0.25 lb). Mano de obra: Auxiliar De Carpinterias 1 (1 hh), Oficial Carpinterias (1 hh). Equipo: Herrramienta Y Equipo Menor (5 %).</t>
  </si>
  <si>
    <t>1.14.28</t>
  </si>
  <si>
    <t>PASA MANOS ESCALERA PINO</t>
  </si>
  <si>
    <t>Precio por ML. Materiales: Tornillo Madera 8*2 (2 UND), Madera Pino (0.95 UND), Puntilla Con Y Sin Cabeza 1 (0.25 lb). Mano de obra: Auxiliar De Carpinterias 1 (1.2 hh), Oficial Carpinterias (1.2 hh). Equipo: Herrramienta Y Equipo Menor (5 %).</t>
  </si>
  <si>
    <t>1.14.29</t>
  </si>
  <si>
    <t>PASA MANOS ESCALERA CEDRO CAQUETA</t>
  </si>
  <si>
    <t>Precio por M2. Materiales: Tornillo M 2*8 (2 UND), Madera Cedro Caqueta Pieza (0.3 UND), Puntilla Con Y Sin Cabeza 1 (0.25 lb). Mano de obra: Auxiliar De Carpinterias 1 (1 hh), Oficial Carpinterias (1 hh). Equipo: Herrramienta Y Equipo Menor (2.5 %).</t>
  </si>
  <si>
    <t>1.14.30</t>
  </si>
  <si>
    <t>PIRLAN DE MADERA CEDROS CAQUETA A= 15 CM</t>
  </si>
  <si>
    <t>Precio por ML. Materiales: Tornillo M 2*8 (2 UND), Pirlan Madera Cedro (1 ML), Puntilla Con Y Sin Cabeza 1 (0.14 lb). Mano de obra: Auxiliar De Carpinterias 1 (0.8 hh), Oficial Carpinterias (0.8 hh). Equipo: Herrramienta Y Equipo Menor (2 %).</t>
  </si>
  <si>
    <t>1.14.31</t>
  </si>
  <si>
    <t>PUERTA MARCO MADERA ABARCO ENTABL. TRIPLEX 4MM ECONOMICA 70 - 90 * 200 CM</t>
  </si>
  <si>
    <t>Precio por UND. Materiales: Tornillo Madera 8*2 (18 UND), Triplex Pizano 4 Mm 1.22 X 2.44 (0.54 UND), Bisagra Comun 3`` (3 UND), Madera Abarco (4 UND) y 2 más. Mano de obra: Auxiliar De Carpinterias 1 (4 hh), Oficial Carpinterias (4 hh). Equipo: Herrramienta Y Equipo Menor (5 %).</t>
  </si>
  <si>
    <t>1.14.32</t>
  </si>
  <si>
    <t>PUERTA MARCO MADERA AMARILLO ENTABL. TRIPLEX 80 - 100 * 200 CM</t>
  </si>
  <si>
    <t>Precio por UND. Materiales: Tornillo Madera 8*2 (18 UND), Triplex Pizano 9mm 2.44 X 1.22 (0.75 UND), Bisagra Comun 3`` (3 UND), Madera Amarillo (4.75 UND) y 1 más. Mano de obra: Auxiliar De Carpinterias 1 (4 hh), Oficial Carpinterias (4 hh). Equipo: Herrramienta Y Equipo Menor (5 %).</t>
  </si>
  <si>
    <t>1.14.33</t>
  </si>
  <si>
    <t>PUERTA MARCO MADERA ENTABL. CEDRO 100 * 210 CM</t>
  </si>
  <si>
    <t>Precio por UND. Materiales: Tornillo Madera 8*2 (18 UND), Triplex Pizano 9mm 2.44 X 1.22 (0.2 UND), Bisagra Comun 3`` (3 UND), Madera Cedro Caqueta Pieza (3.6 UND) y 2 más. Mano de obra: Auxiliar De Carpinterias 1 (14 hh), Oficial Carpinterias (14 hh). Equipo: Herrramienta Y Equipo Menor (5 %).</t>
  </si>
  <si>
    <t>1.14.34</t>
  </si>
  <si>
    <t>PUERTA MARCO MADERA GUAYACÁN ENTABL. TRIPLEX 80 - 100 * 200 CM</t>
  </si>
  <si>
    <t>Precio por UND. Materiales: Tornillo Madera 8*2 (18 UND), Triplex Pizano 9mm 2.44 X 1.22 (1 UND), Bisagra Comun 3`` (3 UND), Madera Guayacan (4.5 UND) y 2 más. Mano de obra: Auxiliar De Carpinterias 1 (4.5 hh), Oficial Carpinterias (4.5 hh). Equipo: Herrramienta Y Equipo Menor (10 %).</t>
  </si>
  <si>
    <t>1.14.35</t>
  </si>
  <si>
    <t>VENTANERIA EN MADERA ABARCO</t>
  </si>
  <si>
    <t>Precio por M2. Materiales: Tornillo Madera 8*2 (6 UND), Bisagra Comun 3`` (1 UND), Madera Abarco (0.75 UND), Pegante Para Madera (0.13 kg) y 1 más. Mano de obra: Auxiliar De Carpinterias 1 (2.5 hh), Oficial Carpinterias (2.5 hh). Equipo: Herrramienta Y Equipo Menor (5 %).</t>
  </si>
  <si>
    <t>1.14.36</t>
  </si>
  <si>
    <t>VENTANERIA EN MADERA AMARILLO</t>
  </si>
  <si>
    <t>Precio por M2. Materiales: Tornillo Madera 8*2 (6 UND), Bisagra Comun 3`` (1 UND), Madera Amarillo (1.1 UND), Pegante Para Madera (0.13 kg) y 1 más. Mano de obra: Auxiliar De Carpinterias 1 (2.5 hh), Oficial Carpinterias (2.5 hh). Equipo: Herrramienta Y Equipo Menor (5 %).</t>
  </si>
  <si>
    <t>1.14.37</t>
  </si>
  <si>
    <t>VENTANERIA EN MADERA GUAYACAN</t>
  </si>
  <si>
    <t>Precio por M2. Materiales: Tornillo Madera 8*2 (6 UND), Bisagra Comun 3`` (1 UND), Madera Guayacan (1.1 UND), Pegante Para Madera (0.13 kg) y 1 más. Mano de obra: Auxiliar De Carpinterias 1 (2.5 hh), Oficial Carpinterias (2.5 hh). Equipo: Herrramienta Y Equipo Menor (5 %).</t>
  </si>
  <si>
    <t>1.14.38</t>
  </si>
  <si>
    <t>VENTANERIA EN MADERA PINO</t>
  </si>
  <si>
    <t>Precio por M2. Materiales: Tornillo Madera 8*2 (6 UND), Bisagra Comun 3`` (1 UND), Madera Pino (1.1 UND), Pegante Para Madera (0.13 kg) y 1 más. Mano de obra: Auxiliar De Carpinterias 1 (2.5 hh), Oficial Carpinterias (2.5 hh). Equipo: Herrramienta Y Equipo Menor (5 %).</t>
  </si>
  <si>
    <t>1.14.39</t>
  </si>
  <si>
    <t>VENTANERIA EN MADERA TIPO CEDRO CAQUETA</t>
  </si>
  <si>
    <t>Precio por M2. Materiales: Tornillo Madera 8*2 (6 UND), Bisagra Comun 3`` (1 UND), Madera Cedro Caqueta Pieza (1 UND), Pegante Para Madera (0.13 kg) y 1 más. Mano de obra: Auxiliar De Carpinterias 1 (2.5 hh), Oficial Carpinterias (2.5 hh). Equipo: Herrramienta Y Equipo Menor (5 %).</t>
  </si>
  <si>
    <t>1.15.01</t>
  </si>
  <si>
    <t>CARPINTERÍA METÁLICA</t>
  </si>
  <si>
    <t>CORREA 2 D=1/2" 1 D=1/2" CELOSIA EN 3/8" INC. ANTICORR.</t>
  </si>
  <si>
    <t>Precio por ML. Materiales: Varilla 1/2`` (3 kg), Varilla 3/8`` (1.68 kg), Pintura Anticorrosivo (0.01 gl), Soldadura Electrica (0.16 kg). Mano de obra: Auxiliar De Obra 2 (2 hh), Oficial Obra 1 (2 hh), Sub-Contrato Ornamentacion (0.25 hr). Equipo: Andamio Tubular Normalizado, Tipo Multidireccional, De Acero Galvanizado En Caliente, Según Iso 9001. (0.1 dd), Herrramienta Y Equipo Menor (0.03 %).</t>
  </si>
  <si>
    <t>1.15.02</t>
  </si>
  <si>
    <t>CORREA 2 D=1/2" 1 D=5/8" CELOSIA EN 3/8 INC. ANTICORR.</t>
  </si>
  <si>
    <t>Precio por ML. Materiales: Varilla 1/2`` (2 kg), Varilla 3/8`` (1.68 kg), Varilla 5/8`` (1.56 kg), Pintura Anticorrosivo (0.02 gl) y 1 más. Mano de obra: Auxiliar De Obra 2 (2 hh), Oficial Obra 1 (2 hh), Sub-Contrato Ornamentacion (0.25 hr). Equipo: Andamio Tubular Normalizado, Tipo Multidireccional, De Acero Galvanizado En Caliente, Según Iso 9001. (0.1 dd), Herrramienta Y Equipo Menor (3 %).</t>
  </si>
  <si>
    <t>1.15.03</t>
  </si>
  <si>
    <t>DIVISIONES PARA BAÑO EN ALUMINIO Y VIDRIO TEMPLADO DE 0,05 MM</t>
  </si>
  <si>
    <t>Precio por M2. Materiales: Division Baño Aluminio Vidrio Templado (1 M2). Mano de obra: Auxiliar De Instalaciones 1 (1 hh), Oficial Instalaciones (1 hh). Equipo: Herrramienta Y Equipo Menor (5 %).</t>
  </si>
  <si>
    <t>Cerraduras y vidrios</t>
  </si>
  <si>
    <t>1.15.04</t>
  </si>
  <si>
    <t>DIVISIONES PARA BAÑOS EN ALUMINIO Y ACRILICO 0.05 MM</t>
  </si>
  <si>
    <t>Precio por M2. Materiales: Division Baño Aluminio Y Acrilico (1 M2). Mano de obra: Auxiliar De Instalaciones 1 (1 hh), Oficial Instalaciones (1 hh). Equipo: Herrramienta Y Equipo Menor (5 %).</t>
  </si>
  <si>
    <t>1.15.05</t>
  </si>
  <si>
    <t>ESCALERA DE GATO INC. ANTICORR. TUBO D=1"</t>
  </si>
  <si>
    <t>Precio por ML. Materiales: Angulo 1*1*1/8`` (2 ML), Tubo Galvanizado 1`` (3.75 ML), Tubo Galvanizado 2 1/2`` (1.75 ML), Acero Estruct. Astm A-36 (3.75 kg) y 3 más. Mano de obra: Sub-Contrato Ornamentacion (0.55 hr). Equipo: Herrramienta Y Equipo Menor (2 %).</t>
  </si>
  <si>
    <t>1.15.06</t>
  </si>
  <si>
    <t>PUERTA DE ACCESO EN ALUMINIO PERFIL 1 1/2" X 1 1/2"</t>
  </si>
  <si>
    <t>Precio por M2. Materiales: Puerta Acceso Aluminio (1 M2). Mano de obra: Auxiliar De Obra 2 (1 hh), Oficial Obra 1 (1 hh). Equipo: Herrramienta Y Equipo Menor (0.25 %).</t>
  </si>
  <si>
    <t>1.15.07</t>
  </si>
  <si>
    <t>SUMINISTRO E INSTALACIÓN MARCO EN LAMINA A=90 CM CAL 18 INC. ANTICORROSIVO</t>
  </si>
  <si>
    <t>Precio por UND. Materiales: Bisagra Aluminio Ext 3 (3 UND), Lamina Coll Roled Cal 18 De 2*1 (0.45 UND), Pintura Anticorrosivo (0.04 gl), Soldadura Electrica (0.08 kg). Equipo: Sub-Contrato Ornamentacion (0.5 hr).</t>
  </si>
  <si>
    <t>AM01 · OB08 · ES12 · NP02</t>
  </si>
  <si>
    <t>1.15.08</t>
  </si>
  <si>
    <t>SUMINISTRO E INSTALACIÓN PUERTA EN LAMINA CAL 18 INC. ANTICORROSIVO</t>
  </si>
  <si>
    <t>Precio por M2. Materiales: Lamina Coll Roled Cal 18 De 2*1 (0.62 UND), Pintura Anticorrosivo (0.05 gl), Soldadura Electrica (0.67 kg). Mano de obra: Sub-Contrato Ornamentacion (1 hr). Equipo: Herrramienta Y Equipo Menor (2.5 %).</t>
  </si>
  <si>
    <t>1.15.09</t>
  </si>
  <si>
    <t>SUMINISTRO E INSTALACIÓN PUERTA VENTANA EN LAMINA CAL 18 INC. ANTICORR.</t>
  </si>
  <si>
    <t>Precio por M2. Materiales: Angulo 3/4`` * 1/8`` (1 ML), Vidrio 5 Mm Peldar (0.5 M2), Bisagra Comun 3`` (2 UND), Lamina Coll Roled Cal 18 De 2*1 (0.4 UND) y 3 más. Mano de obra: Auxiliar De Obra 2 (2 hh), Oficial Obra 1 (1 hh), Sub-Contrato Ornamentacion (0.65 hr). Equipo: Herrramienta Y Equipo Menor (2.5 %).</t>
  </si>
  <si>
    <t>1.15.10</t>
  </si>
  <si>
    <t>SUMINISTRO E INSTALACION PUERTA Y MARCO CAL. 18 1 X 2 INCLUYE ANTICORROSIVO</t>
  </si>
  <si>
    <t>Precio por UND. Materiales: Bisagra Comun 3`` (2 UND), Lamina Coll Roled Cal 18 De 2*1 (1.67 UND), Masilla Plastica Tec Panel (0.11 cuñ), Pintura Anticorrosivo (0.23 gl) y 1 más. Mano de obra: Auxiliar De Instalaciones 1 (3 hh), Oficial Carpinterias (3 hh). Equipo: Herrramienta Y Equipo Menor (5 %).</t>
  </si>
  <si>
    <t>1.15.11</t>
  </si>
  <si>
    <t>SUMINISTRO E INSTALACIÓN REJA BANCARIA INC. ANTICORROSIVO</t>
  </si>
  <si>
    <t>Precio por M2. Materiales: Hierro Cuadrado 9 Mm (1.74 UND), Pintura Anticorrosivo (0.2 gl), Soldadura Electrica (0.6 kg). Mano de obra: Auxiliar De Obra 2 (1 hh), Oficial Obra 1 (1 hh), Sub-Contrato Ornamentacion (0.3 hr). Equipo: Herrramienta Y Equipo Menor (3.5 %).</t>
  </si>
  <si>
    <t>1.15.12</t>
  </si>
  <si>
    <t>SUMINISTRO E INSTALACIÓN REJA EN LAMINA CAL. 18 INC. ANTICORROSIVO</t>
  </si>
  <si>
    <t>Precio por M2. Materiales: Tubo Mueble Cal 1`` 1,10 Mm (7.35 ML), Lamina Coll Roled Cal 18 De 2*1 (0.3 UND), Pintura Anticorrosivo (0.02 gl), Soldadura Electrica (0.46 kg). Mano de obra: Auxiliar De Obra 2 (1.5 hh), Oficial Obra 1 (1.5 hh), Sub-Contrato Ornamentacion (0.5 hr). Equipo: Herrramienta Y Equipo Menor (2 %).</t>
  </si>
  <si>
    <t>1.15.13</t>
  </si>
  <si>
    <t>SUMINISTRO E INSTALACION TEMPLETES 3/8" INC. ANTICORR.</t>
  </si>
  <si>
    <t>Precio por ML. Materiales: Varilla 3/8`` (0.56 kg), Pintura Anticorrosivo (0.01 gl). Mano de obra: Auxiliar De Obra 2 (0.3 hh), Oficial Obra 1 (0.3 hh). Equipo: Andamio Tubular Normalizado, Tipo Multidireccional, De Acero Galvanizado En Caliente, Según Iso 9001. (0.1 dd), Herrramienta Y Equipo Menor (5 %).</t>
  </si>
  <si>
    <t>1.15.14</t>
  </si>
  <si>
    <t>SUMINSITRO E INSTALACIÓN VENTANA LAMINA CAL. 18 CON VIDRIO INC. ANTICORR.</t>
  </si>
  <si>
    <t>Precio por M2. Materiales: Angulo 3/4`` * 1/8`` (2 ML), Vidrio 5 Mm Peldar (1 M2), Bisagra Comun 2`` (2 UND), Lamina Coll Roled Cal 18 De 2*1 (0.4 UND) y 3 más. Mano de obra: Auxiliar De Obra 2 (1.4 hh), Oficial Obra 1 (0.9 hh), Sub-Contrato Ornamentacion (0.6 hr). Equipo: Herrramienta Y Equipo Menor (2 %).</t>
  </si>
  <si>
    <t>1.15.15</t>
  </si>
  <si>
    <t>VENTANA EN ALUMINIO CORREDIZA</t>
  </si>
  <si>
    <t>Precio por M2. Materiales: Ventana Aluminio Corrediza (1 M2). Mano de obra: Auxiliar De Obra 2 (2 hh), Oficial Obra 1 (2 hh). Equipo: Herrramienta Y Equipo Menor (3 %).</t>
  </si>
  <si>
    <t>1.15.16</t>
  </si>
  <si>
    <t>VENTANA EN ALUMINIO PROYECTANTE</t>
  </si>
  <si>
    <t>Precio por M2. Materiales: Ventana Aluminio Proyectante (1 M2). Mano de obra: Auxiliar De Obra 2 (2.1 hh), Oficial Obra 1 (2.1 hh). Equipo: Herrramienta Y Equipo Menor (3 %).</t>
  </si>
  <si>
    <t>1.15.17</t>
  </si>
  <si>
    <t>DIVISIÓN PARA BATERIA SANITARIA EN ACERO INOXIDABLE CALIBRE 20 REF. 304 SATINADO</t>
  </si>
  <si>
    <t>Precio por M2. Materiales: Division Para Bateria Sanitaria En Acero Inoxidable Calibre 20 Ref. 304 Acabado Satinado. (1.05 M2). Mano de obra: Auxiliar De Instalaciones 1 (1 hh), Oficial Instalaciones (1 hh). Equipo: Equipo De Soldadura 400 (0.15 hr), Herrramienta Y Equipo Menor (5 %).</t>
  </si>
  <si>
    <t>1.15.18</t>
  </si>
  <si>
    <t>BARRA DE SEGURIDAD PARA MOVILIDAD REDUCIDA EN ACERO INOXIDABLE CALIBRE 18 D = 1 1/2" (distancia mayor a 1 ml)</t>
  </si>
  <si>
    <t>Precio por ML. Materiales: Barra De Seguridad Para Movilidad Reducida En Acero Inoxidable Calibre 18 D = 1 1/2" (1.05 ML). Mano de obra: Taladro (0.15 hr), Auxiliar De Instalaciones 1 (0.2 hh), Oficial Instalaciones (0.2 hh). Equipo: Herrramienta Y Equipo Menor (5 %).</t>
  </si>
  <si>
    <t>1.16.01</t>
  </si>
  <si>
    <t>APARATOS SANITARIOS</t>
  </si>
  <si>
    <t>APARATOS SANITARIOS BAJO CONSUMO CON VALVULA ANTIVANDALICA</t>
  </si>
  <si>
    <t>Precio por UND. Materiales: Aparatos Sanitarios Bajo Consumo Con Valvula Antivandalica (1 UND), Cemento Blanco (1 kg), Agua (0.25 lt). Mano de obra: Auxiliar De Obra 2 (1.2 hh), Oficial Obra 1 (1.2 hh). Equipo: Herrramienta Y Equipo Menor (5 %).</t>
  </si>
  <si>
    <t>1.16.02</t>
  </si>
  <si>
    <t>DUCHA MEZCLADORA BAÑERA TAYRONA O SIMILAR</t>
  </si>
  <si>
    <t>Precio por UND. Materiales: Ducha Mezcladora Athenea Color Cromo (1 UND). Mano de obra: Auxiliar De Instalaciones 1 (0.3 hh), Oficial Instalaciones (0.3 hh). Equipo: Herrramienta Y Equipo Menor (5 %).</t>
  </si>
  <si>
    <t>1.16.03</t>
  </si>
  <si>
    <t>SUMINISTRO E INSTALACIÓN. LAVAMANOS AVANTI CON PEDESTAL COLOR BLANCO INC. GRIFERIA</t>
  </si>
  <si>
    <t>Precio por UND. Materiales: Cemento Blanco (1 kg), Lavamanos Avanti Blanco Con Pedestal Incl. Griferia (1 UND), Agua (2.85 lt). Mano de obra: Auxiliar De Instalaciones 1 (0.5 hh), Oficial Instalaciones (0.5 hh). Equipo: Herrramienta Y Equipo Menor (5 %).</t>
  </si>
  <si>
    <t>1.16.04</t>
  </si>
  <si>
    <t>SUMINISTRO E INSTALACIÓN COMBO ACUACER LAVAMANOS, SANITARIO, GRIFERIA E INCRUSTACIONES</t>
  </si>
  <si>
    <t>Precio por UND. Materiales: Cemento Blanco (0.5 kg), Agua (2.85 lt), Combo Acuacer Plus Blanco (1 UND). Mano de obra: Auxiliar De Instalaciones 1 (1.6 hh), Oficial Instalaciones (1.6 hh). Equipo: Herrramienta Y Equipo Menor (5 %).</t>
  </si>
  <si>
    <t>1.16.05</t>
  </si>
  <si>
    <t>SUMINISTRO E INSTALACIÓN COMBO SENSACION LAVAMANOS, SANITARIO, GRIFERIA E INCRUSTACIONES</t>
  </si>
  <si>
    <t>Precio por UND. Materiales: Cemento Blanco (1 kg), Agua (2.85 lt), Combo Sensación Plus (1 UND). Mano de obra: Auxiliar De Obra 2 (1.6 hh), Oficial Instalaciones (1.6 hh). Equipo: Herrramienta Y Equipo Menor (5 %).</t>
  </si>
  <si>
    <t>1.16.06</t>
  </si>
  <si>
    <t>SUMINISTRO E INSTALACIÓN DE DISPENSADOR DE JABÓN</t>
  </si>
  <si>
    <t>Precio por UND. Materiales: Dispensador De Jabon (1 UND). Mano de obra: Taladro (0.02 hr), Auxiliar De Obra 2 (0.5 hh), Oficial Obra 1 (0.5 hh). Equipo: Herrramienta Y Equipo Menor (5 %).</t>
  </si>
  <si>
    <t>1.16.07</t>
  </si>
  <si>
    <t>SUMINISTRO E INSTALACIÓN DE GABINETES PARA TOALLAS DE PAPEL PARA BAÑOS EN ACERO INOXIDABLE</t>
  </si>
  <si>
    <t>Precio por UND. Materiales: Dispensador Metalico De Toalla De Papel (1 UND). Mano de obra: Auxiliar De Obra 2 (0.25 hh), Oficial Obra 1 (0.25 hh). Equipo: Taladro (0.2 hr), Herrramienta Y Equipo Menor (5 %).</t>
  </si>
  <si>
    <t>AM01 · OB08 · ES05 · NP02</t>
  </si>
  <si>
    <t>1.16.08</t>
  </si>
  <si>
    <t>SUMINISTRO E INSTALACIÓN DE SECADOR ELÉCTRICO PARA MANOS, AUTOMÁTICO EN ACERO INOXIDABLE TIPO POTENZA O SIMILAR</t>
  </si>
  <si>
    <t>Precio por UND. Materiales: Cemento Blanco (1 kg), Secador Electrico Automatico Tipo Potenza En Acero Inoxidable (1 UND). Mano de obra: Taladro (0.2 hr), Auxiliar De Obra 2 (0.75 hh), Oficial Instalaciones (0.75 hh). Equipo: Herrramienta Y Equipo Menor (5 %).</t>
  </si>
  <si>
    <t>1.16.09</t>
  </si>
  <si>
    <t>SUMINISTRO E INSTALACIÓN DUCHA SENCILLA</t>
  </si>
  <si>
    <t>Precio por UND. Materiales: Cinta Teflon 10 M 1/2" (1 rl), Ducha Sencilla (1 UND), Limpiador 1/4 Pvc (0.01 gl), Soldadura Liquida Pvc 1/4`` (0.01 gl). Mano de obra: Auxiliar De Instalaciones 1 (0.3 hh), Oficial Instalaciones (0.3 hh). Equipo: Herrramienta Y Equipo Menor (5 %).</t>
  </si>
  <si>
    <t>1.16.10</t>
  </si>
  <si>
    <t>SUMINISTRO E INSTALACIÓN LAVAMANOS ACUACER BLANCO DE COLGAR INC. GRIFERIA</t>
  </si>
  <si>
    <t>Precio por UND. Materiales: Cemento Blanco (1 kg), Lavamanos Acuacer Blanco De Colgar Inc. Griferia (1 UND). Mano de obra: Auxiliar De Instalaciones 1 (1 hh), Oficial Instalaciones (1 hh). Equipo: Herrramienta Y Equipo Menor (5 %).</t>
  </si>
  <si>
    <t>1.16.11</t>
  </si>
  <si>
    <t>SUMINISTRO E INSTALACIÓN LAVAMANOS ENSO CON PEDESTAL INC. GRIFERIA</t>
  </si>
  <si>
    <t>Precio por UND. Materiales: Cemento Blanco (1 kg), Lavamanos Enso Color Pedestal Incluye Griferia (1 UND). Mano de obra: Auxiliar De Instalaciones 1 (1 hh), Oficial Instalaciones (1 hh). Equipo: Herrramienta Y Equipo Menor (5 %).</t>
  </si>
  <si>
    <t>1.16.12</t>
  </si>
  <si>
    <t>SUMINISTRO E INSTALACIÓN LAVAMANOS SOBREPONER ENNA COLOR BLANCO INC. GRIFERIA</t>
  </si>
  <si>
    <t>Precio por UND. Materiales: Cemento Blanco (1 kg), Lavamanos Sobre Poner Enna Inc. Griferia (1 UND). Mano de obra: Auxiliar De Instalaciones 1 (1 hh), Oficial Instalaciones (1 hh). Equipo: Herrramienta Y Equipo Menor (5 %).</t>
  </si>
  <si>
    <t>1.16.13</t>
  </si>
  <si>
    <t>SUMINISTRO E INSTALACIÓN ORINAL MEDIANO COMPLETO. GRIF TRADICIONAL CROMO</t>
  </si>
  <si>
    <t>Precio por UND. Materiales: Cemento Blanco (1 kg), Orinal Institucional (1 UND). Mano de obra: Auxiliar De Obra 2 (1.6 hh), Oficial Instalaciones (1.6 hh). Equipo: Herrramienta Y Equipo Menor (5 %).</t>
  </si>
  <si>
    <t>1.16.14</t>
  </si>
  <si>
    <t>SUMINISTRO E INSTALACIÓN SANITARIO AVANTI PLUS BLANCO LAVAMANOS CON PEDESTAL, SANITARIO, GRIFERIA E INCRUSTACIONES</t>
  </si>
  <si>
    <t>Precio por UND. Materiales: Cemento Blanco (1 kg), Combo Avanti Plus Blanco Pedestal (1 UND). Mano de obra: Auxiliar De Obra 2 (1.6 hh), Oficial Instalaciones (1.6 hh). Equipo: Herrramienta Y Equipo Menor (5 %).</t>
  </si>
  <si>
    <t>1.16.15</t>
  </si>
  <si>
    <t>SUMINISTRO E INSTALACIÓN SANITARIO AQUAPRO LAVAMANOS SEMIPEDESTAL, SANITARIO, GRIFERIA E INCRUSTACIONES O SIMILAR</t>
  </si>
  <si>
    <t>Precio por UND. Materiales: Cemento Blanco (1 kg), Combo Aquapro Blanco Semipedestal  O Similar (1 UND). Mano de obra: Auxiliar De Obra 2 (1.6 hh), Oficial Instalaciones (1.6 hh). Equipo: Herrramienta Y Equipo Menor (5 %).</t>
  </si>
  <si>
    <t>1.16.16</t>
  </si>
  <si>
    <t>SUMINISTRO EN INSTALACIÓN DE PROTECTOR DE PAPEL HIGIÉNICO</t>
  </si>
  <si>
    <t>Precio por UND. Materiales: Protector Plastico De Papel Higienico (1 UND). Mano de obra: Auxiliar De Obra 2 (0.5 hh), Oficial Obra 1 (0.5 hh). Equipo: Herrramienta Y Equipo Menor (5 %).</t>
  </si>
  <si>
    <t>AM01 · OB08 · ES18 · NP03</t>
  </si>
  <si>
    <t>1.16.17</t>
  </si>
  <si>
    <t>SUMINISTRO E INSTALACIÓN BARRA DE SEGURIDAD EN ACERO INOXIDABLE 18" (PARA BAÑOS)</t>
  </si>
  <si>
    <t>Precio por UND. Materiales: Barra De Seguridad En Acero Inoxidable 18" (1 UND). Mano de obra: Auxiliar De Obra 2 (0.2 hh), Oficial Obra 1 (0.2 hh). Equipo: Taladro (0.15 hr), Herrramienta Y Equipo Menor (5 %).</t>
  </si>
  <si>
    <t>1.16.18</t>
  </si>
  <si>
    <t>SUMINISTRO E INSTALACIÓN BARRA DE SEGURIDAD EN ACERO INOXIDABLE 30" (PARA BAÑOS)</t>
  </si>
  <si>
    <t>Precio por UND. Materiales: Barra De Seguridad En Acero Inoxidable 30" (1 UND). Mano de obra: Auxiliar De Obra 2 (0.2 hh), Oficial Obra 1 (0.2 hh). Equipo: Taladro (0.15 hr), Herrramienta Y Equipo Menor (5 %).</t>
  </si>
  <si>
    <t>1.16.19</t>
  </si>
  <si>
    <t>SUMINISTRO E INSTALACIÓN BARRA DE SEGURIDAD EN ACERO INOXIDABLE PLEGABLE (PARA BAÑOS)</t>
  </si>
  <si>
    <t>Precio por UND. Materiales: Barra De Seguridad En Acero Inoxidable Plegable (1 UND). Mano de obra: Auxiliar De Obra 2 (0.25 hh), Oficial Obra 1 (0.25 hh). Equipo: Taladro (0.2 hr), Herrramienta Y Equipo Menor (5 %).</t>
  </si>
  <si>
    <t>1.16.20</t>
  </si>
  <si>
    <t>SUMINISTRO E INSTALACIÓN BARRA DE SEGURIDAD TIPO H EN ACERO INOXIDABLE (PARA BAÑOS)</t>
  </si>
  <si>
    <t>Precio por UND. Materiales: Barra De Seguridad Tipo H En Acero Inoxidable (1 UND). Mano de obra: Auxiliar De Obra 2 (0.3 hh), Oficial Obra 1 (0.3 hh). Equipo: Taladro (0.25 hr), Herrramienta Y Equipo Menor (5 %).</t>
  </si>
  <si>
    <t>1.16.21</t>
  </si>
  <si>
    <t>SUMINISTRO E INSTALACIÓN BARRA DE SEGURIDAD EN ACERO INOXIDABLE 12" (PARA BAÑOS)</t>
  </si>
  <si>
    <t>Precio por UND. Materiales: Barra De Seguridad En Acero Inoxidable 12" (1 UND). Mano de obra: Auxiliar De Obra 2 (0.2 hh), Oficial Obra 1 (0.2 hh). Equipo: Taladro (0.15 hr), Herrramienta Y Equipo Menor (5 %).</t>
  </si>
  <si>
    <t>1.17.01</t>
  </si>
  <si>
    <t>VIDRIOS Y CERRADURAS</t>
  </si>
  <si>
    <t>CERRADURA ALCOBA</t>
  </si>
  <si>
    <t>Precio por UND. Materiales: Cerradura Schlage A 50 Ws Madera (1 UND). Mano de obra: Auxiliar De Obra 2 (0.75 hh), Oficial Obra 1 (0.75 hh). Equipo: Herrramienta Y Equipo Menor (1.1 %).</t>
  </si>
  <si>
    <t>1.17.02</t>
  </si>
  <si>
    <t>CERRADURA BAÑO</t>
  </si>
  <si>
    <t>Precio por UND. Materiales: Cerradura Baño Bell Wood (1 UND). Mano de obra: Auxiliar De Obra 2 (0.75 hh), Oficial Obra 1 (0.75 hh). Equipo: Herrramienta Y Equipo Menor (1.1 %).</t>
  </si>
  <si>
    <t>1.17.03</t>
  </si>
  <si>
    <t>CERRADURA ENTRADA DOBLE CILINDRO</t>
  </si>
  <si>
    <t>Precio por UND. Materiales: Cerradura Yale Dobles Cilindro (1 UND). Mano de obra: Auxiliar De Carpinterias 1 (0.75 hh), Oficial Carpinterias (0.75 hh). Equipo: Herrramienta Y Equipo Menor (3 %).</t>
  </si>
  <si>
    <t>1.17.04</t>
  </si>
  <si>
    <t>ESPEJO 4 MM SIN BICEL</t>
  </si>
  <si>
    <t>Precio por M2. Materiales: Espejo 4 Mm Peldar Sin Bicel (1.1 M2). Mano de obra: Auxiliar De Obra 2 (0.25 hh), Oficial Obra 1 (0.25 hh). Equipo: Herrramienta Y Equipo Menor (0.9 %).</t>
  </si>
  <si>
    <t>1.17.05</t>
  </si>
  <si>
    <t>VIDRIO 4 MM</t>
  </si>
  <si>
    <t>Precio por M2. Materiales: Vidrio 4 Mm Peldar (1.1 M2). Mano de obra: Auxiliar De Obra 2 (0.25 hh), Oficial Obra 1 (0.25 hh). Equipo: Herrramienta Y Equipo Menor (1.8 %).</t>
  </si>
  <si>
    <t>1.17.06</t>
  </si>
  <si>
    <t>VIDRIO 5 MM</t>
  </si>
  <si>
    <t>Precio por M2. Materiales: Vidrio 5 Mm Peldar (1.1 M2). Mano de obra: Auxiliar De Obra 2 (0.25 hh), Oficial Obra 1 (0.25 hh). Equipo: Herrramienta Y Equipo Menor (1.8 %).</t>
  </si>
  <si>
    <t>1.18.01</t>
  </si>
  <si>
    <t>OBRAS EXTERIORES</t>
  </si>
  <si>
    <t>ADOQUIN DE GRES</t>
  </si>
  <si>
    <t>Precio por M2. Materiales: Arena Fina (0.07 M3), Adoquín Español 20x10x6 Santafé (52 UND). Mano de obra: Cuadrilla Obra Of + Auxiliar (0.7 hc). Equipo: Herrramienta Y Equipo Menor (5 %).</t>
  </si>
  <si>
    <t>9. Exteriores</t>
  </si>
  <si>
    <t>AM01 · OB09 · ES08 · NP01</t>
  </si>
  <si>
    <t>OB09 Exteriores</t>
  </si>
  <si>
    <t>1.18.02</t>
  </si>
  <si>
    <t>ANDEN ADOQUIN DE GRES</t>
  </si>
  <si>
    <t>Precio por M2. Materiales: Arena Fina Para Pavimento En Adoquin (0.06 M3), Excavacion Mecanica P/Sub Rasante (0.21 M3), Bordillo Prefabricado A-80 (1 ML), Descapote (0.8 M2) y 3 más.</t>
  </si>
  <si>
    <t>AM01 · OB09 · ES16 · NP01</t>
  </si>
  <si>
    <t>1.18.03</t>
  </si>
  <si>
    <t>ASEO GENERAL ENTREGA</t>
  </si>
  <si>
    <t>Precio por M2. Mano de obra: Auxiliar De Obra 2 (0.2 hh), Oficial Obra 1 (0.2 hh). Equipo: Herrramienta Y Equipo Menor (10 %).</t>
  </si>
  <si>
    <t>10. Entrega</t>
  </si>
  <si>
    <t>AM01 · OB10 · ES01 · NP01</t>
  </si>
  <si>
    <t>OB10 Entrega</t>
  </si>
  <si>
    <t>1.18.04</t>
  </si>
  <si>
    <t>CONCRETO ESTRIADO RAMPAS 17.5 MPa - (2500 PSI)</t>
  </si>
  <si>
    <t>Precio por M2. Materiales: Concreto 1:2:4 17.5 Mpa (0.16 M3), Madera Tabla 0.10 (1.1 ML). Mano de obra: Auxiliar De Obra 2 (1.2 hh), Oficial Obra 1 (1.2 hh). Equipo: Herrramienta Y Equipo Menor (1 %).</t>
  </si>
  <si>
    <t>AM01 · OB09 · ES04 · NP01</t>
  </si>
  <si>
    <t>1.18.05</t>
  </si>
  <si>
    <t>CONSTRUCCION DE ANDENES E=0.10 MTS, EN CONCRETO DE 17.5 MPa - (2500 PSI)</t>
  </si>
  <si>
    <t>Precio por M2. Materiales: Tabla 1x05x300 Otobo (0.1 UND), Concreto 1:2:4 17.5 Mpa (0.1 M3), Liston Ordinario (1 ML), Puntilla Con Y Sin Cabeza 2 (0.1 lb). Mano de obra: Auxiliar De Obra 1 (0.02 jr), Oficial Obra 2 (0.02 jr). Equipo: Herrramienta Y Equipo Menor (2 %).</t>
  </si>
  <si>
    <t>1.18.06</t>
  </si>
  <si>
    <t>ESTUCO Y PINTURA DE FACHADAS HASTA 3 METROS</t>
  </si>
  <si>
    <t>Precio por M2. Materiales: Yeso Blanco Estucador (0.01 bt), Caolin * 40 Kg (0.09 bt), Cemento Gris (0.26 kg), Lija De Agua 150 Súper (0.02 UND) y 2 más. Mano de obra: Auxiliar De Obra 2 (0.31 hh), Oficial Obra 1 (0.31 hh). Equipo: Herrramienta Y Equipo Menor (1 %).</t>
  </si>
  <si>
    <t>AM01 · OB09 · ES07 · NP01</t>
  </si>
  <si>
    <t>1.18.07</t>
  </si>
  <si>
    <t>ESTUCO Y PINTURA DE FACHADAS ALTURA MAYOR A 3 METROS</t>
  </si>
  <si>
    <t>Precio por M2. Materiales: Yeso Blanco Estucador (0.01 bt), Caolin * 40 Kg (0.09 bt), Cemento Gris (0.26 kg), Lija De Agua 150 Súper (0.02 UND) y 2 más. Mano de obra: Auxiliar De Obra 2 (0.31 hh), Oficial Obra 1 (0.31 hh). Equipo: Andamio Tubular Normalizado, Tipo Multidireccional, De Acero Galvanizado En Caliente, Según Iso 9001. (0.2 dd), Herrramienta Y Equipo Menor (1 %).</t>
  </si>
  <si>
    <t>1.18.08</t>
  </si>
  <si>
    <t>FACHADA EN GRANIPLAS</t>
  </si>
  <si>
    <t>Precio por M2. Materiales: Graniplast (0.7 gl). Mano de obra: Auxiliar De Obra 2 (0.32 hh), Oficial Obra 1 (0.32 hh). Equipo: Herrramienta Y Equipo Menor (4 %).</t>
  </si>
  <si>
    <t>AM01 · OB09 · ES18 · NP01</t>
  </si>
  <si>
    <t>1.18.09</t>
  </si>
  <si>
    <t>MURO CARA DOBLE EN ETEBOARD 10 MM</t>
  </si>
  <si>
    <t>Precio por M2. Materiales: Tiro (2 UND), Tornillo Autoperforante Con Cabeza Extraplana T1 # 7 7/16 (50 UND), Tornillo Eterboard 1`` Avellanante Punta De Broca Sin Aleta (60 UND), Canal B9 X 2.44 Cal 20 (0.23 UND) y 8 más. Mano de obra: Mano De Obra Muro Superboard (1 M2). Equipo: Paral B9 Cal. 24 (2 ML), Andamio Tubular Normalizado, Tipo Multidireccional, De Acero Galvanizado En Caliente, Según Iso 9001. (0.8 dd), Herrramienta Y Equipo Menor (6.7 %).</t>
  </si>
  <si>
    <t>AM01 · OB09 · ES06 · NP01</t>
  </si>
  <si>
    <t>1.18.10</t>
  </si>
  <si>
    <t>PISO EN GRAMA INCL. TIERRA NEGRA</t>
  </si>
  <si>
    <t>Precio por M2. Materiales: Tierra Negra (0.3 M3), Grama (1.1 M2). Mano de obra: Auxiliar De Obra 2 (0.1 hh), Oficial Obra 1 (0.1 hh). Equipo: Herrramienta Y Equipo Menor (3.5 %).</t>
  </si>
  <si>
    <t>1.18.11</t>
  </si>
  <si>
    <t>PRADIZACION (PASTO)</t>
  </si>
  <si>
    <t>Precio por M2. Materiales: Tierra Negra (0.3 M3), Pasto (1 M2). Mano de obra: Auxiliar De Obra 2 (0.1 hh), Oficial Obra 1 (0.1 hh).</t>
  </si>
  <si>
    <t>1.18.12</t>
  </si>
  <si>
    <t>SARDINEL FUNDIDO IN-SITU H=0.40 MTS - A=0.20 MTS, CONCRETO DE 2500 PSI</t>
  </si>
  <si>
    <t>Precio por ML. Materiales: Concreto 1:2:4 17.5 Mpa (0.08 M3). Mano de obra: Formaleta Sardinel (0.82 dd), Cuadrilla Obra Of + Auxiliar (0.46 hc).</t>
  </si>
  <si>
    <t>1.19.01</t>
  </si>
  <si>
    <t>INSTALACIONES DEPORTIVAS</t>
  </si>
  <si>
    <t>CANCHA MINI FUTBOL Y/O MINIBALONCESTO INCL. MALLA. TUBO 3" Y 2"</t>
  </si>
  <si>
    <t>Precio por UND. Materiales: Cancha Mini Futbol Y/O Minibaloncesto Incl. Malla. (1 jg).</t>
  </si>
  <si>
    <t>AM01 · OB09 · ES13 · NP01</t>
  </si>
  <si>
    <t>1.19.02</t>
  </si>
  <si>
    <t>CANCHA MULTIPLE TUBO AGUA NEGRA 3" Y 2" INCL.TABLERO ACRILICO 10 MM PARA ANCLAR AL PISO</t>
  </si>
  <si>
    <t>Precio por jgo. Materiales: Juego De Cancha Multiple Tubo Agua Para Anclar Al Piso (1 jg).</t>
  </si>
  <si>
    <t>AM01 · OB09 · ES14 · NP01</t>
  </si>
  <si>
    <t>1.19.03</t>
  </si>
  <si>
    <t>CANCHA MULTIPLE TUBO AGUA NEGRA 3" Y 2" INCL.TABLERO ACRILICOB 10 MM CON RODACHINES Y CILINDRO PARA MOVILIZAR</t>
  </si>
  <si>
    <t>Precio por jgo. Materiales: Tablero Acrilico 10mm (1 UND), Juego De Cancha Multiple Tubo Agua Con Rodachines Y Cilindro Para Movilizar (1 jg).</t>
  </si>
  <si>
    <t>1.19.04</t>
  </si>
  <si>
    <t>CANCHA PARA MICROFUTBOL TUBO A.N. 3" Y 2"</t>
  </si>
  <si>
    <t>Precio por jgo. Materiales: Cancha Microfutbol Tubo A.n T.p (1 jg).</t>
  </si>
  <si>
    <t>1.19.05</t>
  </si>
  <si>
    <t>CANCHA PARA SOLO BALONCESTO CON RODACHINES Y CILINDRO TUBO 3" Y 2". INCL. TABLERO ACRILICO</t>
  </si>
  <si>
    <t>Precio por jgo. Materiales: Cancha Para Solo Baloncesto C/ Rodachines Y Cilindro Incl. Tablero Acrilico (1 jg).</t>
  </si>
  <si>
    <t>1.19.06</t>
  </si>
  <si>
    <t>CANCHA PARA SOLO BALONCESTO DE ANCLAR AL PISO TUBO 3" Y 2". INCLU TABLERO ACRILICO</t>
  </si>
  <si>
    <t>Precio por jgo. Materiales: Juego De Cancha Solo Para Baloncesto Tubo Agua 2`` Incl. Tablero Acrilico. Para Anclar Al Piso (1 jg).</t>
  </si>
  <si>
    <t>1.19.07</t>
  </si>
  <si>
    <t>DEMARCACION CON PINTURA TIPO TRAFICO E=0.08 M</t>
  </si>
  <si>
    <t>Precio por ML. Materiales: Pintura Acrilica Base Agua Para Demarcacion (0.02 gl). Mano de obra: Auxiliar De Obra 2 (0.15 hh), Oficial Obra 1 (0.15 hh). Equipo: Herrramienta Y Equipo Menor (5 %).</t>
  </si>
  <si>
    <t>AM01 · OB09 · ES09 · NP01</t>
  </si>
  <si>
    <t>1.19.08</t>
  </si>
  <si>
    <t>PORTERÍA (JUEGO CANCHAS FÚTBOL)</t>
  </si>
  <si>
    <t>jg</t>
  </si>
  <si>
    <t>Precio por jg. Materiales: Excavacion Manual En Material Comun (1.72 M3), Malla Portería Fútbol (2 UND), Portería Fútbol (1 UND).</t>
  </si>
  <si>
    <t>Instalaciones deportivas</t>
  </si>
  <si>
    <t>1.19.09</t>
  </si>
  <si>
    <t>TABLERO PARA BALONCESTO EN ACRILICO 10 MM</t>
  </si>
  <si>
    <t>Precio por UND. Materiales: Tablero Acrilico 10mm (1 UND), Tubería Estructural 2 Redondo 4mm Colmena (3 ML), Concreto 1:3:5 14 Mpa (0.01 M3), Mano De Obra Aa (1 hc).</t>
  </si>
  <si>
    <t>Costo total del documento (360100) distinto a la suma de insumos (456032.25)</t>
  </si>
  <si>
    <t>1.20.01</t>
  </si>
  <si>
    <t>OTROS</t>
  </si>
  <si>
    <t>ACABADO MESON PARA BAÑOS Y COCINA EN ACERO INOXIDABLE</t>
  </si>
  <si>
    <t>Precio por ML. Materiales: Anticorrosivo Phcl (0.04 gl), Lija (1 UND), Masilla Plastica Tec Panel (0 cuñ), Meson En Acero Inoxidable (1 ML) y 1 más. Mano de obra: Auxiliar De Obra 2 (3.3 hh), Oficial Obra 1 (1.65 hh). Equipo: Oxicorte (0.5 dd), Pulidora (1 dd), Herrramienta Y Equipo Menor (10 %).</t>
  </si>
  <si>
    <t>1.20.02</t>
  </si>
  <si>
    <t>ACABADO MESON PARA BAÑOS Y COCINA EN FIBRA DE VIDRIO 60 CMS</t>
  </si>
  <si>
    <t>Precio por ML. Materiales: Meson Fibra De Vidrio A = 60 Cms E = 1 Cms (1 ML). Mano de obra: Auxiliar De Obra 2 (3.3 hh), Oficial Obra 1 (1.65 hh). Equipo: Pulidora (1 dd), Herrramienta Y Equipo Menor (3 %).</t>
  </si>
  <si>
    <t>1.20.03</t>
  </si>
  <si>
    <t>ACABADO MESON PARA BAÑOS Y COCINA EN GRANITO PULIDO</t>
  </si>
  <si>
    <t>Precio por M2. Materiales: Vareta 1``x1``x 3m (1.25 UND), Cemento Blanco (12.31 kg), Cera Para Pisos (0.08 gl), Granito Blanco # 3 (1.04 bt) y 3 más. Mano de obra: Auxiliar De Obra 2 (6 hh), Oficial Obra 1 (4.6 hh). Equipo: Pulidora (0.1 dd), Herrramienta Y Equipo Menor (0.7 %).</t>
  </si>
  <si>
    <t>1.20.04</t>
  </si>
  <si>
    <t>ACABADO MESON PARA BAÑOS Y COCINA EN MARMOL</t>
  </si>
  <si>
    <t>Precio por M2. Materiales: Cemento Blanco (12.31 kg), Grano Marmol # 3 (0.8 bt), Marmolina Bto 48 Kg (0.2 bt), Pirlan Bronce (2 ML). Mano de obra: Auxiliar De Obra 2 (2.6 hh), Oficial Obra 1 (1.3 hh). Equipo: Pulidora (0.15 dd), Herrramienta Y Equipo Menor (0.7 %).</t>
  </si>
  <si>
    <t>1.20.05</t>
  </si>
  <si>
    <t>BORDE CONTENEDOR DE RAICES A-70</t>
  </si>
  <si>
    <t>Precio por ML. Materiales: Borde Contenedor De Raíces A-70 (1 ML), Mortero 1:4 (0.04 M3), Cuadrilla Obra Of + Auxiliar (1 hc).</t>
  </si>
  <si>
    <t>1.20.06</t>
  </si>
  <si>
    <t>BORDILLO EN ADOQUIN HILADA PARADA TIPO TOLETE PERFORADO (0-25 CONFINADO) PREFABRICADO, REFORZADO. INCLUYE EXCAVACION, RETIRO DE SOBRANTES, CONCRETO POBRE, RELLENO</t>
  </si>
  <si>
    <t>Precio por ML. Materiales: Suministro E Instalacion De Concreto De 14 Mpa  Solados Y Atraques (0 M3), Acero 60000 Psi (0.6 kg), Grafil 5.5 Mm (0.12 kg), Grouting 17.5 Mpa (0 M3) y 2 más. Mano de obra: Auxiliar De Obra 2 (2.5 hh), Oficial Obra 1 (1.6 hh). Equipo: Cortadora De Ladrillo (0 dd), Herrramienta Y Equipo Menor (1 %). Transporte: Viaje Volqueta M3 (0.03 M3).</t>
  </si>
  <si>
    <t>AM01 · OB08 · ES02 · NP05</t>
  </si>
  <si>
    <t>1.20.07</t>
  </si>
  <si>
    <t>CERCA DE ALAMBRE DE PUAS CON POSTES DE MADERA INMUNIZADA D= 9 - 10 CM H=1.50 M 5 LINEAS. DISTANCIA ENTRE POSTES 2 M</t>
  </si>
  <si>
    <t>Precio por ML. Materiales: Grapas (0.05 kg), Poste Pino Patula [1.50m] D=9-10 Cm (0.5 UND), Alambre De Puas N° 12.5 (0.6 kg). Mano de obra: Auxiliar De Obra 2 (0.7 hh), Oficial Obra 1 (0.7 hh). Equipo: Herrramienta Y Equipo Menor (5 %).</t>
  </si>
  <si>
    <t>AM01 · OB08 · ES01 · NP01</t>
  </si>
  <si>
    <t>1.20.08</t>
  </si>
  <si>
    <t>CERRAMIENTO EN MALLA ESLABONADA CAL 10 MM (INCLUYE TUBO AGUA NEGRA DE 2" Y ANGULO 1"X1"X3/16") H=2.1</t>
  </si>
  <si>
    <t>Precio por M2. Materiales: Tubería Galvanizada Para Cerramiento De 2`` X 6 M (1.2 ML), Malla Eslabonada 2`` X 2`` C 13 (1 M2), Pintura Anticorrosivo (0.16 gl), Pintura Esmalte Sintetico Tipo I (0.31 gl) y 3 más. Mano de obra: Auxiliar De Obra 2 (1.5 hh), Oficial Obra 1 (1.5 hh). Equipo: Herrramienta Y Equipo Menor (6.7 %).</t>
  </si>
  <si>
    <t>1.20.09</t>
  </si>
  <si>
    <t>CERRAMIENTO MALLA ESLABONADA C. 10 INC. ANGULO</t>
  </si>
  <si>
    <t>Precio por M2. Materiales: Angulo 1*1*1/8`` (2.3 ML), Tubo Galvanizado 2`` Cerramiento (1.2 ML), Malla Eslabonada Cal 10 2``*2`` (1 M2), Pintura Anticorrosivo (0.16 gl) y 2 más. Mano de obra: Auxiliar De Obra 2 (1 hh), Oficial Obra 1 (1 hh). Equipo: Sub-Contrato Ornamentacion (0.5 hr).</t>
  </si>
  <si>
    <t>1.20.10</t>
  </si>
  <si>
    <t>SUMINISTRO E INSTALACION DE CANECA EN MALLA METALICA M-120, INCLUYE ESTRUCTURA DE APOYO Y ANCLAJE</t>
  </si>
  <si>
    <t>Precio por UND. Materiales: Caneca ø50cm H=75cm En Malla Metalica M-120 (1 UND), Mortero 1:5 (0.01 M3). Mano de obra: Auxiliar De Obra 2 (1.72 hh), Oficial Obra 1 (0.86 hh).</t>
  </si>
  <si>
    <t>1.20.11</t>
  </si>
  <si>
    <t>SUMINISTRO E INSTALACION TUBO AGUA NEGRA TIPO PESADO D=2"</t>
  </si>
  <si>
    <t>Precio por ML. Materiales: Tubo Metálio Agua Negra D= 2``, C. 0,80 (1.05 ML), Anticorrosivo Phcl (0.15 gl), Acero 37000 Psi (0.6 kg), Disolvente Thiner (0.01 gl) y 2 más. Mano de obra: Auxiliar De Carpinterias 1 (0.2 hh), Oficial Carpinterias (0.2 hh). Equipo: Herrramienta Y Equipo Menor (10 %).</t>
  </si>
  <si>
    <t>1.20.12</t>
  </si>
  <si>
    <t>SUMINISTRO E INSTALACIÓN SEÑAL PLACA CON TEXTO EN SISTEMA BRAILLE Y/O PICTOGRAMA EN ALTO RELIEVE ACRÍLICO 30*15 CM INCLUYE TUBO METÁLICO GUÍA DE MANO A SEÑAL SEGÚN NTC 4596</t>
  </si>
  <si>
    <t>Precio por UND. Materiales: Tubo Mueble Cal 1`` 1,10 Mm (0.5 ML), Señal Placa Con Texto En Sistema Braille Y/O Pictograma En Alto Relieve Acrilico 30*15 Cm (1 UND). Mano de obra: Auxiliar De Obra 2 (0.5 hh), Oficial Instalaciones (0.5 hh). Equipo: Taladro (0.4 hr), Herrramienta Y Equipo Menor (5 %).</t>
  </si>
  <si>
    <t>1.21.01</t>
  </si>
  <si>
    <t>SISTEMA TELÉFONICO</t>
  </si>
  <si>
    <t>ACOM. TELÉFONOS INCRUSTADA 3 TUBO PVC</t>
  </si>
  <si>
    <t>Precio por ML. Materiales: Tubería Conduit Pvc 3" (1 ML), Adaptador Terminal Pvc 3 (1 UND), Limpiador Rem.pvc 760 Gr. (0.01 UND), Soldadura Liquida Pvc 1/4`` (0.01 gl) y 1 más.</t>
  </si>
  <si>
    <t>1.21.02</t>
  </si>
  <si>
    <t>ACOMETIDA TELÉFONOS SUSPENDIDA 3 TUBO PVC</t>
  </si>
  <si>
    <t>Precio por ML. Materiales: Ángulo Hierro 1-1/2 X 1/4 (0.5 ML), Tubería Conduit Pvc 3" (1 ML), Arandela Galvanizada 1/2 (1 UND), Barra G-60 1/2 6m (0.6 kg) y 4 más.</t>
  </si>
  <si>
    <t>1.21.03</t>
  </si>
  <si>
    <t>CABLE TELÉFONOS 10 PARES</t>
  </si>
  <si>
    <t>Precio por ML. Materiales: Cable Teléfonos 10 Pares (1.05 ML), Cuadrilla Instal. Internas (0.15 hc).</t>
  </si>
  <si>
    <t>1.21.04</t>
  </si>
  <si>
    <t>CABLE TELÉFONOS 2 PARES</t>
  </si>
  <si>
    <t>Precio por ML. Materiales: Cable Teléfonos 2 Pares (1.05 ML), Cuadrilla Instal. Internas (0.03 hc).</t>
  </si>
  <si>
    <t>1.21.05</t>
  </si>
  <si>
    <t>CABLE TELÉFONOS 20 PARES</t>
  </si>
  <si>
    <t>Precio por ML. Materiales: Cable Teléfonos 20 Pares (1.05 ML), Cuadrilla Instal. Internas (0.15 hc).</t>
  </si>
  <si>
    <t>1.21.06</t>
  </si>
  <si>
    <t>CABLE TELÉFONOS 40 PARES</t>
  </si>
  <si>
    <t>Precio por ML. Materiales: Cable Teléfonos 40 Pares (1.05 ML), Cuadrilla Instal. Internas (0.18 hc).</t>
  </si>
  <si>
    <t>1.21.07</t>
  </si>
  <si>
    <t>INTERCONEXIÓN ENTRE STRIP</t>
  </si>
  <si>
    <t>Precio por ML. Materiales: Tubería Conduit Galv. Emt 1 (1 ML), Unión Conduit Galv. Emt , 1 (1 UND), Cable Teléfonos 50 Pares (1.05 ML), Adaptador Terminal Emt 1 (1 UND) y 1 más.</t>
  </si>
  <si>
    <t>1.21.08</t>
  </si>
  <si>
    <t>SALIDA TELÉFONO 2 PARES, TUBO EMT</t>
  </si>
  <si>
    <t>Precio por UND. Materiales: Suplemento Caja Doble Met.galv.2400 (1 UND), Tubería Conduit Galv. Emt 1/2 (10 ML), Unión Conduit Galv. Emt , 1/2 (3 UND), Cable Teléfonos 2 Pares (6 ML) y 4 más.</t>
  </si>
  <si>
    <t>1.21.09</t>
  </si>
  <si>
    <t>SALIDA TELÉFONO 2 PARES, TUBO PVC</t>
  </si>
  <si>
    <t>Precio por UND. Materiales: Suplemento Caja Doble Met.galv.2400 (1 UND), Tubería Conduit Pvc 1/2 (10 ML), Cable Teléfonos 2 Pares (6 ML), Caja Doble Met. Galv. 2400 (1 UND) y 5 más.</t>
  </si>
  <si>
    <t>1.21.10</t>
  </si>
  <si>
    <t>SALIDA TELÉFONO TUBO EMT</t>
  </si>
  <si>
    <t>Precio por UND. Materiales: Alambre Telefónico 2x22 Trenzado (6 ML), Toma Telef. Americana Senc. 4 Hilos Rj11-Genesis (1 UND), Tubería Conduit Galv. Emt 1/2 (10 ML), Unión Conduit Galv. Emt , 1/2 (3 UND) y 3 más.</t>
  </si>
  <si>
    <t>1.21.11</t>
  </si>
  <si>
    <t>SALIDA TELÉFONO, TUBO PVC</t>
  </si>
  <si>
    <t>Precio por UND. Materiales: Alambre Telefónico 2x22 Trenzado (8 ML), Alambre Telefónico N 22 Estañado (8 ML), Tubería Conduit Pvc 1/2 (10 ML), Caja Galvanizada 5800 (1 UND) y 2 más.</t>
  </si>
  <si>
    <t>1.21.12</t>
  </si>
  <si>
    <t>STRIP TELÉFONOS 10 PARES</t>
  </si>
  <si>
    <t>Precio por UND. Materiales: Caja 30 X 30 X 10cm (1 UND), Placa De Identificación 2x1 Cm (10 UND), Regleta Strip Telefónico 10 Pares (1 UND), Soldadura Eléctrica 004kg De 3/32 (0.22 kg) y 1 más.</t>
  </si>
  <si>
    <t>1.21.13</t>
  </si>
  <si>
    <t>STRIP TELÉFONOS 20 PARES</t>
  </si>
  <si>
    <t>Precio por UND. Materiales: Caja 40 X 45 X 12cm (1 UND), Placa De Identificación 2x1 Cm (20 UND), Regleta Strip Telefónico 20 Pares (1 UND), Soldadura Eléctrica 004kg De 3/32 (0.22 kg) y 1 más.</t>
  </si>
  <si>
    <t>1.21.14</t>
  </si>
  <si>
    <t>TELÉFONO - CITÓFONO ECONÓMICA</t>
  </si>
  <si>
    <t>Precio por UND. Materiales: Alambre Telefónico 2x22 Trenzado (4 ML), Toma Teléfono Decora (1 UND), Tubería Conduit Pvc 1/2 (6 ML), Caja Sencilla Conduit (1 UND) y 2 más.</t>
  </si>
  <si>
    <t>1.21.15</t>
  </si>
  <si>
    <t>TOMA TELEF. A/CANA DOBLE L/NEX CLÁSICA</t>
  </si>
  <si>
    <t>Precio por UND. Materiales: Toma Telef. Americana Senc. 4 Hilos Rj11-Genesis (1 UND), Cuadrilla Instal. Internas (0.12 hc).</t>
  </si>
  <si>
    <t>1.21.16</t>
  </si>
  <si>
    <t>TOMA TELEF. AMERICANA L/NEX CLÁSICA</t>
  </si>
  <si>
    <t>Precio por UND. Materiales: Toma Telef. Americana Senc. 4 Hilos Rj11-Genesis (1 UND), Cuadrilla Instal. Internas (0.1 hc).</t>
  </si>
  <si>
    <t>1.22.01</t>
  </si>
  <si>
    <t>CABLEADO ESTRCTURADO</t>
  </si>
  <si>
    <t>BANDEJA TIPO ESCAL.30 X 80</t>
  </si>
  <si>
    <t>Precio por ML. Materiales: Soporte Para Bandeja Portacables (1 UND), Anclaje Autoperforante 1/2 (2 UND), Bandeja Portacable Escalera (1.32 UND), Accesorio T Para Bandeja T Escalera (0.5 UND) y 1 más.</t>
  </si>
  <si>
    <t>1.22.02</t>
  </si>
  <si>
    <t>CABLE AWG/THW</t>
  </si>
  <si>
    <t>Precio por ML. Materiales: Amarre De Longitud 280 Mm, Ancho 4.6mm. (1 UND), Cable Cobre Thw 10 Awg (1.15 ML), Cable Cobre Thw 12 Awg (1.15 ML), Alambre Desnudo No.10 Awg (1.15 ML) y 1 más.</t>
  </si>
  <si>
    <t>1.22.03</t>
  </si>
  <si>
    <t>CABLE UTP CAT 5 TENDIDO</t>
  </si>
  <si>
    <t>Precio por ML. Materiales: Amarre De Longitud 280 Mm, Ancho 4.6mm. (1 UND), Cable Utp Categoría 5/4 Pares Belde (1 ML), Cuadrilla Instal. Internas (0.06 hc).</t>
  </si>
  <si>
    <t>1.22.04</t>
  </si>
  <si>
    <t>CAJA INSPECCIÓN A.P. CS-274 CODENSA</t>
  </si>
  <si>
    <t>Precio por UND. Materiales: Tabla Burra Ordinario 25 (4.4 ML), Concreto 1:3:5 14 Mpa (0.05 M3), Concreto 1:2:4 17.5 Mpa (0.16 M3), Cinta De Marcación Plastica (0.24 ML) y 3 más. Mano de obra: Auxiliar De Instalaciones 1 (4.8 hh), Oficial Instalaciones (4.8 hh). Transporte: Viaje Volqueta M3 (0.91 M3).</t>
  </si>
  <si>
    <t>1.22.05</t>
  </si>
  <si>
    <t>CANALETA DLP 60 X 16 MM 3 DIVISIONES</t>
  </si>
  <si>
    <t>Precio por ML. Materiales: Sujeta Cables (1 UND), Tee Plana Para Canaleta 60x16mm (0.2 UND), Angulo Ext. Variable Canaleta 60x16mm (1 UND), Angulo Int Variable Canaleta 60x16mm (1 UND) y 4 más. Mano de obra: Cuadrilla Instal. Internas (0.3 hc). Equipo: Taladro Percutor 2vv-R1/2 700w 0.1000/0.3000rpm (0.38 dd).</t>
  </si>
  <si>
    <t>AM01 · OG06 · ES10 · NP01</t>
  </si>
  <si>
    <t>1.22.06</t>
  </si>
  <si>
    <t>CANALETA DLP 75X20 MM 3 DIVISIONES</t>
  </si>
  <si>
    <t>Precio por ML. Materiales: Sujeta Cables (1 UND), Tapa Final Canaleta 75x20mm (0.1 UND), Tee Plana Para Canaleta 75x20mm (0.2 UND), Angulo Ext. Variable Canaleta 75x20mm (1 UND) y 4 más. Mano de obra: Cuadrilla Instal. Internas (0.3 hc). Equipo: Taladro Percutor 2vv-R1/2 700w 0.1000/0.3000rpm (0.38 dd).</t>
  </si>
  <si>
    <t>1.22.07</t>
  </si>
  <si>
    <t>CANALETA METÁLICA 10 X 4</t>
  </si>
  <si>
    <t>Precio por ML. Materiales: Tapa Troquelada Metálica 2 Orificios (1 UND), Tornillo Goloso 1/8x1 1/4 (6 UND), Canaleta Metálica Con División 10 (1 UND), Chazo Para Tornillo 1/8 X 1 1/4 (6 UND). Mano de obra: Taladro Percutor 2vv-R1/2 700w 0.1000/0.3000rpm (0.07 dd), Cuadrilla Instal. Internas (1 hc).</t>
  </si>
  <si>
    <t>1.22.08</t>
  </si>
  <si>
    <t>CANALETA PLÁSTICA 10 X 4</t>
  </si>
  <si>
    <t>Precio por ML. Materiales: Accesorio T Para Canaleta Plástica 10x4 (0.15 UND), Canaleta Plástica Panduit 10 (1 UND), Clavo Alta Velocidad 1/4 X 2 (3 UND). Mano de obra: Auxiliar De Instalaciones 1 (0.54 hh), Oficial Instalaciones (0.54 hh).</t>
  </si>
  <si>
    <t>1.22.09</t>
  </si>
  <si>
    <t>CORAZA METÁLICA 3</t>
  </si>
  <si>
    <t>Precio por ML. Materiales: Coraza Metálica 3 (1.2 ML), Accesorio Para Coraza 3 (1 UND), Cuadrilla Instal. Internas (0.56 hc).</t>
  </si>
  <si>
    <t>1.22.10</t>
  </si>
  <si>
    <t>CORTACIRCUITOS ENCHU.TRIP 20A</t>
  </si>
  <si>
    <t>Precio por UND. Materiales: Cortacircuitos Termomagnético Autom.trip.20a (1 UND). Mano de obra: Auxiliar Eléctrico (0.25 hh).</t>
  </si>
  <si>
    <t>1.22.11</t>
  </si>
  <si>
    <t>CUARTOS DE CONTROL</t>
  </si>
  <si>
    <t>Precio por UND. Materiales: Bandeja Rack C/16 Toma Ele (1 UND), Ducto Vertical 80 Para Manejo Cables (1 UND), Cuadrilla Instal. Internas (5 hc).</t>
  </si>
  <si>
    <t>1.22.12</t>
  </si>
  <si>
    <t>DUCTO DLP 100 X 34 MM</t>
  </si>
  <si>
    <t>Precio por ML. Materiales: Sujeta Cables (2 UND), Tabique De Separación (2 UND), Angulo Ext. Variable Ducto 100x34mm (1 UND), Angulo Interno Variable Ducto 100x34mm (1 UND) y 4 más. Mano de obra: Taladro Percutor 2vv-R1/2 700w 0.1000/0.3000rpm (0.04 dd), Cuadrilla Instal. Internas (0.35 hc).</t>
  </si>
  <si>
    <t>1.22.13</t>
  </si>
  <si>
    <t>DUCTO DLP 60 X 40 MM</t>
  </si>
  <si>
    <t>Precio por ML. Materiales: Sujeta Cables (1 UND), Tabique De Separación (1 UND), Tapa Final Ducto 60x40mm (1 UND), Angulo Ext. Variable Ducto 60x40mm (1 UND) y 5 más. Mano de obra: Cuadrilla Instal. Internas (0.35 hc). Equipo: Taladro Percutor 2vv-R1/2 700w 0.1000/0.3000rpm (0.04 dd).</t>
  </si>
  <si>
    <t>1.22.14</t>
  </si>
  <si>
    <t>DUCTOS VERTICALES 30 X 8</t>
  </si>
  <si>
    <t>Precio por ML. Materiales: Soporte Para Bandeja Portacables (1 UND), Anclaje Autoperforante 1/2 (4 UND), Ducto Metálico Sin División 30x8 (1 UND). Mano de obra: Taladro Percutor 2vv-R1/2 700w 0.1000/0.3000rpm (0.07 dd), Cuadrilla Instal. Internas (0.56 hc).</t>
  </si>
  <si>
    <t>1.22.15</t>
  </si>
  <si>
    <t>GABINETE RACK CERRADO</t>
  </si>
  <si>
    <t>Precio por UND. Materiales: Anclaje Chazo Expansivo 1/2x2 (4 UND), Bandeja Rack C/16 Toma Ele (1 UND), Ducto Vertical 80 Para Manejo Cables (1 UND), Gabinete Pared 19 5 Rms (1 UND) y 1 más.</t>
  </si>
  <si>
    <t>1.22.16</t>
  </si>
  <si>
    <t>LINE CORD 1 M</t>
  </si>
  <si>
    <t>Precio por UND. Materiales: Line Cord Cat 5 24 Awg (1.05 UND), Cuadrilla Instal. Internas (0.03 hc).</t>
  </si>
  <si>
    <t>1.22.17</t>
  </si>
  <si>
    <t>MARCO PLANO 6 MODULOS</t>
  </si>
  <si>
    <t>Precio por UND. Materiales: Marco Plano Capacidad 6 Módulos (1 UND), Cuadrilla Instal. Internas (0.3 hc).</t>
  </si>
  <si>
    <t>AM01 · OG06 · ES12 · NP01</t>
  </si>
  <si>
    <t>1.22.18</t>
  </si>
  <si>
    <t>MARCO+BASE+ACOPLE 3 MÓDULOS SALIDA</t>
  </si>
  <si>
    <t>Precio por UND. Materiales: Base Marco Para Tres Modulos (1 UND), Empalme Para Base Marco Tres Modulos (1 UND), Cuadrilla Instal. Internas (0.3 hc).</t>
  </si>
  <si>
    <t>1.22.19</t>
  </si>
  <si>
    <t>MÓDULO BOTÓN CIEGO</t>
  </si>
  <si>
    <t>Precio por UND. Materiales: Módulo Boton Ciego Vela (1 UND), Cuadrilla Instal. Internas (0.1 hc).</t>
  </si>
  <si>
    <t>1.22.20</t>
  </si>
  <si>
    <t>MÓDULO INTERRUPTOR SENCILLO LUZ PILOTO</t>
  </si>
  <si>
    <t>Precio por UND. Materiales: Módulo Int. Semc. Luz Piloto Vela (1 UND), Cuadrilla Instal. Internas (0.1 hc).</t>
  </si>
  <si>
    <t>1.22.21</t>
  </si>
  <si>
    <t>MÓDULO PULSADOR CON LUZ PILOTO</t>
  </si>
  <si>
    <t>Precio por UND. Materiales: Pulsador Sencillo Para Timbre (1 UND), Cuadrilla Instal. Internas (0.1 hc).</t>
  </si>
  <si>
    <t>1.22.22</t>
  </si>
  <si>
    <t>MÓDULO TOMA CON INDICADOR DE P.T AISLADO</t>
  </si>
  <si>
    <t>Precio por UND. Materiales: Módulo Toma Pt Ind. Aisl. Kr-3bgx (1 UND), Cuadrilla Instal. Internas (0.1 hc).</t>
  </si>
  <si>
    <t>1.22.23</t>
  </si>
  <si>
    <t>MÓDULO TOMA PATA TRABADA</t>
  </si>
  <si>
    <t>Precio por UND. Materiales: Módulo Toma Pata Trabada (1 UND), Cuadrilla Instal. Internas (0.1 hc).</t>
  </si>
  <si>
    <t>1.22.24</t>
  </si>
  <si>
    <t>MÓDULO TOMA TELEF. AMERICANA 4 HILOS</t>
  </si>
  <si>
    <t>Precio por UND. Materiales: Módulo Toma Telef. Americana (1 UND), Cuadrilla Instal. Internas (0.1 hc).</t>
  </si>
  <si>
    <t>1.22.25</t>
  </si>
  <si>
    <t>MÓDULO TOMA TELEF. COLOMBIANA 2 HILOS</t>
  </si>
  <si>
    <t>Precio por UND. Materiales: Salida Telefónica Americana Rj11, 4 Hilos (1 UND), Cuadrilla Instal. Internas (0.1 hc).</t>
  </si>
  <si>
    <t>1.22.26</t>
  </si>
  <si>
    <t>MÓDULO TOMACORRIENTE CON POLO A TIERRA</t>
  </si>
  <si>
    <t>Precio por UND. Materiales: Módulo Tomacorriente Sencillo (1 UND), Cuadrilla Instal. Internas (0.1 hc).</t>
  </si>
  <si>
    <t>1.22.27</t>
  </si>
  <si>
    <t>PATCH CORD 2 M</t>
  </si>
  <si>
    <t>Precio por ML. Materiales: Patch Cord Cat5 24 (1.3 UND), Cuadrilla Instal. Internas (0.03 hc).</t>
  </si>
  <si>
    <t>1.22.28</t>
  </si>
  <si>
    <t>PATCH PANEL 24 PUERTOS</t>
  </si>
  <si>
    <t>Precio por UND. Materiales: Patch Panel 24 Puertos Cat 5e Amp (1 UND), Cuadrilla Instal. Internas (6 hc).</t>
  </si>
  <si>
    <t>1.22.29</t>
  </si>
  <si>
    <t>PROTECTOR DE ESTADO SÓLIDO</t>
  </si>
  <si>
    <t>Precio por UND. Materiales: Relé Estado Solido 4 Canales (1 UND), Cuadrilla Instal. Internas (0.03 hc).</t>
  </si>
  <si>
    <t>1.22.30</t>
  </si>
  <si>
    <t>RACK ABIERTO</t>
  </si>
  <si>
    <t>Precio por UND. Materiales: Anclaje Chazo Expansivo 1/2x2 (4 UND), Bandeja Rack C/16 Toma Ele (1 UND), Ducto Vertical 80 Para Manejo Cables (1 UND), Rack 19xh 1.10 Aluminio (1 UND) y 1 más.</t>
  </si>
  <si>
    <t>1.22.31</t>
  </si>
  <si>
    <t>SALIDA DE DATOS Y VOZ</t>
  </si>
  <si>
    <t>Precio por UND. Materiales: Toma Jack Rj45-110 Cat. 5e Amp (1 UND), Wall Plate Ajuste Sencillo (1 UND), Placa De Identificación 2x1 Cm (1 UND), Cuadrilla Instal. Internas (0.53 hc).</t>
  </si>
  <si>
    <t>1.22.32</t>
  </si>
  <si>
    <t>SALIDA ELÉCTRICA CORRIENTE REGULADA</t>
  </si>
  <si>
    <t>Precio por UND. Materiales: Toma Corriente De Polo Aislado (1 UND), Placa De Identificación 2x1 Cm (1 UND). Mano de obra: Auxiliar De Instalaciones 1 (0.63 hh), Oficial Instalaciones (0.63 hh).</t>
  </si>
  <si>
    <t>1.22.33</t>
  </si>
  <si>
    <t>PATCH CORD 5 M Cat 6A</t>
  </si>
  <si>
    <t>Precio por ML. Materiales: Patch Cord 5m Categoria 6a (1.25 UND), Cuadrilla Instal. Internas (0.03 hc).</t>
  </si>
  <si>
    <t>1.22.34</t>
  </si>
  <si>
    <t>CABLE UTP CAT 6A TENDIDO</t>
  </si>
  <si>
    <t>Precio por ML. Materiales: Amarre De Longitud 280 Mm, Ancho 4.6mm. (1 UND), Cable Utp Categoría 6a (1 ML), Cuadrilla Instal. Internas (0.06 hc).</t>
  </si>
  <si>
    <t>1.22.35</t>
  </si>
  <si>
    <t>PATCH PANEL 48 PUERTOS</t>
  </si>
  <si>
    <t>Precio por UND. Materiales: Patch Panel 48 Puertos Cat 6a (1 UND), Cuadrilla Instal. Internas (6 hc).</t>
  </si>
  <si>
    <t>1.23.01</t>
  </si>
  <si>
    <t>FACHADAS Y REVESTIMIENTOS</t>
  </si>
  <si>
    <t>CORTASOL CELOSCREEN PERFORADO PASO 120</t>
  </si>
  <si>
    <t>Precio por ML. Materiales: Tornillo Autoperforante (6 UND), Panel Celoscreen Alz.perforado (1 ML), Portapanel Celoscreen Paso 120 (0.4 ML), Mano De Obra Bb (0.3 hc).</t>
  </si>
  <si>
    <t>AM01 · OB09 · ES12 · NP01</t>
  </si>
  <si>
    <t>2.01.01</t>
  </si>
  <si>
    <t>TUBERIA PVC - ACUEDUCTO</t>
  </si>
  <si>
    <t>BOMBEO AGUAS NIVEL FREATICO Y ESCORRENTIA CON MOTOBOMBA D=3"</t>
  </si>
  <si>
    <t>Precio por hr. Mano de obra: Auxiliar De Obra 2 (0.02 hh). Equipo: Motobomba 3`` (1 hr).</t>
  </si>
  <si>
    <t>AM02 · ON02 · ES03 · NP01</t>
  </si>
  <si>
    <t>AM02 Redes de acueducto y alcantarillado</t>
  </si>
  <si>
    <t>2.01.02</t>
  </si>
  <si>
    <t>ENTIBADOS EN MADERA TIPO 1 PARA EXCAVACIONES 1 A 7 USOS</t>
  </si>
  <si>
    <t>Precio por M2. Materiales: Viga Ordinario 0.2 X 0.1 X 0.4 (0.14 UND), Madera Rolliza D=0.15 M (0.04 ML), Planchón Ordinario 3 M (1 ML), Puntilla Con Y Sin Cabeza 2 (0.04 lb). Mano de obra: Auxiliar De Obra 2 (0.3 hh), Oficial Obra 1 (0.3 hh). Equipo: Herrramienta Y Equipo Menor (5 %).</t>
  </si>
  <si>
    <t>2.01.03</t>
  </si>
  <si>
    <t>ENTIBADOS EN MADERA TIPO 2 PARA EXCAVACIONES 1 A 7 USOS</t>
  </si>
  <si>
    <t>Precio por M2. Materiales: Viga Ordinario 0.2 X 0.1 X 0.4 (0.14 UND), Madera Rolliza D=0.15 M (0.09 ML), Planchón Ordinario 3 M (1.65 ML), Puntilla Con Y Sin Cabeza 2 (0.09 lb). Mano de obra: Auxiliar De Obra 2 (0.73 hh), Oficial Obra 1 (0.73 hh). Equipo: Herrramienta Y Equipo Menor (5 %).</t>
  </si>
  <si>
    <t>2.01.04</t>
  </si>
  <si>
    <t>LOCALIZACION Y REPLANTEO LOTES Y ESTRUCTURAS DE ACUEDUCTO ( CARTERAS Y PLANOS)</t>
  </si>
  <si>
    <t>Precio por M2. Materiales: Madera Durmiente Ord 4*4 (0.26 ML), Puntilla Con Y Sin Cabeza 1 (0.04 lb). Mano de obra: Auxiliar De Obra 2 (0.1 hh), Comision Topografica (0.06 hh), Oficial Obra 1 (0.1 hh). Equipo: Herrramienta Y Equipo Menor (1.6 %).</t>
  </si>
  <si>
    <t>AM02 · ON01 · ES01 · NP01</t>
  </si>
  <si>
    <t>2.01.05</t>
  </si>
  <si>
    <t>LOCALIZACION Y REPLANTEO PARA RED DE ACUEDUCTO (INCLUYE CARTERAS Y PLANOS)</t>
  </si>
  <si>
    <t>Precio por ML. Materiales: Madera Durmiente Ord 4*4 (0.15 ML), Pintura Esmalte Sintetico Tipo I (0.01 gl), Puntilla Con Y Sin Cabeza 1 (0.02 lb). Mano de obra: Comision Topografica (0 hh). Equipo: Herrramienta Y Equipo Menor (10 %).</t>
  </si>
  <si>
    <t>2.01.06</t>
  </si>
  <si>
    <t>RELLENO ARENA DE PEÑA COMPACTADO CON PLANCHA VIBRADORA</t>
  </si>
  <si>
    <t>Precio por M3. Materiales: Arena De Peña (1.3 M3). Mano de obra: Auxiliar De Obra 2 (0.7 hh), Oficial Obra 1 (0.35 hh). Equipo: Irrigador (0.05 hr), Vibrocompactador Rana (0.13 dd), Herrramienta Y Equipo Menor (5 %).</t>
  </si>
  <si>
    <t>AM02 · OG06 · ES03 · NP01</t>
  </si>
  <si>
    <t>2.01.07</t>
  </si>
  <si>
    <t>RELLENO ARENA DE RIO COMPACTADO CON PLANCHA VIBRADORA</t>
  </si>
  <si>
    <t>Precio por M3. Materiales: Arena Lavada De Río (1.1 M3). Mano de obra: Auxiliar De Obra 2 (0.7 hh), Oficial Obra 1 (0.35 hh). Equipo: Vibrocompactador Rana (0.04 dd), Herrramienta Y Equipo Menor (5 %).</t>
  </si>
  <si>
    <t>2.01.08</t>
  </si>
  <si>
    <t>RELLENO BASE GRANULAR COMPACTADO CON PLANCHA VIBRADORA</t>
  </si>
  <si>
    <t>Precio por M3. Materiales: Material De Base Granular (1.3 M3). Mano de obra: Auxiliar De Obra 2 (0.5 hh), Oficial Obra 1 (0.5 hh). Equipo: Carrotanque (0.07 hr), Vibrocompactador Rana (0.5 hr), Herrramienta Y Equipo Menor (5 %).</t>
  </si>
  <si>
    <t>2.01.09</t>
  </si>
  <si>
    <t>RELLENO CON MATERIAL SELECCIONADO PROVENIENTE DE EXCAVACIÓN COMPACTADO CON PLANCHA VIBRADORA</t>
  </si>
  <si>
    <t>Precio por M3. Mano de obra: Auxiliar De Obra 1 (0.2 jr), Oficial Obra 2 (0.07 jr). Equipo: Plaqueta Vibratoria (0.07 hr), Herrramienta Y Equipo Menor (1.5 %).</t>
  </si>
  <si>
    <t>2.01.10</t>
  </si>
  <si>
    <t>RELLENO GRAVILLA COMPACTADO CON PLANCHA VIBRADORA</t>
  </si>
  <si>
    <t>Precio por M3. Materiales: Gravilla De Trituradora (1.2 M3). Mano de obra: Auxiliar De Obra 2 (0.6 hh), Oficial Obra 1 (0.6 hh). Equipo: Vibrocompactador Rana (0.32 hr), Herrramienta Y Equipo Menor (5 %).</t>
  </si>
  <si>
    <t>2.01.11</t>
  </si>
  <si>
    <t>RELLENO SUBBASE GRANULAR COMPACTADO CON PLANCHA VIBRADORA</t>
  </si>
  <si>
    <t>Precio por M3. Materiales: Material De Sub-Base Granular No. 4 Sbg-4 (1.3 M3). Mano de obra: Auxiliar De Obra 2 (0.5 hh), Oficial Obra 1 (0.5 hh). Equipo: Carrotanque (0.03 hr), Motoniveladora Potencia Minima 120 Hp Y Max 215 Hp (0.03 hr), Vibrocompactador Rana (0.5 hr), Herrramienta Y Equipo Menor (5 %).</t>
  </si>
  <si>
    <t>2.01.12</t>
  </si>
  <si>
    <t>SUMINISTRO E INSTALACIÓN DE TUBERÍA BIAXIAL D=3" RDE 46 PR 160 PSI</t>
  </si>
  <si>
    <t>Precio por ML. Materiales: Tubería Pvc Presion Biaxial 3`` Rde- 46 Pr 160 Psi Union Platino (1.05 ML), Lubricante Tub Pvc/500gr (0.03 UND). Mano de obra: Auxiliar De Instalaciones 1 (0.25 hh), Oficial Instalaciones (0.25 hh). Equipo: Herrramienta Y Equipo Menor (3.5 %).</t>
  </si>
  <si>
    <t>AM02 · OG06 · ES13 · NP02</t>
  </si>
  <si>
    <t>2.01.13</t>
  </si>
  <si>
    <t>SUMINISTRO E INSTALACIÓN DE TUBERÍA BIAXIAL D=4" RDE 46 PR 160 PSI</t>
  </si>
  <si>
    <t>Precio por ML. Materiales: Tubería Pvc Presion Biaxial 4`` Rde- 46 Pr 160 Psi Union Platino (1.05 ML), Lubricante Tub Pvc/500gr (0.03 UND). Mano de obra: Auxiliar De Instalaciones 1 (0.25 hh), Oficial Instalaciones (0.25 hh). Equipo: Herrramienta Y Equipo Menor (3.5 %).</t>
  </si>
  <si>
    <t>2.01.14</t>
  </si>
  <si>
    <t>SUMINISTRO E INSTALACIÓN DE TUBERÍA BIAXIAL D=6" RDE 46 PR 160 PSI</t>
  </si>
  <si>
    <t>Precio por ML. Materiales: Tubería Pvc Presion Biaxial 6`` Rde- 46 Pr 160 Psi Union Platino (1.05 ML), Lubricante Tub Pvc/500gr (0.03 UND). Mano de obra: Auxiliar De Instalaciones 1 (0.25 hh), Oficial Instalaciones (0.25 hh). Equipo: Herrramienta Y Equipo Menor (3.5 %).</t>
  </si>
  <si>
    <t>2.01.15</t>
  </si>
  <si>
    <t>SUMINISTRO E INSTALACIÓN TUBERÍA PVC D = 3/4" RDE 21 E.L</t>
  </si>
  <si>
    <t>Precio por ML. Materiales: Union Pvc 3/4`` (1 UND), Tubería Pvc 3/4" Rde 21 (1.05 ML), Limpiador 1/4 Pvc (0 gl), Soldadura Liquida Pvc 1/4`` (0 gl). Mano de obra: Auxiliar De Obra 1 (0.01 jr), Oficial Obra 2 (0.01 jr). Equipo: Herrramienta Y Equipo Menor (3.5 %).</t>
  </si>
  <si>
    <t>2.01.16</t>
  </si>
  <si>
    <t>SUMINISTRO E INSTALACIÓN TUBERÍA PVC PRESIÓN D = ½" RDE 13.5</t>
  </si>
  <si>
    <t>Precio por ML. Materiales: Union De 1/2`` (1 UND), Tubería Pvc 1/2" Rde 13.5 (1.05 ML), Limpiador 1/4 Pvc (0 gl), Soldadura Liquida Pvc 1/4`` (0 gl). Mano de obra: Auxiliar De Obra 1 (0 jr), Oficial Obra 2 (0 jr). Equipo: Herrramienta Y Equipo Menor (3.5 %).</t>
  </si>
  <si>
    <t>2.01.17</t>
  </si>
  <si>
    <t>SUMINISTRO E INSTALACIÓN TUBERÍA PVC PRESIÓN D = ½" RDE 9</t>
  </si>
  <si>
    <t>Precio por ML. Materiales: Tubería Pvc-P 1/2`` Rde9 (1.05 ML), Union De 1/2`` (1 UND), Limpiador 1/4 Pvc (0 gl), Soldadura Liquida Pvc 1/4`` (0 gl). Mano de obra: Auxiliar De Obra 1 (0 jr), Oficial Obra 2 (0 jr). Equipo: Herrramienta Y Equipo Menor (3.5 %).</t>
  </si>
  <si>
    <t>2.01.18</t>
  </si>
  <si>
    <t>SUMINISTRO E INSTALACIÓN TUBERÍA PVC PRESIÓN D = 1 1/2" RDE 21 E.L</t>
  </si>
  <si>
    <t>Precio por ML. Materiales: Union Pvc 1 1/2`` (1 UND), Tubería Pvc 1 1/2" Rde 21 (1.05 ML), Limpiador 1/4 Pvc (0.01 gl), Soldadura Liquida Pvc 1/4`` (0.01 gl). Mano de obra: Auxiliar De Obra 1 (0.02 jr), Oficial Obra 2 (0.02 jr). Equipo: Herrramienta Y Equipo Menor (3.5 %).</t>
  </si>
  <si>
    <t>2.01.19</t>
  </si>
  <si>
    <t>SUMINISTRO E INSTALACIÓN TUBERÍA PVC PRESIÓN D = 1 1/4" RDE 21 E.L</t>
  </si>
  <si>
    <t>Precio por ML. Materiales: Union Pvc 1 1/4`` (1 UND), Tubería Pvc 1 1/4" Rde 21 (1 ML), Limpiador 1/4 Pvc (0.01 gl), Soldadura Liquida Pvc 1/4`` (0.01 gl). Mano de obra: Auxiliar De Obra 1 (0.02 jr), Oficial Obra 2 (0.02 jr). Equipo: Herrramienta Y Equipo Menor (3.5 %).</t>
  </si>
  <si>
    <t>2.01.20</t>
  </si>
  <si>
    <t>SUMINISTRO E INSTALACIÓN TUBERÍA PVC PRESIÓN D = 1" RDE 13.5</t>
  </si>
  <si>
    <t>Precio por ML. Materiales: Tubería Pvc 1`` Rde13.5 (1 ML), Union Pvc 1`` (1 UND), Limpiador 1/4 Pvc (0 gl), Soldadura Liquida Pvc 1/4`` (0 gl). Mano de obra: Auxiliar De Obra 1 (0.01 jr), Oficial Obra 2 (0.01 jr). Equipo: Herrramienta Y Equipo Menor (3.5 %).</t>
  </si>
  <si>
    <t>2.01.21</t>
  </si>
  <si>
    <t>SUMINISTRO E INSTALACIÓN TUBERÍA PVC PRESIÓN D = 1" RDE 21 E.L</t>
  </si>
  <si>
    <t>Precio por ML. Materiales: Tubería Pvc-P 1`` Rde 21 (1 ML), Tubería Pavco Rde 21 De 1" (1 ML), Limpiador 1/4 Pvc (0 gl), Soldadura Liquida Pvc 1/4`` (0 gl). Mano de obra: Auxiliar De Obra 1 (0.01 jr), Oficial Obra 2 (0.01 jr). Equipo: Herrramienta Y Equipo Menor (3.5 %).</t>
  </si>
  <si>
    <t>2.01.22</t>
  </si>
  <si>
    <t>SUMINISTRO E INSTALACIÓN TUBERÍA PVC PRESIÓN D = 2" RDE 21 E.L</t>
  </si>
  <si>
    <t>Precio por ML. Materiales: Tubería Pvc-P 2`` Rde21 (1 ML), Union Pvc 2`` (1 UND), Limpiador 1/4 Pvc (0.01 gl), Soldadura Liquida Pvc 1/4`` (0.01 gl). Mano de obra: Auxiliar De Obra 1 (0.02 jr), Oficial Obra 2 (0.02 jr). Equipo: Herrramienta Y Equipo Menor (3.5 %).</t>
  </si>
  <si>
    <t>2.01.23</t>
  </si>
  <si>
    <t>SUMINISTRO E INSTALACIÓN TUBERÍA PVC PRESIÓN D = 3/4" RDE 11</t>
  </si>
  <si>
    <t>Precio por ML. Materiales: Tubería Pvc-P 3/4`` Rde11 (1 ML), Union Pvc 3/4`` (0.17 UND), Limpiador 1/4 Pvc (0 gl), Soldadura Liquida Pvc 1/4`` (0 gl). Mano de obra: Auxiliar De Obra 2 (0.08 hh), Oficial Obra 1 (0.08 hh). Equipo: Herrramienta Y Equipo Menor (3.5 %).</t>
  </si>
  <si>
    <t>2.01.24</t>
  </si>
  <si>
    <t>SUMINISTRO E INSTALACIÓN TUBERÍA PVC. D = 10" RDE 21 UNIÓN MECANICA</t>
  </si>
  <si>
    <t>Precio por ML. Materiales: Tubería Pvc 10" Rde 21 Union Platino (1.05 ML), Lubricante Tub Pvc/500gr (0.01 UND). Mano de obra: Auxiliar De Obra 1 (0.03 jr), Oficial Obra 2 (0.03 jr). Equipo: Herrramienta Y Equipo Menor (3.5 %).</t>
  </si>
  <si>
    <t>2.01.25</t>
  </si>
  <si>
    <t>SUMINISTRO E INSTALACIÓN TUBERÍA PVC. D = 10" RDE 26 UNIÓN MECANICA</t>
  </si>
  <si>
    <t>Precio por ML. Materiales: Tubería Pvc 10" Rde 26 Union Platino (1.05 ML), Lubricante Tub Pvc/500gr (0.01 UND). Mano de obra: Auxiliar De Obra 1 (0.03 jr), Oficial Obra 2 (0.03 jr). Equipo: Herrramienta Y Equipo Menor (3.5 %).</t>
  </si>
  <si>
    <t>2.01.26</t>
  </si>
  <si>
    <t>SUMINISTRO E INSTALACIÓN TUBERÍA PVC. D = 2 1/2" RDE 26 UNIÓN MECANICA</t>
  </si>
  <si>
    <t>Precio por ML. Materiales: Tubería Pvc 2 1/2" Rde 26 Union Platino (1.05 ML), Lubricante Tub Pvc/500gr (0.01 UND). Mano de obra: Auxiliar De Obra 1 (0.01 jr), Oficial Obra 2 (0.01 jr). Equipo: Herrramienta Y Equipo Menor (3.5 %).</t>
  </si>
  <si>
    <t>2.01.27</t>
  </si>
  <si>
    <t>SUMINISTRO E INSTALACIÓN TUBERÍA PVC. D = 2" RDE 26 UNIÓN MECANICA</t>
  </si>
  <si>
    <t>Precio por ML. Materiales: Tubería Pvc 2" Rde 26 Union Platino (1.05 ML), Lubricante Tub Pvc/500gr (0 UND). Mano de obra: Auxiliar De Obra 1 (0.01 jr), Oficial Obra 2 (0.01 jr). Equipo: Herrramienta Y Equipo Menor (3.5 %).</t>
  </si>
  <si>
    <t>2.01.28</t>
  </si>
  <si>
    <t>SUMINISTRO E INSTALACIÓN TUBERÍA PVC. D = 2½" RDE 21 UNIÓN MECANICA</t>
  </si>
  <si>
    <t>Precio por ML. Materiales: Tubería Pvc 2 1/2" Rde 21 Union Platino (1 ML), Limpiador 1/4 Pvc (0.01 gl), Soldadura Liquida Pvc 1/4`` (0.01 gl). Mano de obra: Auxiliar De Obra 1 (0.01 jr), Oficial Obra 2 (0.01 jr). Equipo: Herrramienta Y Equipo Menor (3.5 %).</t>
  </si>
  <si>
    <t>2.01.29</t>
  </si>
  <si>
    <t>SUMINISTRO E INSTALACIÓN TUBERÍA PVC. D = 3" RDE 21 UNIÓN MECANICA</t>
  </si>
  <si>
    <t>Precio por ML. Materiales: Tubería Presion 3`` Rde- 21 Union Platino (1.05 ML), Limpiador 1/4 Pvc (0.17 gl), Soldadura Liquida Pvc 1/4`` (0.17 gl). Mano de obra: Auxiliar De Obra 1 (0.01 jr), Oficial Obra 2 (0.01 jr). Equipo: Herrramienta Y Equipo Menor (3.5 %).</t>
  </si>
  <si>
    <t>2.01.30</t>
  </si>
  <si>
    <t>SUMINISTRO E INSTALACIÓN TUBERÍA PVC. D = 3" RDE 26 UNIÓN MECANICA</t>
  </si>
  <si>
    <t>Precio por ML. Materiales: Tubería Pvc 3" Rde 26 Union Platino (1.05 ML), Lubricante Tub Pvc/500gr (0 UND). Mano de obra: Auxiliar De Obra 1 (0.01 jr), Oficial Obra 2 (0.01 jr). Equipo: Herrramienta Y Equipo Menor (3.5 %).</t>
  </si>
  <si>
    <t>2.01.31</t>
  </si>
  <si>
    <t>SUMINISTRO E INSTALACIÓN TUBERÍA PVC. D = 3" RDE 32.5 UNIÓN MECANICA</t>
  </si>
  <si>
    <t>Precio por ML. Materiales: Tubería Pvc 3" Rde 32.5 Union Platino (1.05 ML), Lubricante Tub Pvc/500gr (0 UND). Mano de obra: Auxiliar De Obra 1 (0.01 jr), Oficial Obra 2 (0.01 jr). Equipo: Herrramienta Y Equipo Menor (3.5 %).</t>
  </si>
  <si>
    <t>2.01.32</t>
  </si>
  <si>
    <t>SUMINISTRO E INSTALACIÓN TUBERÍA PVC. D = 4" RDE 21 UNIÓN MECANICA</t>
  </si>
  <si>
    <t>Precio por ML. Materiales: Tubería Presion 4`` Rde- 21 Union Platino (1.05 ML), Lubricante Tub Pvc/500gr (0 UND). Mano de obra: Auxiliar De Obra 1 (0.01 jr), Oficial Obra 2 (0.01 jr). Equipo: Herrramienta Y Equipo Menor (3.5 %).</t>
  </si>
  <si>
    <t>2.01.33</t>
  </si>
  <si>
    <t>SUMINISTRO E INSTALACIÓN TUBERÍA PVC. D = 4" RDE 26 UNIÓN MECANICA</t>
  </si>
  <si>
    <t>Precio por ML. Materiales: Tubería Pvc 4" Rde 26 Union Platino (1.05 ML), Lubricante Tub Pvc/500gr (0 UND). Mano de obra: Auxiliar De Obra 1 (0.01 jr), Oficial Obra 2 (0.01 jr). Equipo: Herrramienta Y Equipo Menor (3.5 %).</t>
  </si>
  <si>
    <t>2.01.34</t>
  </si>
  <si>
    <t>SUMINISTRO E INSTALACIÓN TUBERÍA PVC. D = 4" RDE 32.5 UNIÓN MECANICA</t>
  </si>
  <si>
    <t>Precio por ML. Materiales: Tubería Pvc 4" Rde 32.5 Union Platino (1 ML), Lubricante Tub Pvc/500gr (0 UND). Mano de obra: Auxiliar De Obra 1 (0.01 jr), Oficial Obra 2 (0.01 jr). Equipo: Herrramienta Y Equipo Menor (3.5 %).</t>
  </si>
  <si>
    <t>2.01.35</t>
  </si>
  <si>
    <t>SUMINISTRO E INSTALACIÓN TUBERÍA PVC. D = 6" RDE 21 UNIÓN MECANICA</t>
  </si>
  <si>
    <t>Precio por ML. Materiales: Tubería Presion 6`` Rde- 21 Union Platino (1.05 ML), Lubricante Tub Pvc/500gr (0 UND). Mano de obra: Auxiliar De Obra 1 (0.02 jr), Oficial Obra 2 (0.02 jr). Equipo: Herrramienta Y Equipo Menor (3.5 %).</t>
  </si>
  <si>
    <t>2.01.36</t>
  </si>
  <si>
    <t>SUMINISTRO E INSTALACIÓN TUBERÍA PVC. D = 6" RDE 26 UNIÓN MECANICA</t>
  </si>
  <si>
    <t>Precio por ML. Materiales: Tubería Pvc 6" Rde 26 Union Platino (1.05 ML), Lubricante Tub Pvc/500gr (0 UND). Mano de obra: Auxiliar De Obra 1 (0.02 jr), Oficial Obra 2 (0.02 jr). Equipo: Herrramienta Y Equipo Menor (3.5 %).</t>
  </si>
  <si>
    <t>2.01.37</t>
  </si>
  <si>
    <t>SUMINISTRO E INSTALACIÓN TUBERÍA PVC. D = 6" RDE 32.5 UNIÓN MECANICA</t>
  </si>
  <si>
    <t>Precio por ML. Materiales: Tubería Pvc 6" Rde 32.5 Union Platino (1.05 ML), Lubricante Tub Pvc/500gr (0 UND), Tubería Pvc 8" Rde 21 Union Platino (1.05 ML), Lubricante Tub Pvc/500gr (0.01 UND). Mano de obra: Auxiliar De Obra 1 (0.02 jr), Oficial Obra 2 (0.02 jr). Equipo: Herrramienta Y Equipo Menor (3.5 %).</t>
  </si>
  <si>
    <t>Costo total del documento (60068.24) distinto a la suma de insumos (203681.46)</t>
  </si>
  <si>
    <t>2.01.39</t>
  </si>
  <si>
    <t>SUMINISTRO E INSTALACIÓN TUBERÍA PVC. D = 8" RDE 26 UNIÓN MECANICA</t>
  </si>
  <si>
    <t>Precio por ML. Materiales: Tubería Pvc 8" Rde 26 Union Platino (1.05 ML), Lubricante Tub Pvc/500gr (0.01 UND). Mano de obra: Auxiliar De Obra 1 (0.02 jr), Oficial Obra 2 (0.02 jr). Equipo: Herrramienta Y Equipo Menor (3.5 %).</t>
  </si>
  <si>
    <t>2.01.40</t>
  </si>
  <si>
    <t>SUMINISTRO E INSTALACIÓN TUBERÍA PVC. D = 8" RDE 32.5 UNIÓN MECANICA</t>
  </si>
  <si>
    <t>Precio por ML. Materiales: Tubería Pvc 8" Rde 32.5 Union Platino (1.05 ML), Lubricante Tub Pvc/500gr (0.01 UND). Mano de obra: Auxiliar De Obra 1 (0.02 jr), Oficial Obra 2 (0.02 jr). Equipo: Herrramienta Y Equipo Menor (3.5 %).</t>
  </si>
  <si>
    <t>2.01.41</t>
  </si>
  <si>
    <t>SUMINISTRO E INSTALACION TUBERIA PVC D=12" RDE 21 UNION MECANICA</t>
  </si>
  <si>
    <t>Precio por ML. Materiales: Tubería Presion 12`` Rde- 21 Union Platino (1.05 ML), Lubricante Tub Pvc/500gr (0.01 UND). Mano de obra: Auxiliar De Instalaciones 1 (0.22 hh), Oficial Instalaciones (0.02 hh). Equipo: Herrramienta Y Equipo Menor (3.5 %).</t>
  </si>
  <si>
    <t>2.01.42</t>
  </si>
  <si>
    <t>SUMINISTRO E INSTALACION TUBERIA PVC D=16" RDE 21 UNION MECANICA</t>
  </si>
  <si>
    <t>Precio por ML. Materiales: Tubería Presion 16`` Rde- 21 Union Platino (1.05 ML), Lubricante Tub Pvc/500gr (0.02 UND). Mano de obra: Auxiliar De Instalaciones 1 (0.22 hh), Oficial Instalaciones (0.22 hh). Equipo: Herrramienta Y Equipo Menor (3.5 %).</t>
  </si>
  <si>
    <t>2.01.43</t>
  </si>
  <si>
    <t>SUMINISTRO E INSTALACION TUBERIA PVC D=2" RDE 21 UNION MECANICA</t>
  </si>
  <si>
    <t>Precio por ML. Materiales: Tubería Presion 2`` Rde- 21 Union Platino (1.05 ML), Lubricante Tub Pvc/500gr (0.03 UND). Mano de obra: Auxiliar De Instalaciones 1 (0.18 hh), Oficial Instalaciones (0.18 hh). Equipo: Herrramienta Y Equipo Menor (3.5 %).</t>
  </si>
  <si>
    <t>2.01.44</t>
  </si>
  <si>
    <t>SUMINISTRO E INSTALACION TUBERIA PVC D=3" RDE 11 UNION MECANICA</t>
  </si>
  <si>
    <t>Precio por ML. Materiales: Tubería Presion 3`` Rde- 11 Union Platino (1.05 ML), Lubricante Tub Pvc/500gr (0 UND). Mano de obra: Auxiliar De Instalaciones 1 (0.05 hh), Oficial Instalaciones (0.05 hh). Equipo: Herrramienta Y Equipo Menor (3.5 %).</t>
  </si>
  <si>
    <t>2.01.45</t>
  </si>
  <si>
    <t>SUMINISTRO E INSTALACION TUBERIA PVC D=3" RDE 13.5 UNION MECANICA</t>
  </si>
  <si>
    <t>Precio por ML. Materiales: Tubería Presion 3`` Rde- 13.5 Union Platino (1.05 ML), Lubricante Tub Pvc/500gr (0 UND). Mano de obra: Auxiliar De Instalaciones 1 (0.05 hh), Oficial Obra 1 (0.05 hh). Equipo: Herrramienta Y Equipo Menor (3.5 %).</t>
  </si>
  <si>
    <t>2.01.46</t>
  </si>
  <si>
    <t>SUMINISTRO E INSTALACION TUBERIA PVC D=3" RDE 9 UNION MECANICA</t>
  </si>
  <si>
    <t>Precio por ML. Materiales: Tubería Presion 3`` Rde- 21 Union Platino (1.05 ML), Limpiador 1/4 Pvc (0.02 gl), Soldadura Liquida Pvc 1/4`` (0.02 gl). Mano de obra: Auxiliar De Instalaciones 1 (0.2 hh), Oficial Instalaciones (0.2 hh). Equipo: Herrramienta Y Equipo Menor (3.5 %).</t>
  </si>
  <si>
    <t>2.01.47</t>
  </si>
  <si>
    <t>SUMINISTRO E INSTALACION TUBERIA PVC D=4" RDE 11 UNION MECANICA</t>
  </si>
  <si>
    <t>Precio por ML. Materiales: Tubería Presion 4`` Rde- 11 Union Platino (1.05 ML), Lubricante Tub Pvc/500gr (0 UND). Mano de obra: Auxiliar De Instalaciones 1 (0.05 hh), Oficial Instalaciones (0.05 hh). Equipo: Herrramienta Y Equipo Menor (3.5 %).</t>
  </si>
  <si>
    <t>2.01.48</t>
  </si>
  <si>
    <t>SUMINISTRO E INSTALACION TUBERIA PVC D=4" RDE 13.5 UNION MECANICA</t>
  </si>
  <si>
    <t>Precio por ML. Materiales: Tubería Presion 4`` Rde- 13.5 Union Platino (1.05 ML), Lubricante Tub Pvc/500gr (0 UND). Mano de obra: Auxiliar De Instalaciones 1 (0.05 hh), Oficial Instalaciones (0.05 hh). Equipo: Herrramienta Y Equipo Menor (3.5 %).</t>
  </si>
  <si>
    <t>2.01.49</t>
  </si>
  <si>
    <t>SUMINISTRO E INSTALACION TUBERIA PVC D=4" RDE 9 UNION MECANICA</t>
  </si>
  <si>
    <t>Precio por ML. Materiales: Tubería Presion 4`` Rde- 21 Union Platino (1.05 ML), Limpiador 1/4 Pvc (0.03 gl), Soldadura Liquida Pvc 1/4`` (0.03 gl). Mano de obra: Auxiliar De Instalaciones 1 (0.75 hh), Oficial Instalaciones (0.75 hh). Equipo: Herrramienta Y Equipo Menor (3.5 %).</t>
  </si>
  <si>
    <t>2.01.50</t>
  </si>
  <si>
    <t>SUMINISTRO E INSTALACION TUBERIA PVC D=6" RDE 11 UNION MECANICA</t>
  </si>
  <si>
    <t>Precio por ML. Materiales: Tubería Presion 6`` Rde- 11 Union Platino (1.05 ML), Lubricante Tub Pvc/500gr (0 UND). Mano de obra: Auxiliar De Instalaciones 1 (0.13 hh), Oficial Instalaciones (0.13 hh). Equipo: Herrramienta Y Equipo Menor (3.5 %).</t>
  </si>
  <si>
    <t>2.01.51</t>
  </si>
  <si>
    <t>SUMINISTRO E INSTALACION TUBERIA PVC D=6" RDE 13.5 UNION MECANICA</t>
  </si>
  <si>
    <t>Precio por ML. Materiales: Tubería Presion 6`` Rde- 13.5 Union Platino (1.05 ML), Lubricante Tub Pvc/500gr (0 UND). Mano de obra: Auxiliar De Instalaciones 1 (0.13 hh), Oficial Instalaciones (0.13 hh). Equipo: Herrramienta Y Equipo Menor (3.5 %).</t>
  </si>
  <si>
    <t>2.01.52</t>
  </si>
  <si>
    <t>SUMINISTRO E INSTALACION TUBERIA PVC D=6" RDE 9 UNION MECANICA</t>
  </si>
  <si>
    <t>Precio por ML. Materiales: Tubería Presion 6`` Rde- 9 Union Platino (1.05 ML), Lubricante Tub Pvc/500gr (0 UND). Mano de obra: Auxiliar De Instalaciones 1 (0.13 hh), Oficial Instalaciones (0.13 hh). Equipo: Herrramienta Y Equipo Menor (3.5 %).</t>
  </si>
  <si>
    <t>2.01.53</t>
  </si>
  <si>
    <t>SUMINISTRO E INSTALACION TUBERIA PVC D=8" RDE 11 UNION MECANICA</t>
  </si>
  <si>
    <t>Precio por ML. Materiales: Tubería Presion 8`` Rde- 11 Union Platino (1.05 ML), Lubricante Tub Pvc/500gr (0.01 UND). Mano de obra: Auxiliar De Instalaciones 1 (0.13 hh), Oficial Instalaciones (0.13 hh). Equipo: Herrramienta Y Equipo Menor (3.5 %).</t>
  </si>
  <si>
    <t>2.01.54</t>
  </si>
  <si>
    <t>SUMINISTRO E INSTALACION TUBERIA PVC D=8" RDE 13.5 UNION MECANICA</t>
  </si>
  <si>
    <t>Precio por ML. Materiales: Tubería Presion 8`` Rde- 13.5 Union Platino (1.05 ML), Lubricante Tub Pvc/500gr (0.01 UND). Mano de obra: Auxiliar De Instalaciones 1 (0.13 hh), Oficial Instalaciones (0.13 hh). Equipo: Herrramienta Y Equipo Menor (3.5 %).</t>
  </si>
  <si>
    <t>2.02.01</t>
  </si>
  <si>
    <t>TUBERÍA POLIETILENO PE 100 -</t>
  </si>
  <si>
    <t>SUMINISTRO E INSTALACIÓN TUBERÍA PN 10 DIAMETRO 110 mm</t>
  </si>
  <si>
    <t>Precio por ML. Materiales: Tubería Polietileno Pe 100 Pn 10 Rde 17 Diametro 110 Mm (1.05 ML). Mano de obra: Auxiliar De Instalaciones 1 (0.3 hh), Oficial Instalaciones (0.3 hh). Equipo: Termofucionador Tuberia Polivinilica (0 dd), Herrramienta Y Equipo Menor (5 %).</t>
  </si>
  <si>
    <t>2.02.02</t>
  </si>
  <si>
    <t>SUMINISTRO E INSTALACIÓN TUBERÍA PN 10 DIAMETRO 160 mm</t>
  </si>
  <si>
    <t>Precio por ML. Materiales: Tubería Polietileno Pe 100 Pn 10 Rde 17 Diametro 160 Mm (1.05 ML). Mano de obra: Auxiliar De Instalaciones 1 (0.38 hh), Oficial Instalaciones (0.38 hh). Equipo: Termofucionador Tuberia Polivinilica (0.01 dd), Herrramienta Y Equipo Menor (5 %).</t>
  </si>
  <si>
    <t>2.02.03</t>
  </si>
  <si>
    <t>SUMINISTRO E INSTALACIÓN TUBERÍA PN 10 DIAMETRO 200 mm</t>
  </si>
  <si>
    <t>Precio por ML. Materiales: Tubería Polietileno Pe 100 Pn 10 Rde 17 Diametro 200 Mm (1.05 ML). Mano de obra: Auxiliar De Instalaciones 1 (0.6 hh), Oficial Instalaciones (0.6 hh). Equipo: Termofucionador Tuberia Polivinilica (0.01 dd), Herrramienta Y Equipo Menor (5 %).</t>
  </si>
  <si>
    <t>2.02.04</t>
  </si>
  <si>
    <t>SUMINISTRO E INSTALACIÓN TUBERÍA PN 10 DIAMETRO 63 mm</t>
  </si>
  <si>
    <t>Precio por ML. Materiales: Tubería Polietileno Pe 100 Pn 10 Rde 17 Diametro 63 Mm (1.05 ML). Mano de obra: Auxiliar De Instalaciones 1 (0.2 hh), Oficial Instalaciones (0.2 hh). Equipo: Termofucionador Tuberia Polivinilica (0 dd), Herrramienta Y Equipo Menor (5 %).</t>
  </si>
  <si>
    <t>2.02.05</t>
  </si>
  <si>
    <t>SUMINISTRO E INSTALACIÓN TUBERÍA PN 10 DIAMETRO 90 mm</t>
  </si>
  <si>
    <t>Precio por ML. Materiales: Tubería Polietileno Pe 100 Pn 10 Rde 17 Diametro 90 Mm (1.05 ML). Mano de obra: Auxiliar De Instalaciones 1 (0.2 hh), Oficial Instalaciones (0.2 hh). Equipo: Termofucionador Tuberia Polivinilica (0 dd), Herrramienta Y Equipo Menor (5 %).</t>
  </si>
  <si>
    <t>2.02.06</t>
  </si>
  <si>
    <t>SUMINISTRO E INSTALACIÓN TUBERÍA PN 16 DIAMETRO 110 mm</t>
  </si>
  <si>
    <t>Precio por ML. Materiales: Tubería Polietileno Pe 100 Pn 16 Rde 11 Diametro 110 Mm (1.05 ML). Mano de obra: Auxiliar De Instalaciones 1 (0.35 hh), Oficial Instalaciones (0.3 hh). Equipo: Termofucionador Tuberia Polivinilica (0 dd), Herrramienta Y Equipo Menor (5 %).</t>
  </si>
  <si>
    <t>2.02.07</t>
  </si>
  <si>
    <t>SUMINISTRO E INSTALACIÓN TUBERÍA PN 16 DIAMETRO 160 mm</t>
  </si>
  <si>
    <t>Precio por ML. Materiales: Tubería Polietileno Pe 100 Pn 16 Rde 11 Diametro 160 Mm (1.05 ML). Mano de obra: Auxiliar De Instalaciones 1 (0.38 hh), Oficial Instalaciones (0.38 hh). Equipo: Termofucionador Tuberia Polivinilica (0.01 dd), Herrramienta Y Equipo Menor (5 %).</t>
  </si>
  <si>
    <t>2.02.08</t>
  </si>
  <si>
    <t>SUMINISTRO E INSTALACIÓN TUBERÍA PN 16 DIAMETRO 200 mm</t>
  </si>
  <si>
    <t>Precio por ML. Materiales: Tubería Polietileno Pe 100 Pn 16 Rde 11 Diametro 200 Mm (1.05 ML). Mano de obra: Auxiliar De Instalaciones 1 (0.6 hh), Oficial Instalaciones (0.6 hh). Equipo: Termofucionador Tuberia Polivinilica (0.01 dd), Herrramienta Y Equipo Menor (5 %).</t>
  </si>
  <si>
    <t>2.02.09</t>
  </si>
  <si>
    <t>SUMINISTRO E INSTALACIÓN TUBERÍA PN 16 DIAMETRO 63 mm</t>
  </si>
  <si>
    <t>Precio por ML. Materiales: Tubería Polietileno Pe 100 Pn 16 Rde 11 Diametro 63 Mm (1.05 ML). Mano de obra: Auxiliar De Instalaciones 1 (0.2 hh), Oficial Instalaciones (0.2 hh). Equipo: Termofucionador Tuberia Polivinilica (0 dd), Herrramienta Y Equipo Menor (5 %).</t>
  </si>
  <si>
    <t>2.02.10</t>
  </si>
  <si>
    <t>SUMINISTRO E INSTALACIÓN TUBERÍA PN 16 DIAMETRO 90 mm</t>
  </si>
  <si>
    <t>Precio por ML. Materiales: Tubería Polietileno Pe 100 Pn 16 Rde 11 Diametro 90 Mm (1.05 ML). Mano de obra: Auxiliar De Instalaciones 1 (0.2 hh), Oficial Instalaciones (0.2 hh). Equipo: Termofucionador Tuberia Polivinilica (0 dd), Herrramienta Y Equipo Menor (5 %).</t>
  </si>
  <si>
    <t>2.03.01</t>
  </si>
  <si>
    <t>TUBERIA HG- ACUEDUCTO</t>
  </si>
  <si>
    <t>SUMINISTRO E INSTALACIÓN DE TUBERÍA H.G. D=1 1/2"</t>
  </si>
  <si>
    <t>Precio por ML. Materiales: Tubería H.g. 1½`` (1.05 ML), Unión H.g. 1½`` (0.17 UND). Mano de obra: Auxiliar De Instalaciones 1 (0.32 hh), Oficial Instalaciones (0.32 hh). Equipo: Herrramienta Y Equipo Menor (5 %).</t>
  </si>
  <si>
    <t>2.03.02</t>
  </si>
  <si>
    <t>SUMINISTRO E INSTALACIÓN DE TUBERÍA H.G. D=2 1/2"</t>
  </si>
  <si>
    <t>Precio por ML. Materiales: Tubería H.g. 2½`` (1.05 ML), Unión H.g. 2½`` (0.17 UND). Mano de obra: Auxiliar De Instalaciones 1 (0.72 hh), Oficial Instalaciones (0.72 hh). Equipo: Herrramienta Y Equipo Menor (5 %).</t>
  </si>
  <si>
    <t>2.03.03</t>
  </si>
  <si>
    <t>SUMNSTRO E INSTALACIÓN DE TUBERÍA H.G. D=2"</t>
  </si>
  <si>
    <t>Precio por ML. Materiales: Tubería H.g. 2`` (1.05 ML), Unión H.g. 2`` (0.17 UND). Mano de obra: Auxiliar De Instalaciones 1 (0.7 hh), Oficial Instalaciones (0.7 hh). Equipo: Herrramienta Y Equipo Menor (5 %).</t>
  </si>
  <si>
    <t>2.03.04</t>
  </si>
  <si>
    <t>SUMINISTRO E INSTALACIÓN DE TUBERÍA H.G. D=3"</t>
  </si>
  <si>
    <t>Precio por ML. Materiales: Tubería H.g. 3`` (1.05 ML), Unión H.g. 3`` (0.17 UND). Mano de obra: Auxiliar De Instalaciones 1 (0.8 hh), Oficial Instalaciones (0.8 hh). Equipo: Herrramienta Y Equipo Menor (5 %).</t>
  </si>
  <si>
    <t>2.03.05</t>
  </si>
  <si>
    <t>SUMINISTRO E INSTALACIÓN DE TUBERÍA H.G. D=4"</t>
  </si>
  <si>
    <t>Precio por ML. Materiales: Tubería H.g. 4`` (1.05 ML), Unión H.g. 4`` (0.17 UND). Mano de obra: Auxiliar De Instalaciones 1 (1 hh), Oficial Instalaciones (1 hh). Equipo: Herrramienta Y Equipo Menor (5 %).</t>
  </si>
  <si>
    <t>2.03.06</t>
  </si>
  <si>
    <t>SUMINISTRO E INSTALACIÓN DE TUBERÍA H.G. D=6"</t>
  </si>
  <si>
    <t>Precio por ML. Materiales: Tubería H.g. 6`` (1.05 ML), Unión H.g. 6`` (0.17 UND). Mano de obra: Auxiliar De Instalaciones 1 (0.75 hh), Oficial Instalaciones (0.75 hh). Equipo: Herrramienta Y Equipo Menor (5 %).</t>
  </si>
  <si>
    <t>2.04.01</t>
  </si>
  <si>
    <t>ACCESORIOS- ACUEDUCTO</t>
  </si>
  <si>
    <t>ARENA PARA LECHO FILTRANTE (CANTO RODADO, % SILICE &gt;99, CE = (0.7 - 0.9), % SOLUBILIDAD HCI &lt; 4%, COEFICIENTE UNIF. = (2 - 3.5)).</t>
  </si>
  <si>
    <t>Precio por UND. Materiales: Arena Para Lecho Filtrante , % Solubilidad Hcl £ 4%, Coeficiente Unif. = (1.05 M3). Mano de obra: Auxiliar De Obra 1 (0.3 jr), Oficial Obra 2 (0.1 jr). Equipo: Herrramienta Y Equipo Menor (3.5 %).</t>
  </si>
  <si>
    <t>AM02 · OG06 · ES13 · NP01</t>
  </si>
  <si>
    <t>2.04.02</t>
  </si>
  <si>
    <t>CODO PVC DE 90° PRESIÓN SOLDAR DIÁMETRO 1/2"</t>
  </si>
  <si>
    <t>Precio por UND. Materiales: Codo 90° Presión 1/2" (1 UND), Limpiador 1/4 Pvc (0 gl), Soldadura Liquida Pvc 1/4`` (0 gl). Mano de obra: Auxiliar De Instalaciones 1 (0.01 hh), Oficial Instalaciones (0.01 hh). Equipo: Herrramienta Y Equipo Menor (3.5 %).</t>
  </si>
  <si>
    <t>2.04.03</t>
  </si>
  <si>
    <t>CODO PVC DE 90° PRESIÓN SOLDAR DIÁMETRO 3/4"</t>
  </si>
  <si>
    <t>Precio por UND. Materiales: Codo 90° Presión 3/4" (1 UND), Limpiador 1/4 Pvc (0 gl), Soldadura Liquida Pvc 1/4`` (0 gl). Mano de obra: Auxiliar De Instalaciones 1 (0.01 hh), Oficial Instalaciones (0.01 hh). Equipo: Herrramienta Y Equipo Menor (3.5 %).</t>
  </si>
  <si>
    <t>2.04.04</t>
  </si>
  <si>
    <t>CODO PVC GRAN RADIO 11 1/4° RDE 21 D=10"</t>
  </si>
  <si>
    <t>Precio por UND. Materiales: Codo Pvc Gran Radio 11 1/4° Rde 21 D = 10" (1 UND), Limpiador 1/4 Pvc (0.04 gl), Soldadura Liquida Pvc 1/4`` (0.04 gl). Mano de obra: Auxiliar De Instalaciones 1 (0.4 hh), Oficial Instalaciones (0.4 hh). Equipo: Herrramienta Y Equipo Menor (3.5 %).</t>
  </si>
  <si>
    <t>2.04.05</t>
  </si>
  <si>
    <t>CODO PVC GRAN RADIO 11 1/4° RDE 21 D=12"</t>
  </si>
  <si>
    <t>Precio por UND. Materiales: Codo Pvc Gran Radio 11 1/4° Rde 21 D = 12" (1 UND), Limpiador 1/4 Pvc (0.06 gl), Soldadura Liquida Pvc 1/4`` (0.06 gl). Mano de obra: Auxiliar De Instalaciones 1 (0.25 hh), Oficial Instalaciones (0.25 hh). Equipo: Herrramienta Y Equipo Menor (3.5 %).</t>
  </si>
  <si>
    <t>2.04.06</t>
  </si>
  <si>
    <t>CODO PVC GRAN RADIO 11 1/4° RDE 21 D=4"</t>
  </si>
  <si>
    <t>Precio por UND. Materiales: Codo Pvc Gran Radio 11 1/4° Rde 21 D = 4 `` (1 UND), Lubricante Tub Pvc/500gr (0.02 UND). Mano de obra: Auxiliar De Instalaciones 1 (0.25 hh), Oficial Instalaciones (0.25 hh). Equipo: Herrramienta Y Equipo Menor (3.5 %).</t>
  </si>
  <si>
    <t>2.04.07</t>
  </si>
  <si>
    <t>CODO PVC GRAN RADIO 11 1/4° RDE 21 D=6"</t>
  </si>
  <si>
    <t>Precio por UND. Materiales: Codo Pvc Gran Radio 11 1/4° Rde 21 D = 6 `` (1 UND), Lubricante Tub Pvc/500gr (0.02 UND). Mano de obra: Auxiliar De Instalaciones 1 (0.25 hh), Oficial Instalaciones (0.25 hh). Equipo: Herrramienta Y Equipo Menor (3.5 %).</t>
  </si>
  <si>
    <t>2.04.08</t>
  </si>
  <si>
    <t>CODO PVC GRAN RADIO 11 1/4° RDE 21 D=8"</t>
  </si>
  <si>
    <t>Precio por UND. Materiales: Codo Pvc Gran Radio 11 1/4° Rde 21 D = 8 `` (1 UND), Lubricante Tub Pvc/500gr (0.02 UND). Mano de obra: Auxiliar De Instalaciones 1 (0.25 hh), Oficial Instalaciones (0.25 hh). Equipo: Herrramienta Y Equipo Menor (3.5 %).</t>
  </si>
  <si>
    <t>2.04.09</t>
  </si>
  <si>
    <t>CODO PVC GRAN RADIO 22 1/2° RDE 21 D=10"</t>
  </si>
  <si>
    <t>Precio por UND. Materiales: Codo Pvc Gran Radio 22 1/2° Rde 21 D = 10 `` (1 UND), Lubricante Tub Pvc/500gr (0.02 UND). Mano de obra: Auxiliar De Instalaciones 1 (0.25 hh), Oficial Instalaciones (0.25 hh).</t>
  </si>
  <si>
    <t>2.04.10</t>
  </si>
  <si>
    <t>CODO PVC GRAN RADIO 22 1/2° RDE 21 D=12"</t>
  </si>
  <si>
    <t>Precio por UND. Materiales: Codo Pvc Gran Radio 22 1/2° Rde 21 D = 12 `` (1 UND), Lubricante Tub Pvc/500gr (0.02 UND). Mano de obra: Auxiliar De Instalaciones 1 (0.25 hh), Oficial Instalaciones (0.25 hh). Equipo: Herrramienta Y Equipo Menor (3.5 %).</t>
  </si>
  <si>
    <t>2.04.11</t>
  </si>
  <si>
    <t>CODO PVC GRAN RADIO 22 1/2° RDE 21 D=2"</t>
  </si>
  <si>
    <t>Precio por UND. Materiales: Codo Pvc Gran Radio 22 1/2° Rde 21 D = 2`` (1 UND), Lubricante Tub Pvc/500gr (0.02 UND). Mano de obra: Auxiliar De Instalaciones 1 (0.25 hh), Oficial Instalaciones (0.25 hh). Equipo: Herrramienta Y Equipo Menor (3.5 %).</t>
  </si>
  <si>
    <t>2.04.12</t>
  </si>
  <si>
    <t>CODO PVC GRAN RADIO 22 1/2° RDE 21 D=3"</t>
  </si>
  <si>
    <t>Precio por UND. Materiales: Codo Pvc Gran Radio 22 1/2° Rde 21 D = 3 `` (1 UND), Lubricante Tub Pvc/500gr (0.02 UND). Mano de obra: Auxiliar De Instalaciones 1 (0.25 hh), Oficial Instalaciones (0.25 hh). Equipo: Herrramienta Y Equipo Menor (3.5 %).</t>
  </si>
  <si>
    <t>2.04.13</t>
  </si>
  <si>
    <t>CODO PVC GRAN RADIO 22 1/2° RDE 21 D=4"</t>
  </si>
  <si>
    <t>Precio por UND. Materiales: Codo Pvc Gran Radio 22 1/2° Rde 21 D = 4 `` (1 UND), Lubricante Tub Pvc/500gr (0.02 UND). Mano de obra: Auxiliar De Instalaciones 1 (0.25 hh), Oficial Instalaciones (0.25 hh). Equipo: Herrramienta Y Equipo Menor (3.5 %).</t>
  </si>
  <si>
    <t>2.04.14</t>
  </si>
  <si>
    <t>CODO PVC GRAN RADIO 22 1/2° RDE 21 D=6"</t>
  </si>
  <si>
    <t>Precio por UND. Materiales: Codo Pvc Gran Radio 22 1/2° Rde 21 D = 6`` (1 UND), Lubricante Tub Pvc/500gr (0.02 UND). Mano de obra: Auxiliar De Instalaciones 1 (0.25 hh), Oficial Instalaciones (0.25 hh). Equipo: Herrramienta Y Equipo Menor (3.5 %).</t>
  </si>
  <si>
    <t>2.04.15</t>
  </si>
  <si>
    <t>CODO PVC GRAN RADIO 22 1/2° RDE 21 D=8"</t>
  </si>
  <si>
    <t>Precio por UND. Materiales: Codo Pvc Gran Radio 22 1/2° Rde 21 D = 8 `` (1 UND), Lubricante Tub Pvc/500gr (0.02 UND). Mano de obra: Auxiliar De Instalaciones 1 (0.25 hh), Oficial Instalaciones (0.25 hh). Equipo: Herrramienta Y Equipo Menor (3.5 %).</t>
  </si>
  <si>
    <t>2.04.16</t>
  </si>
  <si>
    <t>CODO PVC GRAN RADIO 45° RDE 21 D=10"</t>
  </si>
  <si>
    <t>Precio por UND. Materiales: Codo Pvc Gran Radio 45° Rde 21 D = 10 `` (1 UND), Lubricante Tub Pvc/500gr (0.02 UND). Mano de obra: Auxiliar De Instalaciones 1 (0.25 hh), Oficial Instalaciones (0.25 hh). Equipo: Herrramienta Y Equipo Menor (3.5 %).</t>
  </si>
  <si>
    <t>2.04.17</t>
  </si>
  <si>
    <t>CODO PVC GRAN RADIO 45° RDE 21 D=12"</t>
  </si>
  <si>
    <t>Precio por UND. Materiales: Codo Pvc Gran Radio 45° Rde 21 D = 12 `` (1 UND), Lubricante Tub Pvc/500gr (0.02 UND). Mano de obra: Auxiliar De Instalaciones 1 (0.25 hh), Oficial Instalaciones (0.25 hh). Equipo: Herrramienta Y Equipo Menor (3.5 %).</t>
  </si>
  <si>
    <t>2.04.18</t>
  </si>
  <si>
    <t>CODO PVC GRAN RADIO 45° RDE 21 D=2 1/2"</t>
  </si>
  <si>
    <t>Precio por UND. Materiales: Codo Pvc Gran Radio 45° Rde 21 D = 2 1/2 `` (1 UND), Lubricante Tub Pvc/500gr (0.02 UND). Mano de obra: Auxiliar De Instalaciones 1 (0.25 hh), Oficial Instalaciones (0.25 hh). Equipo: Herrramienta Y Equipo Menor (3.5 %).</t>
  </si>
  <si>
    <t>2.04.19</t>
  </si>
  <si>
    <t>CODO PVC GRAN RADIO 45° RDE 21 D=2"</t>
  </si>
  <si>
    <t>Precio por UND. Materiales: Codo Pvc Gran Radio 45° Rde 21 D = 2`` (1 UND), Lubricante Tub Pvc/500gr (0.02 UND). Mano de obra: Auxiliar De Instalaciones 1 (0.25 hh), Oficial Instalaciones (0.25 hh). Equipo: Herrramienta Y Equipo Menor (3.5 %).</t>
  </si>
  <si>
    <t>2.04.20</t>
  </si>
  <si>
    <t>CODO PVC GRAN RADIO 45° RDE 21 D=3"</t>
  </si>
  <si>
    <t>Precio por UND. Materiales: Codo Pvc Gran Radio 45° Rde 21 D = 3 `` (1 UND), Lubricante Tub Pvc/500gr (0.02 UND). Mano de obra: Auxiliar De Instalaciones 1 (0.25 hh), Oficial Instalaciones (0.25 hh). Equipo: Herrramienta Y Equipo Menor (3.5 %).</t>
  </si>
  <si>
    <t>2.04.21</t>
  </si>
  <si>
    <t>CODO PVC GRAN RADIO 45° RDE 21 D=4"</t>
  </si>
  <si>
    <t>Precio por UND. Materiales: Codo Pvc Gran Radio 45° Rde 21 D = 4 `` (1 UND), Lubricante Tub Pvc/500gr (0.02 UND). Mano de obra: Auxiliar De Instalaciones 1 (0.25 hh), Oficial Instalaciones (0.25 hh). Equipo: Herrramienta Y Equipo Menor (3.5 %).</t>
  </si>
  <si>
    <t>2.04.22</t>
  </si>
  <si>
    <t>CODO PVC GRAN RADIO 45° RDE 21 D=6"</t>
  </si>
  <si>
    <t>Precio por UND. Materiales: Codo Pvc Gran Radio 45° Rde 21 D = 6 `` (1 UND), Lubricante Tub Pvc/500gr (0.02 UND). Mano de obra: Auxiliar De Instalaciones 1 (0.25 hh), Oficial Instalaciones (0.25 hh). Equipo: Herrramienta Y Equipo Menor (3.5 %).</t>
  </si>
  <si>
    <t>2.04.23</t>
  </si>
  <si>
    <t>CODO PVC GRAN RADIO 45° RDE 21 D=8"</t>
  </si>
  <si>
    <t>Precio por UND. Materiales: Codo Pvc Gran Radio 45° Rde 21 D = 8 `` (1 UND), Lubricante Tub Pvc/500gr (0.02 UND). Mano de obra: Auxiliar De Instalaciones 1 (0.25 hh), Oficial Instalaciones (0.25 hh). Equipo: Herrramienta Y Equipo Menor (3.5 %).</t>
  </si>
  <si>
    <t>2.04.24</t>
  </si>
  <si>
    <t>CODO PVC GRAN RADIO 6° D = 10"</t>
  </si>
  <si>
    <t>Precio por UND. Materiales: Codo Pvc Gran Radio 6° D = 10 `` (1 UND), Lubricante Tub Pvc/500gr (0.02 UND). Mano de obra: Auxiliar De Instalaciones 1 (0.25 hh), Oficial Instalaciones (0.25 hh). Equipo: Herrramienta Y Equipo Menor (3.5 %).</t>
  </si>
  <si>
    <t>2.04.25</t>
  </si>
  <si>
    <t>CODO PVC GRAN RADIO 6° D = 12"</t>
  </si>
  <si>
    <t>Precio por UND. Materiales: Codo Pvc Gran Radio 6° D = 12 `` (1 UND), Lubricante Tub Pvc/500gr (0.02 UND). Mano de obra: Auxiliar De Instalaciones 1 (0.25 hh), Oficial Instalaciones (0.25 hh). Equipo: Herrramienta Y Equipo Menor (3.5 %).</t>
  </si>
  <si>
    <t>2.04.26</t>
  </si>
  <si>
    <t>CODO PVC GRAN RADIO 6° D = 8"</t>
  </si>
  <si>
    <t>Precio por UND. Materiales: Codo Pvc Gran Radio 6° D = 8 `` (1 UND), Lubricante Tub Pvc/500gr (0.02 UND). Mano de obra: Auxiliar De Instalaciones 1 (0.25 hh), Oficial Instalaciones (0.25 hh). Equipo: Herrramienta Y Equipo Menor (3.5 %).</t>
  </si>
  <si>
    <t>2.04.27</t>
  </si>
  <si>
    <t>CODO PVC GRAN RADIO 90° RDE 21 D=10"</t>
  </si>
  <si>
    <t>Precio por UND. Materiales: Codo Pvc Gran Radio 90° Rde 21 D = 10 `` (1 UND), Lubricante Tub Pvc/500gr (0.02 UND). Mano de obra: Auxiliar De Instalaciones 1 (0.25 hh), Oficial Instalaciones (0.25 hh). Equipo: Herrramienta Y Equipo Menor (3.5 %).</t>
  </si>
  <si>
    <t>2.04.28</t>
  </si>
  <si>
    <t>CODO PVC GRAN RADIO 90° RDE 21 D=12"</t>
  </si>
  <si>
    <t>Precio por UND. Materiales: Codo Pvc Gran Radio 90° Rde 21 D = 12 `` (1 UND), Lubricante Tub Pvc/500gr (0.02 UND). Mano de obra: Auxiliar De Instalaciones 1 (0.25 hh), Oficial Instalaciones (0.25 hh). Equipo: Herrramienta Y Equipo Menor (3.5 %).</t>
  </si>
  <si>
    <t>2.04.29</t>
  </si>
  <si>
    <t>CODO PVC GRAN RADIO 90° RDE 21 D=2 1/2"</t>
  </si>
  <si>
    <t>Precio por UND. Materiales: Codo Pvc Gran Radio 90° Rde 21 D = 2 1/2 `` (1 UND), Lubricante Tub Pvc/500gr (0.02 UND). Mano de obra: Auxiliar De Instalaciones 1 (0.25 hh), Oficial Instalaciones (0.25 hh). Equipo: Herrramienta Y Equipo Menor (3.5 %).</t>
  </si>
  <si>
    <t>2.04.30</t>
  </si>
  <si>
    <t>CODO PVC GRAN RADIO 90° RDE 21 D=2"</t>
  </si>
  <si>
    <t>Precio por UND. Materiales: Codo Pvc Gran Radio 90° Rde 21 D = 2`` (1 UND), Lubricante Tub Pvc/500gr (0.02 UND). Mano de obra: Auxiliar De Instalaciones 1 (0.25 hh), Oficial Instalaciones (0.25 hh). Equipo: Herrramienta Y Equipo Menor (3.5 %).</t>
  </si>
  <si>
    <t>2.04.31</t>
  </si>
  <si>
    <t>CODO PVC GRAN RADIO 90° RDE 21 D=3"</t>
  </si>
  <si>
    <t>Precio por UND. Materiales: Codo Pvc Gran Radio 90° Rde 21 D = 3 `` (1 UND), Lubricante Tub Pvc/500gr (0.02 UND). Mano de obra: Auxiliar De Instalaciones 1 (0.25 hh), Oficial Instalaciones (0.25 hh). Equipo: Herrramienta Y Equipo Menor (3.5 %).</t>
  </si>
  <si>
    <t>2.04.32</t>
  </si>
  <si>
    <t>CODO PVC GRAN RADIO 90° RDE 21 D=4"</t>
  </si>
  <si>
    <t>Precio por UND. Materiales: Codo Pvc Gran Radio 90° Rde 21 D = 4 `` (1 UND), Limpiador 1/4 Pvc (0.03 gl), Soldadura Liquida Pvc 1/4`` (0.03 gl). Mano de obra: Auxiliar De Instalaciones 1 (0.4 hh), Oficial Instalaciones (0.4 hh). Equipo: Herrramienta Y Equipo Menor (3.5 %).</t>
  </si>
  <si>
    <t>2.04.33</t>
  </si>
  <si>
    <t>CODO PVC GRAN RADIO 90° RDE 21 D=6"</t>
  </si>
  <si>
    <t>Precio por UND. Materiales: Codo Pvc Gran Radio 90° Rde 21 D = 6 `` (1 UND), Limpiador 1/4 Pvc (0.04 gl), Soldadura Liquida Pvc 1/4`` (0.04 gl). Mano de obra: Auxiliar De Instalaciones 1 (0.4 hh), Oficial Instalaciones (0.4 hh). Equipo: Herrramienta Y Equipo Menor (3.5 %).</t>
  </si>
  <si>
    <t>2.04.34</t>
  </si>
  <si>
    <t>CODO PVC GRAN RADIO 90° RDE 21 D=8"</t>
  </si>
  <si>
    <t>Precio por UND. Materiales: Codo Pvc Gran Radio 90° Rde 21 D = 8 `` (1.02 UND), Limpiador 1/4 Pvc (0.06 gl), Soldadura Liquida Pvc 1/4`` (0.06 gl). Mano de obra: Auxiliar De Instalaciones 1 (0.4 hh), Oficial Instalaciones (0.4 hh). Equipo: Herrramienta Y Equipo Menor (3.5 %).</t>
  </si>
  <si>
    <t>2.04.35</t>
  </si>
  <si>
    <t>CODO PVC RADIO CORTO 90° D = 3"</t>
  </si>
  <si>
    <t>Precio por UND. Materiales: Codo Pvc Radio Corto 90° D = 3`` (1 UND), Lubricante Tub Pvc/500gr (0.03 UND). Mano de obra: Auxiliar De Instalaciones 1 (0.15 hh), Oficial Instalaciones (0.15 hh). Equipo: Herrramienta Y Equipo Menor (3.5 %).</t>
  </si>
  <si>
    <t>2.04.36</t>
  </si>
  <si>
    <t>CODO PVC RADIO CORTO 90° D = 4"</t>
  </si>
  <si>
    <t>Precio por UND. Materiales: Codo Pvc Radio Corto 90° D = 4`` (1 UND), Lubricante Tub Pvc/500gr (0.02 UND). Mano de obra: Auxiliar De Instalaciones 1 (0.25 hh), Oficial Instalaciones (0.25 hh). Equipo: Herrramienta Y Equipo Menor (3.5 %).</t>
  </si>
  <si>
    <t>2.04.37</t>
  </si>
  <si>
    <t>CODO PVC RADIO CORTO 90° D = 6"</t>
  </si>
  <si>
    <t>Precio por UND. Materiales: Codo Pvc Radio Corto 90° D = 6`` (1 UND), Lubricante Tub Pvc/500gr (0.02 UND). Mano de obra: Auxiliar De Instalaciones 1 (0.25 hh), Oficial Instalaciones (0.25 hh). Equipo: Herrramienta Y Equipo Menor (3.5 %).</t>
  </si>
  <si>
    <t>2.04.38</t>
  </si>
  <si>
    <t>CODO PVC RADIO CORTO 90° D = 8"</t>
  </si>
  <si>
    <t>Precio por UND. Materiales: Codo Pvc Radio Corto 90° D = 8`` (1 UND), Lubricante Tub Pvc/500gr (0.02 UND). Mano de obra: Auxiliar De Instalaciones 1 (0.25 hh), Oficial Instalaciones (0.25 hh). Equipo: Herrramienta Y Equipo Menor (3.5 %).</t>
  </si>
  <si>
    <t>2.04.39</t>
  </si>
  <si>
    <t>COLLAR PVC DE DERIVACIÓN DE 2 1/2 " * 1/2"</t>
  </si>
  <si>
    <t>Precio por UND. Materiales: Collar De Derivacion De 2 1/2* 1/2`` (1 UND). Mano de obra: Auxiliar De Instalaciones 1 (0.17 hh), Oficial Instalaciones (0.17 hh). Equipo: Herrramienta Y Equipo Menor (5 %).</t>
  </si>
  <si>
    <t>2.04.40</t>
  </si>
  <si>
    <t>COLLAR PVC DE DERIVACIÓN DE 2 1/2"*3/4"</t>
  </si>
  <si>
    <t>Precio por UND. Materiales: Collar De Derivacion De 2 1/2* 3/4`` (1 UND). Mano de obra: Auxiliar De Instalaciones 1 (0.17 hh), Oficial Instalaciones (0.17 hh). Equipo: Herrramienta Y Equipo Menor (5 %).</t>
  </si>
  <si>
    <t>2.04.41</t>
  </si>
  <si>
    <t>COLLAR PVC DE DERIVACIÓN DE 2"*1/2"</t>
  </si>
  <si>
    <t>Precio por UND. Materiales: Collar De Derivacion De 2 * 1/2`` (1 UND). Mano de obra: Auxiliar De Instalaciones 1 (0.17 hh), Oficial Instalaciones (0.17 hh). Equipo: Herrramienta Y Equipo Menor (5 %).</t>
  </si>
  <si>
    <t>2.04.42</t>
  </si>
  <si>
    <t>COLLAR PVC DE DERIVACIÓN DE 2"*3/4"</t>
  </si>
  <si>
    <t>Precio por UND. Materiales: Collar De Derivacion De 2 * 3/4`` (1 UND). Mano de obra: Auxiliar De Instalaciones 1 (0.17 hh), Oficial Instalaciones (0.17 hh). Equipo: Herrramienta Y Equipo Menor (5 %).</t>
  </si>
  <si>
    <t>2.04.43</t>
  </si>
  <si>
    <t>COLLAR PVC DE DERIVACIÓN DE 3"*1/2"</t>
  </si>
  <si>
    <t>Precio por UND. Materiales: Collar De Derivacion De 3* 1/2`` (1 UND). Mano de obra: Auxiliar De Instalaciones 1 (0.17 hh), Oficial Instalaciones (0.17 hh). Equipo: Herrramienta Y Equipo Menor (5 %).</t>
  </si>
  <si>
    <t>2.04.44</t>
  </si>
  <si>
    <t>COLLAR PVC DE DERIVACIÓN DE 3"*3/4"</t>
  </si>
  <si>
    <t>Precio por UND. Materiales: Collar De Derivacion De 3* 3/4`` (1 UND). Mano de obra: Auxiliar De Instalaciones 1 (0.17 hh), Oficial Instalaciones (0.17 hh). Equipo: Herrramienta Y Equipo Menor (5 %).</t>
  </si>
  <si>
    <t>2.04.45</t>
  </si>
  <si>
    <t>COLLAR PVC DE DERIVACIÓN DE 4"*1/2"</t>
  </si>
  <si>
    <t>Precio por UND. Materiales: Collar De Derivacion De 4* 1/2`` (1 UND). Mano de obra: Auxiliar De Instalaciones 1 (0.17 hh), Oficial Instalaciones (0.17 hh). Equipo: Herrramienta Y Equipo Menor (5 %).</t>
  </si>
  <si>
    <t>2.04.46</t>
  </si>
  <si>
    <t>COLLAR PVC DE DERIVACIÓN DE 4"*3/4"</t>
  </si>
  <si>
    <t>Precio por UND. Materiales: Collar De Derivacion De 4* 3/4`` (1 UND). Mano de obra: Auxiliar De Instalaciones 1 (0.17 hh), Oficial Instalaciones (0.17 hh). Equipo: Herrramienta Y Equipo Menor (5 %).</t>
  </si>
  <si>
    <t>2.04.47</t>
  </si>
  <si>
    <t>COLLAR PVC DE DERIVACIÓN DE 6"*1/2"</t>
  </si>
  <si>
    <t>Precio por UND. Materiales: Collar De Derivacion De 6* 1/2`` (1 UND). Mano de obra: Auxiliar De Instalaciones 1 (0.17 hh), Oficial Instalaciones (0.17 hh). Equipo: Herrramienta Y Equipo Menor (5 %).</t>
  </si>
  <si>
    <t>2.04.48</t>
  </si>
  <si>
    <t>COLLAR PVC DE DERIVACIÓN DE 6"*3/4"</t>
  </si>
  <si>
    <t>Precio por UND. Materiales: Collar De Derivacion De 6* 3/4`` (1 UND). Mano de obra: Auxiliar De Instalaciones 1 (0.17 hh), Oficial Instalaciones (0.17 hh). Equipo: Herrramienta Y Equipo Menor (5 %).</t>
  </si>
  <si>
    <t>2.04.49</t>
  </si>
  <si>
    <t>COLLAR PVC DE DERIVACIÓN DE 8" * 1"</t>
  </si>
  <si>
    <t>Precio por UND. Materiales: Collar De Derivacion De 8* 1`` (1 UND). Mano de obra: Auxiliar De Instalaciones 1 (0.17 hh), Oficial Instalaciones (0.17 hh). Equipo: Herrramienta Y Equipo Menor (5 %).</t>
  </si>
  <si>
    <t>2.04.50</t>
  </si>
  <si>
    <t>CONEXIONES DOMICILIARIAS PVC 1/2", INCLUYE CAJA Y MEDIDOR</t>
  </si>
  <si>
    <t>Precio por UND. Materiales: Accesorios (1 UND), Tubería Pf + Uad ½`` (3 ML), Caja Y Tapa En H.f. Marcada (1 UND), Collar De Derivación 3 X ½`` (1 UND) y 3 más. Mano de obra: Auxiliar De Obra 1 (0.17 jr), Oficial Obra 2 (0.15 jr). Equipo: Herrramienta Y Equipo Menor (7 %).</t>
  </si>
  <si>
    <t>2.04.51</t>
  </si>
  <si>
    <t>GRAVAS PARA LECHO FILTRANTE ( 16- 25 MM) DE CANTO RODADO.</t>
  </si>
  <si>
    <t>Precio por M3. Materiales: Gravas Para Lecho Filtrante  De Silice (1.05 M3). Mano de obra: Auxiliar De Obra 1 (0.3 jr), Oficial Obra 2 (0.1 jr). Equipo: Herrramienta Y Equipo Menor (5 %).</t>
  </si>
  <si>
    <t>2.04.52</t>
  </si>
  <si>
    <t>GRAVAS PARA LECHO FILTRANTE ( 3- 5 MM) DE CANTO RODADO.</t>
  </si>
  <si>
    <t>2.04.53</t>
  </si>
  <si>
    <t>GRAVAS PARA LECHO FILTRANTE ( 6- 15 MM) DE CANTO RODADO.</t>
  </si>
  <si>
    <t>2.04.54</t>
  </si>
  <si>
    <t>GRAVAS PARA LECHO FILTRANTE (1.3 - 4.5 MM) DE CANTO RODADO.</t>
  </si>
  <si>
    <t>2.04.55</t>
  </si>
  <si>
    <t>PUNTO ACOMETIDA 1/2"</t>
  </si>
  <si>
    <t>Precio por UND. Materiales: Tubería Pvc 1/2" Rde 13.5 (6 ML), Cinta Teflon 10 M 1/2" (3 rl), Codo 90° Presión 1/2" (4 UND), Limpiador 1/4 Pvc (0.04 gl) y 1 más. Mano de obra: Auxiliar De Instalaciones 1 (3.5 hh), Oficial Instalaciones (1.75 hh). Equipo: Herrramienta Y Equipo Menor (5 %).</t>
  </si>
  <si>
    <t>AM02 · OG06 · ES14 · NP01</t>
  </si>
  <si>
    <t>2.04.56</t>
  </si>
  <si>
    <t>PUNTO HIDRAULICO 1/2"</t>
  </si>
  <si>
    <t>Precio por UND. Materiales: Tubería Pvc 1/2" Rde 13.5 (3 ML), Cinta Teflon 10 M 1/2" (3 rl), Codo 90° Pvc-P 1/2" (4 UND), Limpiador 1/4 Pvc (0.04 gl) y 1 más. Mano de obra: Auxiliar De Instalaciones 1 (3.5 hh), Oficial Instalaciones (1.75 hh). Equipo: Herrramienta Y Equipo Menor (5 %).</t>
  </si>
  <si>
    <t>2.04.57</t>
  </si>
  <si>
    <t>PUNTO HIDRAULICO 3/4"</t>
  </si>
  <si>
    <t>Precio por UND. Materiales: Tubería Pvc 3/4" Rde 11 (5 ML), Cinta Teflon 10 M 1/2" (3 rl), Codo 90° Presión 3/4" (4 UND), Limpiador 1/4 Pvc (0.04 gl) y 1 más. Mano de obra: Auxiliar De Instalaciones 1 (3.5 hh), Oficial Instalaciones (1.75 hh). Equipo: Herrramienta Y Equipo Menor (5 %).</t>
  </si>
  <si>
    <t>2.04.58</t>
  </si>
  <si>
    <t>SUMINISTRO E INSTALACIÓN CAJAS PARA VÁLVULAS TIPO CHOROTE EN H.F.</t>
  </si>
  <si>
    <t>Precio por UND. Materiales: Cajas Para Válvulas Tipo Chorote En H.f. (1 UND). Mano de obra: Auxiliar De Obra 1 (0.13 jr), Oficial Obra 2 (0.13 jr). Equipo: Herrramienta Y Equipo Menor (5 %).</t>
  </si>
  <si>
    <t>2.04.59</t>
  </si>
  <si>
    <t>SUMINISTRO E INSTALACIÓN HIDRANTE TIPO MILLAN D = 3" BRIDA</t>
  </si>
  <si>
    <t>Precio por UND. Materiales: Hidrante Tipo Millan 3``, Extremo Brida (1 UND). Mano de obra: Auxiliar De Obra 1 (1 jr), Oficial Obra 2 (1 jr). Equipo: Herrramienta Y Equipo Menor (10 %).</t>
  </si>
  <si>
    <t>2.04.60</t>
  </si>
  <si>
    <t>SUMINISTRO E INSTALACIÓN HIDRANTE TIPO MILLAN D = 3" E.L</t>
  </si>
  <si>
    <t>Precio por UND. Materiales: Hidrante Tipo Millan 3``, Extremo Liso (1 UND). Mano de obra: Auxiliar De Obra 1 (1 jr), Oficial Obra 2 (1 jr). Equipo: Herrramienta Y Equipo Menor (10 %).</t>
  </si>
  <si>
    <t>2.04.61</t>
  </si>
  <si>
    <t>SUMINISTRO E INSTALACIÓN HIDRANTE TIPO MILLAN D = 4" BRIDA</t>
  </si>
  <si>
    <t>Precio por UND. Materiales: Hidrante Tipo Millan 4``, Extremo Brida (1 UND). Mano de obra: Auxiliar De Obra 1 (1 jr), Oficial Obra 2 (1 jr). Equipo: Herrramienta Y Equipo Menor (10 %).</t>
  </si>
  <si>
    <t>2.04.62</t>
  </si>
  <si>
    <t>SUMINISTRO E INSTALACIÓN HIDRANTE TIPO MILLAN D = 4" E.L</t>
  </si>
  <si>
    <t>Precio por UND. Materiales: Hidrante Tipo Millan 4``, Extremo Liso (1 UND). Mano de obra: Auxiliar De Obra 1 (1.1 jr), Oficial Obra 2 (1 jr). Equipo: Herrramienta Y Equipo Menor (10 %).</t>
  </si>
  <si>
    <t>2.04.63</t>
  </si>
  <si>
    <t>SUMINISTRO E INSTALACIÓN HIDRANTE TIPO MILLAN D = 6" BRIDA</t>
  </si>
  <si>
    <t>Precio por UND. Materiales: Hidrante Tipo Millan 6``, Extremo Brida (1 UND). Mano de obra: Auxiliar De Obra 1 (1 jr), Oficial Obra 2 (1 jr). Equipo: Herrramienta Y Equipo Menor (10 %).</t>
  </si>
  <si>
    <t>2.04.64</t>
  </si>
  <si>
    <t>SUMINISTRO E INSTALACIÓN HIDRANTE TIPO MILLAN D = 6" E.L</t>
  </si>
  <si>
    <t>Precio por UND. Materiales: Hidrante Tipo Millan 6``, Extremo Liso (1 UND). Mano de obra: Auxiliar De Obra 1 (1 jr), Oficial Obra 2 (1 jr). Equipo: Herrramienta Y Equipo Menor (10 %).</t>
  </si>
  <si>
    <t>2.04.65</t>
  </si>
  <si>
    <t>SUMINISTRO E INSTALACIÓN REGISTRO DE BOLA D = 1 1/2" TIPO LIVIANO</t>
  </si>
  <si>
    <t>Precio por UND. Materiales: Limpiador Y Soldadura (1 glb), Registro De Bola 1½``, Tipo Liviano (1 UND). Mano de obra: Auxiliar De Obra 1 (0.1 jr), Oficial Obra 2 (0.1 jr). Equipo: Herrramienta Y Equipo Menor (6.6 %).</t>
  </si>
  <si>
    <t>2.04.66</t>
  </si>
  <si>
    <t>SUMINISTRO E INSTALACIÓN REGISTRO DE BOLA D = 1/2" TIPO LIVIANO</t>
  </si>
  <si>
    <t>Precio por UND. Materiales: Limpiador 1/4 Pvc (0 gl), Registro De Bola ½``, Tipo Liviano (1 UND), Soldadura Liquida Pvc 1/4`` (0 gl). Mano de obra: Auxiliar De Obra 1 (0.04 jr), Oficial Obra 2 (0.04 jr). Equipo: Herrramienta Y Equipo Menor (6.6 %).</t>
  </si>
  <si>
    <t>2.04.67</t>
  </si>
  <si>
    <t>SUMINISTRO E INSTALACIÓN REGISTRO DE BOLA D = 2 1/2" TIPO PESADO</t>
  </si>
  <si>
    <t>Precio por UND. Materiales: Limpiador Y Soldadura (1 glb), Registro De Bola 2½``, Tipo Pesado (1 UND). Mano de obra: Auxiliar De Obra 1 (0.2 jr), Oficial Obra 2 (0.1 jr). Equipo: Herrramienta Y Equipo Menor (6.6 %).</t>
  </si>
  <si>
    <t>2.04.68</t>
  </si>
  <si>
    <t>SUMINISTRO E INSTALACIÓN REGISTRO DE BOLA D = 2" TIPO PESADO</t>
  </si>
  <si>
    <t>Precio por UND. Materiales: Limpiador Y Soldadura (1 glb), Registro De Bola 2``, Tipo Pesado (1 UND). Mano de obra: Auxiliar De Obra 1 (0.2 jr), Oficial Obra 2 (0.1 jr). Equipo: Herrramienta Y Equipo Menor (6.6 %).</t>
  </si>
  <si>
    <t>2.04.69</t>
  </si>
  <si>
    <t>SUMINISTRO E INSTALACIÓN REGISTRO DE BOLA D = 3/4" TIPO LIVIANO</t>
  </si>
  <si>
    <t>Precio por UND. Materiales: Limpiador 1/4 Pvc (0 gl), Registro De Bola 3/4``, Tipo Liviano (1 UND), Soldadura Liquida Pvc 1/4`` (0 gl). Mano de obra: Auxiliar De Obra 1 (0.05 jr), Oficial Obra 2 (0.05 jr). Equipo: Herrramienta Y Equipo Menor (6.6 %).</t>
  </si>
  <si>
    <t>2.04.70</t>
  </si>
  <si>
    <t>SUMINISTRO E INSTALACIÓN REGISTRO DE BOLA D = 4" TIPO PESADO</t>
  </si>
  <si>
    <t>Precio por UND. Materiales: Limpiador Y Soldadura (1 glb), Registro De Bola 4``, Tipo Pesado (1 UND). Mano de obra: Auxiliar De Obra 1 (0.2 jr), Oficial Obra 2 (0.1 jr). Equipo: Herrramienta Y Equipo Menor (6.6 %).</t>
  </si>
  <si>
    <t>2.04.71</t>
  </si>
  <si>
    <t>SUMINISTRO E INSTALACIÓN REGISTRO DE BOLA D =2" TIPO LIVIANO</t>
  </si>
  <si>
    <t>Precio por UND. Materiales: Limpiador Y Soldadura (1 glb), Registro De Bola 2``, Tipo Liviano (1 UND). Mano de obra: Auxiliar De Obra 1 (0.4 jr), Oficial Obra 2 (0.2 jr). Equipo: Herrramienta Y Equipo Menor (6.6 %).</t>
  </si>
  <si>
    <t>2.04.72</t>
  </si>
  <si>
    <t>SUMINISTRO E INSTALACION TEE PRESION PVC D=1"</t>
  </si>
  <si>
    <t>Precio por UND. Materiales: Tee Pvc Presion 1`` (1 UND), Limpiador 1/4 Pvc (0 gl), Soldadura Liquida Pvc 1/4`` (0 gl). Mano de obra: Auxiliar De Instalaciones 1 (0.05 hh), Oficial Instalaciones (0.05 hh). Equipo: Herrramienta Y Equipo Menor (10 %).</t>
  </si>
  <si>
    <t>2.04.73</t>
  </si>
  <si>
    <t>SUMINISTRO E INSTALACION TEE PRESION PVC D=1 1/4"</t>
  </si>
  <si>
    <t>Precio por UND. Materiales: Tee Pvc Presion 1 1/4`` (1 UND), Limpiador 1/4 Pvc (0 gl), Soldadura Liquida Pvc 1/4`` (0 gl). Mano de obra: Auxiliar De Instalaciones 1 (0.06 hh), Oficial Instalaciones (0.06 hh). Equipo: Herrramienta Y Equipo Menor (5 %).</t>
  </si>
  <si>
    <t>2.04.74</t>
  </si>
  <si>
    <t>SUMINISTRO E INSTALACION TEE PRESION PVC D=1 1/2"</t>
  </si>
  <si>
    <t>Precio por UND. Materiales: Tee Pvc Presion 1 1/2`` (1 UND), Limpiador 1/4 Pvc (0.01 gl), Soldadura Liquida Pvc 1/4`` (0.01 gl). Mano de obra: Auxiliar De Instalaciones 1 (0.1 hh), Oficial Instalaciones (0.1 hh). Equipo: Herrramienta Y Equipo Menor (11 %).</t>
  </si>
  <si>
    <t>2.04.75</t>
  </si>
  <si>
    <t>SUMINISTRO E INSTALACION TEE PRESION PVC D=1/2"</t>
  </si>
  <si>
    <t>Precio por UND. Materiales: Tee Pvc Presion 1/2`` (1 UND), Limpiador 1/4 Pvc (0 gl), Soldadura Liquida Pvc 1/4`` (0 gl). Mano de obra: Auxiliar De Instalaciones 1 (0.01 hh), Oficial Instalaciones (0.01 hh). Equipo: Herrramienta Y Equipo Menor (5 %).</t>
  </si>
  <si>
    <t>2.04.76</t>
  </si>
  <si>
    <t>SUMINISTRO E INSTALACION TEE PRESION PVC D=2"</t>
  </si>
  <si>
    <t>Precio por UND. Materiales: Tee Pvc Presion 2`` (1 UND), Limpiador 1/4 Pvc (0 gl), Soldadura Liquida Pvc 1/4`` (0 gl). Mano de obra: Auxiliar De Instalaciones 1 (0.05 hh), Oficial Instalaciones (0.05 hh). Equipo: Herrramienta Y Equipo Menor (10 %).</t>
  </si>
  <si>
    <t>2.04.77</t>
  </si>
  <si>
    <t>SUMINISTRO E INSTALACION TEE PRESION PVC D=3"</t>
  </si>
  <si>
    <t>Precio por UND. Materiales: Tee Pvc Presion 3`` (1 UND), Limpiador 1/4 Pvc (0 gl), Soldadura Liquida Pvc 1/4`` (0 gl). Mano de obra: Auxiliar De Instalaciones 1 (0.08 hh), Oficial Instalaciones (0.08 hh). Equipo: Herrramienta Y Equipo Menor (10 %).</t>
  </si>
  <si>
    <t>2.04.78</t>
  </si>
  <si>
    <t>SUMINISTRO E INSTALACION TEE PRESION PVC D=3/4"</t>
  </si>
  <si>
    <t>Precio por UND. Materiales: Tee Pvc Presion 3/4`` (1 UND), Limpiador 1/4 Pvc (0 gl), Soldadura Liquida Pvc 1/4`` (0 gl). Mano de obra: Auxiliar De Instalaciones 1 (0.06 hh), Oficial Instalaciones (0.06 hh). Equipo: Herrramienta Y Equipo Menor (5 %).</t>
  </si>
  <si>
    <t>2.04.79</t>
  </si>
  <si>
    <t>SUMINISTRO E INSTALACION TEE PRESION PVC D=4"</t>
  </si>
  <si>
    <t>Precio por UND. Materiales: Tee Pvc Presion 4`` (1 UND), Limpiador 1/4 Pvc (0 gl), Soldadura Liquida Pvc 1/4`` (0 gl). Mano de obra: Auxiliar De Instalaciones 1 (0.1 hh), Oficial Instalaciones (0.1 hh). Equipo: Herrramienta Y Equipo Menor (10 %).</t>
  </si>
  <si>
    <t>2.04.80</t>
  </si>
  <si>
    <t>SUMINISTRO E INSTALACION TEE PRESION PVC REDUCCION D=1" x 1/2"</t>
  </si>
  <si>
    <t>Precio por UND. Materiales: Tee Pvc Presion Reducida 1`` X 1/2`` (1 UND), Limpiador 1/4 Pvc (0 gl), Soldadura Liquida Pvc 1/4`` (0 gl). Mano de obra: Auxiliar De Instalaciones 1 (0.05 hh), Oficial Instalaciones (0.05 hh). Equipo: Herrramienta Y Equipo Menor (5 %).</t>
  </si>
  <si>
    <t>2.04.81</t>
  </si>
  <si>
    <t>SUMINISTRO E INSTALACION TEE PRESION PVC REDUCCION D=1" x 3/4"</t>
  </si>
  <si>
    <t>Precio por UND. Materiales: Tee Pvc Presion Reducida 1`` X 3/4`` (1 UND), Limpiador 1/4 Pvc (0 gl), Soldadura Liquida Pvc 1/4`` (0 gl). Mano de obra: Auxiliar De Instalaciones 1 (0.03 hh), Oficial Instalaciones (0.03 hh). Equipo: Herrramienta Y Equipo Menor (10 %).</t>
  </si>
  <si>
    <t>2.04.82</t>
  </si>
  <si>
    <t>SUMINISTRO E INSTALACION TEE PRESION PVC REDUCCION D=3/4" x 1/2"</t>
  </si>
  <si>
    <t>Precio por UND. Materiales: Tee Pvc Presion Reducida 3/4`` X 1/2`` (1 UND), Limpiador 1/4 Pvc (0 gl), Soldadura Liquida Pvc 1/4`` (0 gl). Mano de obra: Auxiliar De Instalaciones 1 (0.03 hh), Oficial Instalaciones (0.03 hh). Equipo: Herrramienta Y Equipo Menor (10 %).</t>
  </si>
  <si>
    <t>2.04.83</t>
  </si>
  <si>
    <t>SUMINISTRO E INSTALACION TEE PVC UM D= 3"x2"x2 1/2"</t>
  </si>
  <si>
    <t>Precio por UND. Materiales: Tee Pvc Presion Union Platino 3`` X 2`` X 2 1/2`` (1 UND), Lubricante Tub Pvc/500gr (0.05 UND). Mano de obra: Auxiliar De Instalaciones 1 (0.15 hh), Oficial Instalaciones (0.15 hh). Equipo: Herrramienta Y Equipo Menor (10 %).</t>
  </si>
  <si>
    <t>2.04.84</t>
  </si>
  <si>
    <t>SUMINISTRO E INSTALACION TEE PVC UM D= 3"x2"x2"</t>
  </si>
  <si>
    <t>Precio por UND. Materiales: Tee Pvc Presion Union Platino 3`` X 2`` X 2`` (1 UND), Lubricante Tub Pvc/500gr (0.05 UND). Mano de obra: Auxiliar De Instalaciones 1 (0.15 hh), Oficial Instalaciones (0.15 hh). Equipo: Herrramienta Y Equipo Menor (10 %).</t>
  </si>
  <si>
    <t>2.04.85</t>
  </si>
  <si>
    <t>SUMINISTRO E INSTALACION TEE PVC UM D= 3"x2"x3"</t>
  </si>
  <si>
    <t>Precio por UND. Materiales: Tee Pvc Presion Union Platino 3`` X 2`` X 3`` (1 UND), Lubricante Tub Pvc/500gr (0.05 UND). Mano de obra: Auxiliar De Instalaciones 1 (0.15 hh), Oficial Instalaciones (0.15 hh). Equipo: Herrramienta Y Equipo Menor (10 %).</t>
  </si>
  <si>
    <t>2.04.86</t>
  </si>
  <si>
    <t>SUMINISTRO E INSTALACION TEE PVC UM D= 4"x2"x3"</t>
  </si>
  <si>
    <t>Precio por UND. Materiales: Tee Pvc Presion Union Platino 4`` X 2`` X 3`` (1 UND), Lubricante Tub Pvc/500gr (0.06 UND). Mano de obra: Auxiliar De Instalaciones 1 (0.15 hh), Oficial Instalaciones (0.15 hh). Equipo: Herrramienta Y Equipo Menor (10 %).</t>
  </si>
  <si>
    <t>2.04.87</t>
  </si>
  <si>
    <t>SUMINISTRO E INSTALACION TEE PVC UM D= 4"x2"x4"</t>
  </si>
  <si>
    <t>Precio por UND. Materiales: Tee Pvc Presion Union Platino 4`` X 2`` X 4`` (1 UND), Lubricante Tub Pvc/500gr (0.06 UND). Mano de obra: Auxiliar De Instalaciones 1 (0.15 hh), Oficial Instalaciones (0.15 hh). Equipo: Herrramienta Y Equipo Menor (10 %).</t>
  </si>
  <si>
    <t>2.04.88</t>
  </si>
  <si>
    <t>SUMINISTRO E INSTALACION TEE PVC UM D=2 1/2"x2"x2"</t>
  </si>
  <si>
    <t>Precio por UND. Materiales: Tee Pvc Presion Union Platino 2 1/2`` X 2`` X 2`` (1 UND), Lubricante Tub Pvc/500gr (0.05 UND). Mano de obra: Auxiliar De Instalaciones 1 (0.15 hh), Oficial Instalaciones (0.15 hh). Equipo: Herrramienta Y Equipo Menor (10 %).</t>
  </si>
  <si>
    <t>2.04.89</t>
  </si>
  <si>
    <t>SUMINISTRO E INSTALACION TEE PVC UM D=2"x2"x2"</t>
  </si>
  <si>
    <t>Precio por UND. Materiales: Tee Pvc Presion Union Platino 2`` X 2`` X 2`` (1 UND), Lubricante Tub Pvc/500gr (0.06 UND). Mano de obra: Auxiliar De Instalaciones 1 (0.15 hh), Oficial Instalaciones (0.15 hh). Equipo: Herrramienta Y Equipo Menor (10 %).</t>
  </si>
  <si>
    <t>2.04.90</t>
  </si>
  <si>
    <t>UNION PVC MECANICA D = 2 1/2"</t>
  </si>
  <si>
    <t>Precio por UND. Materiales: Union Platino D = 2 1/2`` (1 UND), Lubricante Tub Pvc/500gr (0.01 UND). Mano de obra: Auxiliar De Instalaciones 1 (0.4 hh), Oficial Instalaciones (0.4 hh). Equipo: Herrramienta Y Equipo Menor (8 %).</t>
  </si>
  <si>
    <t>2.04.91</t>
  </si>
  <si>
    <t>UNION PVC MECANICA D = 2"</t>
  </si>
  <si>
    <t>Precio por UND. Materiales: Union Platino D = 2 `` (1 UND), Lubricante Tub Pvc/500gr (0.01 UND). Mano de obra: Auxiliar De Instalaciones 1 (0.4 hh), Oficial Instalaciones (0.4 hh). Equipo: Herrramienta Y Equipo Menor (5 %).</t>
  </si>
  <si>
    <t>2.04.92</t>
  </si>
  <si>
    <t>UNION PVC MECANICA D = 10"</t>
  </si>
  <si>
    <t>Precio por UND. Materiales: Union Platino D = 10`` (1 UND), Lubricante Tub Pvc/500gr (0.01 UND). Mano de obra: Auxiliar De Instalaciones 1 (0.5 hh), Oficial Instalaciones (0.5 hh). Equipo: Herrramienta Y Equipo Menor (10 %).</t>
  </si>
  <si>
    <t>2.04.93</t>
  </si>
  <si>
    <t>UNION PVC MECANICA D = 12"</t>
  </si>
  <si>
    <t>Precio por UND. Materiales: Union Platino D = 12`` (1 UND), Lubricante Tub Pvc/500gr (0.01 UND). Mano de obra: Auxiliar De Instalaciones 1 (0.5 hh), Oficial Instalaciones (0.5 hh). Equipo: Herrramienta Y Equipo Menor (10 %).</t>
  </si>
  <si>
    <t>2.04.94</t>
  </si>
  <si>
    <t>UNION PVC MECANICA D = 3"</t>
  </si>
  <si>
    <t>Precio por UND. Materiales: Union Platino D = 3`` (1 UND), Lubricante Tub Pvc/500gr (0.01 UND). Mano de obra: Auxiliar De Instalaciones 1 (0.5 hh), Oficial Instalaciones (0.5 hh). Equipo: Herrramienta Y Equipo Menor (10 %).</t>
  </si>
  <si>
    <t>2.04.95</t>
  </si>
  <si>
    <t>UNION PVC MECANICA D = 4"</t>
  </si>
  <si>
    <t>Precio por UND. Materiales: Union Platino D = 4`` (1 UND), Lubricante Tub Pvc/500gr (0.01 UND). Mano de obra: Auxiliar De Instalaciones 1 (0.5 hh), Oficial Instalaciones (0.5 hh). Equipo: Herrramienta Y Equipo Menor (10 %).</t>
  </si>
  <si>
    <t>2.04.96</t>
  </si>
  <si>
    <t>UNION PVC MECANICA D = 6"</t>
  </si>
  <si>
    <t>Precio por UND. Materiales: Union Platino D = 6`` (1 UND), Lubricante Tub Pvc/500gr (0.01 UND). Mano de obra: Auxiliar De Instalaciones 1 (0.5 hh), Oficial Instalaciones (0.5 hh). Equipo: Herrramienta Y Equipo Menor (10 %).</t>
  </si>
  <si>
    <t>2.04.97</t>
  </si>
  <si>
    <t>UNION PVC MECANICA D = 8"</t>
  </si>
  <si>
    <t>Precio por UND. Materiales: Union Platino D = 8`` (1 UND), Lubricante Tub Pvc/500gr (0.01 UND). Mano de obra: Auxiliar De Instalaciones 1 (0.5 hh), Oficial Instalaciones (0.5 hh). Equipo: Herrramienta Y Equipo Menor (10 %).</t>
  </si>
  <si>
    <t>2.05.01</t>
  </si>
  <si>
    <t>TUBERIA SANITARIA PVC - ALCANTARILLADO Y DESAGÜE</t>
  </si>
  <si>
    <t>ARO - TAPA EN HF - TIPO LIVIANO</t>
  </si>
  <si>
    <t>Precio por UND. Materiales: Aro - Tapa En Hf - Tipo Liviano (1 UND).</t>
  </si>
  <si>
    <t>AM02 · OG06 · ES18 · NP01</t>
  </si>
  <si>
    <t>2.05.02</t>
  </si>
  <si>
    <t>BASE Y CAÑUELA, CONCRETO 17.5 MPa - (2500 PSI)</t>
  </si>
  <si>
    <t>Precio por M3. Materiales: Concreto 1:2:4 17.5 Mpa (1 M3). Mano de obra: Auxiliar De Obra 2 (7 hh), Oficial Obra 1 (7 hh). Equipo: Herrramienta Y Equipo Menor (0.3 %).</t>
  </si>
  <si>
    <t>2.05.03</t>
  </si>
  <si>
    <t>POZO DE INSPECCIÓN, DIAMETRO INTERIOR 1.0m H &lt;1.0m</t>
  </si>
  <si>
    <t>Precio por UND. Materiales: Suministro E Instalacion De Concreto Simple De 17.5 Mpa  Para Elevaciones (0.26 M3), Aro - Tapa En Hf - Tipo Liviano (1 UND), Mampostería Ladrillo Tolete Comun E=0.25 M (3.1 M2), Pasos Uña De Gato D=5/8" (3 UND). Mano de obra: Auxiliar De Obra 1 (1.33 jr), Oficial Obra 2 (1.33 jr). Equipo: Herrramienta Y Equipo Menor (6.8 %).</t>
  </si>
  <si>
    <t>2.05.04</t>
  </si>
  <si>
    <t>POZO DE INSPECCIÓN, DIÁMETRO INTERIOR 1.2 M , 2.0 &lt; H &lt; 2.5</t>
  </si>
  <si>
    <t>Precio por UND. Materiales: Aro - Tapa En Hf - Tipo Liviano (1 UND), Mampostería Ladrillo Tolete Comun E=0.25 M (9.5 M2), Pasos Uña De Gato D=5/8" (5 UND), Suministro E Instalacion De Concreto Simple De 17.5 Mpa  Para Bases (0.35 M3). Mano de obra: Auxiliar De Obra 1 (2.5 jr), Oficial Obra 2 (2.5 jr). Equipo: Herrramienta Y Equipo Menor (6.8 %).</t>
  </si>
  <si>
    <t>2.05.05</t>
  </si>
  <si>
    <t>POZO DE INSPECCIÓN, DIÁMETRO INTERIOR 1.2 M, 1.50 &lt; H &lt; 2.00</t>
  </si>
  <si>
    <t>Precio por UND. Materiales: Aro - Tapa En Hf - Tipo Liviano (1 UND), Mampostería Ladrillo Tolete Comun E=0.25 M (5.7 M2), Pasos Uña De Gato D=5/8" (5 UND), Suministro E Instalacion De Concreto Simple De 17.5 Mpa  Para Bases (0.35 M3). Mano de obra: Auxiliar De Obra 1 (2.5 jr), Oficial Obra 2 (2.5 jr). Equipo: Herrramienta Y Equipo Menor (6.8 %).</t>
  </si>
  <si>
    <t>2.05.06</t>
  </si>
  <si>
    <t>POZO DE INSPECCIÓN, DIAMETRO INTERIOR 1.2m, 1.0&lt; H &lt;1.5m</t>
  </si>
  <si>
    <t>Precio por UND. Materiales: Aro - Tapa En Hf - Tipo Liviano (1 UND), Mampostería Ladrillo Tolete Comun E=0.25 M (3.1 M2), Pasos Uña De Gato D=5/8" (3 UND), Suministro E Instalacion De Concreto Simple De 17.5 Mpa  Para Bases (0.35 M3). Mano de obra: Auxiliar De Obra 1 (1.5 jr), Oficial Obra 2 (1.5 jr). Equipo: Herrramienta Y Equipo Menor (6.8 %).</t>
  </si>
  <si>
    <t>2.05.07</t>
  </si>
  <si>
    <t>POZO DE INSPECCIÓN, DIÁMETRO INTERIOR 1.5 M, 2.5 &lt; H &lt; 3.5</t>
  </si>
  <si>
    <t>Precio por UND. Materiales: Suministro E Instalacion De Concreto Simple De 17.5 Mpa  Para Elevaciones (0.5 M3), Aro - Tapa En Hf - Tipo Liviano (1 UND), Mampostería Ladrillo Tolete Comun E=0.25 M (16.9 M2), Pasos Uña De Gato D=5/8" (11 UND). Mano de obra: Auxiliar De Obra 1 (2.5 jr), Oficial Obra 2 (2.5 jr). Equipo: Herrramienta Y Equipo Menor (6.6 %).</t>
  </si>
  <si>
    <t>2.05.08</t>
  </si>
  <si>
    <t>PUNTO DE DESAGUES D=2"</t>
  </si>
  <si>
    <t>Precio por UND. Materiales: Codo Pvc 90° 2" Sanit (2 UND), Codo Pvc 45° 2" Sanit (2 UND), Tubería Pvc 2" Sanit (1.2 ML), Limpiador 1/4 Pvc (0.1 gl) y 1 más. Mano de obra: Auxiliar De Instalaciones 1 (0.4 hh), Oficial Instalaciones (0.4 hh). Equipo: Herrramienta Y Equipo Menor (5 %).</t>
  </si>
  <si>
    <t>2.05.09</t>
  </si>
  <si>
    <t>PUNTO DE DESAGUES PVC 3" Y 4"</t>
  </si>
  <si>
    <t>Precio por UND. Materiales: Tubería Pvc 3`` Sanit (1 ML), Tubería Pvc 4`` Sanit (0.5 ML), Codo C X C 90° Pvc-S 3" (3 UND), Codo Pvc 90° 4" Sanit (2 UND) y 2 más. Mano de obra: Auxiliar De Instalaciones 1 (0.4 hh), Oficial Instalaciones (0.4 hh). Equipo: Herrramienta Y Equipo Menor (5 %).</t>
  </si>
  <si>
    <t>2.05.10</t>
  </si>
  <si>
    <t>SUMINISTRO E INSTALACION ADAPTADOR DE LIMPIEZA PVC SANITARIA D=2"</t>
  </si>
  <si>
    <t>Precio por UND. Materiales: Adaptador De Limpieza Pvc Sanitario 2" (1 UND), Limpiador 1/4 Pvc (0 gl), Soldadura Liquida Pvc 1/4`` (0 gl). Mano de obra: Auxiliar De Instalaciones 1 (0.02 hh), Oficial Instalaciones (0.02 hh). Equipo: Herrramienta Y Equipo Menor (3.4 %).</t>
  </si>
  <si>
    <t>AM02 · OG06 · ES01 · NP02</t>
  </si>
  <si>
    <t>2.05.11</t>
  </si>
  <si>
    <t>SUMINISTRO E INSTALACION ADAPTADOR DE LIMPIEZA PVC SANITARIA D=3"</t>
  </si>
  <si>
    <t>Precio por UND. Materiales: Adaptador De Limpieza Pvc Sanitario 3" (1 UND), Limpiador 1/4 Pvc (0.02 gl), Soldadura Liquida Pvc 1/4`` (0.02 gl). Mano de obra: Auxiliar De Instalaciones 1 (0.02 hh), Oficial Instalaciones (0.02 hh). Equipo: Herrramienta Y Equipo Menor (3.4 %).</t>
  </si>
  <si>
    <t>2.05.12</t>
  </si>
  <si>
    <t>SUMINISTRO E INSTALACION ADAPTADOR DE LIMPIEZA PVC SANITARIA D=4"</t>
  </si>
  <si>
    <t>Precio por UND. Materiales: Adaptador De Limpieza Pvc Sanitario 4" (1 UND), Limpiador 1/4 Pvc (0.03 gl), Soldadura Liquida Pvc 1/4`` (0.03 gl). Mano de obra: Auxiliar De Instalaciones 1 (0.02 hh), Oficial Instalaciones (0.02 hh). Equipo: Herrramienta Y Equipo Menor (3.4 %).</t>
  </si>
  <si>
    <t>2.05.13</t>
  </si>
  <si>
    <t>SUMINISTRO E INSTALACION ADAPTADOR DE LIMPIEZA PVC SANITARIA D=6"</t>
  </si>
  <si>
    <t>Precio por UND. Materiales: Adaptador De Limpieza Pvc Sanitario 6`` (1 UND), Limpiador 1/4 Pvc (0.04 gl), Soldadura Liquida Pvc 1/4`` (0.04 gl). Mano de obra: Auxiliar De Instalaciones 1 (0.05 hh), Oficial Instalaciones (0.05 hh). Equipo: Herrramienta Y Equipo Menor (3.4 %).</t>
  </si>
  <si>
    <t>2.05.14</t>
  </si>
  <si>
    <t>SUMINISTRO E INSTALACIÓN CAMARA DE INSPECCIÓN 1000mm 90° POLIETILENO DN=200mm</t>
  </si>
  <si>
    <t>Precio por UND. Materiales: Base Camara De Inspección 1000mm 90° Polietileno Dn=200mm (1 UND). Mano de obra: Auxiliar De Instalaciones 1 (3 hh), Oficial Instalaciones (1.5 hh). Equipo: Herrramienta Y Equipo Menor (10 %).</t>
  </si>
  <si>
    <t>2.05.15</t>
  </si>
  <si>
    <t>SUMINISTRO E INSTALACIÓN CAMARA DE INSPECCIÓN 1000mm 90° POLIETILENO DN=250mm</t>
  </si>
  <si>
    <t>Precio por UND. Materiales: Base Camara De Inspección 1000mm 90° Polietileno Dn=250mm (1 UND). Mano de obra: Auxiliar De Instalaciones 1 (3 hh), Oficial Instalaciones (1.5 hh). Equipo: Herrramienta Y Equipo Menor (10 %).</t>
  </si>
  <si>
    <t>2.05.16</t>
  </si>
  <si>
    <t>SUMINISTRO E INSTALACIÓN CAMARA DE INSPECCIÓN 1000mm 90° POLIETILENO DN=315mm</t>
  </si>
  <si>
    <t>Precio por UND. Materiales: Base Camara De Inspección 1000mm 90° Polietileno Dn=315mm (1 UND). Mano de obra: Auxiliar De Instalaciones 1 (3 hh), Oficial Instalaciones (1.5 hh). Equipo: Herrramienta Y Equipo Menor (10 %).</t>
  </si>
  <si>
    <t>2.05.17</t>
  </si>
  <si>
    <t>SUMINISTRO E INSTALACIÓN CAMARA DE INSPECCIÓN 1000mm BASE RECTA POLIETILENO DN=200mm</t>
  </si>
  <si>
    <t>Precio por UND. Materiales: Base Camara De Inspeccion 1000mm Recta Polietileno Dn=200mm (1 UND). Mano de obra: Auxiliar De Instalaciones 1 (3 hh), Oficial Instalaciones (1.5 hh). Equipo: Herrramienta Y Equipo Menor (10 %).</t>
  </si>
  <si>
    <t>2.05.18</t>
  </si>
  <si>
    <t>SUMINISTRO E INSTALACIÓN CAMARA DE INSPECCIÓN 1000mm BASE RECTA POLIETILENO DN=250mm</t>
  </si>
  <si>
    <t>Precio por UND. Materiales: Base Camara De Inspeccion 1000mm Recta Polietileno Dn=250mm (1 UND). Mano de obra: Auxiliar De Instalaciones 1 (3 hh), Oficial Instalaciones (1.5 hh). Equipo: Herrramienta Y Equipo Menor (10 %).</t>
  </si>
  <si>
    <t>2.05.19</t>
  </si>
  <si>
    <t>SUMINISTRO E INSTALACIÓN CAMARA DE INSPECCIÓN 1000mm BASE RECTA POLIETILENO DN=315mm</t>
  </si>
  <si>
    <t>Precio por UND. Materiales: Base Camara De Inspeccion 1000mm Recta Polietileno Dn=315mm (1 UND). Mano de obra: Auxiliar De Instalaciones 1 (3 hh), Oficial Instalaciones (1.5 hh). Equipo: Herrramienta Y Equipo Menor (10 %).</t>
  </si>
  <si>
    <t>2.05.20</t>
  </si>
  <si>
    <t>SUMINISTRO E INSTALACIÓN CAMARA DE INSPECCIÓN 1000mm DOBLE TEE POLIETILENO DN=200mm</t>
  </si>
  <si>
    <t>Precio por UND. Materiales: Base Camara De Inspección 1000mm Doble Tee Polietileno Dn=200mm (1 UND). Mano de obra: Auxiliar De Instalaciones 1 (3 hh), Oficial Instalaciones (1.5 hh). Equipo: Herrramienta Y Equipo Menor (10 %).</t>
  </si>
  <si>
    <t>2.05.21</t>
  </si>
  <si>
    <t>SUMINISTRO E INSTALACIÓN CAMARA DE INSPECCIÓN 1000mm DOBLE TEE POLIETILENO DN=250mm</t>
  </si>
  <si>
    <t>Precio por UND. Materiales: Base Camara De Inspección 1000mm Doble Tee Polietileno Dn=250mm (1 UND). Mano de obra: Auxiliar De Instalaciones 1 (3 hh), Oficial Instalaciones (1.5 hh). Equipo: Herrramienta Y Equipo Menor (10 %).</t>
  </si>
  <si>
    <t>2.05.22</t>
  </si>
  <si>
    <t>SUMINISTRO E INSTALACIÓN CAMARA DE INSPECCIÓN 1000mm DOBLE TEE POLIETILENO DN=315mm</t>
  </si>
  <si>
    <t>Precio por UND. Materiales: Base Camara De Inspección 1000mm Doble Tee Polietileno Dn=315mm (1 UND). Mano de obra: Auxiliar De Instalaciones 1 (3 hh), Oficial Instalaciones (1.5 hh). Equipo: Herrramienta Y Equipo Menor (10 %).</t>
  </si>
  <si>
    <t>2.05.23</t>
  </si>
  <si>
    <t>SUMINISTRO E INSTALACIÓN CAMARA DE INSPECCIÓN 1000mm INICIAL POLIETILENO DN=200mm</t>
  </si>
  <si>
    <t>Precio por UND. Materiales: Base Camara De Inspeccion 1000mm Inicial Polietileno Dn=200mm (1 UND). Mano de obra: Auxiliar De Instalaciones 1 (3 hh), Oficial Instalaciones (1.5 hh). Equipo: Herrramienta Y Equipo Menor (10 %).</t>
  </si>
  <si>
    <t>2.05.24</t>
  </si>
  <si>
    <t>SUMINISTRO E INSTALACIÓN CAMARA DE INSPECCIÓN 1000mm INICIAL POLIETILENO DN=250mm</t>
  </si>
  <si>
    <t>Precio por UND. Materiales: Base Camara De Inspeccion 1000mm Inicial Polietileno Dn=250mm (1 UND). Mano de obra: Auxiliar De Instalaciones 1 (3 hh), Oficial Instalaciones (1.5 hh). Equipo: Herrramienta Y Equipo Menor (10 %).</t>
  </si>
  <si>
    <t>2.05.25</t>
  </si>
  <si>
    <t>SUMINISTRO E INSTALACIÓN CAMARA DE INSPECCIÓN 1000mm INICIAL POLIETILENO DN=315mm</t>
  </si>
  <si>
    <t>Precio por UND. Materiales: Base Camara De Inspeccion 1000mm Inicial Polietileno Dn=315mm (1 UND). Mano de obra: Auxiliar De Instalaciones 1 (3 hh), Oficial Instalaciones (1.5 hh). Equipo: Herrramienta Y Equipo Menor (10 %).</t>
  </si>
  <si>
    <t>2.05.26</t>
  </si>
  <si>
    <t>SUMINISTRO E INSTALACIÓN CAMARA DE INSPECCIÓN 1000mm TEE POLIETILENO DN=200mm</t>
  </si>
  <si>
    <t>Precio por UND. Materiales: Base Camara De Inspección 1000mm Tee Polietileno Dn=200mm (1 UND). Mano de obra: Auxiliar De Instalaciones 1 (3 hh), Oficial Instalaciones (1.5 hh). Equipo: Herrramienta Y Equipo Menor (10 %).</t>
  </si>
  <si>
    <t>2.05.27</t>
  </si>
  <si>
    <t>SUMINISTRO E INSTALACIÓN CAMARA DE INSPECCIÓN 1000mm TEE POLIETILENO DN=250mm</t>
  </si>
  <si>
    <t>Precio por UND. Materiales: Base Camara De Inspección 1000mm Tee Polietileno Dn=250mm (1 UND). Mano de obra: Auxiliar De Instalaciones 1 (3 hh), Oficial Instalaciones (1.5 hh). Equipo: Herrramienta Y Equipo Menor (10 %).</t>
  </si>
  <si>
    <t>2.05.28</t>
  </si>
  <si>
    <t>SUMINISTRO E INSTALACIÓN CAMARA DE INSPECCIÓN 1000mm TEE POLIETILENO DN=315mm</t>
  </si>
  <si>
    <t>Precio por UND. Materiales: Base Camara De Inspección 1000mm Tee Polietileno Dn=315mm (1 UND). Mano de obra: Auxiliar De Instalaciones 1 (3 hh), Oficial Instalaciones (1.5 hh). Equipo: Herrramienta Y Equipo Menor (10 %).</t>
  </si>
  <si>
    <t>2.05.29</t>
  </si>
  <si>
    <t>2.05.30</t>
  </si>
  <si>
    <t>SUMINISTRO E INSTALACION CODO PVC SANITARIO D=10"</t>
  </si>
  <si>
    <t>Precio por UND. Materiales: Codo Pvc 90° 1/4`` C X C Sanitario D=10`` (1 UND), Limpiador 1/4 Pvc (0 gl), Soldadura Liquida Pvc 1/4`` (0 gl). Mano de obra: Auxiliar De Instalaciones 1 (0.05 hh), Oficial Instalaciones (0.05 hh). Equipo: Herrramienta Y Equipo Menor (3.4 %).</t>
  </si>
  <si>
    <t>2.05.31</t>
  </si>
  <si>
    <t>SUMINISTRO E INSTALACION CODO PVC SANITARIO D=2"</t>
  </si>
  <si>
    <t>Precio por UND. Materiales: Codo Pvc 90° 1/4`` C X C Sanitario D=2`` (1 UND), Limpiador 1/4 Pvc (0 gl), Soldadura Liquida Pvc 1/4`` (0 gl). Mano de obra: Auxiliar De Instalaciones 1 (0.05 hh), Oficial Instalaciones (0.05 hh). Equipo: Herrramienta Y Equipo Menor (3.4 %).</t>
  </si>
  <si>
    <t>2.05.32</t>
  </si>
  <si>
    <t>SUMINISTRO E INSTALACION CODO PVC SANITARIO D=3"</t>
  </si>
  <si>
    <t>Precio por UND. Materiales: Codo Pvc 90° 1/4`` C X C Sanitario D=3`` (1 UND), Limpiador 1/4 Pvc (0 gl), Soldadura Liquida Pvc 1/4`` (0 gl). Mano de obra: Auxiliar De Instalaciones 1 (0.05 hh), Oficial Instalaciones (0.05 hh). Equipo: Herrramienta Y Equipo Menor (3.4 %).</t>
  </si>
  <si>
    <t>2.05.33</t>
  </si>
  <si>
    <t>SUMINISTRO E INSTALACION CODO PVC SANITARIO D=4"</t>
  </si>
  <si>
    <t>Precio por UND. Materiales: Codo Pvc 90° 1/4`` C X C Sanitario D=4`` (1 UND), Limpiador 1/4 Pvc (0 gl), Soldadura Liquida Pvc 1/4`` (0 gl). Mano de obra: Auxiliar De Instalaciones 1 (0.05 hh), Oficial Instalaciones (0.05 hh). Equipo: Herrramienta Y Equipo Menor (3.4 %).</t>
  </si>
  <si>
    <t>2.05.34</t>
  </si>
  <si>
    <t>SUMINISTRO E INSTALACION CODO PVC SANITARIO D=6"</t>
  </si>
  <si>
    <t>Precio por UND. Materiales: Codo Pvc 90° 1/4`` C X C Sanitario D=6`` (1 UND), Limpiador 1/4 Pvc (0.04 gl), Soldadura Liquida Pvc 1/4`` (0.04 gl). Mano de obra: Auxiliar De Instalaciones 1 (0.16 hh), Oficial Instalaciones (0.16 hh). Equipo: Herrramienta Y Equipo Menor (3.4 %).</t>
  </si>
  <si>
    <t>2.05.35</t>
  </si>
  <si>
    <t>SUMINISTRO E INSTALACION CODO PVC SANITARIO D=8"</t>
  </si>
  <si>
    <t>Precio por UND. Materiales: Codo Pvc 90° 1/4`` C X C Sanitario D=8`` (1 UND), Limpiador 1/4 Pvc (0 gl), Soldadura Liquida Pvc 1/4`` (0 gl). Mano de obra: Auxiliar De Instalaciones 1 (0.05 hh), Oficial Instalaciones (0.05 hh). Equipo: Herrramienta Y Equipo Menor (3.4 %).</t>
  </si>
  <si>
    <t>2.05.36</t>
  </si>
  <si>
    <t>SUMINISTRO E INSTALACIÓN ELEVADOR CÁMARA 1000mm CONCÉNTRICO</t>
  </si>
  <si>
    <t>Precio por UND. Materiales: Cono Camara 1000 Concentrico (1 UND), Lubricante Tub Pvc/500gr (0.8 UND). Mano de obra: Auxiliar De Instalaciones 1 (1 hh), Oficial Instalaciones (0.5 hh). Equipo: Herrramienta Y Equipo Menor (10 %).</t>
  </si>
  <si>
    <t>2.05.37</t>
  </si>
  <si>
    <t>SUMINISTRO E INSTALACIÓN ELEVADOR CÁMARA 1000mm EXCÉNTRICO</t>
  </si>
  <si>
    <t>Precio por UND. Materiales: Cono Camara 1000 Excentrico (1 UND), Lubricante Tub Pvc/500gr (0.8 UND). Mano de obra: Auxiliar De Instalaciones 1 (1 hh), Oficial Instalaciones (0.5 hh). Equipo: Herrramienta Y Equipo Menor (10 %).</t>
  </si>
  <si>
    <t>2.05.38</t>
  </si>
  <si>
    <t>SUMINISTRO E INSTALACIÓN ELEVADOR CÁMARA 1000mm X 1000mm</t>
  </si>
  <si>
    <t>Precio por UND. Materiales: Elevador Cámara De Inspeccion 1000mm X 1000 Mm (1 UND), Lubricante Tub Pvc/500gr (0.8 UND). Mano de obra: Auxiliar De Instalaciones 1 (3 hh), Oficial Instalaciones (1.5 hh). Equipo: Herrramienta Y Equipo Menor (10 %).</t>
  </si>
  <si>
    <t>2.05.39</t>
  </si>
  <si>
    <t>SUMINISTRO E INSTALACIÓN ELEVADOR CÁMARA 1000mm X 1250mm</t>
  </si>
  <si>
    <t>Precio por UND. Materiales: Elevador Cámara De Inspeccion 1000mm X 1250 Mm (1 UND), Lubricante Tub Pvc/500gr (0.8 UND). Mano de obra: Auxiliar De Instalaciones 1 (3 hh), Oficial Instalaciones (1.5 hh). Equipo: Herrramienta Y Equipo Menor (10 %).</t>
  </si>
  <si>
    <t>2.05.40</t>
  </si>
  <si>
    <t>SUMINISTRO E INSTALACIÓN ELEVADOR CÁMARA 1000mm X 1500mm</t>
  </si>
  <si>
    <t>Precio por UND. Materiales: Elevador Cámara De Inspeccion 1000mm X 1500 Mm (1 UND), Lubricante Tub Pvc/500gr (0.8 UND). Mano de obra: Auxiliar De Instalaciones 1 (3 hh), Oficial Instalaciones (1.5 hh). Equipo: Herrramienta Y Equipo Menor (10 %).</t>
  </si>
  <si>
    <t>2.05.41</t>
  </si>
  <si>
    <t>SUMINISTRO E INSTALACIÓN ELEVADOR CÁMARA 1000mm X 1750mm</t>
  </si>
  <si>
    <t>Precio por UND. Materiales: Elevador Cámara De Inspeccion 1000mm X 1750 Mm (1 UND), Lubricante Tub Pvc/500gr (0.8 UND). Mano de obra: Auxiliar De Instalaciones 1 (3 hh), Oficial Instalaciones (1.5 hh). Equipo: Herrramienta Y Equipo Menor (10 %).</t>
  </si>
  <si>
    <t>2.05.42</t>
  </si>
  <si>
    <t>SUMINISTRO E INSTALACIÓN ELEVADOR CÁMARA 1000mm X 2000mm</t>
  </si>
  <si>
    <t>Precio por UND. Materiales: Elevador Cámara De Inspeccion 1000mm X 2000 Mm (1 UND), Lubricante Tub Pvc/500gr (0.8 UND). Mano de obra: Auxiliar De Instalaciones 1 (3 hh), Oficial Instalaciones (1.5 hh). Equipo: Herrramienta Y Equipo Menor (10 %).</t>
  </si>
  <si>
    <t>2.05.43</t>
  </si>
  <si>
    <t>SUMINISTRO E INSTALACIÓN ELEVADOR CÁMARA 1000mm X 2500mm</t>
  </si>
  <si>
    <t>Precio por UND. Materiales: Elevador Cámara De Inspeccion 1000mm X 2500 Mm (1 UND), Lubricante Tub Pvc/500gr (0.8 UND). Mano de obra: Auxiliar De Instalaciones 1 (3 hh), Oficial Instalaciones (1.5 hh). Equipo: Herrramienta Y Equipo Menor (10 %).</t>
  </si>
  <si>
    <t>2.05.44</t>
  </si>
  <si>
    <t>SUMINISTRO E INSTALACIÓN ELEVADOR CÁMARA 1000mm X 3000mm</t>
  </si>
  <si>
    <t>Precio por UND. Materiales: Elevador Cámara De Inspeccion 1000mm X 3000 Mm (1 UND), Lubricante Tub Pvc/500gr (0.8 UND). Mano de obra: Auxiliar De Instalaciones 1 (3 hh), Oficial Instalaciones (1.5 hh). Equipo: Herrramienta Y Equipo Menor (10 %).</t>
  </si>
  <si>
    <t>2.05.45</t>
  </si>
  <si>
    <t>SUMINISTRO E INSTALACIÓN ELEVADOR CÁMARA 1000mm X 3250mm</t>
  </si>
  <si>
    <t>Precio por UND. Materiales: Elevador Cámara De Inspeccion 1000mm X 3250 Mm (1 UND), Lubricante Tub Pvc/500gr (0.8 UND). Mano de obra: Auxiliar De Instalaciones 1 (3 hh), Oficial Instalaciones (1.5 hh). Equipo: Herrramienta Y Equipo Menor (10 %).</t>
  </si>
  <si>
    <t>2.05.46</t>
  </si>
  <si>
    <t>SUMINISTRO E INSTALACIÓN ELEVADOR CÁMARA 1000mm X 3500mm</t>
  </si>
  <si>
    <t>Precio por UND. Materiales: Elevador Cámara De Inspeccion 1000mm X 3500 Mm (1 UND), Lubricante Tub Pvc/500gr (0.8 UND). Mano de obra: Auxiliar De Instalaciones 1 (3 hh), Oficial Instalaciones (1.5 hh). Equipo: Herrramienta Y Equipo Menor (10 %).</t>
  </si>
  <si>
    <t>2.05.47</t>
  </si>
  <si>
    <t>SUMINISTRO E INSTALACIÓN ELEVADOR CÁMARA 1000mm X 3750mm</t>
  </si>
  <si>
    <t>Precio por UND. Materiales: Elevador Cámara De Inspeccion 1000mm X 3750 Mm (1 UND), Lubricante Tub Pvc/500gr (0.8 UND). Mano de obra: Auxiliar De Instalaciones 1 (3 hh), Oficial Instalaciones (1.5 hh). Equipo: Herrramienta Y Equipo Menor (10 %).</t>
  </si>
  <si>
    <t>2.05.48</t>
  </si>
  <si>
    <t>SUMINISTRO E INSTALACIÓN ELEVADOR CÁMARA 1000mm X 400 mm</t>
  </si>
  <si>
    <t>Precio por UND. Materiales: Elevador Cámara De Inspeccion 1000mm X 400 Mm (1 UND), Lubricante Tub Pvc/500gr (0.8 UND). Mano de obra: Auxiliar De Instalaciones 1 (3 hh), Oficial Instalaciones (1.5 hh). Equipo: Herrramienta Y Equipo Menor (10 %).</t>
  </si>
  <si>
    <t>2.05.49</t>
  </si>
  <si>
    <t>SUMINISTRO E INSTALACIÓN ELEVADOR CÁMARA 1000mm X 750 mm</t>
  </si>
  <si>
    <t>Precio por UND. Materiales: Elevador Cámara De Inspeccion 1000mm X 750 Mm (1 UND), Lubricante Tub Pvc/500gr (0.8 UND). Mano de obra: Auxiliar De Instalaciones 1 (3 hh), Oficial Instalaciones (1.5 hh). Equipo: Herrramienta Y Equipo Menor (10 %).</t>
  </si>
  <si>
    <t>2.05.50</t>
  </si>
  <si>
    <t>SUMINISTRO E INSTALACION TEE SANITARIA D= 4"</t>
  </si>
  <si>
    <t>Precio por UND. Materiales: Tee Sanitaria Pvc D=4" (1 UND), Limpiador 1/4 Pvc (0.03 gl), Soldadura Liquida Pvc 1/4`` (0.03 gl). Mano de obra: Auxiliar De Instalaciones 1 (0.15 hh), Oficial Instalaciones (0.15 hh). Equipo: Herrramienta Y Equipo Menor (7 %).</t>
  </si>
  <si>
    <t>2.05.51</t>
  </si>
  <si>
    <t>SUMINISTRO E INSTALACIÓN TRAMO ESCALERA CÁMARA 10000mm X 500mm</t>
  </si>
  <si>
    <t>Precio por UND. Materiales: Tornillo Inoxidable 5/16`` X 2`` 8 Und (1 UND), Escalera Camara De Inspeccion 1000 X 500 Mm (1 UND). Mano de obra: Auxiliar De Instalaciones 1 (0.6 hh), Oficial Instalaciones (0.6 hh). Equipo: Taladro (0.6 hr), Herrramienta Y Equipo Menor (10 %).</t>
  </si>
  <si>
    <t>2.05.52</t>
  </si>
  <si>
    <t>Precio por ML. Materiales: Tubería Novafort 6" (1.03 ML), Union Novafort 6" (0.17 UND), Limpiador 1/4 Pvc (0.04 gl), Soldadura Liquida Pvc 1/4`` (0.04 gl). Mano de obra: Auxiliar De Obra 1 (0.05 jr), Comision Topografica (0.01 hh), Oficial Obra 2 (0.05 jr). Equipo: Herrramienta Y Equipo Menor (7.1 %).</t>
  </si>
  <si>
    <t>2.05.53</t>
  </si>
  <si>
    <t>SUMINISTRO E INSTALACIÓN TUBERÍA DE ALCANTARILLADO PVC D=10"</t>
  </si>
  <si>
    <t>Precio por ML. Materiales: Tubería Novafort 10" (1.03 ML), Union Novafort 10" (0.17 UND), Limpiador Y Soldadura (1.5 glb). Mano de obra: Auxiliar De Obra 1 (0.1 jr), Comision Topografica (0.02 hh), Oficial Obra 2 (0.1 jr). Equipo: Herrramienta Y Equipo Menor (7.1 %).</t>
  </si>
  <si>
    <t>2.05.54</t>
  </si>
  <si>
    <t>SUMINISTRO E INSTALACIÓN TUBERÍA DE ALCANTARILLADO PVC D=12"</t>
  </si>
  <si>
    <t>Precio por ML. Materiales: Tubería Novafort 12" (1.03 ML), Union Novafort 12" (0.17 UND), Limpiador 1/4 Pvc (0.06 gl), Soldadura Liquida Pvc 1/4`` (0.06 gl). Mano de obra: Auxiliar De Obra 1 (0.11 jr), Comision Topografica (0.02 hh), Oficial Obra 2 (0.11 jr). Equipo: Herrramienta Y Equipo Menor (7.1 %).</t>
  </si>
  <si>
    <t>2.05.55</t>
  </si>
  <si>
    <t>SUMINISTRO E INSTALACIÓN TUBERÍA DE ALCANTARILLADO PVC D=14"</t>
  </si>
  <si>
    <t>Precio por ML. Materiales: Tubería Novafort 14" (1.03 ML), Union Novafort 14" (0.17 UND), Limpiador Y Soldadura (1.5 glb). Mano de obra: Auxiliar De Obra 1 (0.11 jr), Comision Topografica (0.02 hh), Oficial Obra 2 (0.11 jr). Equipo: Herrramienta Y Equipo Menor (7.1 %).</t>
  </si>
  <si>
    <t>2.05.56</t>
  </si>
  <si>
    <t>SUMINISTRO E INSTALACIÓN TUBERÍA DE ALCANTARILLADO PVC D=16"</t>
  </si>
  <si>
    <t>Precio por ML. Materiales: Tubería Novafort 16" (1.03 ML), Union Novafort 16" (0.17 UND), Limpiador Y Soldadura (1.5 glb). Mano de obra: Auxiliar De Obra 1 (0.13 jr), Comision Topografica (0.01 hh), Oficial Obra 2 (0.13 jr). Equipo: Herrramienta Y Equipo Menor (7.1 %).</t>
  </si>
  <si>
    <t>2.05.57</t>
  </si>
  <si>
    <t>SUMINISTRO E INSTALACIÓN TUBERÍA DE ALCANTARILLADO PVC D=18"</t>
  </si>
  <si>
    <t>Precio por ML. Materiales: Tubería Novafort 18" (1.05 ML), Union Novafort 18" (0.17 UND), Limpiador Y Soldadura (1.5 glb). Mano de obra: Auxiliar De Obra 1 (0.13 jr), Comision Topografica (0.01 hh), Oficial Obra 2 (0.13 jr). Equipo: Herrramienta Y Equipo Menor (7.1 %).</t>
  </si>
  <si>
    <t>2.05.58</t>
  </si>
  <si>
    <t>Precio por ML. Materiales: Tubería Novafort 4" (1.03 ML), Union Novafort 4" (0.17 undi), Limpiador Y Soldadura (1.1 glb). Mano de obra: Auxiliar De Obra 1 (0.04 jr), Comision Topografica (0.01 hh), Oficial Obra 2 (0.04 jr). Equipo: Herrramienta Y Equipo Menor (7.1 %).</t>
  </si>
  <si>
    <t>2.05.59</t>
  </si>
  <si>
    <t>SUMINISTRO E INSTALACIÓN TUBERÍA DE ALCANTARILLADO PVC D=8"</t>
  </si>
  <si>
    <t>Precio por ML. Materiales: Tubería Novafort 8" (1.03 ML), Union Novafort 8" (0.17 UND), Limpiador 1/4 Pvc (0.07 gl), Soldadura Liquida Pvc 1/4`` (0.07 gl). Mano de obra: Auxiliar De Obra 1 (0.05 jr), Comision Topografica (0.01 hh), Oficial Obra 2 (0.05 jr). Equipo: Herrramienta Y Equipo Menor (7.1 %).</t>
  </si>
  <si>
    <t>2.05.60</t>
  </si>
  <si>
    <t>SUMINISTRO E INSTALACIÓN TUBERÍA DE ALCANTARILLADO PVC NOVALOC D= 24"</t>
  </si>
  <si>
    <t>Precio por ML. Materiales: Tubería Novaloc Pvc 24`` (1 ML), Lubricante Tub Pvc/500gr (0.05 UND). Mano de obra: Auxiliar De Obra 2 (0.6 hh), Auxiliar De Instalaciones 1 (0.6 hh), Oficial Instalaciones (0.6 hh). Equipo: Herrramienta Y Equipo Menor (7.1 %).</t>
  </si>
  <si>
    <t>2.05.61</t>
  </si>
  <si>
    <t>SUMINISTRO E INSTALACIÓN TUBERÍA DE ALCANTARILLADO PVC NOVALOC D= 36"</t>
  </si>
  <si>
    <t>Precio por ML. Materiales: Tubería Novaloc Pvc 36`` (1 ML), Lubricante Tub Pvc/500gr (0.05 UND). Mano de obra: Auxiliar De Obra 2 (0.6 hh), Auxiliar De Instalaciones 1 (0.6 hh), Oficial Instalaciones (0.6 hh). Equipo: Herrramienta Y Equipo Menor (7.1 %).</t>
  </si>
  <si>
    <t>2.05.62</t>
  </si>
  <si>
    <t>SUMINISTRO E INSTALACIÓN TUBERÍA DE ALCANTARILLADO PVC NOVALOC D= 42"</t>
  </si>
  <si>
    <t>Precio por ML. Materiales: Tubería Novaloc Pvc 42`` (1 ML), Lubricante Tub Pvc/500gr (0.05 UND). Mano de obra: Auxiliar De Obra 2 (0.6 hh), Auxiliar De Instalaciones 1 (0.6 hh), Oficial Instalaciones (0.6 hh). Equipo: Herrramienta Y Equipo Menor (7.1 %).</t>
  </si>
  <si>
    <t>2.05.63</t>
  </si>
  <si>
    <t>SUMINISTRO E INSTALACIÓN TUBERÍA DE ALCANTARILLADO PVC W - RETEN 4"</t>
  </si>
  <si>
    <t>Precio por ML. Materiales: Union Pvc W - Reten 4`` (0.17 UND), Tubería Pvc Alcantarillado W - Reten 4" (1.03 ML), Limpiador 1/4 Pvc (0.01 gl), Soldadura Liquida Pvc 1/4`` (0.01 gl). Mano de obra: Auxiliar De Obra 1 (0.05 jr), Comision Topografica (0.02 hh), Oficial Obra 2 (0.05 jr). Equipo: Herrramienta Y Equipo Menor (7.1 %).</t>
  </si>
  <si>
    <t>2.05.64</t>
  </si>
  <si>
    <t>SUMINISTRO E INSTALACIÓN TUBERÍA DE ALCANTARILLADO PVC W - RETEN 6"</t>
  </si>
  <si>
    <t>Precio por ML. Materiales: Union Pvc W - Reten 6`` (0.17 UND), Tubería Pvc Alcantarillado W - Reten 6" (1.03 ML), Limpiador Y Soldadura (1 glb). Mano de obra: Auxiliar De Obra 1 (0.05 jr), Comision Topografica (0.02 hh), Oficial Obra 2 (0.05 jr). Equipo: Herrramienta Y Equipo Menor (7.1 %).</t>
  </si>
  <si>
    <t>2.05.65</t>
  </si>
  <si>
    <t>SUMINISTRO E INSTALACIÓN TUBERÍA DE ALCANTARILLADO PVC W - RETEN 8"</t>
  </si>
  <si>
    <t>Precio por ML. Materiales: Unionpvc W - Reten 8`` (0.17 UND), Tubería Pvc Alcantarillado W - Reten 8" (1.03 ML), Limpiador Y Soldadura (1 glb). Mano de obra: Auxiliar De Obra 1 (0.05 jr), Comision Topografica (0.01 hh), Oficial Obra 2 (0.03 jr). Equipo: Herrramienta Y Equipo Menor (7.1 %).</t>
  </si>
  <si>
    <t>2.05.66</t>
  </si>
  <si>
    <t>SUMINISTRO E INSTALACION YEE SANITARIA REDUCIDA PVC D=4" x 2"</t>
  </si>
  <si>
    <t>Precio por UND. Materiales: Yee Reducida 4"x 2" (1 UND), Limpiador 1/4 Pvc (0.03 gl), Soldadura Liquida Pvc 1/4`` (0.03 gl). Mano de obra: Auxiliar De Instalaciones 1 (0.02 hh), Oficial Instalaciones (0.02 hh). Equipo: Herrramienta Y Equipo Menor (3.4 %).</t>
  </si>
  <si>
    <t>2.05.67</t>
  </si>
  <si>
    <t>SUMINISTRO E INSTALACION YEE PVC SANITARIA D=2"</t>
  </si>
  <si>
    <t>Precio por UND. Materiales: Yee Pvc Sanitaria D=2`` (1 UND), Limpiador 1/4 Pvc (0 gl), Soldadura Liquida Pvc 1/4`` (0 gl). Mano de obra: Auxiliar De Instalaciones 1 (0.05 hh), Oficial Instalaciones (0.05 hh). Equipo: Herrramienta Y Equipo Menor (3.4 %).</t>
  </si>
  <si>
    <t>2.05.68</t>
  </si>
  <si>
    <t>SUMINISTRO E INSTALACION YEE PVC SANITARIA D=3"</t>
  </si>
  <si>
    <t>Precio por UND. Materiales: Yee Pvc Sanitaria D=3`` (1 UND), Limpiador 1/4 Pvc (0.01 gl), Soldadura Liquida Pvc 1/4`` (0.01 gl). Mano de obra: Auxiliar De Instalaciones 1 (0.04 hh), Oficial Instalaciones (0.04 hh). Equipo: Herrramienta Y Equipo Menor (3.4 %).</t>
  </si>
  <si>
    <t>2.05.69</t>
  </si>
  <si>
    <t>SUMINISTRO E INSTALACION YEE PVC SANITARIA D=4"</t>
  </si>
  <si>
    <t>Precio por UND. Materiales: Yee Pvc Sanitaria D=4`` (1 UND), Limpiador 1/4 Pvc (0.02 gl), Soldadura Liquida Pvc 1/4`` (0.02 gl). Mano de obra: Auxiliar De Instalaciones 1 (0.04 hh), Oficial Instalaciones (0.04 hh). Equipo: Herrramienta Y Equipo Menor (3.4 %).</t>
  </si>
  <si>
    <t>2.05.70</t>
  </si>
  <si>
    <t>SUMINISTRO E INSTALACION YEE PVC SANITARIA D=6"</t>
  </si>
  <si>
    <t>Precio por UND. Materiales: Yee Pvc Sanitaria D=6`` (1 UND), Limpiador 1/4 Pvc (0.12 gl), Soldadura Liquida Pvc 1/4`` (0.12 gl). Mano de obra: Auxiliar De Instalaciones 1 (0.04 hh), Oficial Instalaciones (0.04 hh). Equipo: Herrramienta Y Equipo Menor (3.4 %).</t>
  </si>
  <si>
    <t>2.05.71</t>
  </si>
  <si>
    <t>UNIÓN PVC SANITARIA D=2"</t>
  </si>
  <si>
    <t>Precio por UND. Materiales: Unión Pvc Sanitaria D = 2`` (1 UND), Limpiador 1/4 Pvc (0.01 gl), Soldadura Liquida Pvc 1/4`` (0.01 gl). Mano de obra: Auxiliar De Instalaciones 1 (0.02 hh), Oficial Instalaciones (0.02 hh). Equipo: Herrramienta Y Equipo Menor (3.4 %).</t>
  </si>
  <si>
    <t>2.05.72</t>
  </si>
  <si>
    <t>UNIÓN PVC SANITARIA D=3"</t>
  </si>
  <si>
    <t>Precio por UND. Materiales: Unión Pvc Sanitaria D = 3`` (1 UND), Limpiador 1/4 Pvc (0.02 gl), Soldadura Liquida Pvc 1/4`` (0.02 gl). Mano de obra: Auxiliar De Instalaciones 1 (0.02 hh), Oficial Instalaciones (0.02 hh). Equipo: Herrramienta Y Equipo Menor (3.4 %).</t>
  </si>
  <si>
    <t>2.05.73</t>
  </si>
  <si>
    <t>UNIÓN PVC SANITARIA D=4"</t>
  </si>
  <si>
    <t>Precio por UND. Materiales: Union Pvc Sanitaria D=4`` (1 UND), Limpiador 1/4 Pvc (0.02 gl), Soldadura Liquida Pvc 1/4`` (0.02 gl). Mano de obra: Auxiliar De Instalaciones 1 (0.02 hh), Oficial Instalaciones (0.02 hh). Equipo: Herrramienta Y Equipo Menor (3.4 %).</t>
  </si>
  <si>
    <t>2.05.74</t>
  </si>
  <si>
    <t>UNIÓN PVC SANITARIA D=6"</t>
  </si>
  <si>
    <t>Precio por UND. Materiales: Union Pvc Sanitaria D=6`` (1 UND), Limpiador 1/4 Pvc (0.04 gl), Soldadura Liquida Pvc 1/4`` (0.04 gl). Mano de obra: Auxiliar De Instalaciones 1 (0.02 hh), Oficial Instalaciones (0.02 hh). Equipo: Herrramienta Y Equipo Menor (3.4 %).</t>
  </si>
  <si>
    <t>2.05.75</t>
  </si>
  <si>
    <t>UNIÓN PVC SANITARIA D=8"</t>
  </si>
  <si>
    <t>Precio por UND. Materiales: Unión Pvc Sanitaria D = 8`` (1 UND), Limpiador 1/4 Pvc (0 gl), Soldadura Liquida Pvc 1/4`` (0 gl). Mano de obra: Auxiliar De Instalaciones 1 (0.02 hh), Oficial Instalaciones (0.02 hh). Equipo: Herrramienta Y Equipo Menor (3.4 %).</t>
  </si>
  <si>
    <t>2.06.01</t>
  </si>
  <si>
    <t>OTRAS OBRAS - ALCANTARILALDO Y DESAGÜES</t>
  </si>
  <si>
    <t>CAMARA DE CAIDA 10" X 8"</t>
  </si>
  <si>
    <t>Precio por UND. Materiales: Mortero 1:3 Impermeabilizado (0.05 M3), Tubería Novafort 8" (2 ML), Codo Novafort 8" (1 UND), Tee Novafort 10" X 8" (1 UND) y 3 más. Mano de obra: Auxiliar De Obra 1 (0.75 jr), Oficial Obra 2 (0.7 jr). Equipo: Herrramienta Y Equipo Menor (6.7 %).</t>
  </si>
  <si>
    <t>2.06.02</t>
  </si>
  <si>
    <t>CAMARA DE CAIDA 12" X 8"</t>
  </si>
  <si>
    <t>Precio por UND. Materiales: Mortero 1:3 Impermeabilizado (0.04 M3), Tubería Novafort 8" (2 ML), Codo Novafort 8" (1 UND), Tee Novafort 12" X 8" (1 UND) y 3 más. Mano de obra: Auxiliar De Obra 1 (1 jr), Oficial Obra 2 (1 jr). Equipo: Herrramienta Y Equipo Menor (6.7 %).</t>
  </si>
  <si>
    <t>2.06.03</t>
  </si>
  <si>
    <t>CAMPO DE INFILTRACION POZO SEPTICO PLASTICO ANAEROBICO DE 1000LTS TUBERIA DRENAJE D=4"</t>
  </si>
  <si>
    <t>Precio por ML. Materiales: Tuberia P:v:c Saniatria De ¢ 4`` (1.05 ML), Geotextil No Tejido (0.85 M2), Gravilla ¾, ½ (0.18 M3), Limpiador Y Soldadura (0.17 glb). Mano de obra: Auxiliar De Obra 1 (0.13 jr), Oficial Obra 2 (0.13 jr). Equipo: Herrramienta Y Equipo Menor (6.7 %).</t>
  </si>
  <si>
    <t>2.06.04</t>
  </si>
  <si>
    <t>CONEXIÓN DOMICILIARIA ALCANTARILLADO. INC. TUBERIA Y ACCESORIOS DE CONEXION TUBERIA</t>
  </si>
  <si>
    <t>Precio por UND. Materiales: Arena Lavada De Río (0.03 M3), Tubería Novafort 6" (3 ML), Union Novafort 6" (1 UND), Kit Silla Yee 8" X6" (1 UND) y 1 más. Mano de obra: Auxiliar De Obra 1 (0.57 jr), Oficial Obra 2 (0.57 jr). Equipo: Herrramienta Y Equipo Menor (7 %).</t>
  </si>
  <si>
    <t>2.06.05</t>
  </si>
  <si>
    <t>CUBIERTA Y ACCESO</t>
  </si>
  <si>
    <t>Precio por UND. Materiales: Arena Lavada Y/O Trituradora (0.17 M3), Aro Y Tapa Pozos Insp En Hf (1 UND), Cemento Gris (56 kg), Cuadrilla Obra Of + 2 Auxiliar (6 hc).</t>
  </si>
  <si>
    <t>AM02 · OG06 · ES10 · NP01</t>
  </si>
  <si>
    <t>2.06.06</t>
  </si>
  <si>
    <t>DEMOLICION CAMARAS 2.5&lt;h&lt;3.0m</t>
  </si>
  <si>
    <t>Precio por UND. Mano de obra: Auxiliar De Obra 2 (4 hh). Equipo: Compresor De 2 Martillos (2 hr), Herrramienta Y Equipo Menor (3 %).</t>
  </si>
  <si>
    <t>AM02 · OG06 · ES02 · NP05</t>
  </si>
  <si>
    <t>2.06.07</t>
  </si>
  <si>
    <t>DEMOLICION POZOS DE INSPECCION</t>
  </si>
  <si>
    <t>Precio por UND. Mano de obra: Auxiliar De Obra 2 (0.4 hh), Oficial Obra 1 (0.4 hh). Equipo: Retroexcavadora Jd-510 O Similar (0.25 hr), Herrramienta Y Equipo Menor (3 %).</t>
  </si>
  <si>
    <t>2.06.08</t>
  </si>
  <si>
    <t>PASOS UÑA DE GATO D=5/8"</t>
  </si>
  <si>
    <t>Precio por UND. Materiales: Varilla 5/8`` (1.47 kg), Cepillo Metálico De 1/2" Agujeros 9/16" A 5/8" (0 UND), Dispersador Md 2500 (0 UND), Epoxico Re - 500 Hilti (0.02 UND). Mano de obra: Auxiliar De Obra 2 (0.02 hh), Oficial Obra 1 (0.02 hh). Equipo: Taladro (0.02 hr), Herrramienta Y Equipo Menor (10 %).</t>
  </si>
  <si>
    <t>2.06.09</t>
  </si>
  <si>
    <t>PLACA DE FONDO O BASE DE POZO DE INSPECCION DIAMETRO=1.70 M</t>
  </si>
  <si>
    <t>Precio por UND. Materiales: Arena Lavada Y/O Trituradora (0.56 M3), Acero De Refuerzo Pdr-60 (80.64 kg), Cemento Gris (224 kg), Gravilla Fina 1/2 Bogotá (0.56 M3) y 1 más.</t>
  </si>
  <si>
    <t>2.06.10</t>
  </si>
  <si>
    <t>PLACA DE FONDO O BASE DE POZO DE INSPECCION DIAMETRO=1.96 M</t>
  </si>
  <si>
    <t>Precio por UND. Materiales: Arena Lavada Y/O Trituradora (0.67 M3), Acero De Refuerzo Pdr-60 (92.96 kg), Cemento Gris (257.6 kg), Gravilla Fina 1/2 Bogotá (0.67 M3) y 1 más.</t>
  </si>
  <si>
    <t>2.06.11</t>
  </si>
  <si>
    <t>POZO DE INSPECCION D= 1.20 MH &gt;1,50 M</t>
  </si>
  <si>
    <t>Precio por UND. Materiales: Aro Y Tapa Pozos Insp En Hf (1 UND), Acero De Refuerzo Pdr-60 (8 kg), Pañete Impermeabilizado 1:3 (3.8 M2), Mampostería Ladrillo Tolete Comun E = 0.25 M (5.7 M2) y 1 más.</t>
  </si>
  <si>
    <t>2.06.12</t>
  </si>
  <si>
    <t>POZO DE INSPECCION D= 1.20 MH 1,00 1,50 M</t>
  </si>
  <si>
    <t>2.06.13</t>
  </si>
  <si>
    <t>POZO DE INSPECCION D=1.20 M</t>
  </si>
  <si>
    <t>Precio por UND. Materiales: Aro Y Tapa Pozos Insp En Hf (1 UND), Acero De Refuerzo Pdr-60 (12 kg), Concreto 1:2:4 17.5 Mpa (0.35 M3), Mampostería Ladrillo Tolete Comun E=0.25 M (7.4 M2) y 2 más.</t>
  </si>
  <si>
    <t>2.06.14</t>
  </si>
  <si>
    <t>POZO DE INSPECCION D=1.20 MH 1.50 , 2.00M</t>
  </si>
  <si>
    <t>2.06.15</t>
  </si>
  <si>
    <t>POZO DE INSPECCION D=1.20 MH 2.50 M</t>
  </si>
  <si>
    <t>Precio por UND. Materiales: Aro Y Tapa Pozos Insp En Hf (1 UND), Acero De Refuerzo Pdr-60 (16 kg), Concreto 1:2:4 17.5 Mpa (0.5 M3), Mampostería Ladrillo Tolete Comun E=0.25 M (9.5 M2) y 2 más.</t>
  </si>
  <si>
    <t>2.06.16</t>
  </si>
  <si>
    <t>POZO DE INSPECCION D=1.50 M, H 3.50 M</t>
  </si>
  <si>
    <t>Precio por UND. Materiales: Aro Y Tapa Pozos Insp En Hf (1 UND), Acero De Refuerzo Pdr-60 (20 kg), Concreto 1:2:4 17.5 Mpa (0.6 M3), Mampostería Ladrillo Tolete Comun E=0.25 M (16.9 M2) y 2 más.</t>
  </si>
  <si>
    <t>2.06.17</t>
  </si>
  <si>
    <t>POZO DE INSPECCION D=1.95 PLACA DE FONDO</t>
  </si>
  <si>
    <t>Precio por UND. Materiales: Concreto Clase D 21 Mpa (0.85 M3), Concreto 1:3:5 14 Mpa (0.15 M3), Hierro Fig G-60 1/2 (80.8 kg), Cuadrilla Obra Of + Auxiliar (4 hc).</t>
  </si>
  <si>
    <t>2.06.18</t>
  </si>
  <si>
    <t>RETIRO DE TUBERÍA EXISTENTE EN CONCRETO 16"</t>
  </si>
  <si>
    <t>Precio por ML. Mano de obra: Auxiliar De Obra 2 (1.8 hh). Equipo: Retroexcavadora Jd-510 O Similar (0.03 hr), Herrramienta Y Equipo Menor (3 %).</t>
  </si>
  <si>
    <t>2.06.19</t>
  </si>
  <si>
    <t>RETIRO DE TUBERÍA EXISTENTE EN CONCRETO 8" A 12"</t>
  </si>
  <si>
    <t>Precio por ML. Mano de obra: Auxiliar De Obra 2 (1 hh). Equipo: Herrramienta Y Equipo Menor (3 %).</t>
  </si>
  <si>
    <t>2.06.20</t>
  </si>
  <si>
    <t>RETIRO DE TUBERÍA EXISTENTE EN GRESS 6" A 10"</t>
  </si>
  <si>
    <t>Precio por ML. Mano de obra: Auxiliar De Obra 2 (0.8 hh). Equipo: Herrramienta Y Equipo Menor (3 %).</t>
  </si>
  <si>
    <t>2.06.21</t>
  </si>
  <si>
    <t>SUMIDERO EN LADRILLO SL 100</t>
  </si>
  <si>
    <t>Precio por UND. Materiales: Mortero 1:3 Impermeabilizado (0.1 M3), Concreto 1:3:5 14 Mpa (0.24 M3), Muro Tolete Comun E= 0.12 M Para Sumideros (4.48 M2), Rejilla Y Marco Hta 0,7 X 0,3 (1 UND) y 1 más.</t>
  </si>
  <si>
    <t>AM02 · OG06 · ES06 · NP03</t>
  </si>
  <si>
    <t>2.06.22</t>
  </si>
  <si>
    <t>SUMIDERO EN LADRILLO SL 250</t>
  </si>
  <si>
    <t>Precio por UND. Materiales: Mortero 1:3 Impermeabilizado (0.17 M3), Concreto 1:3:5 14 Mpa (0.65 M3), Muro Tolete Comun E= 0.12 M Para Sumideros (7.35 M2), Rejilla Y Marco Hta 0,7 X 0,3 (1 UND) y 1 más.</t>
  </si>
  <si>
    <t>2.06.23</t>
  </si>
  <si>
    <t>SUMIDERO LATERAL SL - 100 H=1.25M (FUNDIDO EN SITIO, CONCRETO HECHO EN OBRA. INCL. SUMINI, FORMA, REF Y CONST. INCL. TAPA)</t>
  </si>
  <si>
    <t>Precio por UND. Materiales: Acero 60000 Psi (137.69 kg), Concreto Clase D 21 Mpa (1.95 M3), Madera Repisa 3 M (2.7 ML), Madera Tabla Burra (5.94 ML) y 3 más. Mano de obra: Auxiliar De Obra 2 (36 hh), Oficial Obra 1 (12 hh). Equipo: Formaleta (19.16 dd).</t>
  </si>
  <si>
    <t>AM02 · OG06 · ES04 · NP03</t>
  </si>
  <si>
    <t>2.06.24</t>
  </si>
  <si>
    <t>SUMIDERO LATERAL SL - 150 H=1.25M (FUNDIDO EN SITIO, CONCRETO HECHO EN OBRA. INCL. SUMINI, FORMA, REF Y CONST. INCL. TAPA)</t>
  </si>
  <si>
    <t>Precio por UND. Materiales: Acero 60000 Psi (175.23 kg), Concreto Clase D 21 Mpa (2.72 M3), Madera Repisa 3 M (2.72 ML), Madera Tabla Burra (6 ML) y 3 más. Mano de obra: Auxiliar De Obra 2 (19.6 hh), Oficial Obra 1 (9.8 hh). Equipo: Formaleta (19.34 dd).</t>
  </si>
  <si>
    <t>2.06.25</t>
  </si>
  <si>
    <t>SUMIDERO LATERAL SL - 200 H=1.25M (FUNDIDO EN SITIO, CONCRETO HECHO EN OBRA. INCL. SUMINI, FORMA, REF Y CONST. INCL. TAPA)</t>
  </si>
  <si>
    <t>Precio por UND. Materiales: Acero 60000 Psi (266 kg), Concreto Clase D 21 Mpa (3.36 M3), Madera Repisa 3 M (2.72 ML), Madera Tabla Burra (6 ML) y 3 más. Mano de obra: Auxiliar De Obra 2 (24.6 hh), Oficial Obra 1 (12.3 hh). Equipo: Formaleta (19.34 dd).</t>
  </si>
  <si>
    <t>2.06.26</t>
  </si>
  <si>
    <t>SUMIDERO TRANSVERSAL ST-1, H=1.9M (FUNDIDO EN SITIO, CONCRETO HECHO EN OBRA, INC. SUMINISTRO, FORM, REF Y CONST,</t>
  </si>
  <si>
    <t>Precio por UND. Materiales: Concreto Clase D 21 Mpa (1.45 M3), Acero De Refuerzo No. 3 , F`y=37000 Psi (33.9 kg), Acero De Refuerzo No. 4 , F`y=60000 Psi (13 kg), Acero De Refuerzo No. 5 , F`y=60000 Psi (61 kg) y 2 más. Mano de obra: Auxiliar De Obra 2 (2.5 hh), Oficial Obra 1 (2.5 hh). Equipo: Formaleta Paral Corto-Camilla Met. 0.73x0.4m (2.43 mes), Herrramienta Y Equipo Menor (0.7 %).</t>
  </si>
  <si>
    <t>2.06.27</t>
  </si>
  <si>
    <t>SUMIDERO TRANSVERSAL ST-2, H=1.77M (FUNDIDO EN SITIO, CONCRETO HECHO EN OBRA, INC. SUMINISTRO, FORM, REF Y CONST, INC.</t>
  </si>
  <si>
    <t>Precio por UND. Materiales: Concreto Clase D 21 Mpa (1.03 M3), Acero De Refuerzo No. 3 , F`y=37000 Psi (32.5 kg), Acero De Refuerzo No. 4 , F`y=60000 Psi (37 kg), Acero De Refuerzo No. 5 , F`y=60000 Psi (3.5 kg) y 2 más. Mano de obra: Auxiliar De Obra 2 (2.5 hh), Oficial Obra 1 (2.5 hh). Equipo: Formaleta Paral Corto-Camilla Met. 0.73x0.4m (2.43 mes), Herrramienta Y Equipo Menor (0.7 %).</t>
  </si>
  <si>
    <t>2.06.28</t>
  </si>
  <si>
    <t>SUMINISTRO E INSTALACIÓN DE POZO SEPTICO PLASTICO ANAEROBICO DE 1000LTS</t>
  </si>
  <si>
    <t>Precio por UND. Materiales: Trampa Grasas (1 UND), Tuberia P:v:c Saniatria De ¢ 4`` (2 ML), Codo Pvc 90° 4" Sanit (1 UND), Filtro Anaerobico 1000 Lts Con Accesorios (1 UND) y 3 más. Mano de obra: Auxiliar De Obra 1 (1 jr), Oficial Obra 2 (0.5 jr). Equipo: Herrramienta Y Equipo Menor (6.7 %).</t>
  </si>
  <si>
    <t>2.07.01</t>
  </si>
  <si>
    <t>OTRAS OBRAS - CONCRETOS Y OTROS</t>
  </si>
  <si>
    <t>CONCRETO SIMPLE DE 21 MPa - (3000 PSI) IMPERMEABILIZADO PARA MUROS</t>
  </si>
  <si>
    <t>Precio por M3. Materiales: Concreto De 21 Mpa -  Impermeabilizado (1.05 M3), Madera Repisa 3 M (2.93 ML), Madera Tabla Burra (6.46 ML), Madera Vara De Clavo (3.81 ML) y 1 más. Mano de obra: Auxiliar De Obra 1 (1.5 jr), Oficial Obra 2 (0.3 jr). Equipo: Formaleta (4 dd), Vibrador De Concreto (2.22 hr), Herrramienta Y Equipo Menor (3.4 %).</t>
  </si>
  <si>
    <t>AM02 · ON03 · ES04 · NP01</t>
  </si>
  <si>
    <t>2.07.02</t>
  </si>
  <si>
    <t>CONCRETO SIMPLE DE 21 MPa - (3000 PSI) IMPERMEABILIZADO PARA PLACAS PISOS</t>
  </si>
  <si>
    <t>Precio por M3. Materiales: Concreto De 21 Mpa -  Impermeabilizado (1.05 M3), Madera Repisa 3 M (1.87 ML), Madera Tabla Burra (4.11 ML), Madera Vara De Clavo (2.43 ML) y 1 más. Mano de obra: Auxiliar De Obra 1 (1.5 jr), Oficial Obra 2 (0.3 jr). Equipo: Formaleta (3 dd), Vibrador De Concreto (1.67 hr), Herrramienta Y Equipo Menor (3.4 %).</t>
  </si>
  <si>
    <t>2.07.03</t>
  </si>
  <si>
    <t>CONCRETO SIMPLE DE 21 MPa - (3000 PSI) IMPERMEABILIZADO PARA TAPAS</t>
  </si>
  <si>
    <t>Precio por M3. Materiales: Concreto De 21 Mpa -  Impermeabilizado (1.05 M3). Mano de obra: Auxiliar De Obra 1 (1 jr), Oficial Obra 2 (0.3 jr). Equipo: Formaleta (2 dd), Vibrador De Concreto (2.22 hr), Herrramienta Y Equipo Menor (3.4 %).</t>
  </si>
  <si>
    <t>2.07.04</t>
  </si>
  <si>
    <t>CONCRETO SIMPLE DE 28 MPa - (4000 PSI) IMPERMEABILIZADO PARA MUROS</t>
  </si>
  <si>
    <t>Precio por M3. Materiales: Concreto Simple De 28 Mpa -  Impermeabilizado (1.05 M3), Madera Repisa 3 M (2.93 ML), Madera Tabla Burra (6.46 ML), Madera Vara De Clavo (3.81 ML) y 1 más. Mano de obra: Auxiliar De Obra 1 (1.5 jr), Oficial Obra 2 (0.3 jr). Equipo: Formaleta (4 dd), Vibrador De Concreto (2.22 hr), Herrramienta Y Equipo Menor (3.4 %).</t>
  </si>
  <si>
    <t>2.07.05</t>
  </si>
  <si>
    <t>CONCRETO SIMPLE DE 28 MPa - (4000 PSI) IMPERMEABILIZADO PARA PLACAS PISOS</t>
  </si>
  <si>
    <t>Precio por M3. Materiales: Concreto Simple De 28 Mpa -  Impermeabilizado (1.05 M3), Madera Repisa 3 M (1.87 ML), Madera Tabla Burra (4.11 ML), Madera Vara De Clavo (2.43 ML) y 1 más. Mano de obra: Auxiliar De Obra 1 (1.5 jr), Oficial Obra 2 (0.3 jr). Equipo: Formaleta (3 dd), Vibrador De Concreto (1.67 hr), Herrramienta Y Equipo Menor (3.4 %).</t>
  </si>
  <si>
    <t>2.07.06</t>
  </si>
  <si>
    <t>CONCRETO SIMPLE DE 28 MPa - (4000 PSI) IMPERMEABILIZADO PARA TAPAS</t>
  </si>
  <si>
    <t>Precio por M3. Materiales: Concreto Simple De 28 Mpa -  Impermeabilizado (1.05 M3). Mano de obra: Auxiliar De Obra 1 (1 jr), Oficial Obra 2 (0.3 jr). Equipo: Formaleta (2 dd), Vibrador De Concreto (2.22 hr), Herrramienta Y Equipo Menor (3.4 %).</t>
  </si>
  <si>
    <t>2.07.07</t>
  </si>
  <si>
    <t>CORTE DE PAVIMENTO FLEXIBLE PARA ZANJAS DE ACUEDUCTO, ALCANTARILLADO Y GAS</t>
  </si>
  <si>
    <t>Precio por M3. Materiales: Disco Diamantado Asfalto-Concreto 350mm (0.15 UND). Mano de obra: Auxiliar De Obra 1 (0.4 jr), Oficial Obra 2 (0.4 jr), Operador (0.4 jr). Equipo: Compresor (0.67 hr), Cortadora Para Reparcheo (1 hr), Martillo Neumatico 60 Lb (0.67 hr), Herrramienta Y Equipo Menor (6.7 %).</t>
  </si>
  <si>
    <t>AM02 · ON03 · ES03 · NP01</t>
  </si>
  <si>
    <t>2.07.08</t>
  </si>
  <si>
    <t>CORTE DE PAVIMENTO RÍGIDO PARA ZANJAS DE ACUEDUCTO, ALCANTARILLADO Y GAS</t>
  </si>
  <si>
    <t>Precio por M3. Materiales: Disco Diamantado Asfalto-Concreto 350mm (0.25 UND). Mano de obra: Auxiliar De Obra 1 (0.4 jr), Oficial Obra 2 (0.4 jr), Operador (0.4 jr). Equipo: Compresor (0.67 hr), Cortadora Para Reparcheo (1 hr), Martillo Neumatico 60 Lb (0.07 hr), Herrramienta Y Equipo Menor (6.7 %).</t>
  </si>
  <si>
    <t>2.07.09</t>
  </si>
  <si>
    <t>SUMINISTRO E INSTALACION DE CONCRETO SIMPLE DE 21 MPA (3000) PARA</t>
  </si>
  <si>
    <t>Precio por M2. Materiales: Concreto Clase D 21 Mpa (0.15 M3), Formaleta Para Base Para Concretos (3 gl). Mano de obra: Vibrador De Concreto (0.15 hr), Auxiliar De Obra 1 (1 jr), Oficial Obra 2 (0.25 jr). Equipo: Herrramienta Y Equipo Menor (1.6 %).</t>
  </si>
  <si>
    <t>AM02 · ON03 · ES04 · NP02</t>
  </si>
  <si>
    <t>2.07.10</t>
  </si>
  <si>
    <t>TRANSPORTE DE CARGA MULAR HASTA 4 KM</t>
  </si>
  <si>
    <t>Carga</t>
  </si>
  <si>
    <t>Precio por Carga. Mano de obra: Auxiliar De Obra 1 (0.45 jr). Equipo: Herrramienta Y Equipo Menor (5 %). Transporte: Animal De Carga (1 vj).</t>
  </si>
  <si>
    <t>AM02 · ON03 · ES17 · NP01</t>
  </si>
  <si>
    <t>2.08.01</t>
  </si>
  <si>
    <t>ACCESORIOS DE CONTROL DE PRESION Y CAUDAL</t>
  </si>
  <si>
    <t>SUMINISTRO E INSTALACIÓN VÁLVULA CHEQUE H.F D = 2" EXTREMO LISO</t>
  </si>
  <si>
    <t>Precio por UND. Materiales: Válvula De Cheque H.f. 2``, Extremo Liso (1 UND). Mano de obra: Auxiliar De Instalaciones 1 (3 hh), Oficial Instalaciones (3 hh). Equipo: Herrramienta Y Equipo Menor (6.6 %).</t>
  </si>
  <si>
    <t>2.08.02</t>
  </si>
  <si>
    <t>SUMINISTRO E INSTALACIÓN VÁLVULA CHEQUE H.F D = 3" EXTREMO LISO</t>
  </si>
  <si>
    <t>Precio por UND. Materiales: Válvula De Cheque H.f. 3``, Extremo Liso (1 UND). Mano de obra: Auxiliar De Instalaciones 1 (3 hh), Oficial Instalaciones (3 hh). Equipo: Herrramienta Y Equipo Menor (6.6 %).</t>
  </si>
  <si>
    <t>2.08.03</t>
  </si>
  <si>
    <t>SUMINISTRO E INSTALACIÓN VÁLVULA CHEQUE H.F D = 6" EXTREMO LISO</t>
  </si>
  <si>
    <t>Precio por UND. Materiales: Válvula De Cheque H.f. 6``, Extremo Liso (1 UND). Mano de obra: Auxiliar De Instalaciones 1 (3 hh), Oficial Instalaciones (3 hh). Equipo: Herrramienta Y Equipo Menor (6.6 %).</t>
  </si>
  <si>
    <t>2.08.04</t>
  </si>
  <si>
    <t>SUMINISTRO E INSTALACIÓN VÁLVULA COMPUERTA H.F. D = 2" EXTREMO BRIDA SELLO ELASTICO, 250 PSI.</t>
  </si>
  <si>
    <t>Precio por UND. Materiales: Válvula H.f. 2``, Extremo Brida, Tipo Beta, 250 Psi (1 UND), Limpiador 1/4 Pvc (0 gl), Soldadura Liquida Pvc 1/4`` (0 gl). Mano de obra: Auxiliar De Obra 1 (0.38 jr), Oficial Obra 2 (0.38 jr). Equipo: Herrramienta Y Equipo Menor (6.7 %).</t>
  </si>
  <si>
    <t>2.08.05</t>
  </si>
  <si>
    <t>SUMINISTRO E INSTALACIÓN VÁLVULA COMPUERTA H.F. D = 2" EXTREMO LISO SELLO ELASTICO, 250 PSI.</t>
  </si>
  <si>
    <t>Precio por UND. Materiales: Válvula H.f. 2``, Extremo Liso, Tipo Beta, 250 Psi (1 UND), Limpiador 1/4 Pvc (0 gl), Soldadura Liquida Pvc 1/4`` (0 gl), Válvula H.f. 3``, Extremo Brida, Tipo Beta, 250 Psi (1 UND) y 4 más. Mano de obra: Auxiliar De Obra 1 (0.38 jr), Oficial Obra 2 (0.38 jr), Válvula H.f. 4``, Extremo Brida, Tipo Beta, 250 Psi (1 UND), Limpiador 1/4 Pvc (0.01 gl) y 1 más. Equipo: Herrramienta Y Equipo Menor (6.7 %).</t>
  </si>
  <si>
    <t>Costo total del documento (431855.03) distinto a la suma de insumos (3310448.66)</t>
  </si>
  <si>
    <t>2.08.10</t>
  </si>
  <si>
    <t>SUMINISTRO E INSTALACIÓN VÁLVULA COMPUERTA H.F. D = 6" EXTREMO BRIDA SELLO ELASTICO, 250 PSI.</t>
  </si>
  <si>
    <t>Precio por UND. Materiales: Válvula H.f. 6``, Extremo Brida, Tipo Beta, 250 Psi (1 UND), Limpiador 1/4 Pvc (0.01 gl), Soldadura Liquida Pvc 1/4`` (0.01 gl). Mano de obra: Auxiliar De Obra 1 (0.38 jr), Oficial Obra 2 (0.38 jr). Equipo: Herrramienta Y Equipo Menor (6.7 %).</t>
  </si>
  <si>
    <t>2.08.11</t>
  </si>
  <si>
    <t>SUMINISTRO E INSTALACIÓN VÁLVULA COMPUERTA H.F. D = 6" EXTREMO LISO SELLO ELASTICO, 250 PSI.</t>
  </si>
  <si>
    <t>Precio por UND. Materiales: Válvula H.f. 6``, Extremo Liso, Tipo Beta, 250 Psi (1 UND), Limpiador 1/4 Pvc (0.01 gl), Soldadura Liquida Pvc 1/4`` (0.01 gl). Mano de obra: Auxiliar De Obra 1 (0.38 jr), Oficial Obra 2 (0.38 jr). Equipo: Herrramienta Y Equipo Menor (6.7 %).</t>
  </si>
  <si>
    <t>2.08.12</t>
  </si>
  <si>
    <t>SUMINISTRO E INSTALACIÓN VÁLVULA COMPUERTA H.F. D = 8" EXTREMO BRIDA SELLO ELASTICO, 250 PSI.</t>
  </si>
  <si>
    <t>Precio por UND. Materiales: Válvula H.f. 8``, Extremo Brida, Tipo Beta, 250 Psi (1 UND), Limpiador 1/4 Pvc (0.01 gl), Soldadura Liquida Pvc 1/4`` (0.01 gl). Mano de obra: Auxiliar De Obra 1 (0.38 jr), Oficial Obra 2 (0.38 jr). Equipo: Herrramienta Y Equipo Menor (6.7 %).</t>
  </si>
  <si>
    <t>2.08.13</t>
  </si>
  <si>
    <t>SUMINISTRO E INSTALACIÓN VÁLVULA COMPUERTA H.F. D =8" EXTREMO LISO SELLO ELASTICO, 250 PSI.</t>
  </si>
  <si>
    <t>Precio por UND. Materiales: Válvula H.f. 8``, Extremo Liso, Tipo Beta, 250 Psi (1 UND), Limpiador 1/4 Pvc (0.01 gl), Soldadura Liquida Pvc 1/4`` (0.01 gl). Mano de obra: Auxiliar De Obra 1 (0.38 jr), Oficial Obra 2 (0.38 jr). Equipo: Herrramienta Y Equipo Menor (6.7 %).</t>
  </si>
  <si>
    <t>2.08.14</t>
  </si>
  <si>
    <t>SUMINISTRO E INSTALACIÓN VÁLVULA DE CHEQUE H.F. D = 2" E. BRIDA</t>
  </si>
  <si>
    <t>Precio por UND. Materiales: Válvula De Cheque H.f. 2``, Extremo Brida (1 UND), Limpiador 1/4 Pvc (0 gl), Soldadura Liquida Pvc 1/4`` (0 gl). Mano de obra: Auxiliar De Obra 1 (0.85 jr), Oficial Obra 2 (0.8 jr). Equipo: Herrramienta Y Equipo Menor (6.6 %).</t>
  </si>
  <si>
    <t>2.08.15</t>
  </si>
  <si>
    <t>SUMINISTRO E INSTALACIÓN VÁLVULA DE CHEQUE H.F. D = 3" E. BRIDA</t>
  </si>
  <si>
    <t>Precio por UND. Materiales: Válvula De Cheque H.f. 3``, Extremo Brida (1 UND), Limpiador 1/4 Pvc (0 gl), Soldadura Liquida Pvc 1/4`` (0 gl). Mano de obra: Auxiliar De Obra 1 (0.85 jr), Oficial Obra 2 (0.8 jr). Equipo: Herrramienta Y Equipo Menor (9.9 %).</t>
  </si>
  <si>
    <t>2.08.16</t>
  </si>
  <si>
    <t>SUMINISTRO E INSTALACIÓN VÁLVULA DE CHEQUE H.F. D = 4" E. BRIDA</t>
  </si>
  <si>
    <t>Precio por UND. Materiales: Válvula De Cheque H.f. 4``, Extremo Brida (1 UND), Limpiador 1/4 Pvc (0.01 gl), Soldadura Liquida Pvc 1/4`` (0.01 gl). Mano de obra: Auxiliar De Obra 1 (0.85 jr), Oficial Obra 2 (0.8 jr). Equipo: Herrramienta Y Equipo Menor (9.9 %).</t>
  </si>
  <si>
    <t>2.08.17</t>
  </si>
  <si>
    <t>SUMINISTRO E INSTALACIÓN VÁLVULA DE CHEQUE H.F. D =6" E. BRIDA</t>
  </si>
  <si>
    <t>Precio por UND. Materiales: Válvula De Cheque H.f. 6``, Extremo Brida (1 UND), Limpiador 1/4 Pvc (0.01 gl), Soldadura Liquida Pvc 1/4`` (0.01 gl). Mano de obra: Auxiliar De Obra 1 (0.85 jr), Oficial Obra 2 (0.8 jr). Equipo: Herrramienta Y Equipo Menor (9.9 %).</t>
  </si>
  <si>
    <t>2.08.18</t>
  </si>
  <si>
    <t>SUMINISTRO E INSTALACIÓN VÁLVULA DE CONTROL PARA AGUA (PRESIÓN Y CAUDAL) D=2"</t>
  </si>
  <si>
    <t>Precio por UND. Materiales: Válvula Flotadora Hkpf Completa  2`` (1 UND). Mano de obra: Auxiliar De Instalaciones 1 (0.4 hh), Oficial Instalaciones (0.4 hh). Equipo: Herrramienta Y Equipo Menor (6.6 %).</t>
  </si>
  <si>
    <t>2.08.19</t>
  </si>
  <si>
    <t>SUMINISTRO E INSTALACIÓN VÁLVULA DE CONTROL PARA AGUA (PRESIÓN Y CAUDAL) D=3"</t>
  </si>
  <si>
    <t>Precio por UND. Materiales: Válvula Flotador Hierro Control Piloto Hkzp 3`` (1 UND). Mano de obra: Auxiliar De Instalaciones 1 (1 hh), Oficial Instalaciones (1 hh). Equipo: Herrramienta Y Equipo Menor (6.6 %).</t>
  </si>
  <si>
    <t>2.08.20</t>
  </si>
  <si>
    <t>SUMINISTRO E INSTALACIÓN VÁLVULA DE CONTROL PARA AGUA (PRESIÓN Y CAUDAL) D=4"</t>
  </si>
  <si>
    <t>Precio por UND. Materiales: Válvula Flotador Hierro Control Piloto Hkzp 4`` (1 UND). Mano de obra: Auxiliar De Instalaciones 1 (0.4 hh), Oficial Instalaciones (0.4 hh). Equipo: Herrramienta Y Equipo Menor (6.6 %).</t>
  </si>
  <si>
    <t>2.08.21</t>
  </si>
  <si>
    <t>SUMINISTRO E INSTALACIÓN VÁLVULA DE CONTROL PARA AGUA (PRESIÓN Y CAUDAL) D=6"</t>
  </si>
  <si>
    <t>Precio por UND. Materiales: Válvula Flotador Hierro Control Piloto Hkzp 6`` (1 UND). Mano de obra: Auxiliar De Instalaciones 1 (0.6 hh), Oficial Instalaciones (0.6 hh). Equipo: Herrramienta Y Equipo Menor (6.6 %).</t>
  </si>
  <si>
    <t>2.08.22</t>
  </si>
  <si>
    <t>SUMINISTRO E INSTALACIÓN VALVULA DE PIE, D= 4" CANASTILLA DE BRONCE HBVP, CUERPO Y CANASTILLA EN HF, ROSCA NPT SELLO DE CAUCHO, TUERCA Y RESORTE EN AI, PRESION DE W 150 PSI</t>
  </si>
  <si>
    <t>Precio por UND. Materiales: Válvula De Pie Canasta En Bronce D = 4`` (1 UND). Mano de obra: Auxiliar De Instalaciones 1 (1 hh), Oficial Instalaciones (1 hh). Equipo: Herrramienta Y Equipo Menor (6.6 %).</t>
  </si>
  <si>
    <t>2.08.23</t>
  </si>
  <si>
    <t>SUMINISTRO E INSTALACIÓN VÁLVULA MARIPOSA D=2 1/2"</t>
  </si>
  <si>
    <t>Precio por UND. Materiales: Valvula De Mariposa Tipo Wafer D = 2 1/2`` (1 UND). Mano de obra: Auxiliar De Instalaciones 1 (2 hh), Oficial Instalaciones (2 hh). Equipo: Pulidora (0.1 dd), Herrramienta Y Equipo Menor (6.6 %).</t>
  </si>
  <si>
    <t>2.08.24</t>
  </si>
  <si>
    <t>SUMINISTRO E INSTALACIÓN VÁLVULA MARIPOSA D=3"</t>
  </si>
  <si>
    <t>Precio por UND. Materiales: Valvula De Mariposa Tipo Wafer D = 3`` (1 UND). Mano de obra: Auxiliar De Instalaciones 1 (2 hh), Oficial Instalaciones (2 hh). Equipo: Pulidora (0.1 dd), Herrramienta Y Equipo Menor (6.6 %).</t>
  </si>
  <si>
    <t>2.08.25</t>
  </si>
  <si>
    <t>SUMINISTRO E INSTALACIÓN VÁLVULA MARIPOSA D=4"</t>
  </si>
  <si>
    <t>Precio por UND. Materiales: Valvula De Mariposa Tipo Wafer D = 4`` (1 UND). Mano de obra: Pulidora (0.1 dd), Auxiliar De Instalaciones 1 (2 hh), Oficial Instalaciones (2 hh). Equipo: Herrramienta Y Equipo Menor (6.6 %).</t>
  </si>
  <si>
    <t>2.08.26</t>
  </si>
  <si>
    <t>SUMINISTRO E INSTALACIÓN VÁLVULA MARIPOSA D=6"</t>
  </si>
  <si>
    <t>Precio por UND. Materiales: Valvula De Mariposa Tipo Wafer D = 6`` (1 UND). Mano de obra: Auxiliar De Instalaciones 1 (2 hh), Oficial Instalaciones (2 hh). Equipo: Pulidora (0.1 dd), Herrramienta Y Equipo Menor (6.6 %).</t>
  </si>
  <si>
    <t>2.08.27</t>
  </si>
  <si>
    <t>SUMINISTRO E INSTALACIÓN VENTOSA DE DOBLE ACCIÓN D = ½" EN HIERRO DÚCTIL</t>
  </si>
  <si>
    <t>Precio por UND. Materiales: Ventosa ½`` (1 UND). Mano de obra: Auxiliar De Obra 1 (0.25 jr), Oficial Obra 2 (0.25 jr). Equipo: Herrramienta Y Equipo Menor (6.6 %).</t>
  </si>
  <si>
    <t>AM02 · OG06 · ES05 · NP02</t>
  </si>
  <si>
    <t>2.08.28</t>
  </si>
  <si>
    <t>SUMINISTRO E INSTALACIÓN VENTOSA DE DOBLE ACCIÓN D =2" EN HIERRO DÚCTIL</t>
  </si>
  <si>
    <t>Precio por UND. Materiales: Ventosa De Doble Acción 2`` 250 Psi. (1 UND). Mano de obra: Auxiliar De Obra 1 (0.25 jr), Oficial Obra 2 (0.25 jr). Equipo: Herrramienta Y Equipo Menor (6.6 %).</t>
  </si>
  <si>
    <t>2.08.29</t>
  </si>
  <si>
    <t>SUMINISTRO E INSTALCIÓN VÁLVULA DE PURGA D=1"</t>
  </si>
  <si>
    <t>Precio por UND. Materiales: Válvula De Purga De Aire 1`` (1 UND), Limpiador 1/4 Pvc (0.02 gl), Soldadura Liquida Pvc 1/4`` (0.02 gl). Mano de obra: Auxiliar De Instalaciones 1 (1.6 hh), Oficial Instalaciones (1.6 hh). Equipo: Herrramienta Y Equipo Menor (6.6 %).</t>
  </si>
  <si>
    <t>2.08.30</t>
  </si>
  <si>
    <t>SUMINISTRO E INSTALCIÓN VÁLVULA DE PURGA D=1/2"</t>
  </si>
  <si>
    <t>Precio por UND. Materiales: Válvula De Purga De Aire 1/2`` (1 UND), Limpiador 1/4 Pvc (0.02 gl), Soldadura Liquida Pvc 1/4`` (0.02 gl). Mano de obra: Auxiliar De Instalaciones 1 (1.6 hh), Oficial Instalaciones (1.6 hh). Equipo: Herrramienta Y Equipo Menor (6.6 %).</t>
  </si>
  <si>
    <t>2.08.31</t>
  </si>
  <si>
    <t>SUMINISTRO E INSTALCIÓN VÁLVULA DE PURGA D=2"</t>
  </si>
  <si>
    <t>Precio por UND. Materiales: Válvula De Purga De Aire 2`` (1 UND), Limpiador 1/4 Pvc (0.02 gl), Soldadura Liquida Pvc 1/4`` (0.02 gl). Mano de obra: Auxiliar De Instalaciones 1 (1.6 hh), Oficial Instalaciones (1.6 hh). Equipo: Herrramienta Y Equipo Menor (6.6 %).</t>
  </si>
  <si>
    <t>2.08.32</t>
  </si>
  <si>
    <t>SUMINISTRO E INSTALACIÓN VENTOSA DE DOBLE ACCIÓN D = 1"</t>
  </si>
  <si>
    <t>Precio por UND. Materiales: Ventosa De Doble Acción 1`` 250 Psi. (1 UND). Mano de obra: Auxiliar De Instalaciones 1 (1.6 hh), Oficial Instalaciones (1.6 hh). Equipo: Herrramienta Y Equipo Menor (6.6 %).</t>
  </si>
  <si>
    <t>AM02 · OG06 · ES18 · NP02</t>
  </si>
  <si>
    <t>2.09.01</t>
  </si>
  <si>
    <t>REFORESTACION</t>
  </si>
  <si>
    <t>AISLAMIENTO, DISTANCIAL ENTRE POSTES 2.5 MTS CON 4 HILOS DE ALAMBRE</t>
  </si>
  <si>
    <t>km</t>
  </si>
  <si>
    <t>Kilómetro</t>
  </si>
  <si>
    <t>Precio por km. Materiales: Grapas (11 kg), Madera Rolliza D=0.15 M (33 ML), Postes De Madera H=1.5 (400 UND), Alambre De Puas N° 12.5 (412 kg). Mano de obra: Auxiliar De Obra 1 (7 jr), Oficial Obra 2 (7 jr). Equipo: Herrramienta Y Equipo Menor (8 %).</t>
  </si>
  <si>
    <t>AM02 · OB09 · ES01 · NP01</t>
  </si>
  <si>
    <t>2.09.02</t>
  </si>
  <si>
    <t>AISLAMIENTO PARA RESTAURACION PASIVA, DISTANCIA ENTRE POSTES 2.5 MTS CON 5 HILOS DE ALAMBRE, INCLUYE MANTENIMIENTO POR 3 AÑOS</t>
  </si>
  <si>
    <t>Precio por km. Materiales: Grapas (16 kg), Madera Rolliza D=0.15 M (40 ML), Postes De Madera H=1.5 (400 UND), Alambre De Puas N° 12.5 (335 kg). Mano de obra: Auxiliar De Obra 1 (15 jr), Oficial Obra 2 (15 jr). Equipo: Herrramienta Y Equipo Menor (12.5 %).</t>
  </si>
  <si>
    <t>AM02 · OB09 · ES01 · NP06</t>
  </si>
  <si>
    <t>NP06 Mantenimiento</t>
  </si>
  <si>
    <t>2.09.03</t>
  </si>
  <si>
    <t>CONSTRUCCION DE JARDINES</t>
  </si>
  <si>
    <t>Precio por M2. Materiales: Tierra Negra (0.1 M3), Pasto (1 M2), Plantas Ornamentales Varias (12 UND). Mano de obra: Auxiliar De Obra 2 (0.6 hh), Oficial Obra 1 (0.6 hh). Equipo: Herrramienta Y Equipo Menor (0.7 %).</t>
  </si>
  <si>
    <t>AM02 · OB09 · ES16 · NP01</t>
  </si>
  <si>
    <t>2.09.04</t>
  </si>
  <si>
    <t>ESTABLECIMIENTO DE SETOS</t>
  </si>
  <si>
    <t>Precio por ML. Materiales: Tierra Abonada (0.05 M3), Seto Mediano Para Cerramiento Tipo ``eugenia`` H=1 - 2 M (2 UND). Mano de obra: Auxiliar De Obra 1 (0.05 jr). Equipo: Herrramienta Y Equipo Menor (5 %).</t>
  </si>
  <si>
    <t>2.09.05</t>
  </si>
  <si>
    <t>MANTENIMIENTO AÑO 2</t>
  </si>
  <si>
    <t>HA</t>
  </si>
  <si>
    <t>Hectárea</t>
  </si>
  <si>
    <t>Precio por HA. Materiales: Plantulas +10% Repos (111 UND), Clorpirifos (2 Kg-Lt). Mano de obra: Auxiliar De Obra 1 (11.5 jr), Oficial Obra 2 (11.5 jr). Equipo: Herrramienta Y Equipo Menor (5.8 %).</t>
  </si>
  <si>
    <t>AM02 · OB09 · ES16 · NP06</t>
  </si>
  <si>
    <t>2.09.06</t>
  </si>
  <si>
    <t>MANTENIMIENTO AÑO 3</t>
  </si>
  <si>
    <t>2.09.07</t>
  </si>
  <si>
    <t>MANTENIMIENTO DE PRADOS</t>
  </si>
  <si>
    <t>Precio por M2. Mano de obra: Auxiliar De Obra 1 (0.04 jr), Oficial Obra 2 (0.01 jr). Equipo: Herrramienta Y Equipo Menor (8.4 %).</t>
  </si>
  <si>
    <t>2.09.08</t>
  </si>
  <si>
    <t>MANTENIMIENTO DE SETOS</t>
  </si>
  <si>
    <t>Precio por ML. Mano de obra: Auxiliar De Obra 1 (0.04 jr), Oficial Obra 2 (0.01 jr). Equipo: Herrramienta Y Equipo Menor (8 %).</t>
  </si>
  <si>
    <t>2.09.09</t>
  </si>
  <si>
    <t>REFORESTACION INCLUYE ROCERÍA, TRAZADO, PLATEO, AHOYADO, RESPOSICION, LIMPIAS</t>
  </si>
  <si>
    <t>Precio por HA. Materiales: Plantulas +10% Repos (1222 UND), Terracal (77.8 kg), Boro Natural (11.1 kg), Hidroretenedor (3.3 kg) y 2 más. Mano de obra: Auxiliar De Obra 1 (15 jr), Oficial Obra 2 (15 jr). Equipo: Herrramienta Y Equipo Menor (7 %).</t>
  </si>
  <si>
    <t>3.01.01</t>
  </si>
  <si>
    <t>PRELIMINARES (VIAS)</t>
  </si>
  <si>
    <t>DESMONTE Y LIMPIEZA EN BOSQUE</t>
  </si>
  <si>
    <t>Precio por HA. Mano de obra: Auxiliar De Obra 1 (10 jr). Equipo: Retroexcavadora 320 O Similar (6.67 hr), Motosierra (6.67 hr), Herrramienta Y Equipo Menor (5 %).</t>
  </si>
  <si>
    <t>AM03 · ON01 · ES01 · NP05</t>
  </si>
  <si>
    <t>AM03 Vías y urbanismo</t>
  </si>
  <si>
    <t>3.01.02</t>
  </si>
  <si>
    <t>DESMONTE Y LIMPIEZA EN BOSQUE INCLUYE ACARREO LIBRE HASTA 5 KM</t>
  </si>
  <si>
    <t>Precio por HA. Mano de obra: Auxiliar De Obra 1 (10 jr). Equipo: Retroexcavadora 320 O Similar (6.67 hr), Motosierra (6.67 hr), Herrramienta Y Equipo Menor (5 %). Transporte: Viaje Volqueta M3 (10 M3).</t>
  </si>
  <si>
    <t>AM03 · ON01 · ES17 · NP05</t>
  </si>
  <si>
    <t>3.01.03</t>
  </si>
  <si>
    <t>DESMONTE Y LIMPIEZA EN ZONA NO BOSCOSA</t>
  </si>
  <si>
    <t>Precio por HA. Mano de obra: Auxiliar De Obra 1 (14 jr). Equipo: Guadañadora (2.78 hr), Motosierra (9.71 hr), Herrramienta Y Equipo Menor (5 %).</t>
  </si>
  <si>
    <t>3.01.04</t>
  </si>
  <si>
    <t>LOCALIZACION Y REPLANTEO TOPOGRAFICO</t>
  </si>
  <si>
    <t>Precio por km. Materiales: Pintura Y Estacas (1 glb). Mano de obra: Cadenero 1 (4 jr), Cadenero 2 (4 jr), Cadenero 3 (4 jr), Topografo (5 jr) y 1 más. Equipo: Equipo De Topografía (24 hr), Herrramienta Y Equipo Menor (5 %).</t>
  </si>
  <si>
    <t>AM03 · ON01 · ES01 · NP01</t>
  </si>
  <si>
    <t>3.01.05</t>
  </si>
  <si>
    <t>DESMONTE Y TRASLADO DE ESTRUCTURAS METALICAS( INCLUYE CARGUE Y DESCARGUES)</t>
  </si>
  <si>
    <t>Precio por kg. Mano de obra: Auxiliar De Obra 1 (0 jr), Oficial Obra 2 (0 jr), Transporte Estructura Metalica (1 kg-km). Equipo: Equipo De Oxicorte (0 dd), Grua Telescopica 50 Ton (0 hr), Herrramienta Y Equipo Menor (1 %).</t>
  </si>
  <si>
    <t>AM03 · ON01 · ES02 · NP05</t>
  </si>
  <si>
    <t>3.01.06</t>
  </si>
  <si>
    <t>REMOCION DE CERCA DE ALAMBRE</t>
  </si>
  <si>
    <t>Precio por ML. Mano de obra: Auxiliar De Obra 1 (0.05 jr). Equipo: Herrramienta Y Equipo Menor (5 %).</t>
  </si>
  <si>
    <t>AM03 · ON01 · ES16 · NP01</t>
  </si>
  <si>
    <t>3.01.07</t>
  </si>
  <si>
    <t>REMOCION Y BLOQUEO DE ESPECIES VEGETALES DE DAP&gt;30 CMS Y ALTURA &gt;3 MTS</t>
  </si>
  <si>
    <t>Precio por UND. Materiales: Tierra Abonada (2 M3), Costales De Fique O De Fibra (4 M2), Nutrientes (1 kg). Mano de obra: Auxiliar De Obra 1 (0.5 jr). Equipo: Cargador 950 O Similar (1 hr), Herrramienta Y Equipo Menor (6.7 %).</t>
  </si>
  <si>
    <t>3.02.01</t>
  </si>
  <si>
    <t>EXPLANACIONES</t>
  </si>
  <si>
    <t>CONFORMACION DE BOTADERO O ESCOMBRERA</t>
  </si>
  <si>
    <t>Precio por M3. Mano de obra: Auxiliar De Obra 1 (0 jr). Equipo: Bulldozer Tipo D-6 O Similar (0.02 hr).</t>
  </si>
  <si>
    <t>AM03 · ON02 · ES17 · NP01</t>
  </si>
  <si>
    <t>3.02.02</t>
  </si>
  <si>
    <t>Precio por M3. Mano de obra: Auxiliar De Obra 1 (0.01 jr), Paleteros (0.01 jr). Equipo: Retroexcavadora 320 O Similar (0.08 hr), Herrramienta Y Equipo Menor (0.7 %). Transporte: Transporte De Material (1 M3).</t>
  </si>
  <si>
    <t>3.02.03</t>
  </si>
  <si>
    <t>Precio por M3. Equipo: Retroexcavadora 320 O Similar (0.03 hr). Transporte: Viaje Volqueta M3 (0.1 M3).</t>
  </si>
  <si>
    <t>3.02.04</t>
  </si>
  <si>
    <t>EXCAVACION EN ROCA CON COMPRESOR Y DINAMITA</t>
  </si>
  <si>
    <t>Precio por M3. Materiales: Cordon Detonante 12 Grs/Metro (3 ML), Detonador Electronico Edev (1 UND), Indugel Plus Tipo B32x250 (2 kg). Mano de obra: Compresor (0.1 hr), Auxiliar De Obra 1 (0.5 jr), Machinero (0.1 jr). Equipo: Herrramienta Y Equipo Menor (3.3 %).</t>
  </si>
  <si>
    <t>AM03 · ON02 · ES03 · NP01</t>
  </si>
  <si>
    <t>3.02.05</t>
  </si>
  <si>
    <t>EXCAVACION MECANICA EN ROCA DE LA EXPLANEACION, CANALES Y PRESTAMOS SIN EXPLOSIVOS</t>
  </si>
  <si>
    <t>Precio por M3. Mano de obra: Auxiliar De Obra 1 (0 jr), Paleteros (0 jr). Equipo: Retroexcavadora E200 O Similar Con Martillo Neumatico (0.15 hr), Retroexcavadora 320 O Similar (0.15 hr), Herrramienta Y Equipo Menor (1 %).</t>
  </si>
  <si>
    <t>3.02.06</t>
  </si>
  <si>
    <t>EXCAVACIONES DE CORTES, CANALES Y PRESTAMOS EN ROCA A MAQUINA INCLUYE ACARREO LIBRE DE 5 KM CON EXPLOSIVOS (APERTURA Y/O AMPLIACION DE VIA)</t>
  </si>
  <si>
    <t>Precio por M3. Materiales: Cordon Detonante 12 Grs/Metro (3 ML), Indugel Plus Tipo B32x250 (1 kg). Mano de obra: Auxiliar De Obra 1 (0.1 jr), Machinero (0.1 jr). Equipo: Bulldozer Tipo D-6 O Similar (0.08 hr), Cargador 950 O Similar (0.07 hr), Compresor (0.08 hr), Herrramienta Y Equipo Menor (7.5 %). Transporte: Viaje Volqueta M3 (0.07 M3).</t>
  </si>
  <si>
    <t>3.02.07</t>
  </si>
  <si>
    <t>EXCAVACIONES MECANICAS VARIAS EN MATERIAL COMUN SECO</t>
  </si>
  <si>
    <t>Precio por M3. Mano de obra: Auxiliar De Obra 1 (0 jr). Equipo: Retroexcavadora Jd-510 O Similar (0.04 hr), Herrramienta Y Equipo Menor (3.3 %). Transporte: Transporte De Material (6.5 M3-km).</t>
  </si>
  <si>
    <t>3.02.08</t>
  </si>
  <si>
    <t>EXCAVACIONES MECANICAS VARIAS EN ROCA BAJO AGUA</t>
  </si>
  <si>
    <t>Precio por M3. Materiales: Carga Fulminante Fuerte + Clavo 5/16 B. Vel 1 (1 UND), Cordon Detonante 12 Grs/Metro (2 ML), Indugel Plus Tipo B32x250 (0.13 kg), Mecha Lenta (0.5 ML). Mano de obra: Auxiliar De Obra 1 (0.5 jr), Oficial Obra 2 (0.3 jr). Equipo: Compresor (0.4 hr), Motobomba (0.13 hr), Retroexcavadora 320 O Similar (0.01 hr), Herrramienta Y Equipo Menor (3.3 %). Transporte: Escolta Y Transporte (1 M3), Transporte De Material (7 M3-km).</t>
  </si>
  <si>
    <t>3.02.09</t>
  </si>
  <si>
    <t>EXCAVACIONES MECANICAS VARIAS EN ROCA EN SECO</t>
  </si>
  <si>
    <t>Precio por M3. Materiales: Carga Fulminante Fuerte + Clavo 5/16 B. Vel 1 (1 UND), Cordon Detonante 12 Grs/Metro (4 ML), Indugel Plus Tipo B32x250 (0.4 kg), Mecha Lenta (1 ML). Mano de obra: Auxiliar De Obra 1 (0.17 jr), Oficial Obra 2 (0.04 jr). Equipo: Compresor (0.5 hr), Retroexcavadora Jd-510 O Similar (0.07 hr), Herrramienta Y Equipo Menor (5 %).</t>
  </si>
  <si>
    <t>3.02.10</t>
  </si>
  <si>
    <t>PEDRAPLEN COMPACTO</t>
  </si>
  <si>
    <t>Precio por M3. Materiales: Piedra (1.3 M3). Mano de obra: Auxiliar De Obra 1 (0.01 jr), Oficial Obra 2 (0 jr). Equipo: Bulldozer Tipo D-6 O Similar (0.03 hr), Retroexcavadora Jd-510 O Similar (0.03 hr), Vibrocompactador Ca-15 O Similar (0.03 hr).</t>
  </si>
  <si>
    <t>3.02.11</t>
  </si>
  <si>
    <t>PEDRAPLEN SUELTO</t>
  </si>
  <si>
    <t>Precio por M3. Materiales: Piedra (1.1 M3). Mano de obra: Auxiliar De Obra 1 (0 jr), Oficial Obra 2 (0 jr). Equipo: Bulldozer Tipo D-6 O Similar (0.03 hr), Retroexcavadora Jd-510 O Similar (0.03 hr).</t>
  </si>
  <si>
    <t>3.02.12</t>
  </si>
  <si>
    <t>TERRAPLENES</t>
  </si>
  <si>
    <t>Precio por M3. Mano de obra: Auxiliar De Obra 1 (0 jr), Oficial Obra 2 (0 jr). Equipo: Carrotanque (0.03 hr), Motoniveladora Potencia Minima 120 Hp Y Max 215 Hp (0.03 hr), Retroexcavadora Jd-510 O Similar (0.03 hr), Vibrocompactador Ca-15 O Similar (0.03 hr).</t>
  </si>
  <si>
    <t>3.03.01</t>
  </si>
  <si>
    <t>OBRAS DE DRENAJE, PROTECCION Y ESTRUCTURAS</t>
  </si>
  <si>
    <t>COLCHOGAVIONES SEGUN NORMA INVIAS</t>
  </si>
  <si>
    <t>Precio por M3. Materiales: Cuarton 2" X 4" X 300 (2 ML), Malla Galvanizada Tipo A Cal. 12 2x0,5x1 (1 UND), Piedra Media Zonga (1.05 M3), Alambre Galvanizado C. 13 (0.5 kg). Mano de obra: Auxiliar De Obra 1 (0.2 jr), Oficial Obra 2 (0.2 jr). Equipo: Herrramienta Y Equipo Menor (6.7 %).</t>
  </si>
  <si>
    <t>AM03 · OB09 · ES16 · NP01</t>
  </si>
  <si>
    <t>3.03.02</t>
  </si>
  <si>
    <t>CONSTRUCCION DE FILTROS A CUALQUIER PROFUNDIDAD, CON MATERIAL FILTRANTE SEGUN NORMA INVIAS, SIN EXCAVACION, INCLUYE GEOTEXTIL NT 2000</t>
  </si>
  <si>
    <t>Precio por M3. Materiales: Geotextil Nt 2000 (3.5 M2), Gravilla ¾, ½ (0.8 M3), Material Sellante Para Filtros. (0.1 M3), Rajón (0.4 M3). Mano de obra: Auxiliar De Obra 1 (0.75 jr), Oficial Obra 2 (0.25 jr). Equipo: Herrramienta Y Equipo Menor (3.3 %).</t>
  </si>
  <si>
    <t>AM03 · OB09 · ES03 · NP01</t>
  </si>
  <si>
    <t>3.03.03</t>
  </si>
  <si>
    <t>CONSTRUCCIÓN DE MUROS EN GAVIONES, INCLUYE MALLA ESLABONADA TRIPLE TORSION CAL. 13</t>
  </si>
  <si>
    <t>Precio por M3. Materiales: Tabla Burra 3 M (5 ML), Cuarton 2`` X 4`` X 300 Otobo (0.4 UND), Malla Galvanizada Tipo A Cal. 13 2x1x1 (0.5 UND), Piedra Media Zonga (1.2 M3) y 2 más. Mano de obra: Auxiliar De Obra 2 (4.25 hh), Oficial Obra 1 (0.85 hh). Equipo: Herrramienta Y Equipo Menor (3 %).</t>
  </si>
  <si>
    <t>AM03 · OB09 · ES01 · NP01</t>
  </si>
  <si>
    <t>3.03.04</t>
  </si>
  <si>
    <t>CONSTRUCCION MANUAL DE CUNETAS EN TIERRA</t>
  </si>
  <si>
    <t>Precio por ML. Mano de obra: Auxiliar De Obra 1 (0.05 jr). Equipo: Herrramienta Y Equipo Menor (6.4 %).</t>
  </si>
  <si>
    <t>3.03.05</t>
  </si>
  <si>
    <t>CUNETAS REVESTIDAS EN CONCRETO DE 21 MPA ( 3000 PSI) SIN REFUERZO (INCLUYE SELLO DE JUNTAS)</t>
  </si>
  <si>
    <t>Precio por M3. Materiales: Alambre Negro No. 18 (0.1 kg), Concreto Clase D 21 Mpa (1.05 M3), Tabla Chapa (3 ML), Puntilla Con Y Sin Cabeza 2 (0.16 lb). Mano de obra: Auxiliar De Obra 1 (0.3 jr), Oficial Obra 2 (0.3 jr). Equipo: Herrramienta Y Equipo Menor (3.3 %).</t>
  </si>
  <si>
    <t>AM03 · OB09 · ES05 · NP01</t>
  </si>
  <si>
    <t>3.03.06</t>
  </si>
  <si>
    <t>DISIPADOR DE ENERGIA Y SEDIMENTADOR EN CONCRETO SIMPLE DE 21 MPA (3000 PSI), (NO INCLUYE REFUERZO)</t>
  </si>
  <si>
    <t>Precio por M3. Materiales: Concreto Clase D 21 Mpa (1 M3), Madera Repisa 3 M (0.59 ML), Madera Tabla Burra (1.31 ML), Madera Vara De Clavo (0.77 ML) y 1 más. Mano de obra: Auxiliar De Obra 1 (1 jr), Oficial Obra 2 (0.27 jr). Equipo: Formaleta (4.5 dd), Herrramienta Y Equipo Menor (6.7 %).</t>
  </si>
  <si>
    <t>AM03 · OB09 · ES14 · NP01</t>
  </si>
  <si>
    <t>3.03.07</t>
  </si>
  <si>
    <t>DISIPADOR DE ENERGIA Y SEDIMENTADOR EN GAVIONES, CON RECUBRIMIENTO EN MORTERO 1:3</t>
  </si>
  <si>
    <t>Precio por M3. Materiales: Mortero 1:3 (0.12 M3), Madera Repisa 3 M (2 ML), Madera Tabla Burra (4 ML), Madera Vara De Clavo (0.39 ML) y 4 más. Mano de obra: Auxiliar De Obra 1 (0.53 jr), Oficial Obra 2 (0.13 jr). Equipo: Formaleta (2.5 dd), Herrramienta Y Equipo Menor (6.7 %).</t>
  </si>
  <si>
    <t>3.03.08</t>
  </si>
  <si>
    <t>DRENAJES EN TUBERIA DE PVC 4`` PERFORADA INCLUYE GRAVILLA FINA</t>
  </si>
  <si>
    <t>Precio por ML. Materiales: Tubería Drenaje Corrugada Pvc 100 Mm  Sin Filtro. Tramos De 5 M. Con Unión. (1 ML), Gravilla ¾, ½ (0.03 M3). Mano de obra: Auxiliar De Instalaciones 1 (0.3 hh), Oficial Instalaciones (0.3 hh). Equipo: Herrramienta Y Equipo Menor (5 %).</t>
  </si>
  <si>
    <t>AM03 · OB09 · ES13 · NP01</t>
  </si>
  <si>
    <t>3.03.09</t>
  </si>
  <si>
    <t>DRENES HORIZONTALES TUBERIA PVC PERFORADA CON FILTRO 2"</t>
  </si>
  <si>
    <t>Precio por ML. Materiales: Tubería Drenaje Pvc 2 " Perforado Con Filtro (1 ML). Mano de obra: Equipo De Perforacion Trackdrill (0.8 hr), Auxiliar De Instalaciones 1 (1.4 hh), Oficial Instalaciones (1 hh). Equipo: Herrramienta Y Equipo Menor (5 %).</t>
  </si>
  <si>
    <t>3.03.10</t>
  </si>
  <si>
    <t>EXCAVACION MANUAL EN MATERIAL COMUN</t>
  </si>
  <si>
    <t>Precio por M3. Mano de obra: Auxiliar De Obra 1 (0.3 jr), Oficial Obra 2 (0.2 jr). Equipo: Herrramienta Y Equipo Menor (5 %).</t>
  </si>
  <si>
    <t>3.03.11</t>
  </si>
  <si>
    <t>EXCAVACION MANUAL EN MATERIAL CONGLOMERADO</t>
  </si>
  <si>
    <t>Precio por M3. Mano de obra: Auxiliar De Obra 1 (0.5 jr), Oficial Obra 2 (0.25 jr). Equipo: Herrramienta Y Equipo Menor (3.3 %).</t>
  </si>
  <si>
    <t>3.03.12</t>
  </si>
  <si>
    <t>MEJORAMIENTO DE PISO CON MATERIAL DE AFIRMADO COMPACTADO CON PLANCHA VIBRADORA, INCLUYE ACARREO LIBRE DE 5 KM.</t>
  </si>
  <si>
    <t>Precio por M3. Materiales: Material De Afirmado (1.3 M3), Agua (25 lt). Mano de obra: Auxiliar De Obra 1 (0.1 jr), Oficial Obra 2 (0.1 jr). Equipo: Cargador 950 O Similar (0.1 hr), Carrotanque (0.1 hr), Vibrocompactador Rana (0.33 hr), Herrramienta Y Equipo Menor (3.3 %).</t>
  </si>
  <si>
    <t>AM03 · OB09 · ES17 · NP01</t>
  </si>
  <si>
    <t>3.03.13</t>
  </si>
  <si>
    <t>MURO DE CONTENCION DE SUELO REFORZADO CON GEOTEXTIL (TIERRA ARMADA) incluye acarreo libre 5 km</t>
  </si>
  <si>
    <t>Precio por M3. Materiales: Geotextil Tejido Con Resistencia A La Rotura 45.2 Kn/M (6 M2), Material Seleccionado Para Relleno (1.3 M3), Agua (44 lt). Mano de obra: Carrotanque (0.13 hr), Formaleta (0.5 dd), Vibrocompactador Ca-15 O Similar (0.13 hr), Auxiliar De Obra 1 (0.04 jr) y 1 más. Equipo: Herrramienta Y Equipo Menor (2 %). Transporte: Transporte De Material (30 M3-km).</t>
  </si>
  <si>
    <t>3.03.14</t>
  </si>
  <si>
    <t>PLACA DE PROTECCION PARA TUBERIAS Y CANALES (INCLUYE ACERO DE</t>
  </si>
  <si>
    <t>Precio por ML. Materiales: Concreto Clase D 21 Mpa (0.11 M3), Acero 60000 Psi (13 kg), Ladrillo Prensado Macizo Santafe (72 UND), Mortero 1:4 (0.03 M3) y 1 más.</t>
  </si>
  <si>
    <t>3.03.15</t>
  </si>
  <si>
    <t>RELLENO CON MATERIAL DE AFIRMADO COMPACTADO PLANCHA VIBRADORA</t>
  </si>
  <si>
    <t>Precio por M3. Materiales: Material De Afirmado (1.3 M3). Mano de obra: Auxiliar De Obra 1 (0.1 jr), Oficial Obra 2 (0.1 jr). Equipo: Cargador 950 O Similar (0.07 hr), Vibrocompactador Rana (0.18 hr), Herrramienta Y Equipo Menor (3.3 %). Transporte: Viaje Volqueta M3 (0.07 M3).</t>
  </si>
  <si>
    <t>3.03.16</t>
  </si>
  <si>
    <t>RELLENO CON MATERIAL SELECCIONADO PROVENIENTE DE EXCAVACION COMPACTADO CON PLANTA VIBRADORA</t>
  </si>
  <si>
    <t>Precio por M3. Mano de obra: Auxiliar De Obra 1 (0.15 jr), Oficial Obra 2 (0.05 jr). Equipo: Vibrocompactador Rana (0.33 hr), Herrramienta Y Equipo Menor (3.3 %).</t>
  </si>
  <si>
    <t>3.03.17</t>
  </si>
  <si>
    <t>SUELO CEMENTO RELACION 1:8</t>
  </si>
  <si>
    <t>Precio por M3. Materiales: Cemento Gris (97.5 kg). Mano de obra: Auxiliar De Obra 2 (0.2 hh), Oficial Obra 1 (0.2 hh). Equipo: Carrotanque (0.08 hr), Motoniveladora Potencia Minima 120 Hp Y Max 215 Hp (0.08 hr), Vibrocompactador Ca-15 O Similar (0.08 hr), Herrramienta Y Equipo Menor (4 %).</t>
  </si>
  <si>
    <t>3.03.18</t>
  </si>
  <si>
    <t>SUMINISTRO E INSTALACION DE CONCRETO SIMPLE DE 17.5 MPA (2500 PSI) PARA ELEVACIONES</t>
  </si>
  <si>
    <t>Precio por M3. Materiales: Concreto 1:2:4 17.5 Mpa (1.05 M3), Madera Repisa 3 M (1.97 ML), Madera Tabla Burra (4.34 ML), Madera Vara De Clavo (2.56 ML) y 1 más. Mano de obra: Auxiliar De Obra 1 (0.6 jr), Oficial Obra 2 (0.15 jr). Equipo: Formaleta (7 dd), Vibrador De Concreto (2 hr), Herrramienta Y Equipo Menor (1.7 %).</t>
  </si>
  <si>
    <t>AM03 · OB09 · ES16 · NP02</t>
  </si>
  <si>
    <t>3.03.19</t>
  </si>
  <si>
    <t>SUMINISTRO E INSTALACION DE CONCRETO CICLOPEO DE 17.5 MPA (2500) , 40% RAJON PARA BASES</t>
  </si>
  <si>
    <t>Precio por M3. Materiales: Concreto 1:2:4 17.5 Mpa (0.65 M3), Madera Repisa 3 M (0.42 ML), Madera Tabla Burra (0.93 ML), Madera Vara De Clavo (0.55 ML) y 2 más. Mano de obra: Auxiliar De Obra 1 (1 jr), Oficial Obra 2 (0.35 jr). Equipo: Herrramienta Y Equipo Menor (3.3 %).</t>
  </si>
  <si>
    <t>3.03.20</t>
  </si>
  <si>
    <t>SUMINISTRO E INSTALACION DE CONCRETO CICLOPEO DE 17.5 MPA (2500) , 40% RAJON PARA ELEVACIONES</t>
  </si>
  <si>
    <t>Precio por M3. Materiales: Concreto 1:2:4 17.5 Mpa (0.65 M3), Madera Repisa 3 M (1.47 ML), Madera Tabla Burra (3.23 ML), Madera Vara De Clavo (1.91 ML) y 2 más. Mano de obra: Formaleta (7 dd), Auxiliar De Obra 1 (2.5 jr), Oficial Obra 2 (0.75 jr). Equipo: Herrramienta Y Equipo Menor (3.3 %).</t>
  </si>
  <si>
    <t>3.03.21</t>
  </si>
  <si>
    <t>SUMINISTRO E INSTALACION DE CONCRETO CICLOPEO DE 17.5 MPA (2500) , 60% RAJON PARA PLACA HUELLAS</t>
  </si>
  <si>
    <t>Precio por M3. Materiales: Tablero O Plaqueta De 1.4mt X O.7mt (5 dd), Concreto 1:2:4 17.5 Mpa (0.45 M3), Madera Repisa 3 M (0.42 ML), Madera Tabla Burra (0.93 ML) y 3 más. Mano de obra: Auxiliar De Obra 1 (1.4 jr), Oficial Obra 2 (0.35 jr). Equipo: Herrramienta Y Equipo Menor (3.3 %).</t>
  </si>
  <si>
    <t>3.03.22</t>
  </si>
  <si>
    <t>SUMINISTRO E INSTALACION DE CONCRETO DE 14 MPA (2000 PSI) SOLADOS Y</t>
  </si>
  <si>
    <t>Precio por M3. Materiales: Concreto 1:3:5 14 Mpa (1 M3). Mano de obra: Auxiliar De Obra 1 (0.1 jr), Oficial Obra 2 (0.05 jr). Equipo: Herrramienta Y Equipo Menor (6.6 %).</t>
  </si>
  <si>
    <t>3.03.23</t>
  </si>
  <si>
    <t>SUMINISTRO E INSTALACION DE CONCRETO SIMPLE DE 17.5 MPA (2500) PARA BASES</t>
  </si>
  <si>
    <t>Precio por M3. Materiales: Concreto 1:2:4 17.5 Mpa (1.1 M3), Formaleta Para Base Para Concretos (3 gl). Mano de obra: Auxiliar De Obra 1 (0.2 jr), Oficial Obra 2 (0.05 jr). Equipo: Vibrador De Concreto (1 hr), Herrramienta Y Equipo Menor (1.6 %).</t>
  </si>
  <si>
    <t>3.03.24</t>
  </si>
  <si>
    <t>SUMINISTRO E INSTALACION DE CONCRETO SIMPLE DE 21 MPA (3000 PSI) PARA ELEVACIONES, H&lt;3.0 MTS</t>
  </si>
  <si>
    <t>Precio por M3. Materiales: Concreto Clase D 21 Mpa (1.1 M3), Madera Repisa 3 M (1.97 ML), Madera Tabla Burra (4.34 ML), Madera Vara De Clavo (2.56 ML) y 1 más. Mano de obra: Auxiliar De Obra 1 (1.7 jr), Oficial Obra 2 (0.44 jr). Equipo: Formaleta (14 dd), Vibrador De Concreto (2.5 hr), Herrramienta Y Equipo Menor (1.7 %).</t>
  </si>
  <si>
    <t>3.03.25</t>
  </si>
  <si>
    <t>SUMINISTRO E INSTALACION DE CONCRETO SIMPLE DE 21 MPA (3000 PSI) PARA ELEVACIONES, H&gt;3.0 MTS</t>
  </si>
  <si>
    <t>Precio por M3. Materiales: Concreto Clase D 21 Mpa (1.1 M3), Madera Repisa 3 M (3 ML), Madera Tabla Burra (6 ML), Madera Vara De Clavo (4 ML) y 1 más. Mano de obra: Auxiliar De Obra 1 (2 jr), Oficial Obra 2 (0.5 jr). Equipo: Formaleta (20 dd), Vibrador De Concreto (3.3 hr), Herrramienta Y Equipo Menor (5 %).</t>
  </si>
  <si>
    <t>3.03.26</t>
  </si>
  <si>
    <t>SUMINISTRO E INSTALACION DE CONCRETO SIMPLE DE 21 MPA (3000) PARA BASES</t>
  </si>
  <si>
    <t>Precio por M3. Materiales: Concreto Clase D 21 Mpa (1.1 M3), Formaleta Para Base Para Concretos (3 gl). Mano de obra: Vibrador De Concreto (2.5 hr), Auxiliar De Obra 1 (1 jr), Oficial Obra 2 (0.25 jr). Equipo: Herrramienta Y Equipo Menor (1.6 %).</t>
  </si>
  <si>
    <t>3.03.27</t>
  </si>
  <si>
    <t>SUMINISTRO E INSTALACION DE TUBERIA DE CONCRETO REFORZADO D=24", INCLUYE EMBOQUILLADA</t>
  </si>
  <si>
    <t>Precio por ML. Materiales: Mortero 1:3 Impermeabilizado (0.02 M3), Tuberia Concreto Cl. I D=24`` (1 ML), Concreto Clase F 14 Mpa (0.05 M3). Mano de obra: Auxiliar De Obra 1 (0.25 jr), Oficial Obra 2 (0.25 jr). Equipo: Retroexcavadora Jd-510 O Similar (0.1 hr), Herrramienta Y Equipo Menor (5 %).</t>
  </si>
  <si>
    <t>AM03 · OB09 · ES13 · NP02</t>
  </si>
  <si>
    <t>3.03.28</t>
  </si>
  <si>
    <t>SUMINISTRO E INSTALACION DE TUBERIA DE CONCRETOREFORZADO D=36", INCLUYE EMBOQUILLADA</t>
  </si>
  <si>
    <t>Precio por ML. Materiales: Mortero 1:3 Impermeabilizado (0.02 M3), Tuberia Concreto Cl I D=36`` (1 ML), Concreto Clase F 14 Mpa (0.1 M3). Mano de obra: Retroexcavadora Jd-510 O Similar (0.2 hr), Auxiliar De Obra 1 (0.25 jr), Oficial Obra 2 (0.25 jr). Equipo: Herrramienta Y Equipo Menor (5 %).</t>
  </si>
  <si>
    <t>3.04.01</t>
  </si>
  <si>
    <t>AFIRMADO, SUBBASES Y BASES</t>
  </si>
  <si>
    <t>SUMINISTRO, EXTENDIDA Y COMPATACION BASE ESTABILIZADA CON CEMENTO PORTLAND SEGUN DISEÑO</t>
  </si>
  <si>
    <t>Precio por M3. Materiales: Cemento Gris (110 kg), Material De Base Granular (1.3 M3). Mano de obra: Auxiliar De Obra 1 (0.1 jr), Oficial Obra 2 (0.01 jr). Equipo: Carrotanque (0.07 hr), Motoniveladora Potencia Minima 120 Hp Y Max 215 Hp (0.07 hr), Vibrocompactador Ca-15 O Similar (0.07 hr), Herrramienta Y Equipo Menor (5 %).</t>
  </si>
  <si>
    <t>AM03 · OB09 · ES16 · NP03</t>
  </si>
  <si>
    <t>3.04.02</t>
  </si>
  <si>
    <t>SUMINISTRO, EXTENDIDA Y COMPATACION BASE ESTABILIZADA CON EMULSION ASFALTICA TIPO CRL-1H, SEGUN DISEÑO</t>
  </si>
  <si>
    <t>Precio por M3. Materiales: Emulsion Crl-1h (75 lt), Material De Base Granular (1.3 M3). Mano de obra: Auxiliar De Obra 1 (0.08 jr), Oficial Obra 2 (0.04 jr). Equipo: Irrigador (0.07 hr), Motoniveladora Potencia Minima 120 Hp Y Max 215 Hp (0.07 hr), Vibrocompactador Ca-15 O Similar (0.07 hr).</t>
  </si>
  <si>
    <t>3.04.03</t>
  </si>
  <si>
    <t>CUNETEO, PERFILADO Y COMPACTACION DE LA BANCA EXISTENTE. (TRABAJO PREVIO A PAVIMENTACION)</t>
  </si>
  <si>
    <t>Precio por km. Equipo: Carrotanque (5 hr), Motoniveladora Potencia Minima 120 Hp Y Max 215 Hp (2 hr), Vibrocompactador Ca-15 O Similar (5 hr).</t>
  </si>
  <si>
    <t>3.04.04</t>
  </si>
  <si>
    <t>SUMINISTRO, EXTENDIDA MATERIAL DE AFIRMADO, SIN COMPACTAR HASTA UN DIÁMETRO DE 2" Y UN ÍNDICE PLÁSTICO MENOR O IGUAL 9%, INCLUYE ACARREO LIBRE DE 5 KM (**)</t>
  </si>
  <si>
    <t>Precio por M3. Materiales: Material De Afirmado Norma Invias (1.1 M3). Mano de obra: Motoniveladora Potencia Minima 120 Hp Y Max 215 Hp (0.05 hr), Paleteros (0.01 jr). Transporte: Transporte De Material (5.5 M3-km).</t>
  </si>
  <si>
    <t>AM03 · OB09 · ES17 · NP03</t>
  </si>
  <si>
    <t>3.04.05</t>
  </si>
  <si>
    <t>SUMINISTRO, EXTENDIDA Y COMPACTACIÓN DE MATERIAL PARA AFIRMADO HASTA UN DIÁMETRO DE 2" Y UN ÍNDICE PLÁSTICO MENOR O IGUAL 9% Y COMPACTO AL 95% PROCTOR, INCLUYE ACARREO LIBRE 5 KM (**)</t>
  </si>
  <si>
    <t>Precio por M3. Materiales: Material De Afirmado Norma Invias (1.3 M3). Mano de obra: Paleteros (0.01 jr). Equipo: Carrotanque (0.05 hr), Motoniveladora Potencia Minima 120 Hp Y Max 215 Hp (0.06 hr), Vibrocompactador Ca-15 O Similar (0.07 hr). Transporte: Transporte De Material (6.5 M3-km).</t>
  </si>
  <si>
    <t>3.04.06</t>
  </si>
  <si>
    <t>SUMINISTRO, EXTENDIDA Y COMPACTACION DE MATERIAL SELECCIONADO PARA BASE GRANULAR (INCLUYE ACARREO LIBRE DE 5KM) (**)</t>
  </si>
  <si>
    <t>Precio por M3. Materiales: Material De Base Granular (1.3 M3). Mano de obra: Auxiliar De Obra 1 (0.05 jr), Paleteros (0.01 jr). Transporte: Carrotanque (0.05 hr), Motoniveladora Potencia Minima 120 Hp Y Max 215 Hp (0.07 hr), Vibrocompactador Ca-15 O Similar (0.07 hr), Transporte M3/Km (6.5 M3-km).</t>
  </si>
  <si>
    <t>3.04.07</t>
  </si>
  <si>
    <t>SUMINISTRO, EXTENDIDA Y COMPACTACION DE MATERIAL SELECCIONADO PARA SUBBASE GRANULAR (INCLUYE ACARREO LIBRE DE 5KM) (**)</t>
  </si>
  <si>
    <t>Precio por M3. Materiales: Material De Sub-Base Granular No. 4 Sbg-4 (1.3 M3). Mano de obra: Auxiliar De Obra 1 (0.05 jr), Paleteros (0.01 jr). Equipo: Carrotanque (0.05 hr), Motoniveladora Potencia Minima 120 Hp Y Max 215 Hp (0.07 hr), Vibrocompactador Ca-15 O Similar (0.07 hr). Transporte: Transporte M3/Km (6.5 M3-km).</t>
  </si>
  <si>
    <t>3.05.01</t>
  </si>
  <si>
    <t>PAVIMENTO RIGIDO</t>
  </si>
  <si>
    <t>CONCRETO PARA PAVIMENTO RIGIDO 24.5 MPa - (3500 PSI), INCLUYE JUNTA EN ASFALTO</t>
  </si>
  <si>
    <t>Precio por M3. Materiales: Asfalto 60/70+aditivo (7 kg), Concreto 1:2:2 24.5 Mpa (1.1 M3). Mano de obra: Auxiliar De Obra 1 (0.8 jr), Oficial Obra 2 (0.15 jr). Equipo: Formaleta Para Losas Pavimento Rigido (4 ML), Vibrador De Concreto (2.5 hr), Herrramienta Y Equipo Menor (1.3 %).</t>
  </si>
  <si>
    <t>AM03 · OB09 · ES04 · NP01</t>
  </si>
  <si>
    <t>3.05.02</t>
  </si>
  <si>
    <t>CORTE DE PAVIMENTO EN CONCRETO HIDRAULICO (INCLUYE SELLADO)</t>
  </si>
  <si>
    <t>Precio por ML. Materiales: Disco Diamantado Asfalto-Concreto 350mm (0.01 UND), Agua (5 lt). Mano de obra: Cortadora De Pavimento (0.09 hr), Auxiliar De Obra 1 (0.02 jr).</t>
  </si>
  <si>
    <t>3.05.03</t>
  </si>
  <si>
    <t>CONCRETO MR 3.6 MPA NORMAL, TAMAÑO MAXIMO AGREGADO 25MM, RESISTENCIA A 28 DIAS, ASENTAMIENTO 10CM +/- 2.5CM (MR 36 NORMAL)</t>
  </si>
  <si>
    <t>Precio por M3. Materiales: Concreto Mr 3.6 Mpa Normal, Tamaño Maximo Agregado 25mm, Resistencia A 28 Dias, Asentamiento 10cm +/- 2.5cm (1.05 M3), Sellasil Soporte 1/2", Soporte Base Para Sello De Juntas De Dilatación O Similar (4 ML), Vulkem 45 Ssl, Sellante Mococomponente De Poliuretano, Aduistcoo- Ndivaemlaannttaedo Saismfilailatro-Concreto (0.04 gl), 350mm (0.03 UND). Mano de obra: Auxiliar De Obra 1 (0.8 jr), Oficial Obra 2 (0.3 jr). Equipo: Cortadora De Pavimento (0.34 hr), Formaleta Para Losas Pavimento Rigido (4 ML), Vibrador De Concreto (2.5 hr), Herrramienta Y Equipo Menor (1.3 %).</t>
  </si>
  <si>
    <t>3.05.04</t>
  </si>
  <si>
    <t>CONCRETO MR 3.9 MPA NORMAL, TAMAÑO MAXIMO AGREGADO 25MM, RESISTENCIA A 28 DIAS, ASENTAMIENTO 10CM +/- 2.5CM (MR 39 NORMAL)</t>
  </si>
  <si>
    <t>Precio por M3. Materiales: Sellasil Soporte 1/2", Soporte Base Para Sello De Juntas De Dilatación O Similar (4 ML), Vulkem 45 Ssl, Sellante Mococomponente De Poliuretano, Acuotnoc-Rneitvoelmarnt3e.9omspiamniloiarrmal,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</t>
  </si>
  <si>
    <t>3.05.05</t>
  </si>
  <si>
    <t>CONCRETO MR 4.0 MPA NORMAL, TAMAÑO MAXIMO AGREGADO 25MM, RESISTENCIA A 28 DIAS, ASENTAMIENTO 10CM +/- 2.5CM (MR 40 NORMAL)</t>
  </si>
  <si>
    <t>Precio por M3. Materiales: Sellasil Soporte 1/2", Soporte Base Para Sello De Juntas De Dilatación O Similar (4 ML), Vulkem 45 Ssl, Sellante Mococomponente De Poliuretano, Acuotnoc-Rneitvoelmarnt4e.0omspiamniloiarrmal,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</t>
  </si>
  <si>
    <t>3.05.06</t>
  </si>
  <si>
    <t>CONCRETO MR 4.1 MPA NORMAL, TAMAÑO MÁXIMO AGREGADO 25MM, RESISTENCIA A 28 DIAS, ASENTAMIENTO 10CM +/- 2.5CM (MR 41 NORMAL)</t>
  </si>
  <si>
    <t>Precio por M3. Materiales: Sellasil Soporte 1/2", Soporte Base Para Sello De Juntas De Dilatación O Similar (4 ML), Vulkem 45 Ssl, Sellante Mococomponente De Poliuretano, Acuotnoc-Rneitvoelmarnt4e.1omspiamniloiarrmal, Tamaño (0.04 gl), Máximo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</t>
  </si>
  <si>
    <t>3.05.07</t>
  </si>
  <si>
    <t>CONCRETO MR 4.2 MPA NORMAL, TAMAÑO MAXIMO AGREGADO 25MM, RESISTENCIA A 28 DIAS, ASENTAMIENTO 10CM +/- 2.5CM (MR 42 NORMAL)</t>
  </si>
  <si>
    <t>Precio por M3. Materiales: Sellasil Soporte 1/2", Soporte Base Para Sello De Juntas De Dilatación O Similar (4 ML), Vulkem 45 Ssl, Sellante Mococomponente De Poliuretano, Acuotnoc-Rneitvoelmarnt4e.2omspiamniloiarrmal,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</t>
  </si>
  <si>
    <t>3.05.08</t>
  </si>
  <si>
    <t>CONCRETO MR 4.3 MPA NORMAL, TAMAÑO MAXIMO AGREGADO 25MM, RESISTENCIA A 28 DIAS, ASENTAMIENTO 10CM +/- 2.5CM (MR 43 NORMAL)</t>
  </si>
  <si>
    <t>Precio por M3. Materiales: Sellasil Soporte 1/2", Soporte Base Para Sello De Juntas De Dilatación O Similar (4 ML), Vulkem 45 Ssl, Sellante Mococomponente De Poliuretano, Acuotnoc-Rneitvoelmarnt4e.3omspiamniloiarrmal,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</t>
  </si>
  <si>
    <t>3.05.09</t>
  </si>
  <si>
    <t>CONCRETO MR 4.5 MPA NORMAL, TAMAÑO MAXIMO AGREGADO 25MM, RESISTENCIA A 28 DIAS, ASENTAMIENTO 10CM +/- 2.5CM (MR 45 NORMAL)</t>
  </si>
  <si>
    <t>Precio por M3. Materiales: Sellasil Soporte 1/2", Soporte Base Para Sello De Juntas De Dilatación O Similar (4 ML), Vulkem 45 Ssl, Sellante Mococomponente De Poliuretano, Acuotnoc-Rneitvoelmarnt4e.5omspiamniloiarrmal,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</t>
  </si>
  <si>
    <t>3.05.10</t>
  </si>
  <si>
    <t>CONCRETO MR 5.0 MPA NORMAL, TAMAÑO MAXIMO AGREGADO 25MM, RESISTENCIA A 28 DIAS, ASENTAMIENTO 10CM +/- 2.5CM (MR 50 NORMAL)</t>
  </si>
  <si>
    <t>Precio por M3. Materiales: Sellasil Soporte 1/2", Soporte Base Para Sello De Juntas De Dilatación O Similar (4 ML), Vulkem 45 Ssl, Sellante Mococomponente De Poliuretano, Acuotnoc-Rneitvoelmarnt5e.0omspiamniloiarrmal,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</t>
  </si>
  <si>
    <t>3.06.01</t>
  </si>
  <si>
    <t>PAVIMENTACION FLEXIBLE</t>
  </si>
  <si>
    <t>APERTURA MECANICA DE CAJA Y RETIRO DE SOBRANTES</t>
  </si>
  <si>
    <t>Precio por M3. Materiales: Transporte De Material Suelto (1.2 M3-km), Disco Diamantado Asfalto-Concreto 350mm (0.02 UND). Mano de obra: Auxiliar De Obra 1 (0.8 jr). Equipo: Bulldozer Tipo D-6 O Similar (0.05 hr), Cortadora Para Reparcheo (0.8 hr), Retroexcavadora Jd-510 O Similar (0.05 hr), Herrramienta Y Equipo Menor (3.3 %).</t>
  </si>
  <si>
    <t>AM03 · OB09 · ES02 · NP05</t>
  </si>
  <si>
    <t>3.06.02</t>
  </si>
  <si>
    <t>BARRIDO Y SOPLADO</t>
  </si>
  <si>
    <t>Precio por M2. Mano de obra: Auxiliar De Obra 1 (0.01 jr). Equipo: Compresor (0.02 hr), Herrramienta Y Equipo Menor (3.3 %).</t>
  </si>
  <si>
    <t>3.06.03</t>
  </si>
  <si>
    <t>CONSTRUCCION DE CARPETA ASFALTICA EN CALIENTE, INCLUYE BARRIDO, SUMINISTRO Y COMPACTACION ( INCLUYE ACARREO LIBRE DE 5 KM) NORMA INVIAS (**)</t>
  </si>
  <si>
    <t>Precio por M3. Materiales: Mezcla Asfaltica Mdc-2 En Planta (1.26 M3). Mano de obra: Auxiliar De Obra 1 (0.35 jr), Oficial Obra 2 (0.06 jr), Paleteros (0.2 jr). Equipo: Cilindro Neumático Entre 6 Y 15 Ton Potencia Min 70 Hp. (0.1 hr), Terminadora De Asfalto Potencia 174 H.p (0.1 hr), Vibrocompactador Ca-15 O Similar (0.1 hr), Herrramienta Y Equipo Menor (5.03 %). Transporte: Transporte De Material Asfaltico (6.3 M3-km).</t>
  </si>
  <si>
    <t>3.06.04</t>
  </si>
  <si>
    <t>CONSTRUCCION TRATAMIENTO SUPERFICIAL DOBLESEGÚN NORMA INV.</t>
  </si>
  <si>
    <t>Precio por M2. Materiales: Emulsión Crr-2 (3 lt), Gravilla ¾, ½ (0.04 M3). Mano de obra: Auxiliar De Obra 1 (0.01 jr), Oficial Obra 2 (0.01 jr). Equipo: Cilindro Neumático Entre 6 Y 15 Ton Potencia Min 70 Hp. (0.02 hr), Esparcidor De Gravilla (0.02 hr), Irrigador (0.02 hr), Herrramienta Y Equipo Menor (6.7 %).</t>
  </si>
  <si>
    <t>3.06.05</t>
  </si>
  <si>
    <t>CONSTRUCCION TRATAMIENTO SUPERFICIAL SIMPLE SEGÚN NORMA INV.</t>
  </si>
  <si>
    <t>Precio por M2. Materiales: Emulsión Crr-2 (1.5 lt), Gravilla ¾, ½ (0.03 M3). Mano de obra: Auxiliar De Obra 1 (0.01 jr), Oficial Obra 2 (0.01 jr). Equipo: Cilindro Neumático Entre 6 Y 15 Ton Potencia Min 70 Hp. (0.01 hr), Esparcidor De Gravilla (0.01 hr), Irrigador (0.01 hr), Herrramienta Y Equipo Menor (6.7 %).</t>
  </si>
  <si>
    <t>3.06.07</t>
  </si>
  <si>
    <t>FRESADO DE PAVIMENTO ASFALTICO EN ESPESOR DE 10 CM, INCLUYE ACARREO LIBRE DE 5 KM</t>
  </si>
  <si>
    <t>Precio por M2. Mano de obra: Auxiliar De Obra 1 (0 jr), Paleteros (0 jr), Transporte M3/Km (0.65 M3-km). Equipo: Barredora Mecanica De Cepillo (0.01 hr), Cargador 950 O Similar (0.01 hr), Fresadora De Pavimento Potencia Min 250 Hp (0.01 hr).</t>
  </si>
  <si>
    <t>3.06.08</t>
  </si>
  <si>
    <t>FRESADO DE PAVIMENTO ASFALTICO EN ESPESOR DE 5 CM, INCLUYE ACARREO LIBRE DE 5 KM</t>
  </si>
  <si>
    <t>Precio por M2. Mano de obra: Auxiliar De Obra 1 (0 jr), Paleteros (0 jr), Transporte M3/Km (0.35 M3-km). Equipo: Barredora Mecanica De Cepillo (0.01 hr), Cargador 950 O Similar (0.01 hr), Fresadora De Pavimento Potencia Min 250 Hp (0.01 hr).</t>
  </si>
  <si>
    <t>3.06.09</t>
  </si>
  <si>
    <t>IMPRIMACIÓN CON EMULSIÓN ASFÁLTICA CRL-1H</t>
  </si>
  <si>
    <t>Precio por M2. Materiales: Emulsion Crl-1h (1 lt). Mano de obra: Auxiliar De Obra 1 (0 jr), Oficial Obra 2 (0 jr). Equipo: Compresor (0 hr), Irrigador (0 hr), Herrramienta Y Equipo Menor (2 %).</t>
  </si>
  <si>
    <t>3.06.10</t>
  </si>
  <si>
    <t>REPOSICIÓN, EXTENDIDA Y COMPACTACION DE MATERIAL DE BASE GRANULAR PARA REPARCHEO ACARREO LIBRE 5 KM</t>
  </si>
  <si>
    <t>Precio por M3. Materiales: Material De Base Granular (1.3 M3), Agua (24 lt). Mano de obra: Auxiliar De Obra 1 (0.05 jr), Paleteros (0.01 jr). Equipo: Carrotanque (0.03 hr), Motoniveladora Potencia Minima 120 Hp Y Max 215 Hp (0.04 hr), Vibrocompactador Ca-15 O Similar (0.05 hr), Vibrocompactador Rana (0.1 hr). Transporte: Transporte M3/Km (6.5 M3-km).</t>
  </si>
  <si>
    <t>3.06.11</t>
  </si>
  <si>
    <t>RIEGO DE LIGA CON EMULSION ASFALTICA CRL-1H</t>
  </si>
  <si>
    <t>Precio por M2. Materiales: Emulsion Asfaltica Crr-1 (0.5 lt). Mano de obra: Auxiliar De Obra 1 (0.01 jr). Equipo: Compresor (0.01 hr), Irrigador (0.01 hr), Herrramienta Y Equipo Menor (0.2 %).</t>
  </si>
  <si>
    <t>3.06.12</t>
  </si>
  <si>
    <t>SELLO ARENA-ASFALTO CON EMULSION CRR-2</t>
  </si>
  <si>
    <t>Precio por M2. Materiales: Arena Lavada Y/O Trituradora (0.01 M3), Emulsión Crr-2 (1.25 lt). Mano de obra: Auxiliar De Obra 1 (0 jr), Oficial Obra 2 (0 jr). Equipo: Distribuidor De Agregados Gravilladora (0.01 hr), Irrigador (0.01 hr), Vibrocompactador Ca-15 O Similar (0.01 hr), Herrramienta Y Equipo Menor (1 %).</t>
  </si>
  <si>
    <t>3.06.13</t>
  </si>
  <si>
    <t>SUMINISTRO E INSTALACION DE ASFALTITA ESTABILIZADA Y HOMOGENIZADA CON GRAVILLA. ACARREO LIBRE 5 KM ( INCLUYE CAL VIVA O CEMENTO) SEGUN</t>
  </si>
  <si>
    <t>Precio por M3. Materiales: Asfaltita (1.35 M3). Mano de obra: Auxiliar De Obra 1 (0.33 jr), Oficial Obra 2 (0.03 jr). Equipo: Cilindro Metalico 8 Tn Tamdem (0.1 hr), Motoniveladora Potencia Minima 120 Hp Y Max 215 Hp (0.1 hr), Herrramienta Y Equipo Menor (3.3 %).</t>
  </si>
  <si>
    <t>AM03 · OB09 · ES17 · NP02</t>
  </si>
  <si>
    <t>3.06.14</t>
  </si>
  <si>
    <t>SUMINISTRO E INSTALACION DE SLURRY SEAL e= 0,4 cm.</t>
  </si>
  <si>
    <t>Precio por M2. Materiales: Arena Lavada Y/O Triturada (0.01 M3), Emulsion Crl-1h (1.51 lt). Mano de obra: Auxiliar De Obra 1 (0.07 jr). Equipo: Camion Slurry (0.01 hr), Carrotanque (0.01 hr), Retroexcavadora Jd-510 O Similar (0.01 hr).</t>
  </si>
  <si>
    <t>3.06.15</t>
  </si>
  <si>
    <t>SUMINISTRO E INSTALACION DE SLURRY SEAL e= 0,6 cm.</t>
  </si>
  <si>
    <t>Precio por M2. Materiales: Arena Lavada Y/O Triturada (0.01 M3), Emulsion Crl-1h (2.27 lt). Mano de obra: Auxiliar De Obra 1 (0.07 jr). Equipo: Camion Slurry (0.01 hr), Carrotanque (0.01 hr), Retroexcavadora Jd-510 O Similar (0.01 hr).</t>
  </si>
  <si>
    <t>3.06.16</t>
  </si>
  <si>
    <t>SUMINISTRO E INSTALACION DE SLURRY SEAL e= 0,9 cm.</t>
  </si>
  <si>
    <t>Precio por M2. Materiales: Arena Lavada Y/O Triturada (0.01 M3), Emulsion Crl-1h (3.74 lt). Mano de obra: Auxiliar De Obra 1 (0.07 jr). Equipo: Camion Slurry (0.01 hr), Carrotanque (0.01 hr), Retroexcavadora Jd-510 O Similar (0.01 hr).</t>
  </si>
  <si>
    <t>3.06.17</t>
  </si>
  <si>
    <t>SUMINISTRO, INSTALACION Y COMPACTACION DE MEZCLA ASFALTICA PARA PARCHEO ( INCLUYE ACARREO LIBRE DE 5 KM) (**)</t>
  </si>
  <si>
    <t>Precio por M3. Materiales: Mezcla Asfaltica Mdc-2 En Planta (1.2 M3). Mano de obra: Auxiliar De Obra 1 (1 jr), Oficial Obra 2 (0.1 jr). Equipo: Cilindro Neumático Entre 6 Y 15 Ton Potencia Min 70 Hp. (0.1 hr), Terminadora De Asfalto Potencia 174 H.p (0.1 hr), Vibrocompactador Ca-15 O Similar (0.1 hr), Herrramienta Y Equipo Menor (3.3 %). Transporte: Transporte De Material (6 M3-km).</t>
  </si>
  <si>
    <t>3.07.01</t>
  </si>
  <si>
    <t>PAVIMENTO ARTICULADO VEHICULAR</t>
  </si>
  <si>
    <t>DILATACION ADOQUIN EN CONCRETO MONOCAPA COLOREADO 10*20*6 CMS (VEHICULAR)</t>
  </si>
  <si>
    <t>Precio por ML. Materiales: Arena Fina Para Pavimento En Adoquin (0 M3), Adoquin Color (5 UND). Mano de obra: Auxiliar De Obra 1 (0.07 jr), Oficial Obra 2 (0.03 jr). Equipo: Herrramienta Y Equipo Menor (5 %).</t>
  </si>
  <si>
    <t>3.07.02</t>
  </si>
  <si>
    <t>PAVIMENTO EN ADOQUIN DE CONCRETO "HUESO DE PERRO" o "I" DIMENSIONES LONGITUD 50 - 250 MM ANCHO 50 - 80 MM - ESPESOR 80 - 100 MM (NORMA NTC 2017 - INVIAS) (VEHICULAR)</t>
  </si>
  <si>
    <t>Precio por M2. Materiales: Arena Fina Para Pavimento En Adoquin (0.05 M3), Adoquin En Concreto Tipo 2 ``hueso De Perro`` O ``i`` (1.03 M2). Mano de obra: Auxiliar De Obra 1 (0.1 jr), Oficial Obra 2 (0.1 jr). Equipo: Vibrocompactador Rana (0.03 hr), Herrramienta Y Equipo Menor (6.7 %).</t>
  </si>
  <si>
    <t>3.07.03</t>
  </si>
  <si>
    <t>PAVIMENTO EN ADOQUIN DE CONCRETO RECTANGULAR RECTO DIMENSIONES LONGITUD 50 - 250 MM ANCHO 50 - 80 MM - ESPESOR 80 - 100 MM ( NTC 2017 - INVIAS) (VEHICULAR)</t>
  </si>
  <si>
    <t>Precio por M2. Materiales: Arena Fina Para Pavimento En Adoquin (0.05 M3), Adoquin En Concreto Tipo 1 ``rectangular Recto`` (1.03 M2). Mano de obra: Auxiliar De Obra 1 (0.16 jr), Oficial Obra 2 (0.16 jr). Equipo: Vibrocompactador Rana (0.03 hr), Herrramienta Y Equipo Menor (6.7 %).</t>
  </si>
  <si>
    <t>3.08.01</t>
  </si>
  <si>
    <t>SARDINELES Y ANDENES</t>
  </si>
  <si>
    <t>BOLARDO M 60 CONCRETO</t>
  </si>
  <si>
    <t>Precio por UND. Materiales: Bolardo M-60 - Concreto (1 UND), Concreto (0.01 M3). Mano de obra: Auxiliar De Obra 2 (1.5 hh), Oficial Obra 1 (1.5 hh).</t>
  </si>
  <si>
    <t>3.08.02</t>
  </si>
  <si>
    <t>BOLARDO M 63 ALTO/HIERRO</t>
  </si>
  <si>
    <t>Precio por UND. Materiales: Concreto Clase D 21 Mpa (0.03 M3), Bolardo M-63 - Metálico (1 UND). Mano de obra: Auxiliar De Obra 2 (1 hh), Oficial Obra 1 (1 hh).</t>
  </si>
  <si>
    <t>3.08.03</t>
  </si>
  <si>
    <t>BOLARDO M-61 BAJO/CONCRETO</t>
  </si>
  <si>
    <t>Precio por UND. Materiales: Bolardo M-61 - Bajo - Concreto (1 UND), Concreto (0.01 M3). Mano de obra: Auxiliar De Obra 2 (1 hh), Oficial Obra 1 (1 hh).</t>
  </si>
  <si>
    <t>3.08.04</t>
  </si>
  <si>
    <t>BOLARDO M-62 BAJO/HIERRO</t>
  </si>
  <si>
    <t>Precio por UND. Materiales: Bolardo M-62 - Bajo - Hierro (1 UND), Concreto (0.06 M3). Mano de obra: Auxiliar De Obra 2 (1.5 hh), Oficial Obra 1 (1.5 hh). Equipo: Camioneta D300 (0.2 hr).</t>
  </si>
  <si>
    <t>3.08.05</t>
  </si>
  <si>
    <t>BORDE CONTENEDOR DE RAICES A- 70</t>
  </si>
  <si>
    <t>Precio por ML. Materiales: Borde Contenedor De Raíces A-70 (1 ML), Mortero 1:4 (0.04 M3). Mano de obra: Auxiliar De Obra 2 (1 hh), Oficial Obra 1 (1 hh).</t>
  </si>
  <si>
    <t>3.08.06</t>
  </si>
  <si>
    <t>BORDE SEPARADOR VERDE A-170</t>
  </si>
  <si>
    <t>Precio por ML. Materiales: Borde Separador Verde A-170 (1.25 UND), Mortero 1:4 (0.02 M3). Mano de obra: Auxiliar De Obra 2 (0.5 hh), Oficial Obra 1 (0.5 hh).</t>
  </si>
  <si>
    <t>3.08.07</t>
  </si>
  <si>
    <t>BORDE SEPARADOR VERDE A-170 incluye transporte</t>
  </si>
  <si>
    <t>Precio por ML. Materiales: Borde Separador Verde A-170 (1.25 UND), Mortero 1:4 (0.02 M3). Mano de obra: Auxiliar De Obra 2 (0.5 hh), Oficial Obra 1 (0.5 hh). Equipo: Camioneta D300 (0.1 hr).</t>
  </si>
  <si>
    <t>3.08.08</t>
  </si>
  <si>
    <t>BORDILLO DE 8 X 15 CM FUNDIDO EN CONCRETO</t>
  </si>
  <si>
    <t>Precio por ML. Materiales: Concreto 1:2:4 17.5 Mpa (0.01 M3). Mano de obra: Auxiliar De Obra 2 (0.55 hh), Oficial Obra 1 (0.55 hh). Equipo: Formaleta Sardinel (0.82 dd).</t>
  </si>
  <si>
    <t>3.08.09</t>
  </si>
  <si>
    <t>BORDILLO FUNDIDO EN SITIO 20 X 35 CM</t>
  </si>
  <si>
    <t>Precio por ML. Materiales: Concreto 1:2:4 17.5 Mpa (0.08 M3). Mano de obra: Auxiliar De Obra 2 (0.79 hh), Oficial Obra 1 (0.79 hh). Equipo: Formaleta Sardinel (0.82 dd).</t>
  </si>
  <si>
    <t>3.08.10</t>
  </si>
  <si>
    <t>CAÑUELA PREFABRICADA TIPO A - A120</t>
  </si>
  <si>
    <t>Precio por ML. Materiales: Mortero 1:6 (0.01 M3), Cañuela Prefabricada Ref. A-120 (1.25 UND). Mano de obra: Auxiliar De Obra 2 (0.75 hh), Oficial Obra 1 (0.75 hh).</t>
  </si>
  <si>
    <t>3.08.11</t>
  </si>
  <si>
    <t>CONSTRUCCION DE ANDENES EN CONCRETO DE 17.5 MPa - (2500 PSI)</t>
  </si>
  <si>
    <t>Precio por M3. Materiales: Tabla Burra 3 M (0.3 ML), Concreto 1:2:4 17.5 Mpa (1.03 M3), Puntilla Con Y Sin Cabeza 1 (0.25 lb), Repisa Ordinaria 3 Mt (5 ML). Mano de obra: Auxiliar De Obra 1 (0.2 jr), Oficial Obra 2 (0.1 jr). Equipo: Herrramienta Y Equipo Menor (3.3 %).</t>
  </si>
  <si>
    <t>3.08.12</t>
  </si>
  <si>
    <t>CONSTRUCCION DE SARDINELES EN CONCRETO DE 17.5 MPa - (2500 PSI) H:40CM, E:20 CM</t>
  </si>
  <si>
    <t>Precio por M3. Materiales: Concreto 1:2:4 17.5 Mpa (1.03 M3). Mano de obra: Auxiliar De Obra 1 (1 jr), Oficial Obra 2 (0.25 jr). Equipo: Formaleta Para Sardineles (12.5 ML), Herrramienta Y Equipo Menor (3.3 %).</t>
  </si>
  <si>
    <t>3.08.13</t>
  </si>
  <si>
    <t>LOSETA PREFABRICA A-20</t>
  </si>
  <si>
    <t>Precio por M2. Materiales: Arena Fina (0.2 M3), Loseta Prefabricada A-20 (1 M2), Mortero 1:4 (0.03 M3). Mano de obra: Auxiliar De Obra 2 (0.6 hh), Oficial Obra 1 (0.6 hh).</t>
  </si>
  <si>
    <t>3.08.14</t>
  </si>
  <si>
    <t>LOSETA PREFABRICA A-40</t>
  </si>
  <si>
    <t>Precio por M2. Materiales: Arena Lavada De Peña (0.04 M3), Loseta Prefabricada A-40 (1 M2), Mortero 1:4 (0.01 M3). Mano de obra: Auxiliar De Obra 2 (0.7 hh), Oficial Obra 1 (0.7 hh).</t>
  </si>
  <si>
    <t>3.08.15</t>
  </si>
  <si>
    <t>LOSETA PREFABRICA A-60</t>
  </si>
  <si>
    <t>Precio por M2. Materiales: Arena Lavada De Peña (0.04 M3), Loseta Prefabricada A-60 (1 M2), Mortero 1:4 (0.01 M3). Mano de obra: Auxiliar De Obra 2 (0.6 hh), Oficial Obra 1 (0.6 hh).</t>
  </si>
  <si>
    <t>3.08.16</t>
  </si>
  <si>
    <t>LOSETA PREFABRICA A-50</t>
  </si>
  <si>
    <t>Precio por M2. Materiales: Arena Lavada De Peña (0.04 M3), Loseta Prefabricada A-50 (1 M2), Mortero 1:4 (0.01 M3). Mano de obra: Auxiliar De Obra 2 (0.5 hh), Oficial Obra 1 (0.5 hh).</t>
  </si>
  <si>
    <t>3.08.17</t>
  </si>
  <si>
    <t>RAMPA B-5</t>
  </si>
  <si>
    <t>Precio por UND. Materiales: Arena Fina (0.24 M3), Loseta Prefabricada A-50 (3.38 M2), Bordillo Prefabricado A-80 (5.8 ML), Mortero 1:4 (0.11 M3) y 3 más. Mano de obra: Auxiliar De Obra 2 (7 hh), Oficial Obra 1 (7 hh). Equipo: Vibrocompactador Rana (0.14 dd).</t>
  </si>
  <si>
    <t>3.08.18</t>
  </si>
  <si>
    <t>SUMINISTRO E INSTALACION DE BORDILLO PREFABRICADO A-80</t>
  </si>
  <si>
    <t>Precio por ML. Materiales: Arena De Peña (0.06 M3), Bordillo Prefabricado A-80 (1 UND), Cemento Gris (6.5 kg), Agua (2 lt). Mano de obra: Auxiliar De Obra 2 (0.48 hh), Oficial Obra 1 (0.48 hh).</t>
  </si>
  <si>
    <t>3.08.19</t>
  </si>
  <si>
    <t>SUMINISTRO E INSTALACION DE SARDINEL PREFABRICADO A-10, INCLUYE MORTERO DE PEGA SEGUN NORMA NTC-4109</t>
  </si>
  <si>
    <t>Precio por ML. Materiales: Mortero 1:3 (0.01 M3), Sardinel Prefabricado A-10 (1.25 ML). Mano de obra: Auxiliar De Obra 1 (0.08 jr), Oficial Obra 2 (0.02 jr). Equipo: Herrramienta Y Equipo Menor (3.3 %).</t>
  </si>
  <si>
    <t>3.08.20</t>
  </si>
  <si>
    <t>SUMINISTRO E INSTALACIÓN LOSETA PODOTÁCTIL GUÍA (LÍNEAS) 40*40 CM</t>
  </si>
  <si>
    <t>Precio por M2. Materiales: Arena Lavada De Peña (0.04 M3), Loseta Podotáctil Guía  40*40 Cm (1 M2), Mortero 1:4 (0.01 M3). Mano de obra: Auxiliar De Obra 2 (0.5 hh), Oficial Obra 1 (0.5 hh).</t>
  </si>
  <si>
    <t>3.08.21</t>
  </si>
  <si>
    <t>SUMINISTRO E INSTALACIÓN LOSETA PODOTÁCTIL ALERTA (PUNTOS) 40*40 CM</t>
  </si>
  <si>
    <t>Precio por M2. Materiales: Arena Lavada De Peña (0.04 M3), Loseta Podotáctil Alerta  40*40 Cm (1 M2), Mortero 1:4 (0.01 M3). Mano de obra: Auxiliar De Obra 2 (0.5 hh), Oficial Obra 1 (0.5 hh).</t>
  </si>
  <si>
    <t>3.09.01</t>
  </si>
  <si>
    <t>SEÑALIZACION Y DEMARCACION</t>
  </si>
  <si>
    <t>BORRADO DE LINEA DE 12 CMS SEGUN NORMA INVIAS</t>
  </si>
  <si>
    <t>Precio por ML. Materiales: Cinta De Demarcacion Cal. 3 (0 UND), Pintura Demarcacion Tipo Trafico (0 gl). Mano de obra: Auxiliar De Pintura 1 (0.14 hh), Oficial Pintura (0.07 hh). Equipo: Herrramienta Y Equipo Menor (3 %).</t>
  </si>
  <si>
    <t>3.09.02</t>
  </si>
  <si>
    <t>CAPTAFAROS</t>
  </si>
  <si>
    <t>Precio por UND. Materiales: Captafaro (1 UND). Mano de obra: Auxiliar De Obra 2 (0.15 hh). Equipo: Alquiler De Camioneta D300 O Similar (0.05 hr).</t>
  </si>
  <si>
    <t>3.09.03</t>
  </si>
  <si>
    <t>ESTOPEROLES D=10 CM H=25 CMS</t>
  </si>
  <si>
    <t>Precio por UND. Materiales: Cinta De Demarcacion Cal. 3 (0 UND), Estoperol D=10 Cm H=2.5 Cm (1 UND), Pegante Epoxico De Dos Componentes (0.06 UND). Mano de obra: Auxiliar De Pintura 1 (0.07 hh), Oficial Pintura (0.05 hh). Equipo: Herrramienta Y Equipo Menor (5 %).</t>
  </si>
  <si>
    <t>3.09.04</t>
  </si>
  <si>
    <t>MARCAS VIALES CON PINTURA DE TRAFICO SEGUN NORMA INVIAS Y DISEÑO (INCLUYE MICROESFERAS)</t>
  </si>
  <si>
    <t>Precio por M2. Materiales: Marcas Viales Con Pintura De Trafico Acrilica Y Microesferas (1.05 M2). Mano de obra: Auxiliar De Pintura 1 (0.5 hh), Oficial Pintura (0.5 hh). Equipo: Camioneta D300 (0.1 hr), Herrramienta Y Equipo Menor (5 %).</t>
  </si>
  <si>
    <t>3.09.05</t>
  </si>
  <si>
    <t>SEÑALES DE TRANSITO 0.90*1.13 MTS (INFORMATIVAS) SEGUN NORMA INVIAS</t>
  </si>
  <si>
    <t>Precio por UND. Materiales: Concreto 1:2:4 17.5 Mpa (0.07 M3), Señal Vertical Vial 0.90 * 1.13 M Informativa (1 UND). Mano de obra: Auxiliar De Obra 2 (2.8 hh), Oficial Obra 1 (1.2 hh). Equipo: Camioneta D300 (1 hr), Herrramienta Y Equipo Menor (5 %).</t>
  </si>
  <si>
    <t>3.09.06</t>
  </si>
  <si>
    <t>SEÑALES DE TRANSITO DIMENSIONES 60*75 CMS (DELINEADORES DE CURVA) SEGÚN NORMA INVIAS</t>
  </si>
  <si>
    <t>Precio por UND. Materiales: Concreto 1:2:4 17.5 Mpa (0.01 M3), Señal Vertical Vial 60 * 75 Cm Preventiva (1 UND). Mano de obra: Auxiliar De Obra 2 (1.3 hh), Oficial Obra 1 (0.65 hh). Equipo: Herrramienta Y Equipo Menor (5 %).</t>
  </si>
  <si>
    <t>3.09.07</t>
  </si>
  <si>
    <t>SUMINISTRO E INSTALACION DE DEFENSAS VIALES TRAMO RECTO DE 3.81 MTS, CAL. 12. 2 POSTES DE 1.50 mts. Y TERMINALES INCLUYENDO TORNILLERIA, CAPTA- FAROS EN LAMINA GALVANIZADA CAL. 22 EN CINTA REFLECTIVA GRAD. INGENIERIA SEGUN NORMA INVIAS</t>
  </si>
  <si>
    <t>Precio por ML. Materiales: Amortiguador Defensa Metalica (0.2 UND), Terminales (0.26 UND), Captafaro (0.26 UND), Defensa Tramo Recto Efectivo 3.81 Mts. (1 ML) y 1 más. Mano de obra: Auxiliar De Obra 1 (0.08 jr), Oficial Obra 2 (0.02 jr). Equipo: Camion 350 (0.13 hr), Herrramienta Y Equipo Menor (5 %).</t>
  </si>
  <si>
    <t>3.09.08</t>
  </si>
  <si>
    <t>SUMINISTRO E INSTALACION DE DELINEADORES DE CURVA HORIZONTAL DE TAMAÑO 40*50 cm. SEGUN NORMA INVIAS</t>
  </si>
  <si>
    <t>Precio por UND. Materiales: Delineadores 140 Cm (1 UND). Mano de obra: Auxiliar De Obra 2 (1 hh), Oficial Obra 1 (1 hh). Equipo: Herrramienta Y Equipo Menor (5 %).</t>
  </si>
  <si>
    <t>3.09.09</t>
  </si>
  <si>
    <t>SUMINISTRO E INSTALACION DE POSTES DE REFERENCIA</t>
  </si>
  <si>
    <t>Precio por UND. Materiales: Concreto 1:2:4 17.5 Mpa (0.06 M3), Poste De Referencia En Concreto Incluye Pintura (1 UND). Mano de obra: Auxiliar De Obra 1 (0.35 jr). Equipo: Herrramienta Y Equipo Menor (3.3 %).</t>
  </si>
  <si>
    <t>3.09.10</t>
  </si>
  <si>
    <t>SUMINISTRO E INSTALACION DE SEÑALES REGLAMENTARIAS 60 x 60 CM</t>
  </si>
  <si>
    <t>Precio por UND. Materiales: Concreto 1:2:4 17.5 Mpa (0.01 M3), Cono Tráfico De 70 Cms (1 UND), Señal Reglamentaria (1 UND). Mano de obra: Auxiliar De Obra 2 (1 hh), Oficial Obra 1 (1 hh). Equipo: Herrramienta Y Equipo Menor (5 %).</t>
  </si>
  <si>
    <t>3.09.11</t>
  </si>
  <si>
    <t>SUMINISTRO E INSTALACION DE SEÑALES REGLAMENTARIAS 75 x 75 CM</t>
  </si>
  <si>
    <t>Precio por UND. Materiales: Concreto 1:2:4 17.5 Mpa (0.01 M3), Cono Tráfico De 72 Cms (1 UND), Señal Reglamentaria (1 UND). Mano de obra: Auxiliar De Obra 2 (1 hh), Oficial Obra 1 (1 hh). Equipo: Herrramienta Y Equipo Menor (5 %).</t>
  </si>
  <si>
    <t>3.09.12</t>
  </si>
  <si>
    <t>SUMINISTRO E INSTALACION DE SEÑALES REGLAMENTARIAS 90 x 90 CM</t>
  </si>
  <si>
    <t>Precio por UND. Materiales: Concreto 1:2:4 17.5 Mpa (0.01 M3), Cono Tráfico De 1 M (1 UND), Señal Reglamentaria (1 UND). Mano de obra: Auxiliar De Obra 2 (1 hh), Oficial Obra 1 (1 hh). Equipo: Herrramienta Y Equipo Menor (5 %).</t>
  </si>
  <si>
    <t>3.09.13</t>
  </si>
  <si>
    <t>SUMINISTRO E INSTALACION DE TACHAS REFLECTIVAS UNIDIRECCIONALES Y BIDIRECCIONALES</t>
  </si>
  <si>
    <t>Precio por UND. Materiales: Tachas Reflectivas (1 UND), Resina Termoplastica (0.02 kg). Mano de obra: Auxiliar De Obra 2 (0.1 hh), Oficial Obra 1 (0.04 hh). Equipo: Camioneta D300 (0.01 hr), Maquina Termica (0.01 hr), Herrramienta Y Equipo Menor (1 %).</t>
  </si>
  <si>
    <t>3.09.14</t>
  </si>
  <si>
    <t>SUMINISTRO E INSTALACION SEÑAL VIAL INFORMATIVA, TAMAÑO 2m x 50 cm con soporte en H SEGÚN NORMA INVIAS</t>
  </si>
  <si>
    <t>Precio por UND. Materiales: Concreto 1:2:4 17.5 Mpa (0.03 M3), Señal Vial Informativo (1 UND). Mano de obra: Auxiliar De Obra 2 (1 hh), Oficial Obra 1 (1 hh). Equipo: Herrramienta Y Equipo Menor (5 %).</t>
  </si>
  <si>
    <t>3.09.15</t>
  </si>
  <si>
    <t>SUMINISTRO E INSTALACION SEÑAL VIAL PREVENTIVA, TAMAÑO 75*75 cm. SEGUN</t>
  </si>
  <si>
    <t>Precio por UND. Materiales: Concreto 1:2:4 17.5 Mpa (0.03 M3), Señal Preventiva (1 UND). Mano de obra: Auxiliar De Obra 2 (1 hh), Oficial Obra 1 (1 hh). Equipo: Herrramienta Y Equipo Menor (5 %).</t>
  </si>
  <si>
    <t>3.09.16</t>
  </si>
  <si>
    <t>SUMINISTRO E INSTALACION SEÑAL VIAL REGLAMENTARIA, DIAMETRO 75 cm. SEGÚN NORMA INVIAS</t>
  </si>
  <si>
    <t>Precio por UND. Materiales: Concreto 1:2:4 17.5 Mpa (0.03 M3), Señal Reglamentaria (1 UND). Mano de obra: Auxiliar De Obra 2 (1 hh), Oficial Obra 1 (1 hh). Equipo: Herrramienta Y Equipo Menor (5 %).</t>
  </si>
  <si>
    <t>3.09.17</t>
  </si>
  <si>
    <t>SUMINISTRO Y APLICACION DE PINTURA ACRILICA CON MICROESFERAS, LINEAS CONTINUAS Y DISCONTINUAS DE 12 CMS SEGUN NORMA INVIAS</t>
  </si>
  <si>
    <t>Precio por ML. Materiales: Disolvente Thiner (0 gl), Esferas Reflectivas (0.05 kg), Pintura Acrilica Base Agua Para Demarcacion (0.02 gl). Mano de obra: Auxiliar De Obra 1 (0 jr), Oficial Obra 2 (0 jr). Equipo: Camioneta D300 (0 hr), Vehiculo Delineador (0 hr), Herrramienta Y Equipo Menor (5 %).</t>
  </si>
  <si>
    <t>3.10.01</t>
  </si>
  <si>
    <t>PUENTES</t>
  </si>
  <si>
    <t>CONCRETO DE 21 MPa - (3000 P.S.I) PARA BARANDAS, INCLUYE REFUERZO , SEGUN INVIAS</t>
  </si>
  <si>
    <t>Precio por M3. Materiales: Alambre Negro No. 18 (2 kg), Acero 37000 Psi (83.52 kg), Acero 60000 Psi (85.02 kg), Concreto Clase D 21 Mpa (1.05 M3) y 3 más. Mano de obra: Auxiliar De Obra 1 (2 jr), Oficial Obra 2 (1 jr). Equipo: Vibrador De Concreto (0.3 hr), Herrramienta Y Equipo Menor (0.2 %).</t>
  </si>
  <si>
    <t>AM03 · ON04 · ES04 · NP01</t>
  </si>
  <si>
    <t>3.10.02</t>
  </si>
  <si>
    <t>CONCRETO DE 28 MPa - (4000 PSI) PARA PLACAS Y VIGAS , LONGITUD MAYOR A</t>
  </si>
  <si>
    <t>Precio por M3. Materiales: Concreto Clase C 28 Mpa (1.05 M3), Formaleta Para Puentes De 14,1 A 21,0 Mts. (1 gl). Mano de obra: Auxiliar De Obra 1 (3.7 jr), Oficial Obra 2 (0.56 jr). Equipo: Vibrador De Concreto (1 hr), Herrramienta Y Equipo Menor (3.3 %).</t>
  </si>
  <si>
    <t>3.10.03</t>
  </si>
  <si>
    <t>CONCRETO DE 28 MPa - (4000 PSI) PARA PLACAS Y VIGAS , LONGITUD DE 0 A 7.0</t>
  </si>
  <si>
    <t>Precio por M3. Materiales: Concreto Clase C 28 Mpa (1.05 M3), Formaleta Para Puentes De 0 A 7,0 Mts. (1 gl). Mano de obra: Auxiliar De Obra 1 (2.8 jr), Oficial Obra 2 (0.42 jr). Equipo: Vibrador De Concreto (0.5 hr), Herrramienta Y Equipo Menor (3.3 %).</t>
  </si>
  <si>
    <t>3.10.04</t>
  </si>
  <si>
    <t>CONCRETO DE 28 MPa - (4000 PSI) PARA PLACAS Y VIGAS , LONGITUD DE 7,1 A 14.0 Mts.</t>
  </si>
  <si>
    <t>Precio por M3. Materiales: Concreto Clase C 28 Mpa (1.05 M3), Formaleta Para Puentes De 7,1 A 14,0 Mts. (1 gl). Mano de obra: Auxiliar De Obra 1 (3.8 jr), Oficial Obra 2 (0.5 jr). Equipo: Vibrador De Concreto (0.5 hr), Herrramienta Y Equipo Menor (3.3 %).</t>
  </si>
  <si>
    <t>3.10.05</t>
  </si>
  <si>
    <t>GUARDARUEDAS EN CONCRETO 28 MPA (4000 PSI) FUNDIDA EN SITIO, (NO INCLUYE REFUERZO)</t>
  </si>
  <si>
    <t>Precio por M3. Materiales: Concreto Clase C 28 Mpa (1.05 M3), Madera Repisa 3 M (1.47 ML), Madera Tabla Burra (3.23 ML), Madera Vara De Clavo (1.91 ML) y 1 más. Mano de obra: Auxiliar De Obra 1 (1 jr), Oficial Obra 1 (0.5 hh). Equipo: Herrramienta Y Equipo Menor (3.3 %).</t>
  </si>
  <si>
    <t>AM03 · ON04 · ES16 · NP01</t>
  </si>
  <si>
    <t>3.10.06</t>
  </si>
  <si>
    <t>SELLADO DE JUNTAS EN PAVIMENTO DE CONCRETO HIDRAULICO (INCLUYE LIMPIEZA, SUMINISTRO E INSTALCION DE FONDO Y SELLANTE)</t>
  </si>
  <si>
    <t>Precio por ML. Materiales: Backer-Rod (1 ML), Sikaflex Pro 3 Wf Tubo 600 Cc O Similar. (0.03 UND). Mano de obra: Auxiliar De Obra 2 (0.4 hh), Oficial Obra 1 (0.4 hh). Equipo: Herrramienta Y Equipo Menor (7 %).</t>
  </si>
  <si>
    <t>AM03 · ON04 · ES01 · NP01</t>
  </si>
  <si>
    <t>3.10.07</t>
  </si>
  <si>
    <t>SUMINISTRO E INSTALACION DE BARANDAS EN TUBERÍA METÁLICA AGUA NEGRA D=2", C. 0.80, SOLDADO, SEGUN DISEÑO, INCLUYE ANTICORROSIVO Y</t>
  </si>
  <si>
    <t>Precio por ML. Materiales: Tubo Metálio Agua Negra D= 2``, C. 0,80 (4 ML), Pintura Para Barandas Metálicas (1.5 glb), Soldadura Electrica (0.5 kg). Mano de obra: Auxiliar De Obra 1 (0.5 jr), Oficial Obra 2 (0.5 jr), Soldador 1 (0.5 jr). Equipo: Compresor De Pintura (0 dd), Equipo De Soldadura (0.5 hr), Herrramienta Y Equipo Menor (5 %).</t>
  </si>
  <si>
    <t>AM03 · ON04 · ES13 · NP02</t>
  </si>
  <si>
    <t>3.10.08</t>
  </si>
  <si>
    <t>SUMINISTRO E INSTALACION DE APOYOS DE NEOPRENO . DUREZA 75, E= 1/4"</t>
  </si>
  <si>
    <t>Precio por M2. Materiales: Neopreno, Dureza 75, E= 1/4`` (1.1 M2). Mano de obra: Oficial Obra 2 (0.33 jr). Equipo: Herrramienta Y Equipo Menor (0.7 %).</t>
  </si>
  <si>
    <t>AM03 · ON04 · ES16 · NP02</t>
  </si>
  <si>
    <t>3.10.09</t>
  </si>
  <si>
    <t>SUMINISTRO E INSTALACION DE DESAGUES EN TUBERIA SANITARIA PVC D=3"</t>
  </si>
  <si>
    <t>Precio por ML. Materiales: Tubería Sanitaria Pvc D= 3`` Para Desagues (1 ML), Limpiador 1/4 Pvc (0.02 gl), Soldadura Liquida Pvc 1/4`` (0.02 gl). Mano de obra: Auxiliar De Obra 1 (0.1 jr). Equipo: Herrramienta Y Equipo Menor (0.65 %).</t>
  </si>
  <si>
    <t>3.10.10</t>
  </si>
  <si>
    <t>SUMINISTRO E INSTALACION DE JUNTAS DE DILATACION EN ANGULO DE 3"x3"x3/8", INCLUYE HIERRO DE ANCLAJE, CINTA SIKA O-22</t>
  </si>
  <si>
    <t>Precio por ML. Materiales: Angulo Estructural 3``x3``x3/8`` (2 ML), Suministro Figurado Y Armado De Acero De Refuerzo 60000 Psi 420 Mpa (4 kg), Cinta Flexible Para Sellos De Juntas Sika O-22 (1.05 ML), Platina De Acero 2-5/8``x2-5/8``x3/8`` (2 UND). Mano de obra: Auxiliar De Obra 1 (1 jr), Oficial Obra 2 (0.5 jr), Soldador 1 (0.5 jr). Equipo: Equipo De Soldadura (0.6 hr), Herrramienta Y Equipo Menor (3.3 %).</t>
  </si>
  <si>
    <t>AM03 · ON04 · ES05 · NP02</t>
  </si>
  <si>
    <t>3.10.11</t>
  </si>
  <si>
    <t>SUMINISTRO FIGURADO Y ARMADO DE ACERO DE REFUERZO 37000 PSI 240 MPA</t>
  </si>
  <si>
    <t>AM03 · ON04 · ES05 · NP03</t>
  </si>
  <si>
    <t>3.10.12</t>
  </si>
  <si>
    <t>SUMINISTRO FIGURADO Y ARMADO DE ACERO DE REFUERZO 60000 PSI 420 MPA</t>
  </si>
  <si>
    <t>3.11.01</t>
  </si>
  <si>
    <t>MANTENIMIENTO</t>
  </si>
  <si>
    <t>CUNETEO Y PERFILADO DE LA BANCA EXISTENTE ( EN MANTENIMIENTO VIAL)</t>
  </si>
  <si>
    <t>Precio por km. Equipo: Motoniveladora Potencia Minima 120 Hp Y Max 215 Hp (4 hr).</t>
  </si>
  <si>
    <t>AM03 · OB09 · ES16 · NP06</t>
  </si>
  <si>
    <t>3.11.02</t>
  </si>
  <si>
    <t>ESCARIFICACION, MEZCLADO, CONFORMACION Y COMPACTACION DE SUBBASE Y/O BASE</t>
  </si>
  <si>
    <t>Precio por km. Mano de obra: Auxiliar De Obra 1 (1 jr). Equipo: Carrotanque (18.18 hr), Motoniveladora Potencia Minima 120 Hp Y Max 215 Hp (18.18 hr), Vibrocompactador Ca-15 O Similar (18.18 hr).</t>
  </si>
  <si>
    <t>3.11.03</t>
  </si>
  <si>
    <t>LIMPIEZA DE ALCANTARILLAS CON DIAMETRO MENOR O IGUAL A 36", INCLUYE RECTIFICACION DE DESCOLES CON RETIRO DE SOBRANTES Y OBSTACULOS ACARREO LIBRE DE 5 KM</t>
  </si>
  <si>
    <t>Precio por UND. Mano de obra: Auxiliar De Obra 1 (3 jr). Equipo: Herrramienta Y Equipo Menor (3.3 %).</t>
  </si>
  <si>
    <t>3.11.04</t>
  </si>
  <si>
    <t>LIMPIEZA DE CUNETAS EN TIERRA CON RECTIFICACION DE SALIDAS Y DESCOLES, INCLUYE RETIRO DE SOBRANTES FUERADE LA ZONA DE LA VIA ( INCLUYE ACARREO LIBRE DE 5 KM)</t>
  </si>
  <si>
    <t>Precio por ML. Mano de obra: Auxiliar De Obra 1 (0.08 jr). Equipo: Herrramienta Y Equipo Menor (3.3 %).</t>
  </si>
  <si>
    <t>3.11.05</t>
  </si>
  <si>
    <t>LIMPIEZA DE CUNETAS REVESTIDAS CON RECTIFICACION DE SALIDAS Y DESCOLES,INCLUYE RETIRO DE SOBRANTES FUERA DE LA ZONA DE VIA ( INCLUYE ACARREO LIBRE DE 5 KM)</t>
  </si>
  <si>
    <t>Precio por ML. Mano de obra: Auxiliar De Obra 1 (0.04 jr). Equipo: Herrramienta Y Equipo Menor (3.3 %).</t>
  </si>
  <si>
    <t>3.11.06</t>
  </si>
  <si>
    <t>LIMPIEZA DE PONTONES Y BOX COULVERT, INCLUYE RECTIFICACION DE DESCOLES CON RETIRO DE SOBRANTES Y OBSTACULOS ACARREO LIBRE DE 5 KM</t>
  </si>
  <si>
    <t>UN</t>
  </si>
  <si>
    <t>Precio por UN. Mano de obra: Auxiliar De Obra 1 (3.53 jr). Equipo: Herrramienta Y Equipo Menor (3.3 %).</t>
  </si>
  <si>
    <t>3.11.07</t>
  </si>
  <si>
    <t>ROCERIA A CADA LA LADO DE LA VIA Y/0 ZONAS NECESARIAS PARA BUENA VISIBILIDAD</t>
  </si>
  <si>
    <t>Precio por HA. Mano de obra: Auxiliar De Obra 1 (3.48 jr). Equipo: Guadañadora (26.67 hr), Herrramienta Y Equipo Menor (3.3 %). Transporte: Transporte De Material (25 M3-km).</t>
  </si>
  <si>
    <t>3.12.01</t>
  </si>
  <si>
    <t>TRANSPORTE</t>
  </si>
  <si>
    <t>CARGUE Y TRANSPORTE DE MATERIALES SUELTOS, PRODUCTO DE SOBRANTES Y/O DERRUMBES (INCLUYE ACARREO LIBRE )</t>
  </si>
  <si>
    <t>Precio por M3. Equipo: Retroexcavadora Jd-510 O Similar (0.03 hr). Transporte: Transporte De Material (1 M3-km).</t>
  </si>
  <si>
    <t>AM03 · ON01 · ES17 · NP01</t>
  </si>
  <si>
    <t>3.12.02</t>
  </si>
  <si>
    <t>TRANSPORTE DE MATERIAL SUELTO</t>
  </si>
  <si>
    <t>M3-km</t>
  </si>
  <si>
    <t>Metro cúbico por kilómetro</t>
  </si>
  <si>
    <t>Precio por M3-km. Transporte: Transporte De Material (1 M3-km).</t>
  </si>
  <si>
    <t>3.12.03</t>
  </si>
  <si>
    <t>TRANSPORTE DE MATERIAL DE AFIRMADO Y/O GRANULAR DESPUÉS DE 5 KM (INSTALADO Y COMPACTADO SEGÚN SECCIÓN DE DISEÑO).</t>
  </si>
  <si>
    <t>Precio por M3-km. Transporte: Transporte De Material (1.25 M3-km).</t>
  </si>
  <si>
    <t>3.12.04</t>
  </si>
  <si>
    <t>TRANSPORTE DE MATERIALES MEDIDOS EN BANCO PRODUCTO DE EXCAVACIONES DE CORTES, CANALES Y PRESTAMOS.</t>
  </si>
  <si>
    <t>Precio por M3. Transporte: Transporte De Material (1.25 M3-km).</t>
  </si>
  <si>
    <t>3.12.05</t>
  </si>
  <si>
    <t>TRANSPORTE DE MEZCLA ASFALTICA DESPUES DE 5 KM, (INSTALADO Y COMPACTADO SEGÚN SECCIÓN DE DISEÑO).</t>
  </si>
  <si>
    <t>Precio por M3-km. Transporte: Transporte De Material Asfaltico (1.25 M3-km).</t>
  </si>
  <si>
    <t>3.12.06</t>
  </si>
  <si>
    <t>TRANSPORTE ESTRUCTURA METALICA DISTANCIA HASTA 100 KM</t>
  </si>
  <si>
    <t>Precio por kg. Transporte: Transporte Estructura Metalica (1 kg-km).</t>
  </si>
  <si>
    <t>3.13.01</t>
  </si>
  <si>
    <t>VARIOS</t>
  </si>
  <si>
    <t>ACERO DE PREESFUERZO</t>
  </si>
  <si>
    <t>ton-m</t>
  </si>
  <si>
    <t>Tonelada por metro</t>
  </si>
  <si>
    <t>Precio por ton-m. Materiales: Alambre Negro No. 18 (0.02 kg), Anclajes O Cuñas Para Tensionamiento (0 UND), Toron De Tensionsmiento De 1/2`` (0.09 kg), Trompetas De 12 Torones (0 kg) y 2 más. Mano de obra: Auxiliar De Obra 1 (0 jr), Oficial Obra 2 (0 jr). Equipo: Bomba De Inyeccion (0 hr), Bomba Gato De Tensionamiento (0 hr), Gato Para Tensionamiento (0 hr), Herrramienta Y Equipo Menor (1.3 %).</t>
  </si>
  <si>
    <t>AM03 · ON04 · ES05 · NP01</t>
  </si>
  <si>
    <t>3.13.02</t>
  </si>
  <si>
    <t>ANCLAJE EN ROCA DE D=4" CON 3 TORONES DE 1/2" POSTENSADOS</t>
  </si>
  <si>
    <t>Precio por ton-m. Materiales: Alambre Negro No. 18 (0.05 kg), Tapones Pvc Rde 21 De 1`` (0.1 UND), Toron De Tensionsmiento De 1/2`` (3 kg), Tubería Pavco Gas Pe 3`` Amarilla (0.55 ML) y 8 más. Mano de obra: Auxiliar De Obra 1 (0.29 jr). Equipo: Bomba De Inyeccion (0.08 hr), Bomba Gato De Tensionamiento (0.08 hr), Compresor 250 Pies 3 Con Martillo (1.25 hr), Equipo De Perforacion Trackdrill (1.25 hr) y 2 más.</t>
  </si>
  <si>
    <t>3.13.03</t>
  </si>
  <si>
    <t>BASE ACAMPANADA DE PILOTES INCLUYE REFUERZO SEGUN NORMA INVIAS</t>
  </si>
  <si>
    <t>Precio por M3. Materiales: Acero 60000 Psi (42 kg), Concreto Clase C 28 Mpa (1 M3), Fulminante (1 UND), Indugel Plus Tipo B32x250 (0.1 kg) y 1 más. Mano de obra: Auxiliar De Obra 1 (3.5 jr), Oficial Obra 2 (0.9 jr). Equipo: Compresor (6.25 hr), Motobomba (6.25 hr), Herrramienta Y Equipo Menor (5 %).</t>
  </si>
  <si>
    <t>3.13.04</t>
  </si>
  <si>
    <t>BOLSACRETO, INCLUYE SUMINISTRO E INSTALACION</t>
  </si>
  <si>
    <t>Precio por M3. Materiales: Concreto 1:2:4 17.5 Mpa (1 M3), Bolsacreto De 1m3 1401 (1 UND). Mano de obra: Auxiliar De Obra 1 (0.45 jr), Oficial Obra 2 (0.1 jr).</t>
  </si>
  <si>
    <t>3.13.05</t>
  </si>
  <si>
    <t>CAMISA PERMANENTE DE DIAMETRO INTERIOR 1 M EN CONCRETO CLASE D 21 MPA (3000 PSI) ESPESOR 0.20 m</t>
  </si>
  <si>
    <t>Precio por ML. Materiales: Concreto Clase D 21 Mpa (0.36 M3). Mano de obra: Auxiliar De Obra 1 (0.38 jr), Oficial Obra 2 (0.13 jr). Equipo: Formaleta Para Camisa De Pilote (1 hr), Herrramienta Y Equipo Menor (5 %).</t>
  </si>
  <si>
    <t>3.13.06</t>
  </si>
  <si>
    <t>CERCA DE ALAMBRE DE PUAS CON POSTES DE CONCRETO PREFABRICADO 10 X 10 CM X 1.80 M 210 KG/CM2 5 LINEAS. DISTANCIA ENTRE POSTES 2 M</t>
  </si>
  <si>
    <t>Precio por ML. Materiales: Alambre Negro No.18 (0.09 kg), Grapas (0.15 kg), Poste En Concreto Prefabricado 10 X 10 Cm X 1.80 M 210 Kg/Cm2 (0.5 UND), Alambre De Puas N° 12.5 (0.6 kg). Mano de obra: Auxiliar De Obra 2 (0.8 hh), Oficial Obra 1 (0.7 hh). Equipo: Herrramienta Y Equipo Menor (5 %).</t>
  </si>
  <si>
    <t>3.13.07</t>
  </si>
  <si>
    <t>3.13.08</t>
  </si>
  <si>
    <t>CERCA DE MALLA ESLABONADA H=1.80 M CALIBRE 10.5 BWG CON POSTES DE CONCRETO PREFABRICADO 10 X 10 CM X 1.80 M 210 KG/CM2 (3000 PSI)</t>
  </si>
  <si>
    <t>Precio por ML. Materiales: Alambre Negro No.18 (0.18 kg), Malla Eslabonada Calibre 10.5 Bwg Hueco 60 Mm Rollo 1.80 X 20 Mts (0.03 rl), Poste En Concreto Prefabricado 10 X 10 Cm X 1.80 M 210 Kg/Cm2 (0.5 UND). Mano de obra: Auxiliar De Obra 2 (2.02 hh). Equipo: Herrramienta Y Equipo Menor (5 %).</t>
  </si>
  <si>
    <t>3.13.09</t>
  </si>
  <si>
    <t>CERRAMIENTO EN VARA ROLLIZA Y LONA H=1.50 M . DISTANCIA ENTRE POSTES 2 M</t>
  </si>
  <si>
    <t>Precio por ML. Materiales: Tela Cerramiento Obra (1 ML), Madera Rolliza D=0.15 M (2 ML), Madera Vara De Clavo (0.5 ML), Puntilla Con Y Sin Cabeza 2 (0.03 lb). Mano de obra: Auxiliar De Obra 2 (0.6 hh), Oficial Obra 1 (0.3 hh). Equipo: Herrramienta Y Equipo Menor (5 %).</t>
  </si>
  <si>
    <t>3.13.10</t>
  </si>
  <si>
    <t>CINTA SIKA PVC. V=0.10</t>
  </si>
  <si>
    <t>Precio por ML. Materiales: Cinta Sika Pvc V= 0.10 (1 ML). Mano de obra: Auxiliar De Obra 1 (0.01 jr), Oficial Obra 2 (0.01 jr). Equipo: Herrramienta Y Equipo Menor (5 %).</t>
  </si>
  <si>
    <t>AM03 · ON04 · ES13 · NP01</t>
  </si>
  <si>
    <t>3.13.11</t>
  </si>
  <si>
    <t>CINTA SIKA PVC. V=0.15</t>
  </si>
  <si>
    <t>Precio por ML. Materiales: Cinta Sika Pvc V= 0.15 (1 ML). Mano de obra: Auxiliar De Obra 1 (0.01 jr), Oficial Obra 2 (0.01 jr). Equipo: Herrramienta Y Equipo Menor (5 %).</t>
  </si>
  <si>
    <t>3.13.12</t>
  </si>
  <si>
    <t>CINTA SIKA PVC. V=0.22</t>
  </si>
  <si>
    <t>Precio por ML. Materiales: Cinta Sika Pvc 0.22 (1 ML). Mano de obra: Auxiliar De Obra 1 (0.01 jr), Oficial Obra 2 (0.01 jr). Equipo: Herrramienta Y Equipo Menor (5 %).</t>
  </si>
  <si>
    <t>3.13.13</t>
  </si>
  <si>
    <t>CONSTRUCCION JUNTAS ELASTOMERICAS DE 30 CMS DE ANCHO SEGUN INVIAS PRUEBA NORMA ASTM D-4014</t>
  </si>
  <si>
    <t>Precio por ML. Materiales: Elastomero (40 kg), Gas (0.5 lb), Gravilla ¾, ½ (0.15 M3), Junta Sellante Gomaespuma (1 ML) y 2 más. Mano de obra: Auxiliar De Obra 1 (2.5 jr), Oficial Obra 2 (0.5 jr). Equipo: Calentador A Gas (0.5 hr), Fundidora (0.5 hr), Planta Electrica (2.8 hr), Plaqueta Vibratoria (0.5 hr) y 3 más.</t>
  </si>
  <si>
    <t>3.13.14</t>
  </si>
  <si>
    <t>CORTE DE PAVIMENTO ASFÁLTICO</t>
  </si>
  <si>
    <t>Precio por ML. Materiales: Disco Diamantado Asfalto-Concreto 350mm (0 UND), Agua (5 lt). Mano de obra: Auxiliar De Obra 1 (0.04 jr). Equipo: Cortadora De Pavimento (0.12 hr).</t>
  </si>
  <si>
    <t>3.13.15</t>
  </si>
  <si>
    <t>DEMOLICION OBRAS EN CONCRETO REFORZADO, INCLUYE RETIRO DE SOBRANTES</t>
  </si>
  <si>
    <t>Precio por M3. Materiales: Transporte De Material Suelto (1.25 M3-km). Mano de obra: Auxiliar De Obra 1 (1.5 jr), Oficial Obra 2 (0.5 jr). Equipo: Compresor (3.03 hr), Pulidora (0.05 dd), Retroexcavadora Jd-510 O Similar (0.05 hr), Herrramienta Y Equipo Menor (0.03 %).</t>
  </si>
  <si>
    <t>AM03 · ON04 · ES02 · NP05</t>
  </si>
  <si>
    <t>3.13.16</t>
  </si>
  <si>
    <t>DEMOLICION OBRAS EN CONCRETO SIMPLE, INCLUYE RETIRO DE SOBRANTES (ACARREO lIBRE 5 Km.)</t>
  </si>
  <si>
    <t>Precio por M2. Materiales: Transporte De Material Suelto (5 M3-km). Mano de obra: Auxiliar De Obra 1 (1 jr), Oficial Obra 2 (0.66 jr), Auxiliar De Obra 2 (0.24 hh). Equipo: Compresor (0.66 hr), Retroexcavadora Jd-510 O Similar (0.03 hr), Herrramienta Y Equipo Menor (5 %), Compresor De 2 Martillos (0.12 hr) y 1 más. Transporte: Viaje Volqueta M3 (0.07 M3).</t>
  </si>
  <si>
    <t>Costo total del documento (212974.22) distinto a la suma de insumos (231198.47)</t>
  </si>
  <si>
    <t>3.13.18</t>
  </si>
  <si>
    <t>DEMOLICION PISOS, ANDENES EN CONCRETO HASTA E= 12 CM INCLUYE RETIRO</t>
  </si>
  <si>
    <t>Precio por M2. Mano de obra: Machinero (0.01 jr). Equipo: Compresor De 2 Martillos (0.06 hr), Herrramienta Y Equipo Menor (5 %). Transporte: Viaje Volqueta M3 (0.17 M3).</t>
  </si>
  <si>
    <t>3.13.19</t>
  </si>
  <si>
    <t>DESMONTE Y REINSTALACION DE SEÑALES VIALES (INCLUYE DADO DE</t>
  </si>
  <si>
    <t>Precio por UND. Materiales: Concreto 1:2:4 17.5 Mpa (0.01 M3). Mano de obra: Auxiliar De Obra 1 (0.25 jr), Oficial Obra 2 (0.17 jr). Equipo: Herrramienta Y Equipo Menor (7 %).</t>
  </si>
  <si>
    <t>3.13.20</t>
  </si>
  <si>
    <t>EMPRADIZACION DE TALUDES CON BLOQUES DE CESPED SEGUN NORMA INVIAS</t>
  </si>
  <si>
    <t>Precio por M2. Materiales: Tierra Abonada (0.2 M3), Cesped (1.03 M2), Estacas De Guadua (0.81 UND), Agua (25 lt). Mano de obra: Auxiliar De Obra 1 (0.06 jr). Equipo: Herrramienta Y Equipo Menor (5 %).</t>
  </si>
  <si>
    <t>3.13.21</t>
  </si>
  <si>
    <t>EMPRADIZACION DE TALUDES CON TIERRA ORGANICA Y SEMILLAS</t>
  </si>
  <si>
    <t>Precio por M2. Materiales: Tierra Abonada (0.2 M3), Esterilla De Guadua (0.05 M2), Agua (25 lt), Semillas (2 UND). Mano de obra: Auxiliar De Obra 1 (0.27 jr). Equipo: Herrramienta Y Equipo Menor (5 %).</t>
  </si>
  <si>
    <t>3.13.22</t>
  </si>
  <si>
    <t>SUMINISTRO, TRANSPORTE, FABRICACIÓN, ENSAMBLAJE Y MONTAJE DE ESTRUCTURA METALICA</t>
  </si>
  <si>
    <t>Precio por kg. Materiales: Acero Estruct. Astm A-36 (1.05 kg), Transporte Estructura Metalica Distancia Hasta 100 Km (1 kg), Fundente (0.01 kg), Gas Propano (0.01 kg) y 2 más. Mano de obra: Auxiliar De Obra 1 (0.02 jr), Inspector De Fabricacion Y Monetaje (0.01 jr), Oficial Obra 2 (0.01 jr), Soldador 1 (0.02 jr). Equipo: Diferencial 3 Ton (0.04 hr), Equipo De Oxicorte (0.04 dd), Equipo De Soldadura 400 (0.05 hr), Herrramienta Y Equipo Menor (5 %).</t>
  </si>
  <si>
    <t>AM03 · ON04 · ES17 · NP03</t>
  </si>
  <si>
    <t>3.13.23</t>
  </si>
  <si>
    <t>IMPRIMACION CON SIKADUR 32 O SIMILAR</t>
  </si>
  <si>
    <t>Precio por M2. Materiales: Adherente Epoxico Sikadur 32 (0.5 kg). Mano de obra: Auxiliar De Obra 2 (0.8 hh). Equipo: Herrramienta Y Equipo Menor (8.61 %).</t>
  </si>
  <si>
    <t>3.13.24</t>
  </si>
  <si>
    <t>MALLA ELECTROSOLDADA 0.15 X 0.15 M D= 4MM (INCLUYE SUMINISTRO FIJACION E INSTALACION)</t>
  </si>
  <si>
    <t>Precio por kg. Materiales: Alambre Negro No. 18 (0.02 kg), Malla Electrosoldada S=150x150mm, ø=4x4mm (1 kg). Mano de obra: Auxiliar De Obra 2 (0.03 hh), Oficial Obra 1 (0.03 hh). Equipo: Herrramienta Y Equipo Menor (5 %).</t>
  </si>
  <si>
    <t>3.13.25</t>
  </si>
  <si>
    <t>MALLA ELECTROSOLDADA 0.15 X 0.15 M D= 5MM (INCLUYE SUMINISTRO FIJACION E INSTALACION)</t>
  </si>
  <si>
    <t>Precio por kg. Materiales: Alambre Negro No. 18 (0.02 kg), Malla Electrosoldada S=150x150mm, ø=5x5mm (1 kg). Mano de obra: Auxiliar De Obra 2 (0.03 hh), Oficial Obra 1 (0.03 hh). Equipo: Herrramienta Y Equipo Menor (5 %).</t>
  </si>
  <si>
    <t>3.13.26</t>
  </si>
  <si>
    <t>MALLA ELECTROSOLDADA 0.15 X 0.15 M D= 6MM (INCLUYE SUMINISTRO FIJACION E INSTALACION)</t>
  </si>
  <si>
    <t>Precio por kg. Materiales: Alambre Negro No. 18 (0.02 kg), Malla Electrosoldada S=150x150mm, ø=6x6mm (1 kg). Mano de obra: Auxiliar De Obra 2 (0.03 hh), Oficial Obra 1 (0.03 hh). Equipo: Herrramienta Y Equipo Menor (5 %).</t>
  </si>
  <si>
    <t>3.13.27</t>
  </si>
  <si>
    <t>MALLA ELECTROSOLDADA 0.15 X 0.15 M D= 7MM (INCLUYE SUMINISTRO FIJACION E INSTALACION)</t>
  </si>
  <si>
    <t>Precio por kg. Materiales: Alambre Negro No. 18 (0.02 kg), Malla Electrosoldada S=150x150mm, ø=7x7mm (1 kg). Mano de obra: Auxiliar De Obra 2 (0.03 hh), Oficial Obra 1 (0.03 hh). Equipo: Herrramienta Y Equipo Menor (5 %).</t>
  </si>
  <si>
    <t>3.13.28</t>
  </si>
  <si>
    <t>MALLA ELECTROSOLDADA 0.15 X 0.15 M D= 8MM (INCLUYE SUMINISTRO FIJACION E INSTALACION)</t>
  </si>
  <si>
    <t>Precio por kg. Materiales: Alambre Negro No. 18 (0.02 kg), Malla Electrosoldada S=150x150mm, ø=8x8mm (1 kg). Mano de obra: Auxiliar De Obra 2 (0.03 hh), Oficial Obra 1 (0.03 hh). Equipo: Herrramienta Y Equipo Menor (5 %).</t>
  </si>
  <si>
    <t>3.13.29</t>
  </si>
  <si>
    <t>MALLA ELECTROSOLDADA 0.20X0.20 M D04 MM (INCLUYE SUMINISTRO, FIJACION E INSTALACION)</t>
  </si>
  <si>
    <t>Precio por kg. Materiales: Alambre Negro No. 18 (0.03 kg), Malla Electrosoldada S=200x200mm, ø=4x4mm (1 kg). Mano de obra: Auxiliar De Obra 2 (0.03 hh), Oficial Obra 1 (0.03 hh). Equipo: Herrramienta Y Equipo Menor (5 %).</t>
  </si>
  <si>
    <t>3.13.30</t>
  </si>
  <si>
    <t>MALLA ELECTROSOLDADA 0.25X0.25 M D04 MM (INCLUYE SUMINISTRO, FIJACION E INSTALACION)</t>
  </si>
  <si>
    <t>3.13.31</t>
  </si>
  <si>
    <t>PILOTE D=40 CM CONCRETO 21MPa - (3000 PSI) NO INCLUYE REFUERZO (INCL. EXCAVACIÓN, CARGUE Y RETIRO DE SOBRANTES, MOVILIZACIÓN, MONTAJE Y</t>
  </si>
  <si>
    <t>Precio por ML. Materiales: Concreto Clase D 21 Mpa (0.13 M3). Mano de obra: Auxiliar De Obra 1 (0.64 jr), Oficial Obra 2 (0.32 jr). Equipo: Piloteadora (0.4 hr), Herrramienta Y Equipo Menor (5 %). Transporte: Movilización, Montaje Y Desmontaje Piloteadora (1 ML), Transporte De Material (1.25 M3-km).</t>
  </si>
  <si>
    <t>3.13.32</t>
  </si>
  <si>
    <t>PILOTE D=50 CM CONCRETO 21MPa - (3000 PSI) NO INCLUYE REFUERZO (INCL. EXCAVACIÓN, CARGUE Y RETIRO DE</t>
  </si>
  <si>
    <t>Precio por ML. Materiales: Concreto Clase D 21 Mpa (0.21 M3). Mano de obra: Auxiliar De Obra 1 (0.67 jr), Oficial Obra 2 (0.35 jr). Equipo: Piloteadora (0.44 hr), Herrramienta Y Equipo Menor (5 %). Transporte: Movilización, Montaje Y Desmontaje Piloteadora (1 ML), Transporte De Material (1.28 M3-km).</t>
  </si>
  <si>
    <t>3.13.33</t>
  </si>
  <si>
    <t>PILOTE D=60 CM CONCRETO 21MPa - (3000 PSI) NO INCLUYE REFUERZO (INCL. EXCAVACIÓN, CARGUE Y RETIRO DE SOBRANTES, MOVILIZACIÓN, MONTAJE Y</t>
  </si>
  <si>
    <t>Precio por ML. Materiales: Concreto Clase D 21 Mpa (0.3 M3). Mano de obra: Auxiliar De Obra 1 (0.84 jr), Oficial Obra 2 (0.42 jr). Equipo: Piloteadora (0.5 hr), Herrramienta Y Equipo Menor (5 %). Transporte: Movilización, Montaje Y Desmontaje Piloteadora (1 ML), Transporte De Material (1.85 M3-km).</t>
  </si>
  <si>
    <t>3.13.34</t>
  </si>
  <si>
    <t>PINTURA DE LA ESTRUCTURA METALICA</t>
  </si>
  <si>
    <t>Precio por kg. Materiales: Anticorrosivo Premium - Tipo Pintuco Ref. 513 O Similar (0 gl), Pintura Esmalte Sintetico Tipo Ii (0.01 gl). Mano de obra: Auxiliar De Pintura 1 (0.02 hh), Oficial Pintura (0.02 hh). Equipo: Compresor De Pintura (0 dd), Andamio Tubular Normalizado, Tipo Multidireccional, De Acero Galvanizado En Caliente, Según Iso 9001. (0.08 dd), Herrramienta Y Equipo Menor (3.3 %).</t>
  </si>
  <si>
    <t>3.13.35</t>
  </si>
  <si>
    <t>PLANTACIÓN DE ARBOLES PAISAJISTICOS ALTURA MINIMA 1.20 MTS</t>
  </si>
  <si>
    <t>Precio por UND. Materiales: Abono Para Frutales (0.43 kg), Tierra Abonada (0.1 M3), Arbol Paisajistico H= 1.20 Mts (1 UND), Agua (100 lt). Mano de obra: Auxiliar De Obra 1 (0.28 jr). Equipo: Herrramienta Y Equipo Menor (6.02 %).</t>
  </si>
  <si>
    <t>3.13.36</t>
  </si>
  <si>
    <t>RELLENO PARA REDES EN ARENA DE PEÑA (SUMINISTRO, EXTENDIDO, UMEDECIMIENTO Y COMPACTACION)</t>
  </si>
  <si>
    <t>Precio por M3. Materiales: Arena De Peña (1.3 M3). Mano de obra: Auxiliar De Obra 2 (0.8 hh), Oficial Obra 1 (0.4 hh). Equipo: Vibrocompactador Rana (0.33 hr), Herrramienta Y Equipo Menor (5 %).</t>
  </si>
  <si>
    <t>AM03 · ON04 · ES03 · NP01</t>
  </si>
  <si>
    <t>3.13.37</t>
  </si>
  <si>
    <t>RELLENO PARA REDES EN GRAVILLA DE 3/4 , 1/2 (SUMINISTRO, EXTENDIDO, UMEDECIMIENTO Y COMPACTACION)</t>
  </si>
  <si>
    <t>Precio por M3. Materiales: Gravilla ¾, ½ (1.05 M3). Mano de obra: Auxiliar De Obra 2 (0.4 hh), Oficial Obra 1 (0.3 hh). Equipo: Herrramienta Y Equipo Menor (5 %).</t>
  </si>
  <si>
    <t>3.13.38</t>
  </si>
  <si>
    <t>SANDBLASTING Y PINTURA DE ESTRUCTURA METALICA</t>
  </si>
  <si>
    <t>Precio por kg. Materiales: Disolvente Thiner (0.01 gl), Pintura Anticorrosivo (0 gl), Pintura Esmalte Sintetico Tipo Ii (0.01 gl). Mano de obra: Oficial Pintura (0.04 hh). Equipo: Compresor De Pintura (0 dd), Equipo Sand Blasting (0 hc).</t>
  </si>
  <si>
    <t>3.13.39</t>
  </si>
  <si>
    <t>SELLADO DE JUNTAS EN PAVIMENTO FLEXIBLE (INCLUYE LIMPIEZA, SUMINISTRO E INSTALACION DE FONDO Y EMULSION ASFALTICA CRR-1)</t>
  </si>
  <si>
    <t>Precio por ML. Materiales: Sikaflex Pro 3 Wf Tubo 600 Cc O Similar. (0.02 UND). Mano de obra: Auxiliar De Obra 2 (0.41 hh), Oficial Obra 1 (0.41 hh). Equipo: Herrramienta Y Equipo Menor (0.7 %).</t>
  </si>
  <si>
    <t>3.13.40</t>
  </si>
  <si>
    <t>SELLOS PARA JUNTA DE PUENTE SEGUN NORMA INVIAS</t>
  </si>
  <si>
    <t>Precio por ML. Materiales: Cinta Sika Pvc 0.22 (1 ML). Mano de obra: Auxiliar De Obra 1 (0.02 jr). Equipo: Herrramienta Y Equipo Menor (3.3 %).</t>
  </si>
  <si>
    <t>3.13.41</t>
  </si>
  <si>
    <t>SEPARADOR ``NEW JERSEY`` BIDIRECCIONAL 1.5 X 0.6 M X 1.1 M (PREFABRICADO, INCLUYE SUMINISTRO E INSTALACION, NO INCLUYE MATERIAL DE</t>
  </si>
  <si>
    <t>Precio por ML. Materiales: Barrera Bidireccional New Jersey (0.68 UND). Mano de obra: Auxiliar De Obra 2 (0.8 hh), Oficial Obra 1 (0.4 hh). Equipo: Cargador 950 O Similar (0.4 hr), Herrramienta Y Equipo Menor (5 %).</t>
  </si>
  <si>
    <t>3.13.42</t>
  </si>
  <si>
    <t>SEPARADOR ``NEW JERSEY`` MONODIRECCIONAL 1 X 0.6 M (PREFABRICADO, INCLUYE SUMINISTRO E INSTALACION, NO INCLUYE MATERIAL DE</t>
  </si>
  <si>
    <t>Precio por ML. Materiales: Barrera Monodireccional New Jersey (1 UND). Mano de obra: Auxiliar De Obra 2 (0.4 hh), Oficial Obra 1 (0.4 hh). Equipo: Cargador 950 O Similar (0.4 hr), Herrramienta Y Equipo Menor (5 %).</t>
  </si>
  <si>
    <t>3.13.43</t>
  </si>
  <si>
    <t>SUMINISTRO E INSTALACION APOYOS ELASTOMERICOS DE NEOPRENO 35CM*45CM*5CM DUREZA 60</t>
  </si>
  <si>
    <t>Precio por UND. Materiales: Neopreno 35cm*45cm*5cm Dureza 60 (1 UND). Mano de obra: Auxiliar De Obra 1 (0.03 jr).</t>
  </si>
  <si>
    <t>3.13.44</t>
  </si>
  <si>
    <t>SUMINISTRO E INSTALACION DE GEOMALLA CON RESISTENCIA ULTIMA 112.6/24.4 KN/M</t>
  </si>
  <si>
    <t>Precio por M2. Materiales: Geomalla Resistencia Ultima 112,6/24,4 Kn/M (1.05 M2). Mano de obra: Auxiliar De Instalaciones 1 (0.1 hh), Oficial Instalaciones (0.1 hh).</t>
  </si>
  <si>
    <t>3.13.45</t>
  </si>
  <si>
    <t>SUMINISTRO E INSTALACION DE GEOMALLA CON RESISTENCIA ULTIMA 178,5/53,9 KN/M</t>
  </si>
  <si>
    <t>Precio por M2. Materiales: Geomalla Resistencia Ultima 178/53,9 Kn/M (1.05 M2). Mano de obra: Auxiliar De Instalaciones 1 (0.1 hh), Oficial Instalaciones (0.1 hh).</t>
  </si>
  <si>
    <t>3.13.46</t>
  </si>
  <si>
    <t>SUMINISTRO E INSTALACION DE GEOMALLA CON RESISTENCIA ULTIMA A 25 KN/M</t>
  </si>
  <si>
    <t>Precio por M2. Materiales: Geomalla Resistencia Ultima 25 Kn/M (1.05 M2). Mano de obra: Auxiliar De Instalaciones 1 (0.1 hh), Oficial Instalaciones (0.1 hh).</t>
  </si>
  <si>
    <t>3.13.47</t>
  </si>
  <si>
    <t>SUMINISTRO E INSTALACION DE GEOTEXTIL NO TEJIDO CON RESISTENCIA A LA TENSION ELONGACION DE 570 N PARA PAVIMENTACION Y REPAVIMENTACION</t>
  </si>
  <si>
    <t>Precio por M2. Materiales: Geotextil No Tejido Con Resistencia A La Tension Elongacion 570 N (1.05 M2). Mano de obra: Auxiliar De Instalaciones 1 (0.05 hh), Oficial Instalaciones (0.05 hh).</t>
  </si>
  <si>
    <t>3.13.48</t>
  </si>
  <si>
    <t>SUMINISTRO E INSTALACION DE GEOTEXTIL NO TEJIDO CON RESISTENCIA A LA TENSION ELONGACION DE 530 N PARA PAVIMENTACION Y REPAVIMENTACION</t>
  </si>
  <si>
    <t>Precio por M2. Materiales: Geotextil No Tejido Con Resistencia A La Tension Elongacion 530 N (1.05 M2). Mano de obra: Auxiliar De Instalaciones 1 (0.05 hh), Oficial Instalaciones (0.05 hh).</t>
  </si>
  <si>
    <t>3.13.49</t>
  </si>
  <si>
    <t>SUMINISTRO E INSTALACION DE GEOTEXTIL NT 1600 PARA SEPARACION SUBRASANTE/CAPAS GRANULARES Y/O SUBDRENES/FILTROS</t>
  </si>
  <si>
    <t>Precio por M2. Materiales: Geotextil Nt 1600 (1.05 M2). Mano de obra: Auxiliar De Instalaciones 1 (0.05 hh), Oficial Instalaciones (0.05 hh).</t>
  </si>
  <si>
    <t>AM03 · ON04 · ES03 · NP02</t>
  </si>
  <si>
    <t>3.13.50</t>
  </si>
  <si>
    <t>SUMINISTRO E INSTALACION DE GEOTEXTIL NT 1800 PARA SEPARACION SUBRASANTE/CAPAS GRANULARES Y/O SUBDRENES/FILTROS</t>
  </si>
  <si>
    <t>Precio por M2. Materiales: Geotextil Nt 1800 (1.05 M2). Mano de obra: Auxiliar De Instalaciones 1 (0.05 hh), Oficial Instalaciones (0.05 hh).</t>
  </si>
  <si>
    <t>3.13.51</t>
  </si>
  <si>
    <t>SUMINISTRO E INSTALACION DE GEOTEXTIL NT 2000 PARA SEPARACION SUBRASANTE/CAPAS GRANULARES Y/O SUBDRENES/FILTROS</t>
  </si>
  <si>
    <t>Precio por M2. Materiales: Geotextil Nt 2000 (1.05 M2). Mano de obra: Auxiliar De Instalaciones 1 (0.05 hh), Oficial Instalaciones (0.05 hh).</t>
  </si>
  <si>
    <t>3.13.52</t>
  </si>
  <si>
    <t>SUMINISTRO E INSTALACION DE GEOTEXTIL NT 2500 PARA SEPARACION SUBRASANTE/CAPAS GRANULARES Y/O SUBDRENES/FILTROS</t>
  </si>
  <si>
    <t>Precio por M2. Materiales: Geotextil Nt 2500 (1.05 M2). Mano de obra: Auxiliar De Instalaciones 1 (0.05 hh), Oficial Instalaciones (0.05 hh).</t>
  </si>
  <si>
    <t>3.13.53</t>
  </si>
  <si>
    <t>SUMINISTRO E INSTALACION DE GEOTEXTIL NT 3000 PARA SEPARACION SUBRASANTE/CAPAS GRANULARES Y/O SUBDRENES/FILTROS</t>
  </si>
  <si>
    <t>Precio por M2. Materiales: Geotextil Nt 3000 (1.05 M2). Mano de obra: Auxiliar De Instalaciones 1 (0.05 hh), Oficial Instalaciones (0.05 hh).</t>
  </si>
  <si>
    <t>3.13.54</t>
  </si>
  <si>
    <t>SUMINISTRO E INSTALACIÓN DE GEOTEXTIL NT 4000 PARA ESTABILIZACIÓN DE SUBRASANTES/CAPAS- SEPARACION SUBRASANTE/CAPAS GRANULARES Y/O SUBDRENES/FILTROS</t>
  </si>
  <si>
    <t>Precio por M2. Materiales: Geotextil Nt 4000 (1.05 M2). Mano de obra: Auxiliar De Instalaciones 1 (0.05 hh), Oficial Instalaciones (0.05 hh).</t>
  </si>
  <si>
    <t>3.13.55</t>
  </si>
  <si>
    <t>SUMINISTRO E INSTALACIÓN DE GEOTEXTIL NT 5000 PARA ESTABILIZACIÓN DE SUBRASANTES/CAPAS- SEPARACION SUBRASANTE/CAPAS GRANULARES Y/O SUBDRENES/FILTROS</t>
  </si>
  <si>
    <t>Precio por M2. Materiales: Geotextil Nt 5000 (1.05 M2). Mano de obra: Auxiliar De Instalaciones 1 (0.05 hh), Oficial Instalaciones (0.05 hh).</t>
  </si>
  <si>
    <t>3.13.56</t>
  </si>
  <si>
    <t>SUMINISTRO E INSTALACIÓN DE GEOTEXTIL NT 6000 PARA ESTABILIZACIÓN DE SUBRASANTES/CAPAS- SEPARACION SUBRASANTE/CAPAS GRANULARES Y/O SUBDRENES/FILTROS</t>
  </si>
  <si>
    <t>Precio por M2. Materiales: Geotextil Nt 6000 (1.05 M2). Mano de obra: Auxiliar De Instalaciones 1 (0.05 hh), Oficial Instalaciones (0.05 hh).</t>
  </si>
  <si>
    <t>3.13.57</t>
  </si>
  <si>
    <t>SUMINISTRO E INSTALACION DE GEOTEXTIL NT 7000 PARA ESTABILIZACION SUBRASANTES/CAPAS- SEPARACION SUBRASANTE/CAPAS GRANULARES Y/O SUBDRENES/FILTROS</t>
  </si>
  <si>
    <t>Precio por M2. Materiales: Geotextil Nt 7000 (1.05 M2). Mano de obra: Auxiliar De Instalaciones 1 (0.05 hh), Oficial Instalaciones (0.05 hh).</t>
  </si>
  <si>
    <t>3.13.58</t>
  </si>
  <si>
    <t>SUMINISTRO E INSTALACION DE GEOTEXTIL T, RESIST ULTIMA A LA ROTURA (TIRA ANCHA)=110 KN/M PARA ESTABILIZACION SUBRASANTE/CAPAS - SEPARACION SUBRASANTE/CAPAS GRANULARES Y/O SUBDRENES/FILTROS</t>
  </si>
  <si>
    <t>Precio por M2. Materiales: Geotextil Tejido Con Resistencia A La Rotura 110 Kn/M (1.05 M2). Mano de obra: Auxiliar De Instalaciones 1 (0.05 hh), Oficial Instalaciones (0.05 hh).</t>
  </si>
  <si>
    <t>AM03 · ON04 · ES02 · NP02</t>
  </si>
  <si>
    <t>3.13.59</t>
  </si>
  <si>
    <t>SUMINISTRO E INSTALACION DE GEOTEXTIL T, RESIST ULTIMA A LA ROTURA (TIRA ANCHA)=45.2 KN/M PARA ESTABILIZACION SUBRASANTE/CAPAS - SEPARACION SUBRASANTE/CAPAS GRANULARES Y/O SUBDRENES/FILTROS</t>
  </si>
  <si>
    <t>Precio por M2. Materiales: Geotextil Tejido Con Resistencia A La Rotura 45.2 Kn/M (1.05 M2). Mano de obra: Auxiliar De Instalaciones 1 (0.05 hh), Oficial Instalaciones (0.05 hh).</t>
  </si>
  <si>
    <t>3.13.60</t>
  </si>
  <si>
    <t>SUMINISTRO E INSTALACION DE GEOTEXTIL T, RESIST ULTIMA A LA ROTURA (TIRA ANCHA)=69 KN/M PARA ESTABILIZACION SUBRASANTE/CAPAS - SEPARACION SUBRASANTE/CAPAS GRANULARES Y/O SUBDRENES/FILTROS</t>
  </si>
  <si>
    <t>Precio por M2. Materiales: Geotextil Tejido Con Resistencia A La Rotura 69 Kn/M (1.05 M2). Mano de obra: Auxiliar De Instalaciones 1 (0.05 hh), Oficial Instalaciones (0.05 hh).</t>
  </si>
  <si>
    <t>3.13.61</t>
  </si>
  <si>
    <t>SUMINISTRO E INSTALACION DE GEOTEXTIL T, RESIST ULTIMA A LA ROTURA(TIRA ANCHA)=33.8 KN/M PARA SEPARACION SUBRASANTE/CAPAS GRANULARES Y/O SUBDRENES/FILTROS</t>
  </si>
  <si>
    <t>Precio por M2. Materiales: Geotextil Tejido Con Resistencia A La Rotura 33.8 Kn/M (1.05 M2). Mano de obra: Auxiliar De Instalaciones 1 (0.05 hh), Oficial Instalaciones (0.05 hh).</t>
  </si>
  <si>
    <t>4.01.01</t>
  </si>
  <si>
    <t>GASODUCTOS</t>
  </si>
  <si>
    <t>CONEXIÓN GAS ESTANDAR (ACOMETIDA Y MEDIDOR)</t>
  </si>
  <si>
    <t>Precio por UND. Materiales: Tee Reducida Polietileno 1x1/2 (1 UND), Tubería Galvanizada Sch 40 1 1/2 (1 ML), Tubería Polietileno 1/2 (1 ML), Universal Galvanizada 1/2 (1 UND) y 6 más. Mano de obra: Auxiliar De Instalaciones 1 (2.5 hh), Oficial Instalaciones (1 hh).</t>
  </si>
  <si>
    <t>AM04 · OG06 · ES14 · NP01</t>
  </si>
  <si>
    <t>AM04 Gas</t>
  </si>
  <si>
    <t>4.01.02</t>
  </si>
  <si>
    <t>SUMINISTRO E INSTALACION DE TUBERIA DE POLIETILENO DE 1/2`` EN ANDEN TABLETA</t>
  </si>
  <si>
    <t>Precio por ML. Materiales: Tubería Pavco Gas Pe 1/2``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(2.4 %).</t>
  </si>
  <si>
    <t>AM04 · OG06 · ES15 · NP02</t>
  </si>
  <si>
    <t>4.01.03</t>
  </si>
  <si>
    <t>SUMINISTRO E INSTALACION DE TUBERIA DE POLIETILENO DE 1/2`` EN ASFALTO</t>
  </si>
  <si>
    <t>Precio por ML. Materiales: Tubería Pavco Gas Pe 1/2``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(0.17 hr), Cortadora De Pavimento (0.09 hr), Termofucionador Tuberia Polivinilica (0 dd), Herrramienta Y Equipo Menor (5 %).</t>
  </si>
  <si>
    <t>4.01.04</t>
  </si>
  <si>
    <t>SUMINISTRO E INSTALACION DE TUBERIA DE POLIETILENO DE 1/2`` EN CONCRETO</t>
  </si>
  <si>
    <t>Precio por ML. Materiales: Tubería Pavco Gas Pe 1/2``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(0.15 hr), Cortadora De Pavimento (0.09 hr), Termofucionador Tuberia Polivinilica (0 dd), Herrramienta Y Equipo Menor (5 %).</t>
  </si>
  <si>
    <t>4.01.05</t>
  </si>
  <si>
    <t>SUMINISTRO E INSTALACION DE TUBERIA DE POLIETILENO DE 1/2`` EN ZONA VERDE</t>
  </si>
  <si>
    <t>Precio por ML. Materiales: Tierra Negra (0.24 M3), Tubería Pavco Gas Pe 1/2``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</t>
  </si>
  <si>
    <t>4.01.06</t>
  </si>
  <si>
    <t>SUMINISTRO E INSTALACION DE TUBERIA DE POLIETILENO DE 1`` EN ANDEN TABLETA</t>
  </si>
  <si>
    <t>Precio por ML. Materiales: Tubería Pavco Gas Pe 1``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(3.3 %).</t>
  </si>
  <si>
    <t>4.01.07</t>
  </si>
  <si>
    <t>SUMINISTRO E INSTALACION DE TUBERIA DE POLIETILENO DE 1`` EN ASFALTO</t>
  </si>
  <si>
    <t>Precio por ML. Materiales: Tubería Pavco Gas Pe 1``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</si>
  <si>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4.01.08</t>
  </si>
  <si>
    <t>SUMINISTRO E INSTALACION DE TUBERIA DE POLIETILENO DE 1`` EN CONCRETO</t>
  </si>
  <si>
    <t>Precio por ML. Materiales: Tubería Pavco Gas Pe 1``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</si>
  <si>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4.01.09</t>
  </si>
  <si>
    <t>SUMINISTRO E INSTALACION DE TUBERIA DE POLIETILENO DE 1`` EN ZONA VERDE</t>
  </si>
  <si>
    <t>Precio por ML. Materiales: Tierra Negra (0.24 M3), Tubería Pavco Gas Pe 1``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</t>
  </si>
  <si>
    <t>4.01.10</t>
  </si>
  <si>
    <t>SUMINISTRO E INSTALACION DE TUBERIA DE POLIETILENO DE 2`` EN ANDEN TABLETA</t>
  </si>
  <si>
    <t>Precio por ML. Materiales: Tubería Pavco Gas Pe 2``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(3.3 %).</t>
  </si>
  <si>
    <t>4.01.11</t>
  </si>
  <si>
    <t>SUMINISTRO E INSTALACION DE TUBERIA DE POLIETILENO DE 2`` EN ASFALTO</t>
  </si>
  <si>
    <t>Precio por ML. Materiales: Tubería Pavco Gas Pe 2``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(0.2 hh), Oficial Instalaciones (0.2 hh). Equipo: Compresor De 2 Martillos (0.16 hr), Cortadora De Pavimento (0.09 hr), Termofucionador Tuberia Polivinilica (0 dd), Herrramienta Y Equipo Menor (5 %).</t>
  </si>
  <si>
    <t>4.01.12</t>
  </si>
  <si>
    <t>SUMINISTRO E INSTALACION DE TUBERIA DE POLIETILENO DE 2`` EN CONCRETO</t>
  </si>
  <si>
    <t>Precio por ML. Materiales: Tubería Pavco Gas Pe 2`` Amarilla (1 ML), Concreto Para Pavimento Rigido 24.5 Mpa - , Incluye Junta En Asfalto (0.06 M3), Cinta De Señalización (1 ML), Disco Diamantado Asfalto-Concreto 3s5u0mminmistro, Extendida Y Compactacion De (0.01 UND) y 1 más. Mano de obra: Auxiliar De Instalaciones 1 (0.2 hh), Oficial Instalaciones (0.2 hh). Equipo: Compresor De 2 Martillos (0.16 hr), Cortadora De Pavimento (0.09 hr), Termofucionador Tuberia Polivinilica (0 dd), Herrramienta Y Equipo Menor (5 %).</t>
  </si>
  <si>
    <t>4.01.13</t>
  </si>
  <si>
    <t>SUMINISTRO E INSTALACION DE TUBERIA DE POLIETILENO DE 2`` EN ZONA VERDE</t>
  </si>
  <si>
    <t>Precio por ML. Materiales: Tierra Negra (0.24 M3), Tubería Pavco Gas Pe 2``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</t>
  </si>
  <si>
    <t>4.01.14</t>
  </si>
  <si>
    <t>SUMINISTRO E INSTALACION DE TUBERIA DE POLIETILENO DE 3/4`` EN ANDEN TABLETA</t>
  </si>
  <si>
    <t>Precio por ML. Materiales: Tubería Pavco Gas Pe 3/4``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(5 %).</t>
  </si>
  <si>
    <t>4.01.15</t>
  </si>
  <si>
    <t>SUMINISTRO E INSTALACION DE TUBERIA DE POLIETILENO DE 3/4`` EN ASFALTO</t>
  </si>
  <si>
    <t>Precio por ML. Materiales: Tubería Pavco Gas Pe 3/4``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</si>
  <si>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4.01.16</t>
  </si>
  <si>
    <t>SUMINISTRO E INSTALACION DE TUBERIA DE POLIETILENO DE 3/4`` EN CONCRETO</t>
  </si>
  <si>
    <t>Precio por ML. Materiales: Tubería Pavco Gas Pe 3/4``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</si>
  <si>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4.01.17</t>
  </si>
  <si>
    <t>SUMINISTRO E INSTALACION DE TUBERIA DE POLIETILENO DE 3/4`` EN ZONA VERDE</t>
  </si>
  <si>
    <t>Precio por ML. Materiales: Tierra Negra (0.24 M3), Tubería Pavco Gas Pe 3/4``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</t>
  </si>
  <si>
    <t>4.01.18</t>
  </si>
  <si>
    <t>SUMINISTRO E INSTALACION DE TUBERIA DE POLIETILENO DE 3`` EN ANDEN TABLETA</t>
  </si>
  <si>
    <t>Precio por ML. Materiales: Tubería Pavco Gas Pe 3``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(5 %).</t>
  </si>
  <si>
    <t>4.01.19</t>
  </si>
  <si>
    <t>SUMINISTRO E INSTALACION DE TUBERIA DE POLIETILENO DE 3`` EN ASFALTO</t>
  </si>
  <si>
    <t>Precio por ML. Materiales: Tubería Pavco Gas Pe 3``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</si>
  <si>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4.01.20</t>
  </si>
  <si>
    <t>SUMINISTRO E INSTALACION DE TUBERIA DE POLIETILENO DE 3`` EN CONCRETO</t>
  </si>
  <si>
    <t>Precio por ML. Materiales: Tubería Pavco Gas Pe 3``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</si>
  <si>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4.01.21</t>
  </si>
  <si>
    <t>SUMINISTRO E INSTALACION DE TUBERIA DE POLIETILENO DE 3`` EN ZONA VERDE</t>
  </si>
  <si>
    <t>Precio por ML. Materiales: Tierra Negra (0.24 M3), Tubería Pavco Gas Pe 3``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</t>
  </si>
  <si>
    <t>4.01.22</t>
  </si>
  <si>
    <t>SUMINISTRO E INSTALACION DE TUBERIA DE POLIETILENO DE 4`` EN ANDEN TABLETA</t>
  </si>
  <si>
    <t>Precio por ML. Materiales: Tubería Pavco Gas Pe 4``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(5 %).</t>
  </si>
  <si>
    <t>4.01.23</t>
  </si>
  <si>
    <t>SUMINISTRO E INSTALACION DE TUBERIA DE POLIETILENO DE 4`` EN ASFALTO</t>
  </si>
  <si>
    <t>Precio por ML. Materiales: Tubería Pavco Gas Pe 4``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</si>
  <si>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4.01.24</t>
  </si>
  <si>
    <t>SUMINISTRO E INSTALACION DE TUBERIA DE POLIETILENO DE 4`` EN CONCRETO</t>
  </si>
  <si>
    <t>Precio por ML. Materiales: Tubería Pavco Gas Pe 4``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</t>
  </si>
  <si>
    <t>4.01.25</t>
  </si>
  <si>
    <t>SUMINISTRO E INSTALACION DE TUBERIA DE POLIETILENO DE 4`` EN ZONA VERDE</t>
  </si>
  <si>
    <t>Precio por ML. Materiales: Tierra Negra (0.24 M3), Tubería Pavco Gas Pe 4``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</t>
  </si>
  <si>
    <t>4.01.26</t>
  </si>
  <si>
    <t>SUMINISTRO E INSTALACION DE TUBERIA DE POLIETILENO DE 6`` EN ANDEN TABLETA</t>
  </si>
  <si>
    <t>Precio por ML. Materiales: Tubería Pavco Gas Pe 6`` Amarilla (1 ML), Arena Fina (0.02 M3), Cinta De Señalización (1 ML), Suministro, Extendida Y Compactacion De Material Seleccionado Para Subbase Granular (0.22 M3) y 2 más. Mano de obra: Auxiliar De Obra 2 (1.05 hh), Auxiliar De Instalaciones 1 (0.25 hh), Oficial Obra 1 (1.05 hh), Oficial Instalaciones (0.25 hh). Equipo: Termofucionador Tuberia Polivinilica (0 dd), Vibrocompactador Rana (0.02 dd), Herrramienta Y Equipo Menor (5 %).</t>
  </si>
  <si>
    <t>4.01.27</t>
  </si>
  <si>
    <t>SUMINISTRO E INSTALACION DE TUBERIA DE POLIETILENO DE 6`` EN ASFALTO</t>
  </si>
  <si>
    <t>Precio por ML. Materiales: Tubería Pavco Gas Pe 6``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(0.5 hh), Oficial Instalaciones (0.5 hh). Equipo: Compresor De 2 Martillos (0.16 hr), Cortadora De Pavimento (0.09 hr), Termofucionador Tuberia Polivinilica (0 dd), Herrramienta Y Equipo Menor (5 %).</t>
  </si>
  <si>
    <t>4.01.28</t>
  </si>
  <si>
    <t>SUMINISTRO E INSTALACION DE TUBERIA DE POLIETILENO DE 6`` EN CONCRETO</t>
  </si>
  <si>
    <t>Precio por ML. Materiales: Tubería Pavco Gas Pe 6`` Amarilla (1 ML), Concreto Para Pavimento Rigido 24.5 Mpa - , Incluye Junta En Asfalto (0.07 M3), Cinta De Señalización (1 ML), Disco Diamantado Asfalto-Concreto 3s5u0mminmistro, Extendida Y Compactacion De (0.01 UND) y 1 más. Mano de obra: Auxiliar De Instalaciones 1 (0.2 hh), Oficial Instalaciones (0.2 hh). Equipo: Compresor De 2 Martillos (0.16 hr), Cortadora De Ladrillo Sin Disco (0.09 dd), Termofucionador Tuberia Polivinilica (0 dd), Herrramienta Y Equipo Menor (5 %).</t>
  </si>
  <si>
    <t>4.01.29</t>
  </si>
  <si>
    <t>SUMINISTRO E INSTALACION DE TUBERIA DE POLIETILENO DE 6`` EN ZONA VERDE</t>
  </si>
  <si>
    <t>Precio por ML. Materiales: Tierra Negra (0.35 M3), Tubería Pavco Gas Pe 6`` Amarilla (1 ML), Cesped (0.7 M2), Cinta De Señalización (1 ML). Mano de obra: Auxiliar De Obra 2 (0.7 hh), Auxiliar De Instalaciones 1 (0.25 hh), Oficial Obra 1 (0.7 hh), Oficial Instalaciones (0.25 hh). Equipo: Termofucionador Tuberia Polivinilica (0 dd), Vibrocompactador Rana (0.02 dd), Herrramienta Y Equipo Menor (5 %).</t>
  </si>
  <si>
    <t>4.01.30</t>
  </si>
  <si>
    <t>PUNTO GAS DE 1/2`` EN ACERO GALVANIZADO PRESION CALIBRE 40. ( INCLUYE ACCESORIOS DE INSTALACIÓN )</t>
  </si>
  <si>
    <t>Precio por UND. Materiales: Tee Galvanizada 1/2 (1 UND), Tubería De Acero Galvanizado Presion 1/2`` (1.5 ML), Cinta Teflon 10 M 1/2" (1 rl), Codo Galvanizado 90° 1/2" (2 UND). Mano de obra: Auxiliar De Instalaciones 1 (2.27 hh), Oficial Instalaciones (2.27 hh). Equipo: Herrramienta Y Equipo Menor (4 %).</t>
  </si>
  <si>
    <t>AM04 · OG06 · ES05 · NP01</t>
  </si>
  <si>
    <t>5.01.01</t>
  </si>
  <si>
    <t>SUELDOS Y SALARIOS</t>
  </si>
  <si>
    <t>ADMINISTRADOR (INCLUYE SALARIO BASE + FACTOR PRESTACIONAL DEL 72.81%)</t>
  </si>
  <si>
    <t>Precio por mes. Materiales: Administrador (1 mes).</t>
  </si>
  <si>
    <t>Transversal (administración y análisis básicos)</t>
  </si>
  <si>
    <t>Personal de obra</t>
  </si>
  <si>
    <t>AM05 · TR00 · ES18 · NP01</t>
  </si>
  <si>
    <t>AM05 Administración y personal</t>
  </si>
  <si>
    <t>TR00 Transversal</t>
  </si>
  <si>
    <t>5.01.02</t>
  </si>
  <si>
    <t>AUDITOR INTERNO DE CALIDAD (INCLUYE SALARIO BASE + FACTOR PRESTACIONAL DEL 72.81%)</t>
  </si>
  <si>
    <t>Precio por mes. Materiales: Auditor Interno De Calidad (1 mes).</t>
  </si>
  <si>
    <t>5.01.03</t>
  </si>
  <si>
    <t>AUXILIAR ADMINISTRATIVO (INCLUYE SALARIO BASE + FACTOR PRESTACIONAL DEL 72.81%)</t>
  </si>
  <si>
    <t>Precio por mes. Materiales: Auxiliar Administrativo (1 mes).</t>
  </si>
  <si>
    <t>5.01.04</t>
  </si>
  <si>
    <t>AUXILIAR DE INGENIERIA (INCLUYE SALARIO BASE + FACTOR PRESTACIONAL DEL 72.81%)</t>
  </si>
  <si>
    <t>Precio por mes. Materiales: Auxiliar De Ingenieria (1 mes).</t>
  </si>
  <si>
    <t>5.01.05</t>
  </si>
  <si>
    <t>BATIMETRISTA AUXILIAR (INCLUYE SALARIO BASE + FACTOR PRESTACIONAL DEL 72.81%)</t>
  </si>
  <si>
    <t>Precio por mes. Materiales: Batimetrista Auxiliar (1 mes).</t>
  </si>
  <si>
    <t>5.01.06</t>
  </si>
  <si>
    <t>BATIMETRISTA INPECTOR (INCLUYE SALARIO BASE + FACTOR PRESTACIONAL DEL 72.81%)</t>
  </si>
  <si>
    <t>Precio por mes. Materiales: Batimetrista Inspector (1 mes).</t>
  </si>
  <si>
    <t>5.01.07</t>
  </si>
  <si>
    <t>CADENERO 1 (INCLUYE SALARIO BASE + FACTOR PRESTACIONAL DEL 72.81%)</t>
  </si>
  <si>
    <t>Precio por mes. Materiales: Cadenero 1 (1 mes).</t>
  </si>
  <si>
    <t>5.01.08</t>
  </si>
  <si>
    <t>CADENERO 2 (INCLUYE SALARIO BASE + FACTOR PRESTACIONAL DEL 72.81%)</t>
  </si>
  <si>
    <t>Precio por mes. Materiales: Cadenero 2 (1 mes).</t>
  </si>
  <si>
    <t>5.01.09</t>
  </si>
  <si>
    <t>DIBUJANTE 1 (INCLUYE SALARIO BASE + FACTOR PRESTACIONAL DEL 72.81%)</t>
  </si>
  <si>
    <t>Precio por mes. Materiales: Dibujante 1 (1 mes).</t>
  </si>
  <si>
    <t>5.01.10</t>
  </si>
  <si>
    <t>DIBUJANTE 2 (INCLUYE SALARIO BASE + FACTOR PRESTACIONAL DEL 72.81%)</t>
  </si>
  <si>
    <t>Precio por mes. Materiales: Dibujante 2 (1 mes).</t>
  </si>
  <si>
    <t>5.01.11</t>
  </si>
  <si>
    <t>DIRECTOR DE INTERVENTORIA (INCLUYE SALARIO BASE + FACTOR PRESTACIONAL DEL 72.81%)</t>
  </si>
  <si>
    <t>Precio por mes. Materiales: Director De Interventoria (1 mes).</t>
  </si>
  <si>
    <t>5.01.12</t>
  </si>
  <si>
    <t>ESPECIALISTA AMBIENTAL (INCLUYE SALARIO BASE + FACTOR PRESTACIONAL DEL 72.81%)</t>
  </si>
  <si>
    <t>Precio por mes. Materiales: Especialista Ambiental (1 mes).</t>
  </si>
  <si>
    <t>5.01.13</t>
  </si>
  <si>
    <t>ESPECIALISTA EN ESTRUCTURAS (INCLUYE SALARIO BASE + FACTOR PRESTACIONAL DEL 72.81%)</t>
  </si>
  <si>
    <t>Precio por mes. Materiales: Especialista En Estructuras (1 mes).</t>
  </si>
  <si>
    <t>5.01.14</t>
  </si>
  <si>
    <t>ESPECIALISTA EN PAVIMENTOS (INCLUYE SALARIO BASE + FACTOR PRESTACIONAL DEL 72.81%)</t>
  </si>
  <si>
    <t>Precio por mes. Materiales: Especialista En Pavimentos (1 mes).</t>
  </si>
  <si>
    <t>5.01.15</t>
  </si>
  <si>
    <t>ESPECIALISTA GEOTECNIA (INCLUYE SALARIO BASE + FACTOR PRESTACIONAL DEL 72.81%)</t>
  </si>
  <si>
    <t>Precio por mes. Materiales: Especialista Geotecnia (1 mes).</t>
  </si>
  <si>
    <t>5.01.16</t>
  </si>
  <si>
    <t>INGENIERO RESIDENTE (INCLUYE SALARIO BASE + FACTOR PRESTACIONAL DEL 72.81%)</t>
  </si>
  <si>
    <t>Precio por mes. Materiales: Ingeniero Residente (1 mes).</t>
  </si>
  <si>
    <t>5.01.17</t>
  </si>
  <si>
    <t>INSPECTOR 1 (INCLUYE SALARIO BASE + FACTOR PRESTACIONAL DEL 72.81%)</t>
  </si>
  <si>
    <t>Precio por mes. Materiales: Inspector 1 (1 mes).</t>
  </si>
  <si>
    <t>5.01.18</t>
  </si>
  <si>
    <t>INSPECTOR 2 (INCLUYE SALARIO BASE + FACTOR PRESTACIONAL DEL 72.81%)</t>
  </si>
  <si>
    <t>Precio por mes. Materiales: Inspector 2 (1 mes).</t>
  </si>
  <si>
    <t>5.01.19</t>
  </si>
  <si>
    <t>LABORATORISTA AUXILIAR (INCLUYE SALARIO BASE + FACTOR PRESTACIONAL DEL 72.81%)</t>
  </si>
  <si>
    <t>Precio por mes. Materiales: Laboratorista Auxiliar (1 mes).</t>
  </si>
  <si>
    <t>5.01.20</t>
  </si>
  <si>
    <t>LABORATORISTA INSPECTOR (INCLUYE SALARIO BASE + FACTOR PRESTACIONAL DEL 72.81%)</t>
  </si>
  <si>
    <t>Precio por mes. Materiales: Laboratorista Inspector (1 mes).</t>
  </si>
  <si>
    <t>5.01.21</t>
  </si>
  <si>
    <t>OPERADOR AUXILIAR DE EQUIPO (INCLUYE SALARIO BASE + FACTOR PRESTACIONAL DEL 72.81%)</t>
  </si>
  <si>
    <t>Precio por mes. Equipo: Operador Auxiliar De Equipo (1 mes).</t>
  </si>
  <si>
    <t>5.01.22</t>
  </si>
  <si>
    <t>OPERADOR EQUIPO DE PERFORACION (INCLUYE SALARIO BASE + FACTOR PRESTACIONAL DEL 72.81%)</t>
  </si>
  <si>
    <t>Precio por mes. Equipo: Operador Equipo De Perforacion (1 mes).</t>
  </si>
  <si>
    <t>5.01.23</t>
  </si>
  <si>
    <t>PROFESIONAL CATEGORIA 1 (EXPERIENCIA PROFESIONAL MINIMO 12 AÑOS - EXPERIENCIA ESPECIFICA MINIMO 10 AÑOS) (INCLUYE SALARIO BASE + FACTOR PRESTACIONAL DEL 72.81%)</t>
  </si>
  <si>
    <t>Precio por mes. Materiales: Profesional Categoria 1 (Experiencia Profesional Minimo 12 Años - Experiencia Especifica Minimo 10 Años (1 mes).</t>
  </si>
  <si>
    <t>5.01.24</t>
  </si>
  <si>
    <t>PROFESIONAL CATEGORIA 2 (EXPERIENCIA PROFESIONAL MINIMO 10 AÑOS - EXPERIENCIA ESPECIFICA MINIMO 7 AÑOS) (INCLUYE SALARIO BASE + FACTOR PRESTACIONAL DEL 72.81%)</t>
  </si>
  <si>
    <t>Precio por mes. Materiales: Profesional Categoria 2 (1 mes).</t>
  </si>
  <si>
    <t>5.01.25</t>
  </si>
  <si>
    <t>PROFESIONAL CATEGORIA 3 (EXPERIENCIA PROFESIONAL MINIMO 8 AÑOS - EXPERIENCIA ESPECIFICA MINIMO 5 AÑOS) (INCLUYE SALARIO BASE + FACTOR PRESTACIONAL DEL 72.81%)</t>
  </si>
  <si>
    <t>Precio por mes. Materiales: Profesional Categoria 3 (1 mes).</t>
  </si>
  <si>
    <t>5.01.26</t>
  </si>
  <si>
    <t>PROFESIONAL CATEGORIA 4 (EXPERIENCIA PROFESIONAL MINIMO 6 AÑOS - EXPERIENCIA ESPECIFICA MINIMO 4 AÑOS) (INCLUYE SALARIO BASE + FACTOR PRESTACIONAL DEL 72.81%)</t>
  </si>
  <si>
    <t>Precio por mes. Materiales: Profesional Categoria 4 (1 mes).</t>
  </si>
  <si>
    <t>5.01.27</t>
  </si>
  <si>
    <t>PROFESIONAL CATEGORIA 5 (EXPERIENCIA PROFESIONAL MINIMO 4 AÑOS - EXPERIENCIA ESPECIFICA MINIMO 3 AÑOS) (INCLUYE SALARIO BASE + FACTOR PRESTACIONAL DEL 72.81%)</t>
  </si>
  <si>
    <t>Precio por mes. Materiales: Profesional Categoria 5 (1 mes).</t>
  </si>
  <si>
    <t>5.01.28</t>
  </si>
  <si>
    <t>PROFESIONAL CATEGORIA 6 (EXPERIENCIA PROFESIONAL MINIMO 3 AÑOS - EXPERIENCIA ESPECIFICA MINIMO 1 AÑO) (INCLUYE SALARIO BASE + FACTOR PRESTACIONAL DEL 72.81%)</t>
  </si>
  <si>
    <t>Precio por mes. Materiales: Profesional Categoria 6 (1 mes).</t>
  </si>
  <si>
    <t>5.01.29</t>
  </si>
  <si>
    <t>PROFESIONAL CATEGORIA 7 (EXPERIENCIA PROFESIONAL MINIMO 2 AÑOS) (INCLUYE SALARIO BASE + FACTOR PRESTACIONAL DEL 72.81%)</t>
  </si>
  <si>
    <t>Precio por mes. Materiales: Profesional Categoria 7 (1 mes).</t>
  </si>
  <si>
    <t>5.01.30</t>
  </si>
  <si>
    <t>PROFESIONAL CATEGORIA 8 (EXPERIENCIA PROFESIONAL HASTA 2 AÑOS) (INCLUYE SALARIO BASE + FACTOR PRESTACIONAL DEL 72.81%)</t>
  </si>
  <si>
    <t>Precio por mes. Materiales: Profesional Categoria 8 (1 mes).</t>
  </si>
  <si>
    <t>5.01.31</t>
  </si>
  <si>
    <t>PROFESIONAL DE ASEGURAMIENTO O GESTION DE CALIDAD (INCLUYE SALARIO BASE + FACTOR PRESTACIONAL DEL 72.81%)</t>
  </si>
  <si>
    <t>Precio por mes. Materiales: Profesional De Aseguramiento O Gestion De Calidad (1 mes).</t>
  </si>
  <si>
    <t>5.01.32</t>
  </si>
  <si>
    <t>SECRETARIA 1 (INCLUYE SALARIO BASE + FACTOR PRESTACIONAL DEL 72.81%)</t>
  </si>
  <si>
    <t>Precio por mes. Materiales: Secretaria 1 (1 mes).</t>
  </si>
  <si>
    <t>5.01.33</t>
  </si>
  <si>
    <t>SECRETARIA 2 (INCLUYE SALARIO BASE + FACTOR PRESTACIONAL DEL 72.81%)</t>
  </si>
  <si>
    <t>Precio por mes. Materiales: Secretaria 2 (1 mes).</t>
  </si>
  <si>
    <t>5.01.34</t>
  </si>
  <si>
    <t>SECRETARIA O MOTORISTA (INCLUYE SALARIO BASE + FACTOR PRESTACIONAL DEL 72.81%)</t>
  </si>
  <si>
    <t>Precio por mes. Materiales: Secretaria O Motorista (1 mes).</t>
  </si>
  <si>
    <t>5.01.35</t>
  </si>
  <si>
    <t>TECNOLOGO EN AREAS DE INGENIERIA (INCLUYE SALARIO BASE + FACTOR PRESTACIONAL DEL 72.81%)</t>
  </si>
  <si>
    <t>Precio por mes. Materiales: Tecnologo En Areas De Ingenieria (1 mes).</t>
  </si>
  <si>
    <t>5.01.36</t>
  </si>
  <si>
    <t>TOPOGRAFO AUXILIAR (INCLUYE SALARIO BASE + FACTOR PRESTACIONAL DEL 72.81%)</t>
  </si>
  <si>
    <t>Precio por mes. Materiales: Topografo Auxiliar (1 mes).</t>
  </si>
  <si>
    <t>5.01.37</t>
  </si>
  <si>
    <t>TOPÓGRAFO INSPECTOR (INCLUYE SALARIO BASE + FACTOR PRESTACIONAL DEL 72.81%)</t>
  </si>
  <si>
    <t>Precio por mes. Materiales: Topografo Inspector (1 mes).</t>
  </si>
  <si>
    <t>6.01.01</t>
  </si>
  <si>
    <t>MORTEROS</t>
  </si>
  <si>
    <t>LECHADA PARA DUCTOS</t>
  </si>
  <si>
    <t>lt</t>
  </si>
  <si>
    <t>Litro</t>
  </si>
  <si>
    <t>Precio por lt. Materiales: Arena Fina (0 M3), Cemento Gris (0.26 kg), Agua (0.28 lt). Mano de obra: Auxiliar De Obra 2 (0 hh).</t>
  </si>
  <si>
    <t>AM06 · TR00 · ES04 · NP01</t>
  </si>
  <si>
    <t>AM06 Análisis básicos</t>
  </si>
  <si>
    <t>6.01.02</t>
  </si>
  <si>
    <t>MORTERO 1:2</t>
  </si>
  <si>
    <t>Precio por M3. Materiales: Arena Lavada De Peña (0.97 M3), Cemento Gris (510 kg), Agua (220 lt). Mano de obra: Auxiliar De Obra 2 (5 hh).</t>
  </si>
  <si>
    <t>6.01.03</t>
  </si>
  <si>
    <t>MORTERO 1:3</t>
  </si>
  <si>
    <t>Precio por M3. Materiales: Arena Lavada De Peña (1.1 M3), Cemento Gris (454 kg), Agua (185 lt). Mano de obra: Auxiliar De Obra 2 (5 hh).</t>
  </si>
  <si>
    <t>6.01.04</t>
  </si>
  <si>
    <t>MORTERO 1:3 IMPERMEABILIZADO</t>
  </si>
  <si>
    <t>Precio por M3. Materiales: Arena Lavada De Peña (1.1 M3), Cemento Gris (454 kg), Agua (185 lt), Sika 1 (13.5 kg). Mano de obra: Auxiliar De Obra 2 (5 hh).</t>
  </si>
  <si>
    <t>6.01.05</t>
  </si>
  <si>
    <t>MORTERO 1:4</t>
  </si>
  <si>
    <t>Precio por M3. Materiales: Arena Lavada De Peña (1.16 M3), Cemento Gris (364 kg), Agua (170 lt). Mano de obra: Auxiliar De Obra 2 (5 hh).</t>
  </si>
  <si>
    <t>6.01.06</t>
  </si>
  <si>
    <t>MORTERO 1:5</t>
  </si>
  <si>
    <t>Precio por M3. Materiales: Arena Lavada De Peña (1.18 M3), Cemento Gris (302 kg), Agua (150 lt). Mano de obra: Auxiliar De Obra 2 (5 hh).</t>
  </si>
  <si>
    <t>6.01.07</t>
  </si>
  <si>
    <t>MORTERO 1:6</t>
  </si>
  <si>
    <t>Precio por M3. Materiales: Arena Lavada De Peña (1.2 M3), Cemento Gris (260 kg), Agua (140 lt). Mano de obra: Auxiliar De Obra 2 (5 hh).</t>
  </si>
  <si>
    <t>6.01.08</t>
  </si>
  <si>
    <t>MORTERO DE PEGA PARA BLOQUE 1:3</t>
  </si>
  <si>
    <t>Precio por M3. Materiales: Arena Lavada De Peña (1.09 M3), Cemento Gris (454 kg), Agua (185 lt). Mano de obra: Auxiliar De Obra 2 (5 hh).</t>
  </si>
  <si>
    <t>6.01.09</t>
  </si>
  <si>
    <t>MORTERO RELLENO GRUESO DOVELAS BLOQUE</t>
  </si>
  <si>
    <t>Precio por M3. Materiales: Arena Lavada De Peña (1.16 M3), Cemento Gris (360 kg), Agua (185 lt). Mano de obra: Auxiliar De Obra 2 (5 hh).</t>
  </si>
  <si>
    <t>AM06 · TR00 · ES03 · NP01</t>
  </si>
  <si>
    <t>6.02.01</t>
  </si>
  <si>
    <t>CONCRETOS</t>
  </si>
  <si>
    <t>CONCRETO (1500 PSI)</t>
  </si>
  <si>
    <t>Precio por M3. Materiales: Arena Lavada Y/O Triturada (0.5 M3), Cemento Gris (210 kg), Gravilla De Trituradora (1 M3), Agua (160 lt). Mano de obra: Auxiliar De Obra 2 (6 hh), Oficial Obra 1 (1 hh). Equipo: Mezcladora A Gasolina (0.15 dd).</t>
  </si>
  <si>
    <t>6.02.02</t>
  </si>
  <si>
    <t>CONCRETO 1:2:2 24.5 MPa (3500 PSI)</t>
  </si>
  <si>
    <t>Precio por M3. Materiales: Arena Lavada Y/O Triturada (0.68 M3), Cemento Gris (428.4 kg), Gravilla De Trituradora (0.68 M3), Agua (204 lt). Mano de obra: Auxiliar De Obra 2 (6 hh), Oficial Obra 1 (1 hh). Equipo: Mezcladora A Gasolina (0.13 dd).</t>
  </si>
  <si>
    <t>6.02.03</t>
  </si>
  <si>
    <t>CONCRETO 1:2:4 17.5 MPa (2500 PSI)</t>
  </si>
  <si>
    <t>Precio por M3. Materiales: Arena Lavada Y/O Triturada (0.57 M3), Cemento Gris (316.2 kg), Gravilla De Trituradora (0.91 M3), Agua (173.4 lt). Mano de obra: Auxiliar De Obra 2 (6 hh), Oficial Obra 1 (1 hh). Equipo: Mezcladora A Gasolina (0.13 dd).</t>
  </si>
  <si>
    <t>6.02.04</t>
  </si>
  <si>
    <t>CONCRETO 1:3:5 14 MPa (2000 PSI)</t>
  </si>
  <si>
    <t>Precio por M3. Materiales: Arena Lavada Y/O Triturada (0.8 M3), Cemento Gris (265.2 kg), Gravilla De Trituradora (0.86 M3), Agua (173.4 lt). Mano de obra: Auxiliar De Obra 2 (6 hh), Oficial Obra 1 (1 hh). Equipo: Mezcladora A Gasolina (0.13 dd).</t>
  </si>
  <si>
    <t>6.02.05</t>
  </si>
  <si>
    <t>CONCRETO 1:4:7 - 10.1 MPa - (1560 PSI) - (HECHO EN OBRA)</t>
  </si>
  <si>
    <t>6.02.06</t>
  </si>
  <si>
    <t>CONCRETO CLASE C 28 MPa (4000 PSI)</t>
  </si>
  <si>
    <t>Precio por M3. Materiales: Arena Lavada Y/O Triturada (0.68 M3), Cemento Gris (459 kg), Gravilla De Trituradora (0.68 M3), Agua (204 lt). Mano de obra: Auxiliar De Obra 2 (6 hh), Oficial Obra 1 (1 hh). Equipo: Mezcladora A Gasolina (0.13 dd).</t>
  </si>
  <si>
    <t>6.02.07</t>
  </si>
  <si>
    <t>CONCRETO CLASE D 21 MPa (3000 PSI)</t>
  </si>
  <si>
    <t>Precio por M3. Materiales: Arena Lavada Y/O Triturada (0.57 M3), Cemento Gris (357 kg), Gravilla De Trituradora (0.86 M3), Agua (183.6 lt). Mano de obra: Auxiliar De Obra 2 (6 hh), Oficial Obra 1 (1 hh). Equipo: Mezcladora A Gasolina (0.13 dd).</t>
  </si>
  <si>
    <t>6.02.08</t>
  </si>
  <si>
    <t>CONCRETO CLASE F 14 MPa (2000 PSI)</t>
  </si>
  <si>
    <t>6.02.09</t>
  </si>
  <si>
    <t>CONCRETO CLASE G 14 MPa (2000 PSI) CICLOPEO</t>
  </si>
  <si>
    <t>Precio por M3. Materiales: Concreto 1:3:5 14 Mpa (0.61 M3), Piedra Media Zonga (0.4 M3). Mano de obra: Auxiliar De Obra 2 (7.8 hh). Equipo: Herrramienta Y Equipo Menor (0.1 %). Transporte: Transporte De Material (7.37 M3-km).</t>
  </si>
  <si>
    <t>6.02.10</t>
  </si>
  <si>
    <t>CONCRETO DE 21 MPa - (3000 PSI) IMPERMEABILIZADO</t>
  </si>
  <si>
    <t>Precio por M3. Materiales: Concreto Clase D 21 Mpa (1.05 M3), Impermeabilizante (0.58 gl).</t>
  </si>
  <si>
    <t>6.02.11</t>
  </si>
  <si>
    <t>CONCRETO SIMPLE DE 28 MPa - (4000 PSI) IMPERMEABILIZADO</t>
  </si>
  <si>
    <t>Precio por M3. Materiales: Concreto Clase C 28 Mpa (1.05 M3), Impermeabilizante (0.62 gl).</t>
  </si>
  <si>
    <t>6.03.01</t>
  </si>
  <si>
    <t>HIERRO</t>
  </si>
  <si>
    <t>AM06 · TR00 · ES05 · NP03</t>
  </si>
  <si>
    <t>6.03.02</t>
  </si>
  <si>
    <t>6.04.01</t>
  </si>
  <si>
    <t>MAMPOSTERIA</t>
  </si>
  <si>
    <t>MAMPOSTERÍA LADRILLO TOLETE COMUN E=0.25 M (T.C.)</t>
  </si>
  <si>
    <t>Precio por M2. Materiales: Ladrillo Tolete Comun (123 UND), Mortero 1:4 (0.09 M3). Mano de obra: Auxiliar De Obra 2 (3.16 hh), Oficial Obra 1 (1.49 hh). Equipo: Herrramienta Y Equipo Menor (5 %).</t>
  </si>
  <si>
    <t>AM06 · TR00 · ES06 · NP01</t>
  </si>
  <si>
    <t>6.04.02</t>
  </si>
  <si>
    <t>MURO PANDERETA SANTA FE 5.5CM</t>
  </si>
  <si>
    <t>Precio por M2. Materiales: Ladrillo Prensado Macizo Santafe (30 UND), Mortero 1:4 (0.01 M3). Mano de obra: Auxiliar De Obra 2 (0.86 hh), Oficial Obra 1 (0.86 hh). Equipo: Herrramienta Y Equipo Menor (5 %).</t>
  </si>
  <si>
    <t>6.04.03</t>
  </si>
  <si>
    <t>MURO TOLETE COMUN E= 0.12 M PARA SUMIDEROS</t>
  </si>
  <si>
    <t>Precio por M2. Materiales: Ladrillo Tolete Comun (55 UND), Mortero 1:4 (0.09 M3). Mano de obra: Cuadrilla Obra Of + Auxiliar (0.75 hc). Equipo: Herrramienta Y Equipo Menor (5 %).</t>
  </si>
  <si>
    <t>Capítulo 1.01 · PRELIMINARES</t>
  </si>
  <si>
    <t>77 actividades. Cada tabla lista los insumos de una actividad por unidad de obra.</t>
  </si>
  <si>
    <t>1.01.01 · ABERTURA VANO PUERTA-VENTANA   |   Unidad: Metro cuadrado (M2)   |   Precio: $ 7.482,91</t>
  </si>
  <si>
    <t>Precio por M2. Mano de obra: Auxiliar De Obra 2 (0.8 hh). Equipo: Herrramienta Y Equipo Menor (3.5 %).  Etapa de obra: 1. Preliminares.</t>
  </si>
  <si>
    <t>GRUPO</t>
  </si>
  <si>
    <t>INSUMO</t>
  </si>
  <si>
    <t>CANTIDAD</t>
  </si>
  <si>
    <t>VALOR UNITARIO</t>
  </si>
  <si>
    <t>VALOR PARCIAL</t>
  </si>
  <si>
    <t>Mano de obra</t>
  </si>
  <si>
    <t>AUXILIAR DE OBRA 2 (B)</t>
  </si>
  <si>
    <t>hh</t>
  </si>
  <si>
    <t>Equipo</t>
  </si>
  <si>
    <t>Herrramienta y Equipo Menor(% M.O)</t>
  </si>
  <si>
    <t>%</t>
  </si>
  <si>
    <t>Total actividad</t>
  </si>
  <si>
    <t>1.01.02 · ACARREO MATERIALES PETREOS- TIERRA-VARIOS (DISTANCIA DE 1 A 5 KM)   |   Unidad: Metro cúbico (M3)   |   Precio: $ 1.722,50</t>
  </si>
  <si>
    <t>Precio por M3. Transporte: Transporte De Material (1.3 M3-km).  Etapa de obra: 1. Preliminares.</t>
  </si>
  <si>
    <t>Transporte</t>
  </si>
  <si>
    <t>TRANSPORTE DE MATERIAL (VOLQUETA ACARREO)</t>
  </si>
  <si>
    <t>1.01.03 · CERRAMIENTO ALAMBRE DE PUAS No. 12 5 HILOS POSTES DE MADERA. DISTANCIA ENTRE POSTES 2 M   |   Unidad: Metro lineal (ML)   |   Precio: $ 32.774,69</t>
  </si>
  <si>
    <t>Precio por ML. Materiales: Grapas (0.2 kg), Poste Pino Patula [1.50m] D=9-10 Cm (0.53 UND), Puntilla Con Y Sin Cabeza 2 (0.05 lb), Alambre De Puas N° 12.5 (1.5 kg). Mano de obra: Auxiliar De Obra 2 (1.2 hh). Equipo: Herrramienta Y Equipo Menor (5 %).  Etapa de obra: 1. Preliminares.</t>
  </si>
  <si>
    <t>Materiales</t>
  </si>
  <si>
    <t>GRAPAS</t>
  </si>
  <si>
    <t>POSTE PINO PATULA [1.50M] D=9-10 CM</t>
  </si>
  <si>
    <t>PUNTILLA CON Y SIN CABEZA 2</t>
  </si>
  <si>
    <t>lb</t>
  </si>
  <si>
    <t>ALAMBRE DE PUAS N° 12.5</t>
  </si>
  <si>
    <t>1.01.04 · CERRAMIENTO EN TABLA BURRA H=3.00 mts.   |   Unidad: Metro lineal (ML)   |   Precio: $ 53.090,74</t>
  </si>
  <si>
    <t>Precio por ML. Materiales: Madera Tabla Burra (5.25 ML), Madera Vara De Clavo (0.32 ML), Puntilla Con Y Sin Cabeza 1 (1.05 lb). Mano de obra: Auxiliar De Obra 2 (0.4 hh), Oficial Obra 1 (0.4 hh). Equipo: Herrramienta Y Equipo Menor (4 %).  Etapa de obra: 1. Preliminares.</t>
  </si>
  <si>
    <t>MADERA TABLA BURRA</t>
  </si>
  <si>
    <t>MADERA VARA DE CLAVO</t>
  </si>
  <si>
    <t>PUNTILLA CON Y SIN CABEZA 1</t>
  </si>
  <si>
    <t>OFICIAL OBRA 1 (A)</t>
  </si>
  <si>
    <t>1.01.05 · CONFIGURACIÓN-NIVELACIÓN TERRENO   |   Unidad: Metro cuadrado (M2)   |   Precio: $ 1.115,35</t>
  </si>
  <si>
    <t>Precio por M2. Materiales: Agua (0.35 lt). Mano de obra: Auxiliar De Obra 2 (0.02 hh). Equipo: Carrotanque (0 hr), Motoniveladora Potencia Minima 120 Hp Y Max 215 Hp (0 hr).  Etapa de obra: 1. Preliminares.</t>
  </si>
  <si>
    <t>AGUA</t>
  </si>
  <si>
    <t>CARROTANQUE</t>
  </si>
  <si>
    <t>MOTONIVELADORA POTENCIA MINIMA 120 HP Y MAX 215 HP</t>
  </si>
  <si>
    <t>1.01.06 · CONFORMACIÓN COMPACTACIÓN SUBRASANTE CBR=95%   |   Unidad: Metro cuadrado (M2)   |   Precio: $ 6.405,63</t>
  </si>
  <si>
    <t>Precio por M2. Materiales: Agua (0.35 lt). Mano de obra: Auxiliar De Obra 2 (0.24 hh), Oficial Obra 1 (0.08 hh). Equipo: Carrotanque (0.02 hr), Motoniveladora Potencia Minima 120 Hp Y Max 215 Hp (0.01 hr), Vibrocompactador Ca-15 O Similar (0.01 hr).  Etapa de obra: 1. Preliminares.</t>
  </si>
  <si>
    <t>VIBROCOMPACTADOR CA-15 O SIMILAR</t>
  </si>
  <si>
    <t>1.01.07 · CORTE ARBOL (INCL.RAICES) H&gt;3.0   |   Unidad: Unidad (UND)   |   Precio: $ 90.816,22</t>
  </si>
  <si>
    <t>Precio por UND. Mano de obra: Auxiliar De Obra 2 (0.5 hh), Oficial Obra 1 (0.5 hh). Equipo: Cargador 950 O Similar (0.5 hr), Motosierra (1 hr), Herrramienta Y Equipo Menor (1 %).  Etapa de obra: 1. Preliminares.</t>
  </si>
  <si>
    <t>CARGADOR 950 o SIMILAR</t>
  </si>
  <si>
    <t>MOTOSIERRA</t>
  </si>
  <si>
    <t>1.01.08 · CORTE DE ARBUSTO   |   Unidad: Unidad (UND)   |   Precio: $ 5.219,06</t>
  </si>
  <si>
    <t>Precio por UND. Mano de obra: Auxiliar De Obra 2 (0.55 hh). Equipo: Herrramienta Y Equipo Menor (5 %).  Etapa de obra: 1. Preliminares.</t>
  </si>
  <si>
    <t>1.01.09 · CORTE RAIZ D = 30 cm - 80 cm   |   Unidad: Metro lineal (ML)   |   Precio: $ 17.080,55</t>
  </si>
  <si>
    <t>Precio por ML. Mano de obra: Auxiliar De Obra 2 (1.8 hh). Equipo: Herrramienta Y Equipo Menor (5 %).  Etapa de obra: 1. Preliminares.</t>
  </si>
  <si>
    <t>1.01.10 · DEMOLICIÓN CONCRETO CICLOPEO (INCLUYE RETIRO)   |   Unidad: Metro cúbico (M3)   |   Precio: $ 172.783,75</t>
  </si>
  <si>
    <t>Precio por M3. Mano de obra: Auxiliar De Obra 2 (2.8 hh). Equipo: Compresor De 2 Martillos (1.5 hr), Herrramienta Y Equipo Menor (5 %).  Etapa de obra: 1. Preliminares.</t>
  </si>
  <si>
    <t>COMPRESOR DE 2 MARTILLOS</t>
  </si>
  <si>
    <t>1.01.11 · DEMOLICIÓN SARDINEL (INCLUYE RETIRO)   |   Unidad: Metro lineal (ML)   |   Precio: $ 4.676,81</t>
  </si>
  <si>
    <t>Precio por ML. Mano de obra: Auxiliar De Obra 2 (0.5 hh). Equipo: Herrramienta Y Equipo Menor (3.5 %).  Etapa de obra: 1. Preliminares.</t>
  </si>
  <si>
    <t>1.01.12 · DEMOLICIÓN ALFAJIA CONCRETO (INCLUYE RETIRO)   |   Unidad: Metro lineal (ML)   |   Precio: $ 3.321,22</t>
  </si>
  <si>
    <t>Precio por ML. Mano de obra: Auxiliar De Obra 2 (0.35 hh). Equipo: Herrramienta Y Equipo Menor (5 %).  Etapa de obra: 1. Preliminares.</t>
  </si>
  <si>
    <t>1.01.13 · DEMOLICIÓN ANDEN/CONTRAPISO CONCRETO E &gt; A 12CM   |   Unidad: Metro cuadrado (M2)   |   Precio: $ 16.281,50</t>
  </si>
  <si>
    <t>Precio por M2. Mano de obra: Auxiliar De Obra 2 (0.14 hh), Oficial Obra 1 (0.14 hh). Equipo: Compresor De 2 Martillos (0.13 hr), Herrramienta Y Equipo Menor (5 %).  Etapa de obra: 1. Preliminares.</t>
  </si>
  <si>
    <t>1.01.14 · DEMOLICIÓN ANDEN/CONTRAPISO CONCRETO E= 7.6CM A 12CM   |   Unidad: Metro cuadrado (M2)   |   Precio: $ 11.093,31</t>
  </si>
  <si>
    <t>Precio por M2. Mano de obra: Auxiliar De Obra 2 (0.09 hh), Oficial Obra 1 (0.09 hh). Equipo: Compresor De 2 Martillos (0.09 hr), Herrramienta Y Equipo Menor (5 %).  Etapa de obra: 1. Preliminares.</t>
  </si>
  <si>
    <t>1.01.15 · DEMOLICIÓN CAJA INSPECCION   |   Unidad: Unidad (UND)   |   Precio: $ 12.335,96</t>
  </si>
  <si>
    <t>Precio por UND. Mano de obra: Auxiliar De Obra 2 (1.3 hh). Equipo: Herrramienta Y Equipo Menor (5 %).  Etapa de obra: 1. Preliminares.</t>
  </si>
  <si>
    <t>1.01.16 · DEMOLICIÓN CIELO FALSO ESTERILLA- ADOBE   |   Unidad: Metro cuadrado (M2)   |   Precio: $ 14.380,28</t>
  </si>
  <si>
    <t>Precio por M2. Mano de obra: Auxiliar De Obra 2 (0.43 hh), Oficial Obra 1 (0.43 hh). Equipo: Andamio Tubular Normalizado, Tipo Multidireccional, De Acero Galvanizado En Caliente, Según Iso 9001. (0.15 dd), Herrramienta Y Equipo Menor (0.5 %).  Etapa de obra: 1. Preliminares.</t>
  </si>
  <si>
    <t>ANDAMIO TUBULAR NORMALIZADO, TIPO MULTIDIRECCIONAL, DE ACERO GALVANIZADO EN CALIENTE, SEGÚN ISO 9001.</t>
  </si>
  <si>
    <t>dd</t>
  </si>
  <si>
    <t>1.01.17 · DEMOLICIÓN CIELO FALSO ESTRUCTURA ALUMINIO (INCLUYE RETIRO)   |   Unidad: Metro cuadrado (M2)   |   Precio: $ 2.679,63</t>
  </si>
  <si>
    <t>Precio por M2. Mano de obra: Auxiliar De Obra 2 (0.15 hh). Equipo: Andamio Tubular Normalizado, Tipo Multidireccional, De Acero Galvanizado En Caliente, Según Iso 9001. (0.05 dd), Herrramienta Y Equipo Menor (5 %).  Etapa de obra: 1. Preliminares.</t>
  </si>
  <si>
    <t>1.01.18 · DEMOLICIÓN CIMIENTO CONCRETO (INCLUYE RETIRO)   |   Unidad: Metro cúbico (M3)   |   Precio: $ 190.045,06</t>
  </si>
  <si>
    <t>Precio por M3. Mano de obra: Auxiliar De Obra 2 (1.7 hh), Oficial Obra 1 (1.7 hh). Equipo: Compresor De 2 Martillos (1.5 hr), Herrramienta Y Equipo Menor (5 %).  Etapa de obra: 1. Preliminares.</t>
  </si>
  <si>
    <t>1.01.19 · DEMOLICIÓN COLUMNA CONCRETO   |   Unidad: Metro cúbico (M3)   |   Precio: $ 194.118,47</t>
  </si>
  <si>
    <t>Precio por M3. Mano de obra: Auxiliar De Obra 2 (3 hh). Equipo: Compresor De 2 Martillos (1.25 hr), Pulidora (1 dd), Herrramienta Y Equipo Menor (5 %).  Etapa de obra: 1. Preliminares.</t>
  </si>
  <si>
    <t>PULIDORA</t>
  </si>
  <si>
    <t>1.01.20 · DEMOLICIÓN CUNETA EN CONCRETO   |   Unidad: Metro lineal (ML)   |   Precio: $ 5.154,44</t>
  </si>
  <si>
    <t>Precio por ML. Mano de obra: Auxiliar De Obra 2 (0.55 hh). Equipo: Herrramienta Y Equipo Menor (3.7 %).  Etapa de obra: 1. Preliminares.</t>
  </si>
  <si>
    <t>1.01.21 · DEMOLICION DE PISOS DE CONCRETO &lt;=10 CMS   |   Unidad: Metro cuadrado (M2)   |   Precio: $ 28.611,96</t>
  </si>
  <si>
    <t>Precio por M2. Mano de obra: Auxiliar De Obra 2 (0.5 hh), Oficial Obra 1 (0.25 hh). Equipo: Compresor De 2 Martillos (0.17 hr), Retroexcavadora Jd-510 O Similar (0.03 hr), Herrramienta Y Equipo Menor (5 %).  Etapa de obra: 1. Preliminares.</t>
  </si>
  <si>
    <t>RETROEXCAVADORA JD-510 O SIMILAR</t>
  </si>
  <si>
    <t>1.01.22 · DEMOLICIÓN DE SUMIDEROS   |   Unidad: Unidad (UND)   |   Precio: $ 18.801,08</t>
  </si>
  <si>
    <t>Precio por UND. Mano de obra: Auxiliar De Obra 2 (0.55 hh). Equipo: Compresor De 2 Martillos (0.14 hr), Herrramienta Y Equipo Menor (3.7 %).  Etapa de obra: 1. Preliminares.</t>
  </si>
  <si>
    <t>1.01.23 · DEMOLICIÓN EDIFICACION EXISTENTE   |   Unidad: Metro cuadrado (M2)   |   Precio: $ 36.918,85</t>
  </si>
  <si>
    <t>Precio por M2. Mano de obra: Auxiliar De Obra 2 (2.1 hh), Oficial Obra 1 (0.5 hh). Equipo: Compresor (0.05 hr), Equipo De Soldadura (0.05 hr), Andamio Tubular Normalizado, Tipo Multidireccional, De Acero Galvanizado En Caliente, Según Iso 9001. (0.2 dd), Herrramienta Y Equipo Menor (5 %).  Etapa de obra: 1. Preliminares.</t>
  </si>
  <si>
    <t>COMPRESOR</t>
  </si>
  <si>
    <t>EQUIPO DE SOLDADURA</t>
  </si>
  <si>
    <t>1.01.24 · DEMOLICIÓN ENCHAPE CERAMICO   |   Unidad: Metro cuadrado (M2)   |   Precio: $ 7.225,35</t>
  </si>
  <si>
    <t>Precio por M2. Mano de obra: Auxiliar De Obra 2 (0.78 hh). Equipo: Herrramienta Y Equipo Menor (2.5 %).  Etapa de obra: 1. Preliminares.</t>
  </si>
  <si>
    <t>1.01.25 · DEMOLICIÓN ESCALERA CONCRETO REFORZADO (INCLUYE RETIRO)   |   Unidad: Metro cúbico (M3)   |   Precio: $ 31.529,11</t>
  </si>
  <si>
    <t>Precio por M3. Mano de obra: Auxiliar De Obra 2 (0.96 hh). Equipo: Compresor De 2 Martillos (0.23 hr), Herrramienta Y Equipo Menor (5 %).  Etapa de obra: 1. Preliminares.</t>
  </si>
  <si>
    <t>1.01.26 · DEMOLICIÓN GUARDAESCOBA (INCLUYE RETIRO)   |   Unidad: Metro lineal (ML)   |   Precio: $ 1.825,54</t>
  </si>
  <si>
    <t>Precio por ML. Mano de obra: Auxiliar De Obra 2 (0.2 hh). Equipo: Herrramienta Y Equipo Menor (1 %).  Etapa de obra: 1. Preliminares.</t>
  </si>
  <si>
    <t>1.01.27 · DEMOLICIÓN LAVADERO EXISTENTE   |   Unidad: Unidad (UND)   |   Precio: $ 36.185,47</t>
  </si>
  <si>
    <t>Precio por UND. Mano de obra: Auxiliar De Obra 2 (3.85 hh). Equipo: Herrramienta Y Equipo Menor (4 %).  Etapa de obra: 1. Preliminares.</t>
  </si>
  <si>
    <t>1.01.28 · DEMOLICIÓN MESON CONCRETO (INCLUYE RETIRO)   |   Unidad: Metro cuadrado (M2)   |   Precio: $ 25.254,82</t>
  </si>
  <si>
    <t>Precio por M2. Mano de obra: Auxiliar De Obra 2 (2.7 hh). Equipo: Herrramienta Y Equipo Menor (3.5 %).  Etapa de obra: 1. Preliminares.</t>
  </si>
  <si>
    <t>1.01.29 · DEMOLICIÓN MURO ADOBE (INCLUYE RETIRO)   |   Unidad: Metro cuadrado (M2)   |   Precio: $ 2.372,30</t>
  </si>
  <si>
    <t>Precio por M2. Mano de obra: Auxiliar De Obra 2 (0.25 hh). Equipo: Herrramienta Y Equipo Menor (5 %).  Etapa de obra: 1. Preliminares.</t>
  </si>
  <si>
    <t>1.01.30 · DEMOLICIÓN MURO CONCRETO E=30CM   |   Unidad: Metro cuadrado (M2)   |   Precio: $ 66.374,08</t>
  </si>
  <si>
    <t>Precio por M2. Mano de obra: Auxiliar De Obra 2 (1 hh), Oficial Obra 1 (0.5 hh). Equipo: Compresor De 2 Martillos (0.5 hr), Herrramienta Y Equipo Menor (5 %).  Etapa de obra: 1. Preliminares.</t>
  </si>
  <si>
    <t>1.01.31 · DEMOLICIÓN MURO CONCRETO HASTA E= 15CM   |   Unidad: Metro cuadrado (M2)   |   Precio: $ 30.577,64</t>
  </si>
  <si>
    <t>Precio por M2. Mano de obra: Auxiliar De Obra 2 (0.8 hh), Oficial Obra 1 (0.1 hh). Equipo: Compresor De 2 Martillos (0.22 hr), Herrramienta Y Equipo Menor (4 %).  Etapa de obra: 1. Preliminares.</t>
  </si>
  <si>
    <t>1.01.32 · DEMOLICION MUROS EN LADRILLO E = 0.25 mts.   |   Unidad: Metro cuadrado (M2)   |   Precio: $ 11.860,17</t>
  </si>
  <si>
    <t>Precio por M2. Mano de obra: Auxiliar De Obra 2 (0.46 hh), Oficial Obra 1 (0.46 hh). Equipo: Herrramienta Y Equipo Menor (5 %).  Etapa de obra: 1. Preliminares.</t>
  </si>
  <si>
    <t>1.01.33 · DEMOLICIÓN MUROS LADRILLO E = 0.15 mts.   |   Unidad: Metro cuadrado (M2)   |   Precio: $ 10.313,19</t>
  </si>
  <si>
    <t>Precio por M2. Mano de obra: Auxiliar De Obra 2 (0.4 hh), Oficial Obra 1 (0.4 hh). Equipo: Herrramienta Y Equipo Menor (5 %).  Etapa de obra: 1. Preliminares.</t>
  </si>
  <si>
    <t>1.01.34 · DEMOLICIÓN PAÑETES   |   Unidad: Metro cuadrado (M2)   |   Precio: $ 4.609,03</t>
  </si>
  <si>
    <t>Precio por M2. Mano de obra: Auxiliar De Obra 2 (0.5 hh). Equipo: Herrramienta Y Equipo Menor (2 %).  Etapa de obra: 1. Preliminares.</t>
  </si>
  <si>
    <t>1.01.35 · DEMOLICIÓN PAÑETES TECHO   |   Unidad: Metro cuadrado (M2)   |   Precio: $ 5.069,94</t>
  </si>
  <si>
    <t>Precio por M2. Mano de obra: Auxiliar De Obra 2 (0.55 hh). Equipo: Herrramienta Y Equipo Menor (2 %).  Etapa de obra: 1. Preliminares.</t>
  </si>
  <si>
    <t>1.01.36 · DEMOLICIÓN PISO BALDOSA+MORTERO   |   Unidad: Metro cuadrado (M2)   |   Precio: $ 2.372,30</t>
  </si>
  <si>
    <t>1.01.37 · DEMOLICIÓN PISO GRANO PULIDO   |   Unidad: Metro cuadrado (M2)   |   Precio: $ 3.444,12</t>
  </si>
  <si>
    <t>Precio por M2. Mano de obra: Auxiliar De Obra 2 (0.37 hh). Equipo: Herrramienta Y Equipo Menor (3 %).  Etapa de obra: 1. Preliminares.</t>
  </si>
  <si>
    <t>1.01.38 · DEMOLICIÓN PLACA DE PISO E= 10 cm.   |   Unidad: Metro cuadrado (M2)   |   Precio: $ 46.878,88</t>
  </si>
  <si>
    <t>Precio por M2. Mano de obra: Auxiliar De Obra 2 (1 hh), Oficial Obra 1 (0.5 hh). Equipo: Compresor De 2 Martillos (0.3 hr), Herrramienta Y Equipo Menor (5 %).  Etapa de obra: 1. Preliminares.</t>
  </si>
  <si>
    <t>1.01.39 · DEMOLICIÓN PLACAS ALIGERADAS CONCRETO E&lt;= 25 cm.   |   Unidad: Metro cuadrado (M2)   |   Precio: $ 26.686,31</t>
  </si>
  <si>
    <t>Precio por M2. Mano de obra: Auxiliar De Obra 2 (0.8 hh), Oficial Obra 1 (0.05 hh). Equipo: Compresor De 2 Martillos (0.19 hr), Herrramienta Y Equipo Menor (2 %).  Etapa de obra: 1. Preliminares.</t>
  </si>
  <si>
    <t>1.01.40 · DEMOLICIÓN PLACAS ALIGERADAS CONCRETO E&gt;=25 cm.   |   Unidad: Metro cuadrado (M2)   |   Precio: $ 44.145,71</t>
  </si>
  <si>
    <t>Precio por M2. Mano de obra: Auxiliar De Obra 2 (1 hh), Oficial Obra 1 (0.05 hh). Equipo: Compresor De 2 Martillos (0.35 hr), Herrramienta Y Equipo Menor (2.2 %).  Etapa de obra: 1. Preliminares.</t>
  </si>
  <si>
    <t>1.01.41 · DEMOLICIÓN PLACAS MACIZAS CONCRETO E &lt;= 20 cm.   |   Unidad: Metro cuadrado (M2)   |   Precio: $ 36.297,24</t>
  </si>
  <si>
    <t>Precio por M2. Mano de obra: Auxiliar De Obra 2 (0.4 hh), Oficial Obra 1 (0.2 hh). Equipo: Compresor De 2 Martillos (0.3 hr), Herrramienta Y Equipo Menor (5 %).  Etapa de obra: 1. Preliminares.</t>
  </si>
  <si>
    <t>1.01.42 · DEMOLICIÓN VIGA AMARRE CONCRETO &lt; 25 CM - 35 CM   |   Unidad: Metro lineal (ML)   |   Precio: $ 5.610,96</t>
  </si>
  <si>
    <t>Precio por ML. Mano de obra: Auxiliar De Obra 2 (0.3 hh), Oficial Obra 1 (0.05 hh). Equipo: Compresor De 2 Martillos (0.02 hr), Herrramienta Y Equipo Menor (5 %).  Etapa de obra: 1. Preliminares.</t>
  </si>
  <si>
    <t>1.01.43 · DEMOLICIÓN VIGA CANAL.   |   Unidad: Metro lineal (ML)   |   Precio: $ 16.107,94</t>
  </si>
  <si>
    <t>Precio por ML. Mano de obra: Auxiliar De Obra 2 (1.2 hh), Oficial Obra 1 (0.2 hh). Equipo: Compresor De 2 Martillos (0.02 hr), Herrramienta Y Equipo Menor (5 %).  Etapa de obra: 1. Preliminares.</t>
  </si>
  <si>
    <t>1.01.44 · DEMOLICIÓN VIGA CONCRETO 25cm- 35cm   |   Unidad: Metro lineal (ML)   |   Precio: $ 5.951,20</t>
  </si>
  <si>
    <t>Precio por ML. Mano de obra: Auxiliar De Obra 2 (0.25 hh), Oficial Obra 1 (0.1 hh). Equipo: Compresor De 2 Martillos (0.02 hr), Herrramienta Y Equipo Menor (5 %).  Etapa de obra: 1. Preliminares.</t>
  </si>
  <si>
    <t>1.01.45 · DEMOLICIÓN VIGA CONCRETO 35cm- 45cm   |   Unidad: Metro lineal (ML)   |   Precio: $ 8.849,64</t>
  </si>
  <si>
    <t>Precio por ML. Mano de obra: Auxiliar De Obra 2 (0.35 hh), Oficial Obra 1 (0.1 hh). Equipo: Compresor De 2 Martillos (0.04 hr), Herrramienta Y Equipo Menor (5 %).  Etapa de obra: 1. Preliminares.</t>
  </si>
  <si>
    <t>1.01.46 · DESCAPOTE MANUAL (HASTA 20 CM ) DISTANCIA DE 1 A 5 KM   |   Unidad: Metro cuadrado (M2)   |   Precio: $ 8.052,73</t>
  </si>
  <si>
    <t>Precio por M2. Materiales: Transporte De Material Suelto (0.2 M3-km), Señalizacion (1 glb). Mano de obra: Auxiliar De Obra 2 (0.2 hh), Oficial Obra 1 (0.2 hh). Equipo: Herrramienta Y Equipo Menor (5 %).  Etapa de obra: 1. Preliminares.</t>
  </si>
  <si>
    <t>SEÑALIZACION</t>
  </si>
  <si>
    <t>glb</t>
  </si>
  <si>
    <t>1.01.47 · DESMONTE ADOQUIN PREFABRICADO   |   Unidad: Metro cuadrado (M2)   |   Precio: $ 3.588,73</t>
  </si>
  <si>
    <t>Precio por M2. Mano de obra: Auxiliar De Obra 2 (0.38 hh). Equipo: Herrramienta Y Equipo Menor (4.5 %).  Etapa de obra: 1. Preliminares.</t>
  </si>
  <si>
    <t>1.01.48 · DESMONTE ALAMBRE PÚAS CERRAMIENTO 3 - 5 LÍNEAS INCLUYE POSTES.   |   Unidad: Metro lineal (ML)   |   Precio: $ 7.591,52</t>
  </si>
  <si>
    <t>Precio por ML. Mano de obra: Auxiliar De Obra 1 (0.1 jr). Equipo: Herrramienta Y Equipo Menor (5 %).  Etapa de obra: 1. Preliminares.</t>
  </si>
  <si>
    <t>AUXILIAR DE OBRA 1 (A)</t>
  </si>
  <si>
    <t>jr</t>
  </si>
  <si>
    <t>1.01.49 · DESMONTE CANALES - BAJANTES.   |   Unidad: Metro lineal (ML)   |   Precio: $ 5.017,13</t>
  </si>
  <si>
    <t>Precio por ML. Mano de obra: Auxiliar De Obra 2 (0.1 hh), Oficial Obra 1 (0.1 hh). Equipo: Andamio Tubular Normalizado, Tipo Multidireccional, De Acero Galvanizado En Caliente, Según Iso 9001. (0.1 dd), Herrramienta Y Equipo Menor (2 %).  Etapa de obra: 1. Preliminares.</t>
  </si>
  <si>
    <t>1.01.50 · DESMONTE CIELO FALSO MADERA   |   Unidad: Metro cuadrado (M2)   |   Precio: $ 5.674,58</t>
  </si>
  <si>
    <t>Precio por M2. Mano de obra: Auxiliar De Carpinterias 1 (0.2 hh), Oficial Carpinterias (0.05 hh). Equipo: Andamio Tubular Normalizado, Tipo Multidireccional, De Acero Galvanizado En Caliente, Según Iso 9001. (0.1 dd), Herrramienta Y Equipo Menor (2 %).  Etapa de obra: 1. Preliminares.</t>
  </si>
  <si>
    <t>AUXILIAR DE CARPINTERIAS 1 (D)</t>
  </si>
  <si>
    <t>OFICIAL CARPINTERIAS (D)</t>
  </si>
  <si>
    <t>1.01.51 · DESMONTE CORREA METÁLICA   |   Unidad: Metro lineal (ML)   |   Precio: $ 4.817,02</t>
  </si>
  <si>
    <t>Precio por ML. Mano de obra: Auxiliar De Obra 2 (0.25 hh). Equipo: Andamio Tubular Normalizado, Tipo Multidireccional, De Acero Galvanizado En Caliente, Según Iso 9001. (0.1 dd), Herrramienta Y Equipo Menor (2 %).  Etapa de obra: 1. Preliminares.</t>
  </si>
  <si>
    <t>1.01.52 · DESMONTE CORREA-VIGA-COLUMNA MADERA.   |   Unidad: Metro lineal (ML)   |   Precio: $ 4.733,83</t>
  </si>
  <si>
    <t>Precio por ML. Mano de obra: Auxiliar De Obra 2 (0.35 hh). Equipo: Andamio Tubular Normalizado, Tipo Multidireccional, De Acero Galvanizado En Caliente, Según Iso 9001. (0.06 dd), Herrramienta Y Equipo Menor (2 %).  Etapa de obra: 1. Preliminares.</t>
  </si>
  <si>
    <t>1.01.53 · DESMONTE CUBIERTA TEJA DE BARRO.   |   Unidad: Metro cuadrado (M2)   |   Precio: $ 28.295,48</t>
  </si>
  <si>
    <t>Precio por M2. Mano de obra: Auxiliar De Obra 2 (1 hh), Oficial Obra 1 (1 hh). Equipo: Andamio Tubular Normalizado, Tipo Multidireccional, De Acero Galvanizado En Caliente, Según Iso 9001. (0.1 dd), Herrramienta Y Equipo Menor (5 %).  Etapa de obra: 1. Preliminares.</t>
  </si>
  <si>
    <t>1.01.54 · DESMONTE CUBIERTAS TEJA DE ASBESTO Y/ O ASBESTO CEMENTO.   |   Unidad: Metro cuadrado (M2)   |   Precio: $ 9.523,90</t>
  </si>
  <si>
    <t>Precio por M2. Mano de obra: Auxiliar De Obra 2 (0.3 hh), Oficial Obra 1 (0.3 hh). Equipo: Andamio Tubular Normalizado, Tipo Multidireccional, De Acero Galvanizado En Caliente, Según Iso 9001. (0.08 dd), Herrramienta Y Equipo Menor (2 %).  Etapa de obra: 1. Preliminares.</t>
  </si>
  <si>
    <t>1.01.55 · DESMONTE DE CUBIERTA LAMINA   |   Unidad: Metro cuadrado (M2)   |   Precio: $ 7.149,66</t>
  </si>
  <si>
    <t>Precio por M2. Mano de obra: Auxiliar De Obra 2 (0.3 hh), Oficial Obra 1 (0.15 hh). Equipo: Andamio Tubular Normalizado, Tipo Multidireccional, De Acero Galvanizado En Caliente, Según Iso 9001. (0.08 dd), Herrramienta Y Equipo Menor (2 %).  Etapa de obra: 1. Preliminares.</t>
  </si>
  <si>
    <t>1.01.56 · DESMONTE DE CUBIERTA ZINC + ENTRAMADO.   |   Unidad: Metro cuadrado (M2)   |   Precio: $ 13.741,58</t>
  </si>
  <si>
    <t>Precio por M2. Mano de obra: Auxiliar De Carpinterias 1 (0.5 hh), Oficial Carpinterias (0.3 hh). Equipo: Andamio Tubular Normalizado, Tipo Multidireccional, De Acero Galvanizado En Caliente, Según Iso 9001. (0.1 dd), Herrramienta Y Equipo Menor (2 %).  Etapa de obra: 1. Preliminares.</t>
  </si>
  <si>
    <t>1.01.57 · DESMONTE DIVISIÓN - PISO A TECHO.   |   Unidad: Metro cuadrado (M2)   |   Precio: $ 4.598,20</t>
  </si>
  <si>
    <t>Precio por M2. Mano de obra: Auxiliar De Obra 2 (0.48 hh). Equipo: Herrramienta Y Equipo Menor (6 %).  Etapa de obra: 1. Preliminares.</t>
  </si>
  <si>
    <t>1.01.58 · DESMONTE ESTRUCTURA MADERA CIELO FALSO   |   Unidad: Metro cuadrado (M2)   |   Precio: $ 5.938,95</t>
  </si>
  <si>
    <t>Precio por M2. Mano de obra: Auxiliar De Obra 2 (0.2 hh), Oficial Obra 1 (0.1 hh). Equipo: Andamio Tubular Normalizado, Tipo Multidireccional, De Acero Galvanizado En Caliente, Según Iso 9001. (0.1 dd), Herrramienta Y Equipo Menor (2 %).  Etapa de obra: 1. Preliminares.</t>
  </si>
  <si>
    <t>1.01.59 · DESMONTE ESTRUCTURA MADERA TEJA EN ASBESTO CEMENTO   |   Unidad: Metro cuadrado (M2)   |   Precio: $ 8.113,06</t>
  </si>
  <si>
    <t>Precio por M2. Mano de obra: Auxiliar De Obra 2 (0.35 hh), Oficial Obra 1 (0.15 hh). Equipo: Andamio Tubular Normalizado, Tipo Multidireccional, De Acero Galvanizado En Caliente, Según Iso 9001. (0.1 dd), Herrramienta Y Equipo Menor (2 %).  Etapa de obra: 1. Preliminares.</t>
  </si>
  <si>
    <t>1.01.60 · DESMONTE ESTRUCTURA MADERA TEJA DE BARRO   |   Unidad: Metro cuadrado (M2)   |   Precio: $ 13.134,13</t>
  </si>
  <si>
    <t>Precio por M2. Mano de obra: Auxiliar De Obra 2 (0.4 hh), Oficial Obra 1 (0.2 hh). Equipo: Andamio Tubular Normalizado, Tipo Multidireccional, De Acero Galvanizado En Caliente, Según Iso 9001. (0.25 dd), Herrramienta Y Equipo Menor (2 %).  Etapa de obra: 1. Preliminares.</t>
  </si>
  <si>
    <t>1.01.61 · DESMONTE ESTRUCTURA METÁLICA PERFILES-VIGAS.   |   Unidad: Kilogramo (kg)   |   Precio: $ 3.394,45</t>
  </si>
  <si>
    <t>Precio por kg. Mano de obra: Auxiliar De Obra 2 (0.1 hh), Auxiliar De Carpinterias 1 (0 hh), Oficial Carpinterias (0 hh). Equipo: Oxicorte (0.01 dd), Andamio Tubular Normalizado, Tipo Multidireccional, De Acero Galvanizado En Caliente, Según Iso 9001. (0.08 dd), Herrramienta Y Equipo Menor (2 %).  Etapa de obra: 1. Preliminares.</t>
  </si>
  <si>
    <t>OXICORTE (OXIGENO ACETILENO)</t>
  </si>
  <si>
    <t>1.01.62 · DESMONTE MALLA ESLABONADA H=2.0 M.   |   Unidad: Metro lineal (ML)   |   Precio: $ 3.687,23</t>
  </si>
  <si>
    <t>Precio por ML. Mano de obra: Auxiliar De Obra 2 (0.4 hh). Equipo: Herrramienta Y Equipo Menor (2 %).  Etapa de obra: 1. Preliminares.</t>
  </si>
  <si>
    <t>1.01.63 · DESMONTE MARCOS, PUERTAS Y VENTANAS   |   Unidad: Metro cuadrado (M2)   |   Precio: $ 10.313,19</t>
  </si>
  <si>
    <t>1.01.64 · DESMONTE REJA METÁLICA.   |   Unidad: Metro cuadrado (M2)   |   Precio: $ 10.912,58</t>
  </si>
  <si>
    <t>Precio por M2. Mano de obra: Auxiliar De Obra 2 (1.15 hh). Equipo: Herrramienta Y Equipo Menor (5 %).  Etapa de obra: 1. Preliminares.</t>
  </si>
  <si>
    <t>1.01.65 · DESMONTE VIDRIO   |   Unidad: Metro cuadrado (M2)   |   Precio: $ 2.304,52</t>
  </si>
  <si>
    <t>Precio por M2. Mano de obra: Auxiliar De Obra 2 (0.25 hh). Equipo: Herrramienta Y Equipo Menor (2 %).  Etapa de obra: 1. Preliminares.</t>
  </si>
  <si>
    <t>1.01.66 · INSTALACIÓN PROVISIONAL ACUEDUCTO   |   Unidad: Mes (mes)   |   Precio: $ 92.000,00</t>
  </si>
  <si>
    <t>Precio por mes. Materiales: Servicio De Agua (1 mes).  Etapa de obra: 1. Preliminares.</t>
  </si>
  <si>
    <t>SERVICIO DE AGUA</t>
  </si>
  <si>
    <t>1.01.67 · INSTALACIÓN PROVISIONAL ENERGIA   |   Unidad: Mes (mes)   |   Precio: $ 103.500,00</t>
  </si>
  <si>
    <t>Precio por mes. Materiales: Servicio De Energia (1 mes).  Etapa de obra: 1. Preliminares.</t>
  </si>
  <si>
    <t>SERVICIO DE ENERGIA</t>
  </si>
  <si>
    <t>1.01.68 · LOCALIZACIÓN Y REPLANTEO OBRA ARQUITECTÓNICA   |   Unidad: Metro cuadrado (M2)   |   Precio: $ 4.829,44</t>
  </si>
  <si>
    <t>Precio por M2. Materiales: Madera Durmiente Ord 4*4 (0.26 ML), Puntilla Con Y Sin Cabeza 1 (0.02 lb). Mano de obra: Auxiliar De Obra 2 (0.14 hh), Comision Topografica (0.02 hh), Oficial Obra 1 (0.14 hh). Equipo: Herrramienta Y Equipo Menor (1.6 %).  Etapa de obra: 1. Preliminares.</t>
  </si>
  <si>
    <t>MADERA DURMIENTE ORD 4*4</t>
  </si>
  <si>
    <t>COMISION TOPOGRAFICA</t>
  </si>
  <si>
    <t>1.01.69 · LOCALIZACIÓN Y REPLANTEO REDES HASTA H=50 cm.   |   Unidad: Metro cuadrado (M2)   |   Precio: $ 3.397,67</t>
  </si>
  <si>
    <t>Precio por M2. Materiales: Madera Durmiente Ord 4*4 (0.03 ML), Puntilla Con Y Sin Cabeza 1 (0.01 lb). Mano de obra: Auxiliar De Obra 1 (0.03 jr), Comision Topografica (0.02 hh), Oficial Obra 1 (0.02 hh). Equipo: Herrramienta Y Equipo Menor (3.7 %).  Etapa de obra: 1. Preliminares.</t>
  </si>
  <si>
    <t>1.01.70 · RED ELÉCTRICA PROVISIONAL L/50 M   |   Unidad: Unidad (UND)   |   Precio: $ 2.098.477,98</t>
  </si>
  <si>
    <t>Precio por UND. Materiales: Taco Termomagnético Unipolar Hqp 30 A (4 UND), Toma Trifásica (5 UND), Vara De Clavo (35 ML), Cable Aluminio Aislado Pvc 1/0 Awg (130 ML) y 3 más. Mano de obra: Mano De Obra Bb (20 hc). Equipo: Herrramienta Y Equipo Menor (35 %).  Etapa de obra: 1. Preliminares.</t>
  </si>
  <si>
    <t>TACO TERMOMAGNÉTICO UNIPOLAR HQP 30 A</t>
  </si>
  <si>
    <t>TOMA TRIFÁSICA</t>
  </si>
  <si>
    <t>VARA DE CLAVO</t>
  </si>
  <si>
    <t>CABLE ALUMINIO AISLADO PVC 1/0 AWG</t>
  </si>
  <si>
    <t>CABLE ALUMINIO AISLADO PVC 2/0 AWG</t>
  </si>
  <si>
    <t>CAJA CON ESPACIO PARA 3 CIRCUITOS</t>
  </si>
  <si>
    <t>DURMIENTE 3 M</t>
  </si>
  <si>
    <t>MANO DE OBRA BB</t>
  </si>
  <si>
    <t>hc</t>
  </si>
  <si>
    <t>1.01.71 · REGATAS SOBRE MUROS EN CONCRETO, LADRILLO Y BLOQUE   |   Unidad: Metro lineal (ML)   |   Precio: $ 1.597,80</t>
  </si>
  <si>
    <t>Precio por ML. Mano de obra: Auxiliar De Obra 2 (0.17 hh). Equipo: Herrramienta Y Equipo Menor (4 %).  Etapa de obra: 1. Preliminares.</t>
  </si>
  <si>
    <t>1.01.72 · RETIRO TUBERÍA AGUA (GALVANIZADA- PVC-AC) HASTA 1"   |   Unidad: Metro lineal (ML)   |   Precio: $ 2.268,90</t>
  </si>
  <si>
    <t>Precio por ML. Mano de obra: Auxiliar De Instalaciones 1 (0.08 hh), Oficial Instalaciones (0.08 hh). Equipo: Herrramienta Y Equipo Menor (5 %).  Etapa de obra: 1. Preliminares.</t>
  </si>
  <si>
    <t>AUXILIAR DE INSTALACIONES 1</t>
  </si>
  <si>
    <t>OFICIAL INSTALACIONES (B)</t>
  </si>
  <si>
    <t>1.01.73 · RETIRO TUBERIA EXISTENTE 0" A 12"   |   Unidad: Metro lineal (ML)   |   Precio: $ 4.654,22</t>
  </si>
  <si>
    <t>Precio por ML. Mano de obra: Auxiliar De Obra 2 (0.5 hh). Equipo: Herrramienta Y Equipo Menor (3 %).  Etapa de obra: 1. Preliminares.</t>
  </si>
  <si>
    <t>1.01.74 · RETIRO TUBERIA EXISTENTE 12" A 24"   |   Unidad: Metro lineal (ML)   |   Precio: $ 17.456,79</t>
  </si>
  <si>
    <t>Precio por ML. Mano de obra: Auxiliar De Obra 2 (1.5 hh). Equipo: Retroexcavadora Jd-510 O Similar (0.03 hr), Herrramienta Y Equipo Menor (5 %).  Etapa de obra: 1. Preliminares.</t>
  </si>
  <si>
    <t>1.01.75 · ROTURA PAVIMENTO   |   Unidad: Metro cuadrado (M2)   |   Precio: $ 7.808,25</t>
  </si>
  <si>
    <t>Precio por M2. Mano de obra: Auxiliar De Obra 2 (0.8 hh). Equipo: Herrramienta Y Equipo Menor (8 %).  Etapa de obra: 1. Preliminares.</t>
  </si>
  <si>
    <t>1.01.76 · ALQUILER DE CAMIONETA D300 O SIMILAR(ACARREOS, TRANSPORTES)   |   Unidad: Hora (hr)   |   Precio: $ 57.796,26</t>
  </si>
  <si>
    <t>Precio por hr. Mano de obra: Auxiliar De Obra 2 (1 hh). Equipo: Camioneta D300 (1 hr).  Etapa de obra: 1. Preliminares.</t>
  </si>
  <si>
    <t>CAMIONETA D300</t>
  </si>
  <si>
    <t>1.01.77 · ALQUILER DE CAMION 350 O SIMILAR(ACARREOS, TRANSPORTES)   |   Unidad: Hora (hr)   |   Precio: $ 63.576,95</t>
  </si>
  <si>
    <t>Precio por hr. Mano de obra: Auxiliar De Obra 2 (1 hh). Equipo: Camion 350 (1 hr).  Etapa de obra: 1. Preliminares.</t>
  </si>
  <si>
    <t>CAMION 350</t>
  </si>
  <si>
    <t>Capítulo 1.02 · CIMENTACIÓN Y DESAGUES</t>
  </si>
  <si>
    <t>42 actividades. Cada tabla lista los insumos de una actividad por unidad de obra.</t>
  </si>
  <si>
    <t>1.02.01 · BASE EN CONCRETO POBRE E=0.05 mts. 14 Mpa - (2000 PSI)   |   Unidad: Metro cuadrado (M2)   |   Precio: $ 29.930,32</t>
  </si>
  <si>
    <t>Precio por M2. Materiales: Concreto 1:3:5 14 Mpa (0.05 M3). Mano de obra: Auxiliar De Obra 2 (0.35 hh), Oficial Obra 1 (0.35 hh). Equipo: Herrramienta Y Equipo Menor (0.01 %).  Etapa de obra: 3. Cimentación.</t>
  </si>
  <si>
    <t>1.02.02 · CAJAS DE INSPECCION DE 1.00 X 1.00 X 1.00 MTS LADRILLO   |   Unidad: Unidad (UND)   |   Precio: $ 593.114,34</t>
  </si>
  <si>
    <t>Precio por UND. Materiales: Mortero 1:3 Impermeabilizado (0.18 M3), Acero 60000 Psi (6.83 kg), Ladrillo Tolete Comun (244 UND), Marco Y Tapa 100 X 100 (1 UND) y 2 más. Mano de obra: Auxiliar De Obra 2 (3.5 hh), Oficial Obra 1 (3.5 hh). Equipo: Herrramienta Y Equipo Menor (1 %).  Etapa de obra: 6. Instalaciones.</t>
  </si>
  <si>
    <t>ACERO 60000 PSI</t>
  </si>
  <si>
    <t>LADRILLO TOLETE COMUN</t>
  </si>
  <si>
    <t>MARCO Y TAPA 100 X 100</t>
  </si>
  <si>
    <t>BASE EN CONCRETO POBRE E=0.05 mts. 14 MPa - (2000 PSI)</t>
  </si>
  <si>
    <t>RECEBO COMUN</t>
  </si>
  <si>
    <t>1.02.03 · CAJAS DE INSPECCION DE 1.20 X 1.20 X 1.20 MTS LADRILLO   |   Unidad: Unidad (UND)   |   Precio: $ 787.551,83</t>
  </si>
  <si>
    <t>Precio por UND. Materiales: Mortero 1:3 Impermeabilizado (0.14 M3), Acero 60000 Psi (8.2 kg), Ladrillo Tolete Comun (292.8 UND), Marco Y Tapa 120 X 120 (1 UND) y 2 más. Mano de obra: Auxiliar De Obra 2 (4 hh), Oficial Obra 1 (4 hh). Equipo: Herrramienta Y Equipo Menor (1 %).  Etapa de obra: 6. Instalaciones.</t>
  </si>
  <si>
    <t>MARCO Y TAPA 120 X 120</t>
  </si>
  <si>
    <t>1.02.04 · CAJAS DE INSPECCION DE 60x60x60 cm LADRILLO   |   Unidad: Unidad (UND)   |   Precio: $ 342.016,05</t>
  </si>
  <si>
    <t>Precio por UND. Materiales: Mortero 1:3 Impermeabilizado (0.05 M3), Acero 60000 Psi (0.9 kg), Ladrillo Tolete Comun (93 UND), Marco Y Tapa 60 X 60 (1 UND) y 2 más. Mano de obra: Auxiliar De Obra 2 (5.1 hh), Oficial Obra 1 (3.5 hh). Equipo: Herrramienta Y Equipo Menor (1 %).  Etapa de obra: 6. Instalaciones.</t>
  </si>
  <si>
    <t>MARCO Y TAPA 60 X 60</t>
  </si>
  <si>
    <t>1.02.05 · CAJAS DE INSPECCION DE 80 X 80 X 80 cm LADRILLO   |   Unidad: Unidad (UND)   |   Precio: $ 492.495,89</t>
  </si>
  <si>
    <t>Precio por UND. Materiales: Mortero 1:3 Impermeabilizado (0.1 M3), Acero 60000 Psi (4.57 kg), Ladrillo Tolete Comun (188.6 UND), Marco Y Tapa 80 X 80 (1 UND) y 2 más. Mano de obra: Auxiliar De Obra 2 (5.4 hh), Oficial Obra 1 (3.5 hh). Equipo: Herrramienta Y Equipo Menor (1 %).  Etapa de obra: 6. Instalaciones.</t>
  </si>
  <si>
    <t>MARCO Y TAPA 80 X 80</t>
  </si>
  <si>
    <t>1.02.06 · CONCRETO CICLOPEO 10,5MPa (1500 PSI) RELACIÓN 60C/40P   |   Unidad: Metro cúbico (M3)   |   Precio: $ 336.420,67</t>
  </si>
  <si>
    <t>Precio por M3. Materiales: Concreto 1:4:7 - 10.1 Mpa -  - (0.6 M3), Piedra Media Zonga (0.4 M3). Mano de obra: Auxiliar De Obra 2 (6 hh), Oficial Obra 1 (2 hh). Equipo: Herrramienta Y Equipo Menor (3 %). Transporte: Transporte De Material (1 M3-km).  Etapa de obra: 3. Cimentación.</t>
  </si>
  <si>
    <t>PIEDRA MEDIA ZONGA</t>
  </si>
  <si>
    <t>1.02.07 · CONCRETO CICLOPEO 14MPa (2000 PSI) RELACIÓN 60C/40P   |   Unidad: Metro cúbico (M3)   |   Precio: $ 389.522,57</t>
  </si>
  <si>
    <t>Precio por M3. Materiales: Concreto 1:3:5 14 Mpa (0.6 M3), Piedra Media Zonga (0.4 M3). Mano de obra: Auxiliar De Obra 2 (7.8 hh), Oficial Obra 1 (2.6 hh). Equipo: Herrramienta Y Equipo Menor (1 %). Transporte: Transporte De Material (1 M3-km).  Etapa de obra: 3. Cimentación.</t>
  </si>
  <si>
    <t>1.02.08 · CONCRETO CICLOPEO 17.5MPa (2500 PSI) RELACIÓN 60C/40P   |   Unidad: Metro cúbico (M3)   |   Precio: $ 405.865,21</t>
  </si>
  <si>
    <t>Precio por M3. Materiales: Concreto 1:2:4 17.5 Mpa (0.6 M3), Piedra Media Zonga (0.4 M3). Mano de obra: Auxiliar De Obra 2 (7.8 hh), Oficial Obra 1 (2.6 hh). Equipo: Herrramienta Y Equipo Menor (3 %). Transporte: Transporte De Material (1 M3-km).  Etapa de obra: 3. Cimentación.</t>
  </si>
  <si>
    <t>1.02.09 · CONCRETO CICLOPEO 21MPa (3000 PSI) RELACIÓN 60C/40P   |   Unidad: Metro cúbico (M3)   |   Precio: $ 421.022,00</t>
  </si>
  <si>
    <t>Precio por M3. Materiales: Concreto Clase D 21 Mpa (0.6 M3), Piedra Media Zonga (0.4 M3). Mano de obra: Auxiliar De Obra 2 (7.8 hh), Oficial Obra 1 (2.6 hh). Equipo: Herrramienta Y Equipo Menor (3 %). Transporte: Transporte De Material (1 M3-km).  Etapa de obra: 3. Cimentación.</t>
  </si>
  <si>
    <t>1.02.10 · CONCRETO DE ZAPATAS 21 MPa - (3000 PSI)   |   Unidad: Metro cúbico (M3)   |   Precio: $ 700.084,61</t>
  </si>
  <si>
    <t>Precio por M3. Materiales: Concreto Clase D 21 Mpa (1.05 M3). Mano de obra: Vibrador De Concreto (0.03 dd), Auxiliar De Obra 2 (7.7 hh), Oficial Obra 1 (7.7 hh). Equipo: Herrramienta Y Equipo Menor (5 %).  Etapa de obra: 3. Cimentación.</t>
  </si>
  <si>
    <t>VIBRADOR DE CONCRETO</t>
  </si>
  <si>
    <t>1.02.11 · CONCRETO DE ZAPATAS 21MPa + FORMALETA   |   Unidad: Metro cúbico (M3)   |   Precio: $ 712.761,20</t>
  </si>
  <si>
    <t>Precio por M3. Materiales: Tabla 1x05x300 Otobo (3.05 UND), Concreto Clase D 21 Mpa (1.05 M3), Cuarton 2" X 4" X 300 (1.03 ML), Puntilla Con Y Sin Cabeza 2 (0.1 lb). Mano de obra: Auxiliar De Obra 2 (7.77 hh), Oficial Obra 1 (7.77 hh). Equipo: Vibrador De Concreto (0.03 dd), Herrramienta Y Equipo Menor (0.05 %).  Etapa de obra: 3. Cimentación.</t>
  </si>
  <si>
    <t>TABLA 1x05x300 OTOBO</t>
  </si>
  <si>
    <t>CUARTON 2" x 4" x 300</t>
  </si>
  <si>
    <t>1.02.12 · CONCRETO VIGA DE AMARRE 21,1 MPa TE INVERTIDA   |   Unidad: Metro cúbico (M3)   |   Precio: $ 698.080,81</t>
  </si>
  <si>
    <t>Precio por M3. Materiales: Tabla 1x05x300 Otobo (3.5 UND), Vareta 1``x1``x 3m (1.03 UND), Concreto Clase D 21 Mpa (1.05 M3), Puntilla Con Y Sin Cabeza 2 (1.5 lb). Mano de obra: Auxiliar De Obra 2 (6.5 hh), Oficial Obra 1 (6.5 hh). Equipo: Vibrador De Concreto (0.03 dd), Herrramienta Y Equipo Menor (5 %). Transporte: Transporte De Material (1 M3-km).  Etapa de obra: 3. Cimentación.</t>
  </si>
  <si>
    <t>VARETA 1``x1``x 3M</t>
  </si>
  <si>
    <t>1.02.13 · CONCRETO VIGA DE AMARRE 21,1 MPa, SECCION RECTANGULAR   |   Unidad: Metro cúbico (M3)   |   Precio: $ 682.168,64</t>
  </si>
  <si>
    <t>Precio por M3. Materiales: Tabla 1x05x300 Otobo (3.5 UND), Vareta 1``x1``x 3m (1.3 UND), Concreto Clase D 21 Mpa (1.05 M3), Puntilla Con Y Sin Cabeza 2 (1 lb). Mano de obra: Auxiliar De Obra 2 (5.9 hh), Oficial Obra 1 (5.9 hh). Equipo: Vibrador De Concreto (0.03 dd), Herrramienta Y Equipo Menor (5 %). Transporte: Transporte De Material (1 M3-km).  Etapa de obra: 3. Cimentación.</t>
  </si>
  <si>
    <t>1.02.14 · CONSTRUCCION DE MUROS EN GAVIONES, INCLUYE MALLA ESLABONADA TRIPLE TORSION CAL. 12   |   Unidad: Metro cúbico (M3)   |   Precio: $ 211.610,70</t>
  </si>
  <si>
    <t>Precio por M3. Materiales: Tabla Burra 3 M (5 ML), Cuarton 2`` X 4`` X 300 Otobo (0.4 UND), Malla Galvanizada Tipo A Cal. 12 2x0,5x1 (0.5 UND), Piedra Media Zonga (1.2 M3) y 2 más. Mano de obra: Auxiliar De Obra 2 (4.25 hh), Oficial Obra 1 (0.85 hh). Equipo: Herrramienta Y Equipo Menor (3 %).  Etapa de obra: 3. Cimentación.</t>
  </si>
  <si>
    <t>TABLA BURRA 3 M</t>
  </si>
  <si>
    <t>CUARTON 2`` x 4`` x 300 OTOBO</t>
  </si>
  <si>
    <t>MALLA GALVANIZADA TIPO A CAL. 12 2X0,5X1</t>
  </si>
  <si>
    <t>ALAMBRE GALVANIZADO C 12</t>
  </si>
  <si>
    <t>1.02.15 · EXCAVACION DE CORTES Y CANALES SIN CLASIFICAR INCLUYE ACARREO LIBRE DE 5 KM   |   Unidad: Metro cúbico (M3)   |   Precio: $ 16.320,25</t>
  </si>
  <si>
    <t>Precio por M3. Mano de obra: Auxiliar De Obra 1 (0.01 jr), Paleteros (0.01 jr). Equipo: Bulldozer Tipo D-6 O Similar (0.01 hr), Retroexcavadora 320 O Similar (0.08 hr), Herrramienta Y Equipo Menor (5 %). Transporte: Transporte De Material (1 M3).  Etapa de obra: 2. Excavaciones.</t>
  </si>
  <si>
    <t>PALETEROS</t>
  </si>
  <si>
    <t>BULLDOZER TIPO D-6 O SIMILAR</t>
  </si>
  <si>
    <t>RETROEXCAVADORA 320 o SIMILAR</t>
  </si>
  <si>
    <t>TRANSPORTE DE MATERIAL</t>
  </si>
  <si>
    <t>1.02.16 · EXCAVACION DE CORTES, CANALES Y PRESTAMOS EN MATERIAL COMUN A MAQUINA INCLUYE CARGUE Y ACARREO LIBRE DE 5 KM   |   Unidad: Metro cúbico (M3)   |   Precio: $ 12.450,65</t>
  </si>
  <si>
    <t>Precio por M3. Equipo: Bulldozer Tipo D-6 O Similar (0.01 hr), Retroexcavadora 320 O Similar (0.01 hr). Transporte: Transporte M3/Km (6.25 M3-km).  Etapa de obra: 2. Excavaciones.</t>
  </si>
  <si>
    <t>TRANSPORTE M3/KM</t>
  </si>
  <si>
    <t>1.02.17 · EXCAVACION MANUAL EN MATERIAL COMUN (INCLUYE RETIRO)   |   Unidad: Metro cúbico (M3)   |   Precio: $ 66.142,29</t>
  </si>
  <si>
    <t>Precio por M3. Mano de obra: Auxiliar De Obra 1 (0.4 jr), Oficial Obra 2 (0.2 jr). Equipo: Herrramienta Y Equipo Menor (3.3 %). Transporte: Viaje Volqueta M3 (0.17 M3).  Etapa de obra: 2. Excavaciones.</t>
  </si>
  <si>
    <t>OFICIAL OBRA 2 (A)</t>
  </si>
  <si>
    <t>VIAJE VOLQUETA M3</t>
  </si>
  <si>
    <t>1.02.18 · EXCAVACION MECANICA EN ROCA DE LA EXPLANEACION, CANALES Y PRESTAMOS SIN EXPLOSIVOS, (INCLUYE RETIRO)   |   Unidad: Metro cúbico (M3)   |   Precio: $ 123.234,84</t>
  </si>
  <si>
    <t>Precio por M3. Mano de obra: Auxiliar De Obra 1 (0.03 jr), Paleteros (0.01 jr). Equipo: Retroexcavadora E200 O Similar Con Martillo Neumatico (0.25 hr), Retroexcavadora 320 O Similar (0.25 hr), Herrramienta Y Equipo Menor (1 %). Transporte: Viaje Volqueta M3 (0.17 M3).  Etapa de obra: 2. Excavaciones.</t>
  </si>
  <si>
    <t>RETROEXCAVADORA E200 o SIMILAR CON MARTILLO NEUMATICO</t>
  </si>
  <si>
    <t>1.02.19 · LOSA FLOTANTE CASETON-VIGAS H = 40 CM - 45 CM   |   Unidad: Metro cuadrado (M2)   |   Precio: $ 132.554,35</t>
  </si>
  <si>
    <t>Precio por M2. Materiales: Concreto Clase D 21 Mpa (0.05 M3), Tabla Burra Ordinario 0.30 (0.06 ML), Esterilla De Guadua (1.1 M2), Puntilla Con Y Sin Cabeza 1 (0.02 lb) y 1 más. Mano de obra: Auxiliar De Obra 2 (3.88 hh), Oficial Obra 1 (3.88 hh), Transporte De Material (0.55 M3-km). Equipo: Vibrador De Concreto (0.02 dd), Herrramienta Y Equipo Menor (1 %).  Etapa de obra: 3. Cimentación.</t>
  </si>
  <si>
    <t>TABLA BURRA ORDINARIO 0.30</t>
  </si>
  <si>
    <t>ESTERILLA DE GUADUA</t>
  </si>
  <si>
    <t>REPISA ORDINARIA 3 MT</t>
  </si>
  <si>
    <t>1.02.20 · LOSA MACIZA CIMIENTO CONCRETO 21 MPa - 3000 PSI H=10 CM   |   Unidad: Metro cuadrado (M2)   |   Precio: $ 83.364,20</t>
  </si>
  <si>
    <t>Precio por M2. Materiales: Concreto Clase D 21 Mpa (0.1 M3), Tabla Chapa (0.4 ML), Cuarton 2" X 4" X 300 (2 ML), Puntilla Con Y Sin Cabeza 2 (0.15 lb). Mano de obra: Auxiliar De Obra 2 (1.5 hh), Oficial Obra 1 (0.5 hh). Equipo: Vibrador De Concreto (0.02 dd), Herrramienta Y Equipo Menor (1 %). Transporte: Transporte De Material (1 M3-km).  Etapa de obra: 3. Cimentación.</t>
  </si>
  <si>
    <t>TABLA CHAPA</t>
  </si>
  <si>
    <t>1.02.21 · LOSA MACIZA CIMIENTO CONCRETO 21 MPa - 3000 PSI H=15 CM   |   Unidad: Metro cuadrado (M2)   |   Precio: $ 105.798,88</t>
  </si>
  <si>
    <t>Precio por M2. Materiales: Concreto Clase D 21 Mpa (0.15 M3), Tabla Chapa (0.4 ML), Cuarton 2" X 4" X 300 (1 ML), Puntilla Con Y Sin Cabeza 2 (0.17 lb). Mano de obra: Auxiliar De Obra 2 (1.65 hh), Oficial Obra 1 (0.55 hh). Equipo: Vibrador De Concreto (0.02 dd), Herrramienta Y Equipo Menor (5 %). Transporte: Transporte De Material (1 M3-km).  Etapa de obra: 3. Cimentación.</t>
  </si>
  <si>
    <t>1.02.22 · LOSA MACIZA CIMIENTO CONCRETO 21 MPa - 3000 PSI H=20 CM   |   Unidad: Metro cuadrado (M2)   |   Precio: $ 136.370,50</t>
  </si>
  <si>
    <t>Precio por M2. Materiales: Concreto Clase D 21 Mpa (0.2 M3), Tabla Chapa (1 ML), Cuarton 2" X 4" X 300 (1 ML), Puntilla Con Y Sin Cabeza 2 (0.17 lb). Mano de obra: Auxiliar De Obra 2 (1.8 hh), Oficial Obra 1 (0.6 hh). Equipo: Vibrador De Concreto (0.02 dd), Herrramienta Y Equipo Menor (5 %). Transporte: Transporte De Material (2.2 M3-km).  Etapa de obra: 3. Cimentación.</t>
  </si>
  <si>
    <t>1.02.23 · MURO CONTENCION CONCRETO CICLOPEO H&lt;1.5 MTS 40%   |   Unidad: Metro cúbico (M3)   |   Precio: $ 593.384,86</t>
  </si>
  <si>
    <t>Precio por M3. Materiales: Tabla 1x05x300 Otobo (1 UND), Concreto Clase D 21 Mpa (0.6 M3), Tablero O Plaqueta De 1.4mt X O.7mt (16 dd), Cuarton 2" X 4" X 300 (6 ML) y 2 más. Mano de obra: Auxiliar De Obra 2 (7 hh), Oficial Obra 1 (7 hh). Equipo: Andamio Tubular Normalizado, Tipo Multidireccional, De Acero Galvanizado En Caliente, Según Iso 9001. (2.8 dd), Herrramienta Y Equipo Menor (5 %). Transporte: Transporte De Material (1 M3-km).  Etapa de obra: 3. Cimentación.</t>
  </si>
  <si>
    <t>TABLERO O PLAQUETA DE 1.4MT X O.7MT</t>
  </si>
  <si>
    <t>1.02.24 · MURO DE CONTENCIÓN EN CONCRETO DE 21 MPa - 3000 PSI 1.01MTS H 2.00MTS   |   Unidad: Metro cúbico (M3)   |   Precio: $ 816.987,21</t>
  </si>
  <si>
    <t>Precio por M3. Materiales: Tabla 1x05x300 Otobo (0.2 UND), Concreto Clase D 21 Mpa (1.05 M3), Tablero O Plaqueta De 1.4mt X O.7mt (7.33 dd), Cuarton 2" X 4" X 300 (0.1 ML) y 2 más. Mano de obra: Auxiliar De Obra 2 (18 hh), Oficial Obra 1 (6 hh). Equipo: Vibrador De Concreto (0.03 dd), Herrramienta Y Equipo Menor (5 %). Transporte: Transporte De Material (11 M3-km).  Etapa de obra: 3. Cimentación.</t>
  </si>
  <si>
    <t>PLASTOCRETE D.M. (20 KGS)</t>
  </si>
  <si>
    <t>1.02.25 · MURO DE CONTENCIÓN EN CONCRETO DE 21 MPa - 3000 PSI 2.01MTS H 3,5 MTS   |   Unidad: Metro cúbico (M3)   |   Precio: $ 866.119,14</t>
  </si>
  <si>
    <t>Precio por M3. Materiales: Tabla 1x05x300 Otobo (0.2 UND), Concreto Clase D 21 Mpa (1.05 M3), Tablero O Plaqueta De 1.4mt X O.7mt (8 dd), Cuarton 2" X 4" X 300 (0.3 ML) y 2 más. Mano de obra: Auxiliar De Obra 2 (18 hh), Oficial Obra 1 (6 hh). Equipo: Vibrador De Concreto (0.04 dd), Andamio Tubular Normalizado, Tipo Multidireccional, De Acero Galvanizado En Caliente, Según Iso 9001. (1.8 dd), Herrramienta Y Equipo Menor (0.01 %). Transporte: Transporte De Material (11 M3-km).  Etapa de obra: 3. Cimentación.</t>
  </si>
  <si>
    <t>1.02.26 · PEDESTAL CONCRETO 21,1 Mpa (3000 PSI)   |   Unidad: Metro cúbico (M3)   |   Precio: $ 629.504,25</t>
  </si>
  <si>
    <t>Precio por M3. Materiales: Tabla 1x05x300 Otobo (2.67 UND), Concreto Clase D 21 Mpa (1.05 M3), Cuarton 2" X 4" X 300 (4 ML), Puntilla Con Y Sin Cabeza 2 (2 lb). Mano de obra: Auxiliar De Obra 2 (3 hh), Oficial Obra 1 (3 hh). Equipo: Herrramienta Y Equipo Menor (0.05 %). Transporte: Vibrador De Concreto (0.05 dd), Transporte De Material (11 M3-km).  Etapa de obra: 3. Cimentación.</t>
  </si>
  <si>
    <t>1.02.27 · RELLENO CON MATERIAL DEL SITIO COMPACTADO CILINDRO   |   Unidad: Metro cúbico (M3)   |   Precio: $ 18.981,44</t>
  </si>
  <si>
    <t>Precio por M3. Materiales: Agua (10 lt). Mano de obra: Auxiliar De Obra 2 (1.1 hh). Equipo: Vibrocompactador Rana (0.13 dd), Herrramienta Y Equipo Menor (5 %).  Etapa de obra: 2. Excavaciones.</t>
  </si>
  <si>
    <t>VIBROCOMPACTADOR RANA</t>
  </si>
  <si>
    <t>1.02.28 · SOLADO CONCRETO ESPESOR E=0.05MTS 14MPa (2000PSI)   |   Unidad: Metro cuadrado (M2)   |   Precio: $ 28.716,43</t>
  </si>
  <si>
    <t>Precio por M2. Materiales: Concreto Clase F 14 Mpa (0.05 M3). Mano de obra: Auxiliar De Obra 2 (0.3 hh), Oficial Obra 1 (0.3 hh). Equipo: Herrramienta Y Equipo Menor (0.2 %).  Etapa de obra: 3. Cimentación.</t>
  </si>
  <si>
    <t>1.02.29 · SOLADO CONCRETO ESPESOR E=0.07MTS 14MPa (2000PSI)   |   Unidad: Metro cuadrado (M2)   |   Precio: $ 37.250,48</t>
  </si>
  <si>
    <t>Precio por M2. Materiales: Concreto Clase F 14 Mpa (0.07 M3). Mano de obra: Auxiliar De Obra 2 (0.3 hh), Oficial Obra 1 (0.3 hh). Equipo: Herrramienta Y Equipo Menor (0.2 %).  Etapa de obra: 3. Cimentación.</t>
  </si>
  <si>
    <t>1.02.30 · SUMINISTRO E INSTALACIÓN MALLA ELECTROSOLDADA U-84   |   Unidad: Kilogramo (kg)   |   Precio: $ 6.169,77</t>
  </si>
  <si>
    <t>Precio por kg. Materiales: Malla Electrosoldada H 1.31/U131 (1.05 kg). Mano de obra: Auxiliar De Obra 2 (0.03 hh), Oficial Obra 1 (0.06 hh). Equipo: Herrramienta Y Equipo Menor (77 %).  Etapa de obra: 3. Cimentación.</t>
  </si>
  <si>
    <t>MALLA ELECTROSOLDADA H 1.31/U131</t>
  </si>
  <si>
    <t>1.02.31 · SUMINISTRO E INSTALACIÓN TUBERÍA DE ALCANTARILLADO PVC D= 6"   |   Unidad: Metro lineal (ML)   |   Precio: $ 50.633,48</t>
  </si>
  <si>
    <t>Precio por ML. Materiales: Tubería Novafort 6" (1.05 ML), Union Novafort 6" (0.17 UND), Limpiador Y Soldadura (1.5 glb). Mano de obra: Auxiliar De Obra 1 (0.05 jr), Comision Topografica (0.01 hh), Oficial Obra 2 (0.05 jr). Equipo: Herrramienta Y Equipo Menor (5 %).  Etapa de obra: 6. Instalaciones.</t>
  </si>
  <si>
    <t>TUBERÍA NOVAFORT 6" (160 MM)</t>
  </si>
  <si>
    <t>UNION NOVAFORT 6" (160 MM)</t>
  </si>
  <si>
    <t>LIMPIADOR Y SOLDADURA</t>
  </si>
  <si>
    <t>1.02.32 · SUMINISTRO E INSTALACIÓN TUBERÍA DE ALCANTARILLADO PVC D=4"   |   Unidad: Metro lineal (ML)   |   Precio: $ 28.134,71</t>
  </si>
  <si>
    <t>Precio por ML. Materiales: Tubería Novafort 4" (1.03 ML), Union Novafort 4" (0.17 undi), Limpiador Y Soldadura (1.1 glb). Mano de obra: Auxiliar De Obra 1 (0.04 jr), Comision Topografica (0.01 hh), Oficial Obra 2 (0.04 jr). Equipo: Herrramienta Y Equipo Menor (3.4 %).  Etapa de obra: 6. Instalaciones.</t>
  </si>
  <si>
    <t>TUBERÍA NOVAFORT 4" (110 MM)</t>
  </si>
  <si>
    <t>UNION NOVAFORT 4" (110 MM)</t>
  </si>
  <si>
    <t>undi</t>
  </si>
  <si>
    <t>1.02.33 · SUMINISTRO E INSTALACIÓN TUBERIA PVC D=4" DRENAJE SIN FILTRO   |   Unidad: Metro lineal (ML)   |   Precio: $ 24.604,21</t>
  </si>
  <si>
    <t>Precio por ML. Materiales: Tubería Drenaje 100 Pvc Corr (1 ML). Mano de obra: Auxiliar De Instalaciones 1 (0.2 hh), Oficial Instalaciones (0.2 hh). Equipo: Herrramienta Y Equipo Menor (3 %).  Etapa de obra: 6. Instalaciones.</t>
  </si>
  <si>
    <t>TUBERÍA DRENAJE 100 PVC CORR</t>
  </si>
  <si>
    <t>1.02.34 · SUMINISTRO E INSTALACIÓN TUBERIA PVC D=6" DRENAJE SIN FILTRO   |   Unidad: Metro lineal (ML)   |   Precio: $ 43.095,21</t>
  </si>
  <si>
    <t>Precio por ML. Materiales: Tubería Drenaje 160 Pvc Corr (1 ML). Mano de obra: Auxiliar De Instalaciones 1 (0.2 hh), Oficial Instalaciones (0.2 hh). Equipo: Herrramienta Y Equipo Menor (3 %).  Etapa de obra: 6. Instalaciones.</t>
  </si>
  <si>
    <t>TUBERÍA DRENAJE 160 PVC CORR</t>
  </si>
  <si>
    <t>1.02.35 · SUMINISTRO E INSTALACIÓN TUBERIA PVC D=8" DRENAJE CON FILTRO   |   Unidad: Metro lineal (ML)   |   Precio: $ 74.535,43</t>
  </si>
  <si>
    <t>Precio por ML. Materiales: Tubería Drenaje 200 Pvc Corr (1 ML), Gravilla ¾, ½ (0.04 M3). Mano de obra: Auxiliar De Instalaciones 1 (0.4 hh), Oficial Instalaciones (0.4 hh). Equipo: Herrramienta Y Equipo Menor (3 %).  Etapa de obra: 6. Instalaciones.</t>
  </si>
  <si>
    <t>TUBERÍA DRENAJE 200 PVC CORR</t>
  </si>
  <si>
    <t>GRAVILLA ¾, ½</t>
  </si>
  <si>
    <t>1.02.36 · SUMINISTRO E INSTALACIÓN TUBERIA PVC D=8" DRENAJE SIN FILTRO   |   Unidad: Metro lineal (ML)   |   Precio: $ 70.608,43</t>
  </si>
  <si>
    <t>Precio por ML. Materiales: Tubería Drenaje 200 Pvc Corr (1 ML). Mano de obra: Auxiliar De Instalaciones 1 (0.4 hh), Oficial Instalaciones (0.4 hh). Equipo: Herrramienta Y Equipo Menor (3 %).  Etapa de obra: 6. Instalaciones.</t>
  </si>
  <si>
    <t>1.02.37 · SUMINISTRO E INSTALACION TUBERIA PVC SANITARIA D= 2"   |   Unidad: Metro lineal (ML)   |   Precio: $ 18.029,77</t>
  </si>
  <si>
    <t>Precio por ML. Materiales: Tubería Sanitaria 2`` Pvc (1.05 ML), Limpiador Pvc 760 Grms (0 UND), Soldadura Liquida Pvc 1/4`` (0 gl). Mano de obra: Auxiliar De Instalaciones 1 (0.2 hh), Oficial Instalaciones (0.2 hh). Equipo: Herrramienta Y Equipo Menor (11 %).  Etapa de obra: 6. Instalaciones.</t>
  </si>
  <si>
    <t>TUBERÍA SANITARIA 2`` PVC</t>
  </si>
  <si>
    <t>LIMPIADOR PVC 760 GRMS</t>
  </si>
  <si>
    <t>SOLDADURA LIQUIDA PVC 1/4``</t>
  </si>
  <si>
    <t>gl</t>
  </si>
  <si>
    <t>1.02.38 · SUMINISTRO E INSTALACION TUBERIA PVC SANITARIA D= 3"   |   Unidad: Metro lineal (ML)   |   Precio: $ 22.980,97</t>
  </si>
  <si>
    <t>Precio por ML. Materiales: Tubería Pvc 3`` Sanit (1 ML), Limpiador Pvc 760 Grms (0 UND), Soldadura Liquida Pvc 1/4`` (0 gl). Mano de obra: Auxiliar De Instalaciones 1 (0.2 hh), Oficial Instalaciones (0.2 hh). Equipo: Herrramienta Y Equipo Menor (11 %).  Etapa de obra: 6. Instalaciones.</t>
  </si>
  <si>
    <t>TUBERÍA PVC 3`` SANIT</t>
  </si>
  <si>
    <t>1.02.39 · SUMINISTRO E INSTALACIÓN TUBERÍA SANITARIA DE DESAGUE PVC D=2"   |   Unidad: Metro lineal (ML)   |   Precio: $ 22.485,91</t>
  </si>
  <si>
    <t>Precio por ML. Materiales: Tubería Sanitaria 2`` Pvc (1 ML), Unión Pvc Sanitaria D = 2`` (1 UND), Limpiador Y Soldadura (1.1 glb). Mano de obra: Auxiliar De Obra 1 (0.04 jr), Comision Topografica (0.01 hh), Oficial Obra 2 (0.04 jr). Equipo: Herrramienta Y Equipo Menor (3.4 %).  Etapa de obra: 6. Instalaciones.</t>
  </si>
  <si>
    <t>UNIÓN PVC SANITARIA D = 2``</t>
  </si>
  <si>
    <t>1.02.40 · SUMINISTRO E INSTALACIÓN TUBERÍA SANITARIA DE DESAGUE PVC D=4"   |   Unidad: Metro lineal (ML)   |   Precio: $ 40.414,31</t>
  </si>
  <si>
    <t>Precio por ML. Materiales: Tubería Pvc 4`` Sanit (1.05 ML), Union Pvc Sanitaria D=4`` (1 UND), Limpiador Y Soldadura (1.1 glb). Mano de obra: Auxiliar De Obra 1 (0.04 jr), Comision Topografica (0.01 hh), Oficial Obra 2 (0.04 jr). Equipo: Herrramienta Y Equipo Menor (3.4 %).  Etapa de obra: 6. Instalaciones.</t>
  </si>
  <si>
    <t>TUBERÍA PVC 4`` SANIT</t>
  </si>
  <si>
    <t>UNION PVC SANITARIA D=4``</t>
  </si>
  <si>
    <t>1.02.41 · SUMINISTRO FIGURADA Y AMARRE DE ACERO 37000 PSI 240 MPa   |   Unidad: Kilogramo (kg)   |   Precio: $ 4.170,69</t>
  </si>
  <si>
    <t>Precio por kg. Materiales: Alambre Negro No. 18 (0.03 kg), Acero 37000 Psi (1.05 kg), Segueta (0.03 UND). Mano de obra: Auxiliar De Obra 2 (0.05 hh), Oficial Obra 1 (0.02 hh). Equipo: Herrramienta Y Equipo Menor (5 %).  Etapa de obra: 3. Cimentación.</t>
  </si>
  <si>
    <t>ALAMBRE NEGRO NO. 18</t>
  </si>
  <si>
    <t>ACERO 37000 PSI</t>
  </si>
  <si>
    <t>SEGUETA</t>
  </si>
  <si>
    <t>1.02.42 · SUMINISTRO FIGURADA Y AMARRE DE ACERO 60000 PSI 420 MPa   |   Unidad: Kilogramo (kg)   |   Precio: $ 4.427,28</t>
  </si>
  <si>
    <t>Precio por kg. Materiales: Alambre Negro No. 18 (0.03 kg), Acero 60000 Psi (1.05 kg), Segueta (0.03 UND). Mano de obra: Auxiliar De Obra 2 (0.06 hh), Oficial Obra 1 (0.03 hh). Equipo: Herrramienta Y Equipo Menor (7.2 %).  Etapa de obra: 3. Cimentación.</t>
  </si>
  <si>
    <t>Capítulo 1.03 · ESTRUCTURAS</t>
  </si>
  <si>
    <t>26 actividades. Cada tabla lista los insumos de una actividad por unidad de obra.</t>
  </si>
  <si>
    <t>1.03.01 · COLUMNAS EN CONCRETO 21 MPa - (3000 PSI), ALTURA MENOR A TRES METROS- FORMALETA MADERA   |   Unidad: Metro cúbico (M3)   |   Precio: $ 1.184.917,93</t>
  </si>
  <si>
    <t>Precio por M3. Materiales: Alambre Negro No. 18 (2 kg), Tabla Burra Cedro Macho 0.28 (2.64 UND), Concreto Clase D 21 Mpa (1.1 M3), Madera Repisa 3 M (7.26 ML) y 2 más. Mano de obra: Auxiliar De Obra 2 (10.29 hh), Oficial Obra 1 (10.29 hh). Equipo: Vibrador De Concreto (0.04 dd), Andamio Tubular Normalizado, Tipo Multidireccional, De Acero Galvanizado En Caliente, Según Iso 9001. (4 dd), Herrramienta Y Equipo Menor (1 %).  Etapa de obra: 4. Estructura.</t>
  </si>
  <si>
    <t>TABLA BURRA CEDRO MACHO 0.28</t>
  </si>
  <si>
    <t>MADERA REPISA 3 M</t>
  </si>
  <si>
    <t>1.03.02 · COLUMNAS EN CONCRETO 21 MPa (3000 PSI), ALTURA MAYOR A 3 mts- FORMALETA MADERA   |   Unidad: Metro cúbico (M3)   |   Precio: $ 1.238.546,75</t>
  </si>
  <si>
    <t>Precio por M3. Materiales: Alambre Negro No. 18 (2 kg), Tabla Burra Cedro Macho 0.28 (2.64 UND), Concreto Clase D 21 Mpa (1.1 M3), Madera Repisa 3 M (7.26 ML) y 1 más. Mano de obra: Vibrador De Concreto (0.04 dd), Andamio Tubular Normalizado, Tipo Multidireccional, De Acero Galvanizado En Caliente, Según Iso 9001. (4 dd), Auxiliar De Obra 2 (12.75 hh), Oficial Obra 1 (12.75 hh). Equipo: Herrramienta Y Equipo Menor (1 %).  Etapa de obra: 4. Estructura.</t>
  </si>
  <si>
    <t>1.03.03 · CONSTRUCCION DE VIGA CANAL EN CONCRETO IMPERMEABILZADO 21 MPa - (3000 PSI)   |   Unidad: Metro cúbico (M3)   |   Precio: $ 1.152.855,06</t>
  </si>
  <si>
    <t>Precio por M3. Materiales: Tabla Burra 3 M (4 ML), Transporte De Material Suelto (1 M3-km), Guadua [taco] 2.50 A 3.00 M (6 UND), Concreto De 21 Mpa -  Impermeabilizado (1.03 M3) y 2 más. Mano de obra: Auxiliar De Obra 2 (30 hh), Oficial Obra 1 (6 hh). Equipo: Vibrador De Concreto (0.14 dd), Andamio Tubular Normalizado, Tipo Multidireccional, De Acero Galvanizado En Caliente, Según Iso 9001. (4 dd), Herrramienta Y Equipo Menor (0.5 %).  Etapa de obra: 4. Estructura.</t>
  </si>
  <si>
    <t>GUADUA [TACO] 2.50 a 3.00 M</t>
  </si>
  <si>
    <t>REPISA</t>
  </si>
  <si>
    <t>1.03.04 · CONSTRUCCION DE VIGA CANAL EN CONCRETO IMPERMEABILZADO 24.5 MPa - (3500 PSI)   |   Unidad: Metro cúbico (M3)   |   Precio: $ 1.174.436,45</t>
  </si>
  <si>
    <t>Precio por M3. Materiales: Tabla Burra 3 M (4 ML), Concreto 1:2:2 24.5 Mpa (1.03 M3), Transporte De Material Suelto (1 M3-km), Guadua [taco] 2.50 A 3.00 M (6 UND) y 3 más. Mano de obra: Auxiliar De Obra 2 (30 hh), Oficial Obra 1 (6 hh). Equipo: Vibrador De Concreto (0.14 dd), Andamio Tubular Normalizado, Tipo Multidireccional, De Acero Galvanizado En Caliente, Según Iso 9001. (4 dd), Herrramienta Y Equipo Menor (0.5 %).  Etapa de obra: 4. Estructura.</t>
  </si>
  <si>
    <t>IMPERMEABILIZANTE</t>
  </si>
  <si>
    <t>1.03.05 · CONSTRUCCION DE VIGA CANAL EN CONCRETO IMPERMEABILZADO 28 MPa - (4000 PSI)   |   Unidad: Metro cúbico (M3)   |   Precio: $ 1.216.130,00</t>
  </si>
  <si>
    <t>Precio por M3. Materiales: Tabla Burra 3 M (4 ML), Concreto Clase C 28 Mpa (1.03 M3), Guadua [taco] 2.50 A 3.00 M (6 UND), Impermeabilizante (1 gl) y 2 más. Mano de obra: Auxiliar De Obra 2 (30 hh), Oficial Obra 1 (6 hh). Equipo: Vibrador De Concreto (0.14 dd), Andamio Tubular Normalizado, Tipo Multidireccional, De Acero Galvanizado En Caliente, Según Iso 9001. (4 dd), Herrramienta Y Equipo Menor (0.5 %). Transporte: Transporte De Material (1 M3-km).  Etapa de obra: 4. Estructura.</t>
  </si>
  <si>
    <t>1.03.06 · ESCALERAS MACIZA 21 MPa - (3000 PSI)   |   Unidad: Metro cúbico (M3)   |   Precio: $ 1.230.801,29</t>
  </si>
  <si>
    <t>Precio por M3. Materiales: Alambre Negro No. 18 (0.12 kg), Concreto Clase D 21 Mpa (1.04 M3), Madera Repisa 3 M (2.74 ML), Madera Tabla Burra (9.12 ML) y 1 más. Mano de obra: Auxiliar De Obra 2 (21.35 hh), Oficial Obra 1 (21.35 hh). Equipo: Formaleta (16 dd), Vibrador De Concreto (0.1 dd), Herrramienta Y Equipo Menor (5 %).  Etapa de obra: 4. Estructura.</t>
  </si>
  <si>
    <t>FORMALETA</t>
  </si>
  <si>
    <t>1.03.07 · PLACA CASETON ESTERILLA DE GUADUA ALTURA DE 30 CMS 24.5 MPa - (3500 PSI)   |   Unidad: Metro cuadrado (M2)   |   Precio: $ 184.943,70</t>
  </si>
  <si>
    <t>Precio por M2. Materiales: Alambre Negro No. 18 (0.14 kg), Acero 60000 Psi (4 kg), Tabla Burra Ordinario 0.30 (0.06 ML), Caseton H: 0.25 (1.8 ML) y 2 más. Mano de obra: Auxiliar De Obra 2 (4 hh), Oficial Obra 1 (2 hh). Equipo: Formaleta Entrepisos (0.88 mes), Vibrador De Concreto (0.05 dd), Herrramienta Y Equipo Menor (5 %).  Etapa de obra: 4. Estructura.</t>
  </si>
  <si>
    <t>CASETON H: 0.25</t>
  </si>
  <si>
    <t>MALLA ELECTROSOLDADA Q 3.1</t>
  </si>
  <si>
    <t>FORMALETA ENTREPISOS</t>
  </si>
  <si>
    <t>1.03.08 · PLACA CASETON ESTERILLA DE GUADUA ALTURA DE 30 CMS 21 MPa - (3000 PSI)   |   Unidad: Metro cuadrado (M2)   |   Precio: $ 179.486,14</t>
  </si>
  <si>
    <t>Precio por M2. Materiales: Alambre Negro No. 18 (0.14 kg), Concreto Clase D 21 Mpa (0.12 M3), Acero 60000 Psi (4 kg), Tabla Burra Ordinario 0.30 (0.06 ML) y 2 más. Mano de obra: Auxiliar De Obra 2 (4 hh), Oficial Obra 1 (2 hh). Equipo: Formaleta Entrepisos (0.88 mes), Vibrador De Concreto (0.05 dd), Herrramienta Y Equipo Menor (5 %).  Etapa de obra: 4. Estructura.</t>
  </si>
  <si>
    <t>1.03.09 · PLACA CASETON ESTERILLA DE GUADUA ALTURA DE 35 CMS 24.5 MPa - (3500 PSI)   |   Unidad: Metro cuadrado (M2)   |   Precio: $ 202.242,48</t>
  </si>
  <si>
    <t>Precio por M2. Materiales: Alambre Negro No. 18 (0.14 kg), Acero 60000 Psi (6.52 kg), Tabla Burra Ordinario 0.30 (0.06 ML), Caseton H: 0.30 (1.8 ML) y 2 más. Mano de obra: Auxiliar De Obra 2 (4.02 hh), Oficial Obra 1 (2.01 hh). Equipo: Formaleta Entrepisos (0.88 mes), Vibrador De Concreto (0.01 dd), Herrramienta Y Equipo Menor (5 %).  Etapa de obra: 4. Estructura.</t>
  </si>
  <si>
    <t>CASETON H: 0.30</t>
  </si>
  <si>
    <t>1.03.10 · PLACA CASETON ESTERILLA DE GUADUA ALTURA DE 35 CMS 21 MPa - (3000 PSI)   |   Unidad: Metro cuadrado (M2)   |   Precio: $ 195.875,32</t>
  </si>
  <si>
    <t>Precio por M2. Materiales: Alambre Negro No. 18 (0.14 kg), Concreto Clase D 21 Mpa (0.14 M3), Acero 60000 Psi (6.52 kg), Tabla Burra Ordinario 0.30 (0.06 ML) y 2 más. Mano de obra: Auxiliar De Obra 2 (4.02 hh), Oficial Obra 1 (2.01 hh). Equipo: Formaleta Entrepisos (0.88 mes), Vibrador De Concreto (0.01 dd), Herrramienta Y Equipo Menor (5 %).  Etapa de obra: 4. Estructura.</t>
  </si>
  <si>
    <t>1.03.11 · PLACA CASETON ESTERILLA DE GUADUA ALTURA DE 40 CMS 21 MPa - (3000 PSI)   |   Unidad: Metro cuadrado (M2)   |   Precio: $ 204.050,39</t>
  </si>
  <si>
    <t>Precio por M2. Materiales: Alambre Negro No. 18 (0.14 kg), Concreto Clase D 21 Mpa (0.15 M3), Acero 60000 Psi (6.52 kg), Tabla Burra Ordinario 0.30 (0.06 ML) y 2 más. Mano de obra: Formaleta Entrepisos (0.88 mes), Vibrador De Concreto (0.01 dd), Auxiliar De Obra 2 (4.02 hh), Oficial Obra 1 (2.01 hh). Equipo: Herrramienta Y Equipo Menor (5 %).  Etapa de obra: 4. Estructura.</t>
  </si>
  <si>
    <t>CASETON H: 0.35</t>
  </si>
  <si>
    <t>1.03.12 · PLACA CASETON ESTERILLA DE GUADUA ALTURA DE 40 CMS 24.5 MPa - (3500 PSI)   |   Unidad: Metro cuadrado (M2)   |   Precio: $ 210.872,35</t>
  </si>
  <si>
    <t>Precio por M2. Materiales: Alambre Negro No. 18 (0.14 kg), Acero 60000 Psi (6.52 kg), Tabla Burra Ordinario 0.30 (0.06 ML), Caseton H: 0.35 (1.8 ML) y 2 más. Mano de obra: Auxiliar De Obra 2 (4.02 hh), Oficial Obra 1 (2.01 hh). Equipo: Formaleta Entrepisos (0.88 mes), Vibrador De Concreto (0.01 dd), Herrramienta Y Equipo Menor (5 %).  Etapa de obra: 4. Estructura.</t>
  </si>
  <si>
    <t>1.03.13 · PLACA CON STEEL DECK 21 MPa - (3000 PSI) E=0.10MTS   |   Unidad: Metro cuadrado (M2)   |   Precio: $ 103.271,25</t>
  </si>
  <si>
    <t>Precio por M2. Materiales: Concreto Clase D 21 Mpa (0.08 M3), Tabla Burra Ordinario 0.30 (0.05 ML), Malla Electrosoldada Q 3.1 (0.02 UND), Metaldeck 2 Cal 22 (1 M2). Mano de obra: Auxiliar De Obra 2 (1.34 hh), Oficial Obra 1 (0.67 hh). Equipo: Vibrador De Concreto (0.05 dd), Herrramienta Y Equipo Menor (3 %).  Etapa de obra: 4. Estructura.</t>
  </si>
  <si>
    <t>METALDECK 2 CAL 22</t>
  </si>
  <si>
    <t>1.03.14 · PLACA CON STEEL DECK 24.5 MPa - (3500 PSI) E= 0.10 MTS   |   Unidad: Metro cuadrado (M2)   |   Precio: $ 106.682,23</t>
  </si>
  <si>
    <t>Precio por M2. Materiales: Tabla Burra Ordinario 0.30 (0.05 ML), Concreto 1:2:2 24.5 Mpa (0.08 M3), Malla Electrosoldada Q 3.1 (0.02 UND), Metaldeck 2 Cal 22 (1 M2). Mano de obra: Vibrador De Concreto (0.05 dd), Auxiliar De Obra 2 (1.34 hh), Oficial Obra 1 (0.67 hh). Equipo: Herrramienta Y Equipo Menor (3 %).  Etapa de obra: 4. Estructura.</t>
  </si>
  <si>
    <t>1.03.15 · PLACA ENTREPISO ALIGERADO BLOQUE CONCRETO 21 MPa - (3000 PSI)   |   Unidad: Metro cuadrado (M2)   |   Precio: $ 304.864,75</t>
  </si>
  <si>
    <t>Precio por M2. Materiales: Alambre Negro No. 18 (0.12 kg), Concreto Clase D 21 Mpa (0.12 M3), Acero 60000 Psi (6.62 kg), Bloque No. 4 (12 UND) y 5 más. Mano de obra: Auxiliar De Obra 2 (2.4 hh), Oficial Obra 1 (2.4 hh). Equipo: Formaleta (24 dd), Vibrador De Concreto (0.01 dd), Herrramienta Y Equipo Menor (5 %).  Etapa de obra: 4. Estructura.</t>
  </si>
  <si>
    <t>BLOQUE NO. 4</t>
  </si>
  <si>
    <t>1.03.16 · PLACA ENTREPISO IMPERMEABILIZADO ALIGERADO CASETON DE LONA E=0.30 mts. 28 MPa - (4000 PSI)   |   Unidad: Metro cuadrado (M2)   |   Precio: $ 259.368,38</t>
  </si>
  <si>
    <t>Precio por M2. Materiales: Alambre Negro No. 18 (0.12 kg), Acero 60000 Psi (6.62 kg), Concreto Simple De 28 Mpa -  Impermeabilizado (0.17 M3), Lona Plastica Para Caseton (1.02 M2) y 4 más. Mano de obra: Auxiliar De Obra 2 (2.3 hh), Oficial Obra 1 (2.3 hh). Equipo: Vibrador De Concreto (0.01 dd), Andamio Tubular Normalizado, Tipo Multidireccional, De Acero Galvanizado En Caliente, Según Iso 9001. (2.3 dd), Herrramienta Y Equipo Menor (5 %).  Etapa de obra: 4. Estructura.</t>
  </si>
  <si>
    <t>LONA PLASTICA PARA CASETON</t>
  </si>
  <si>
    <t>MADERA TIRAS ALISTADO .03x.03x2.7m</t>
  </si>
  <si>
    <t>1.03.17 · PLACA FACIL 21 MPa - (3000 PSI) E= 0.05 MTS   |   Unidad: Metro cuadrado (M2)   |   Precio: $ 236.248,29</t>
  </si>
  <si>
    <t>Precio por M2. Materiales: Vigueta 8 X 20 Cal. 20 (1.03 ML), Concreto Clase D 21 Mpa (0.06 M3), Tabla Burra Ordinario 0.30 (0.08 ML), Bloquelon 80x23x8 (5.5 UND) y 2 más. Mano de obra: Auxiliar De Obra 2 (8.34 hh), Oficial Obra 1 (4.17 hh). Equipo: Herrramienta Y Equipo Menor (3 %).  Etapa de obra: 4. Estructura.</t>
  </si>
  <si>
    <t>VIGUETA 8 x 20 CAL. 20</t>
  </si>
  <si>
    <t>BLOQUELON 80X23X8</t>
  </si>
  <si>
    <t>1.03.18 · PLACA FACIL 24.5 MPa - (3500 PSI) E= 0.05 MTS   |   Unidad: Metro cuadrado (M2)   |   Precio: $ 238.832,05</t>
  </si>
  <si>
    <t>Precio por M2. Materiales: Vigueta 8 X 20 Cal. 20 (1.03 ML), Tabla Burra Ordinario 0.30 (0.08 ML), Bloquelon 80x23x8 (5.5 UND), Concreto 1:2:2 24.5 Mpa (0.06 M3) y 2 más. Mano de obra: Auxiliar De Obra 2 (8.34 hh), Oficial Obra 1 (4.17 hh). Equipo: Herrramienta Y Equipo Menor (3 %).  Etapa de obra: 4. Estructura.</t>
  </si>
  <si>
    <t>1.03.19 · PLACA MACIZA 21 MPa - (3000 PSI) E=0.10 MTS   |   Unidad: Metro cuadrado (M2)   |   Precio: $ 252.952,38</t>
  </si>
  <si>
    <t>Precio por M2. Materiales: Concreto Clase D 21 Mpa (0.11 M3). Mano de obra: Auxiliar De Obra 2 (2.2 hh), Oficial Obra 1 (2.2 hh). Equipo: Formaleta (24 dd), Vibrador De Concreto (0.1 dd), Herrramienta Y Equipo Menor (5 %).  Etapa de obra: 4. Estructura.</t>
  </si>
  <si>
    <t>1.03.20 · PLACA MACIZA 21 MPa - (3000 PSI) E=0.12 MTS   |   Unidad: Metro cuadrado (M2)   |   Precio: $ 257.305,92</t>
  </si>
  <si>
    <t>Precio por M2. Materiales: Concreto Clase D 21 Mpa (0.13 M3). Mano de obra: Auxiliar De Obra 2 (2 hh), Oficial Obra 1 (2 hh). Equipo: Formaleta (24 dd), Vibrador De Concreto (0.1 dd), Herrramienta Y Equipo Menor (5 %).  Etapa de obra: 4. Estructura.</t>
  </si>
  <si>
    <t>1.03.21 · PLACA MACIZA 21 MPa - (3000 PSI) E=0.15 MTS   |   Unidad: Metro cuadrado (M2)   |   Precio: $ 297.354,11</t>
  </si>
  <si>
    <t>Precio por M2. Materiales: Concreto Clase D 21 Mpa (0.16 M3). Mano de obra: Auxiliar De Obra 2 (3 hh), Oficial Obra 1 (3 hh). Equipo: Formaleta (24 dd), Vibrador De Concreto (0.1 dd), Herrramienta Y Equipo Menor (5 %).  Etapa de obra: 4. Estructura.</t>
  </si>
  <si>
    <t>1.03.22 · REFUERZOS MALLA ELECTROSOLDADA H-257   |   Unidad: Kilogramo (kg)   |   Precio: $ 4.814,83</t>
  </si>
  <si>
    <t>Precio por kg. Materiales: Alambre Negro No. 18 (0.03 kg), Malla Electrosoldada M-221 Q-6  15*15 (1.05 kg). Mano de obra: Auxiliar De Obra 2 (0.03 hh), Oficial Obra 1 (0.03 hh). Equipo: Herrramienta Y Equipo Menor (5 %).  Etapa de obra: 4. Estructura.</t>
  </si>
  <si>
    <t>MALLA ELECTROSOLDADA M-221 Q-6 (6,5*6,5) 15*15</t>
  </si>
  <si>
    <t>1.03.23 · VIGA AEREA 21 MPa - (3000 PSI)   |   Unidad: Metro cúbico (M3)   |   Precio: $ 1.166.084,99</t>
  </si>
  <si>
    <t>Precio por M3. Materiales: Alambre Negro No. 18 (2 kg), Concreto Clase D 21 Mpa (1.03 M3), Madera Repisa 3 M (4.53 ML), Madera Tabla Burra (7 ML) y 1 más. Mano de obra: Auxiliar De Obra 2 (18.5 hh), Oficial Obra 1 (18.5 hh). Equipo: Vibrador De Concreto (0.04 dd), Andamio Tubular Normalizado, Tipo Multidireccional, De Acero Galvanizado En Caliente, Según Iso 9001. (4 dd), Herrramienta Y Equipo Menor (5 %).  Etapa de obra: 4. Estructura.</t>
  </si>
  <si>
    <t>1.03.24 · VIGA AMARRE SOBRE MURO 21 MPa - (3000 PSI)   |   Unidad: Metro cúbico (M3)   |   Precio: $ 857.778,46</t>
  </si>
  <si>
    <t>Precio por M3. Materiales: Alambre Negro No. 18 (2 kg), Concreto Clase D 21 Mpa (1.03 M3), Madera Repisa 3 M (3.11 ML), Madera Tabla Burra (3.52 ML) y 1 más. Mano de obra: Auxiliar De Obra 2 (12 hh), Oficial Obra 1 (12 hh). Equipo: Vibrador De Concreto (0.04 dd), Herrramienta Y Equipo Menor (5 %).  Etapa de obra: 4. Estructura.</t>
  </si>
  <si>
    <t>1.03.25 · COLUMNAS EN CONCRETO 21 MPa - (3000 PSI), ALTURA MENOR A TRES METROS FORMALETA METALICA   |   Unidad: Metro cúbico (M3)   |   Precio: $ 1.289.564,24</t>
  </si>
  <si>
    <t>Precio por M3. Materiales: Concreto Clase D 21 Mpa (1.1 M3). Mano de obra: Auxiliar De Obra 2 (10.29 hh), Oficial Obra 1 (10.29 hh). Equipo: Vibrador De Concreto (0.04 dd), Andamio Tubular Normalizado, Tipo Multidireccional, De Acero Galvanizado En Caliente, Según Iso 9s0e0c1c. Ión Formaleta Metalica Para (4 dd), Columnas (66 dd), Paral Largo Y Corto (96 dd) y 1 más.  Etapa de obra: 4. Estructura.</t>
  </si>
  <si>
    <t>ANDAMIO TUBULAR NORMALIZADO, TIPO MULTIDIRECCIONAL, DE ACERO GALVANIZADO EN CALIENTE, SEGÚN ISO 9S0E0C1C. IÓN FORMALETA METALICA PARA</t>
  </si>
  <si>
    <t>COLUMNAS</t>
  </si>
  <si>
    <t>PARAL LARGO Y CORTO</t>
  </si>
  <si>
    <t>1.03.26 · COLUMNAS EN CONCRETO 21 MPa (3000 PSI), ALTURA MAYOR A 3 mts-   |   Unidad: Metro cúbico (M3)   |   Precio: $ 1.350.574,14</t>
  </si>
  <si>
    <t>Precio por M3. Materiales: Concreto Clase D 21 Mpa (1.1 M3). Mano de obra: Vibrador De Concreto (0.04 dd), Andamio Tubular Normalizado, Tipo Multidireccional, De Acero Galvanizado En Caliente, Según Iso 9s0e0c1c. Ión Formaleta Metalica Para (4 dd), Columnas (66 dd), Paral Largo Y Corto (96 dd) y 2 más. Equipo: Herrramienta Y Equipo Menor (1 %).  Etapa de obra: 4. Estructura.</t>
  </si>
  <si>
    <t>Capítulo 1.04 · MAMPOSTERÍA</t>
  </si>
  <si>
    <t>37 actividades. Cada tabla lista los insumos de una actividad por unidad de obra.</t>
  </si>
  <si>
    <t>1.04.01 · ALFAGIA EN CONCRETO E=0.15mts. 17.5 MPa - (2500 PSI) INC. REFUERZO   |   Unidad: Metro lineal (ML)   |   Precio: $ 33.733,88</t>
  </si>
  <si>
    <t>Precio por ML. Materiales: Alambre Negro No. 18 (0.02 kg), Acero 60000 Psi (0.73 kg), Arena Lavada De Río (0.01 M3), Concreto 1:2:4 17.5 Mpa (0.02 M3) y 3 más. Mano de obra: Auxiliar De Obra 2 (0.77 hh), Oficial Obra 1 (0.77 hh). Equipo: Herrramienta Y Equipo Menor (3.3 %).  Etapa de obra: 5. Mampostería.</t>
  </si>
  <si>
    <t>ARENA LAVADA DE RÍO</t>
  </si>
  <si>
    <t>CEMENTO GRIS</t>
  </si>
  <si>
    <t>MADERA TABLA 0.10</t>
  </si>
  <si>
    <t>1.04.02 · ALFAGIA EN CONCRETO E=0.25mts. 17.5 MPa - (2500 PSI) INC. REFUERZO   |   Unidad: Metro lineal (ML)   |   Precio: $ 57.252,64</t>
  </si>
  <si>
    <t>Precio por ML. Materiales: Alambre Negro No. 18 (0.03 kg), Acero 60000 Psi (1 kg), Arena Lavada De Río (0.01 M3), Concreto 1:2:4 17.5 Mpa (0.02 M3) y 3 más. Mano de obra: Auxiliar De Obra 2 (1.65 hh), Oficial Obra 1 (1.65 hh). Equipo: Herrramienta Y Equipo Menor (3.3 %).  Etapa de obra: 5. Mampostería.</t>
  </si>
  <si>
    <t>1.04.03 · ALFAGIA LADRILLO PRENSADO TIPO MAGUNCIA   |   Unidad: Metro lineal (ML)   |   Precio: $ 38.715,88</t>
  </si>
  <si>
    <t>Precio por ML. Materiales: Ladrillo Semiprensado Maguncia (17 UND), Mortero 1:4 (0.03 M3). Mano de obra: Auxiliar De Obra 2 (0.7 hh), Oficial Obra 1 (0.54 hh). Equipo: Herrramienta Y Equipo Menor (3.3 %).  Etapa de obra: 5. Mampostería.</t>
  </si>
  <si>
    <t>LADRILLO SEMIPRENSADO MAGUNCIA</t>
  </si>
  <si>
    <t>1.04.04 · DINTELES EN BLOQUE E=0.15 MTS   |   Unidad: Metro lineal (ML)   |   Precio: $ 25.368,04</t>
  </si>
  <si>
    <t>Precio por ML. Materiales: Arena Amarilla (0.02 M3), Arena Lavada De Río (0.02 M3), Bloque No. 5 Estándar (3.6 UND), Cemento Gris (3.15 kg) y 2 más. Mano de obra: Mano De Obra Aa (0.45 hc). Equipo: Herrramienta Y Equipo Menor (3.3 %).  Etapa de obra: 5. Mampostería.</t>
  </si>
  <si>
    <t>ARENA AMARILLA</t>
  </si>
  <si>
    <t>BLOQUE NO. 5 ESTÁNDAR</t>
  </si>
  <si>
    <t>HIERRO FIG G-60 1/2</t>
  </si>
  <si>
    <t>MANO DE OBRA AA</t>
  </si>
  <si>
    <t>1.04.05 · DINTELES EN CONCRETO DE 15X20 cms. 17.5 MPa - (2500 PSI) INC. REFUERZO   |   Unidad: Metro lineal (ML)   |   Precio: $ 46.965,96</t>
  </si>
  <si>
    <t>Precio por ML. Materiales: Alambre Negro No. 18 (0.11 kg), Acero 60000 Psi (2.9 kg), Concreto 1:2:4 17.5 Mpa (0.03 M3), Madera Tabla Burra (0.5 ML) y 1 más. Mano de obra: Auxiliar De Obra 2 (0.5 hh), Oficial Obra 1 (1 hh). Equipo: Herrramienta Y Equipo Menor (3 %).  Etapa de obra: 5. Mampostería.</t>
  </si>
  <si>
    <t>1.04.06 · ENCHAPES LADRILLO PRENSADO   |   Unidad: Metro cuadrado (M2)   |   Precio: $ 93.206,49</t>
  </si>
  <si>
    <t>Precio por M2. Materiales: Arena De Peña (0.03 M3), Cemento Gris (9.04 kg), Disco Diamante (0.25 UND), Ladrillo Prensado Macizo Santafe (58 UND) y 1 más. Mano de obra: Mano De Obra Aa (1.1 hc). Equipo: Cortadora De Ladrillo (0.05 dd), Herrramienta Y Equipo Menor (3.3 %).  Etapa de obra: 5. Mampostería.</t>
  </si>
  <si>
    <t>ARENA DE PEÑA</t>
  </si>
  <si>
    <t>DISCO DIAMANTE</t>
  </si>
  <si>
    <t>LADRILLO PRENSADO MACIZO SANTAFE</t>
  </si>
  <si>
    <t>CORTADORA DE LADRILLO</t>
  </si>
  <si>
    <t>1.04.07 · LAVADA DE FACHADA INC. ACIDO MURIATICO   |   Unidad: Metro cuadrado (M2)   |   Precio: $ 6.995,01</t>
  </si>
  <si>
    <t>Precio por M2. Materiales: Acido Muriatico (0.03 gl), Agua (10 lt). Mano de obra: Andamio Tubular Normalizado, Tipo Multidireccional, De Acero Galvanizado En Caliente, Según Iso 9001. (0.15 dd), Auxiliar De Obra 2 (0.25 hh). Equipo: Herrramienta Y Equipo Menor (10 %).  Etapa de obra: 5. Mampostería.</t>
  </si>
  <si>
    <t>ACIDO MURIATICO</t>
  </si>
  <si>
    <t>1.04.08 · MESONES EN CONCRETO A=0.60 mts. 17.5 MPa - (2500PSI) INC. REFUERZO E:0.10   |   Unidad: Metro cuadrado (M2)   |   Precio: $ 135.066,67</t>
  </si>
  <si>
    <t>Precio por M2. Materiales: Alambre Negro No. 18 (0.24 kg), Acero 60000 Psi (8 kg), Concreto 1:2:4 17.5 Mpa (0.11 M3), Madera Tabla 0.10 (0.46 ML) y 2 más. Mano de obra: Auxiliar De Obra 2 (2.17 hh), Oficial Obra 1 (2.17 hh). Equipo: Herrramienta Y Equipo Menor (3.3 %).  Etapa de obra: 5. Mampostería.</t>
  </si>
  <si>
    <t>1.04.09 · MURO EN ADOBE ESTABILIZADO E= 0.65 MTS   |   Unidad: Metro cuadrado (M2)   |   Precio: $ 230.511,65</t>
  </si>
  <si>
    <t>Precio por M2. Materiales: Barro De Pega (0.25 kg), Ladrillo Adobe (108 UND). Mano de obra: Auxiliar De Obra 2 (3 hh), Oficial Obra 1 (1.5 hh). Equipo: Herrramienta Y Equipo Menor (3.3 %).  Etapa de obra: 5. Mampostería.</t>
  </si>
  <si>
    <t>BARRO DE PEGA</t>
  </si>
  <si>
    <t>LADRILLO ADOBE</t>
  </si>
  <si>
    <t>1.04.10 · MURO EN BAHAREQUE E= 0.20 MTS   |   Unidad: Metro cuadrado (M2)   |   Precio: $ 129.815,46</t>
  </si>
  <si>
    <t>Precio por M2. Materiales: Alambre Negro No. 18 (0.31 kg), Viga En Madera 2" X 5"x 3m (0.5 UND), Esterilla De Guadua (2 M2), Guadua [taco] 2.50 A 3.00 M (3 UND) y 2 más. Mano de obra: Auxiliar De Obra 2 (3 hh), Oficial Obra 1 (1.5 hh). Equipo: Andamio Tubular Normalizado, Tipo Multidireccional, De Acero Galvanizado En Caliente, Según Iso 9001. (0.2 dd), Herrramienta Y Equipo Menor (6.7 %).  Etapa de obra: 5. Mampostería.</t>
  </si>
  <si>
    <t>VIGA EN MADERA 2" x 5"x 3M</t>
  </si>
  <si>
    <t>MERULEX</t>
  </si>
  <si>
    <t>1.04.11 · MURO EN BLOQUE CONCRETO E=0.10 MTS   |   Unidad: Metro cuadrado (M2)   |   Precio: $ 66.420,41</t>
  </si>
  <si>
    <t>Precio por M2. Materiales: Bloque Concreto 10x20x40 (13 UND), Mortero 1:4 (0.01 M3). Mano de obra: Mano De Obra Aa (1.12 hc). Equipo: Herrramienta Y Equipo Menor (3.3 %).  Etapa de obra: 5. Mampostería.</t>
  </si>
  <si>
    <t>BLOQUE CONCRETO 10X20X40</t>
  </si>
  <si>
    <t>1.04.12 · MURO EN BLOQUE CONCRETO E=0.20 MTS   |   Unidad: Metro cuadrado (M2)   |   Precio: $ 84.920,95</t>
  </si>
  <si>
    <t>Precio por M2. Materiales: Bloque Concreto 20x20x40 (13 UND), Mortero 1:4 (0.02 M3). Mano de obra: Mano De Obra Aa (1.12 hc). Equipo: Herrramienta Y Equipo Menor (3.3 %).  Etapa de obra: 5. Mampostería.</t>
  </si>
  <si>
    <t>BLOQUE CONCRETO 20X20X40</t>
  </si>
  <si>
    <t>1.04.13 · MURO EN BLOQUE No.4 E=0.10 MTS   |   Unidad: Metro cuadrado (M2)   |   Precio: $ 38.644,67</t>
  </si>
  <si>
    <t>Precio por M2. Materiales: Bloque No. 4 (13 UND), Mortero 1:4 (0.03 M3). Mano de obra: Auxiliar De Obra 2 (0.51 hh), Oficial Obra 1 (0.51 hh). Equipo: Herrramienta Y Equipo Menor (3.3 %).  Etapa de obra: 5. Mampostería.</t>
  </si>
  <si>
    <t>1.04.14 · MURO EN BLOQUE No.4 E=0.25 MTS   |   Unidad: Metro cuadrado (M2)   |   Precio: $ 101.473,58</t>
  </si>
  <si>
    <t>Precio por M2. Materiales: Bloque No. 4 (40 UND), Mortero 1:4 (0.09 M3). Mano de obra: Auxiliar De Obra 2 (1 hh), Oficial Obra 1 (1 hh). Equipo: Herrramienta Y Equipo Menor (3.3 %).  Etapa de obra: 5. Mampostería.</t>
  </si>
  <si>
    <t>1.04.15 · MURO EN BLOQUE No.5 E=0.12 MTS   |   Unidad: Metro cuadrado (M2)   |   Precio: $ 36.971,25</t>
  </si>
  <si>
    <t>Precio por M2. Materiales: Bloque No. 5 (16 UND), Mortero 1:4 (0.02 M3). Mano de obra: Auxiliar De Obra 2 (0.51 hh), Oficial Obra 1 (0.51 hh). Equipo: Herrramienta Y Equipo Menor (3.3 %).  Etapa de obra: 5. Mampostería.</t>
  </si>
  <si>
    <t>BLOQUE NO. 5</t>
  </si>
  <si>
    <t>1.04.16 · MURO EN BLOQUE No.5 E=0.23 MTS   |   Unidad: Metro cuadrado (M2)   |   Precio: $ 67.495,21</t>
  </si>
  <si>
    <t>Precio por M2. Materiales: Bloque No. 5 (26 UND), Mortero 1:4 (0.04 M3). Mano de obra: Auxiliar De Obra 2 (1 hh), Oficial Obra 1 (1 hh). Equipo: Herrramienta Y Equipo Menor (3.3 %).  Etapa de obra: 5. Mampostería.</t>
  </si>
  <si>
    <t>1.04.17 · MURO EN DRY WALL 1/2`` DOBLE CARA E =0.10 MTS   |   Unidad: Metro cuadrado (M2)   |   Precio: $ 56.348,21</t>
  </si>
  <si>
    <t>Precio por M2. Materiales: Tornillo 6x1 (27.22 UND), Tornillo Autoperforante (2.82 UND), Paral B6 X 2.44 Cal 26 (0.71 UND), Canal B 6 X 2.44 Cal 26 (0.35 UND) y 6 más. Mano de obra: Auxiliar De Obra 2 (1.04 hh), Oficial Obra 1 (1.03 hh). Equipo: Herrramienta Y Equipo Menor (3.3 %).  Etapa de obra: 5. Mampostería.</t>
  </si>
  <si>
    <t>TORNILLO 6X1</t>
  </si>
  <si>
    <t>TORNILLO AUTOPERFORANTE</t>
  </si>
  <si>
    <t>PARAL B6 X 2.44 CAL 26</t>
  </si>
  <si>
    <t>CANAL B 6 X 2.44 CAL 26</t>
  </si>
  <si>
    <t>CARGA FULM FUERTE 330</t>
  </si>
  <si>
    <t>CINTA DE PAPEL SUPERCINTA 250</t>
  </si>
  <si>
    <t>rl</t>
  </si>
  <si>
    <t>ACRILSET T8001</t>
  </si>
  <si>
    <t>LAMINA DRYWALL 1/2 SUPERPLACA</t>
  </si>
  <si>
    <t>LIJA DE AGUA 150 SÚPER</t>
  </si>
  <si>
    <t>MASILLA SUPERMATICO 5 GALONES</t>
  </si>
  <si>
    <t>1.04.18 · MURO EN DRY WALL 1/2`` DOBLE CARA E =0.12 MTS   |   Unidad: Metro cuadrado (M2)   |   Precio: $ 56.257,54</t>
  </si>
  <si>
    <t>Precio por M2. Materiales: Tornillo 6x1 (27.22 UND), Tornillo Autoperforante (2.82 UND), Paral B6 X 2.44 Cal 26 (0.71 UND), Canal B 9 X 2.44 Cal 26 (0.35 UND) y 6 más. Mano de obra: Auxiliar De Obra 2 (1.04 hh), Oficial Obra 1 (1.03 hh). Equipo: Herrramienta Y Equipo Menor (3.3 %).  Etapa de obra: 5. Mampostería.</t>
  </si>
  <si>
    <t>CANAL B 9 X 2.44 CAL 26</t>
  </si>
  <si>
    <t>1.04.19 · MURO EN LADRILLO ESTRUCTURAL E=0.15 MTS   |   Unidad: Metro cuadrado (M2)   |   Precio: $ 96.985,22</t>
  </si>
  <si>
    <t>Precio por M2. Materiales: Arena Lavada De Río (0.04 M3), Cal (0.5 kg), Cemento Gris (18 kg), Ladrillo Portante Prensado (48 UND) y 2 más. Mano de obra: Auxiliar De Obra 2 (1.74 hh), Oficial Obra 1 (0.87 hh). Equipo: Herrramienta Y Equipo Menor (3.3 %).  Etapa de obra: 5. Mampostería.</t>
  </si>
  <si>
    <t>CAL</t>
  </si>
  <si>
    <t>LADRILLO PORTANTE PRENSADO</t>
  </si>
  <si>
    <t>SIKA 2</t>
  </si>
  <si>
    <t>1.04.20 · MURO EN TAPIA PISADA E=0.50 MTS ANCHO, INCLUYE FORMALETA   |   Unidad: Metro cuadrado (M2)   |   Precio: $ 309.782,32</t>
  </si>
  <si>
    <t>Precio por M2. Materiales: Tierra Negra (0.75 M3), Tabla Chapa (15.42 ML), Tabla De Cedro (8 ML), Piedra Media Zonga (0.1 M3) y 1 más. Mano de obra: Auxiliar De Obra 2 (5.6 hh), Oficial Obra 1 (2.8 hh). Equipo: Herrramienta Y Equipo Menor (9.9 %).  Etapa de obra: 5. Mampostería.</t>
  </si>
  <si>
    <t>TIERRA NEGRA</t>
  </si>
  <si>
    <t>TABLA DE CEDRO</t>
  </si>
  <si>
    <t>POSTES DE MADERA H=1.5</t>
  </si>
  <si>
    <t>1.04.21 · MURO LADRILLO VITRIFICADO E=0.12 MTS   |   Unidad: Metro cuadrado (M2)   |   Precio: $ 131.374,55</t>
  </si>
  <si>
    <t>Precio por M2. Materiales: Ladrillo Vitrificado (56 UND), Mortero 1:4 (0.05 M3). Mano de obra: Auxiliar De Obra 2 (1.06 hh), Oficial Obra 1 (1.06 hh). Equipo: Herrramienta Y Equipo Menor (3.3 %).  Etapa de obra: 5. Mampostería.</t>
  </si>
  <si>
    <t>LADRILLO VITRIFICADO</t>
  </si>
  <si>
    <t>1.04.22 · MURO PRENSADO SANTA FE E=0.25 MTS LIVIANO   |   Unidad: Metro cuadrado (M2)   |   Precio: $ 165.495,34</t>
  </si>
  <si>
    <t>Precio por M2. Materiales: Ladrillo Prensado Macizo Santafe (118 UND), Mortero 1:4 (0.07 M3). Mano de obra: Mano De Obra Aa (1.7 hc). Equipo: Herrramienta Y Equipo Menor (3.3 %).  Etapa de obra: 5. Mampostería.</t>
  </si>
  <si>
    <t>1.04.23 · MURO PRENSADO SANTA FE E=0.25 MTS MACIZO   |   Unidad: Metro cuadrado (M2)   |   Precio: $ 162.412,71</t>
  </si>
  <si>
    <t>Precio por M2. Materiales: Ladrillo Prensado Macizo Santafe (118 UND), Mortero 1:5 (0.07 M3). Mano de obra: Mano De Obra Aa (1.7 hc). Equipo: Herrramienta Y Equipo Menor (3.3 %).  Etapa de obra: 5. Mampostería.</t>
  </si>
  <si>
    <t>1.04.24 · MURO PRENSADO TIPO SANTA FE E=0.12 mts   |   Unidad: Metro cuadrado (M2)   |   Precio: $ 82.849,72</t>
  </si>
  <si>
    <t>Precio por M2. Materiales: Ladrillo Prensado Macizo Santafe (55 UND), Mortero 1:4 (0.03 M3). Mano de obra: Auxiliar De Obra 2 (1.06 hh), Oficial Obra 1 (1.06 hh). Equipo: Herrramienta Y Equipo Menor (3.3 %).  Etapa de obra: 5. Mampostería.</t>
  </si>
  <si>
    <t>1.04.25 · MURO PRENSADO TIPO SANTA FE E=0.25 mts.   |   Unidad: Metro cuadrado (M2)   |   Precio: $ 165.495,34</t>
  </si>
  <si>
    <t>Precio por M2. Materiales: Ladrillo Prensado Macizo Santafe (118 UND), Mortero 1:4 (0.07 M3). Mano de obra: Auxiliar De Obra 2 (1.7 hh), Oficial Obra 1 (1.7 hh). Equipo: Herrramienta Y Equipo Menor (3.3 %).  Etapa de obra: 5. Mampostería.</t>
  </si>
  <si>
    <t>1.04.26 · MURO SEMIPRENSADO TIPO MAGUNCIA E=0.12 mts.   |   Unidad: Metro cuadrado (M2)   |   Precio: $ 78.827,72</t>
  </si>
  <si>
    <t>Precio por M2. Materiales: Ladrillo Semiprensado Maguncia (56 UND), Mortero 1:4 (0.03 M3). Mano de obra: Auxiliar De Obra 2 (1.06 hh), Oficial Obra 1 (1.06 hh). Equipo: Herrramienta Y Equipo Menor (3.3 %).  Etapa de obra: 5. Mampostería.</t>
  </si>
  <si>
    <t>1.04.27 · MURO SEMIPRENSADO TIPO MAGUNCIA E=0.25 mts.   |   Unidad: Metro cuadrado (M2)   |   Precio: $ 152.515,34</t>
  </si>
  <si>
    <t>Precio por M2. Materiales: Ladrillo Semiprensado Maguncia (114 UND), Mortero 1:4 (0.07 M3). Mano de obra: Auxiliar De Obra 2 (1.7 hh), Oficial Obra 1 (1.7 hh). Equipo: Herrramienta Y Equipo Menor (3.3 %).  Etapa de obra: 5. Mampostería.</t>
  </si>
  <si>
    <t>1.04.28 · MURO TERMOACÚSTICO CON PAÑETE   |   Unidad: Metro cuadrado (M2)   |   Precio: $ 82.198,22</t>
  </si>
  <si>
    <t>Precio por M2. Materiales: Anclaje Estructural Platina ¼ (1.7 UND), Durapanel Tipo Psmc50 (1.05 M2), Accesorio Para Unión Tipo Canastilla Rgu (0.3 UND), Accesorio Para Unión Tipo Malla Plana Rg2 (0.3 UND) y 3 más. Mano de obra: Mano De Obra Aa (0.45 hc). Equipo: Herrramienta Y Equipo Menor (3.3 %).  Etapa de obra: 5. Mampostería.</t>
  </si>
  <si>
    <t>ANCLAJE ESTRUCTURAL PLATINA ¼</t>
  </si>
  <si>
    <t>DURAPANEL TIPO PSMC50 (5CM EPS)</t>
  </si>
  <si>
    <t>ACCESORIO PARA UNIÓN TIPO CANASTILLA RGU</t>
  </si>
  <si>
    <t>ACCESORIO PARA UNIÓN TIPO MALLA PLANA RG2</t>
  </si>
  <si>
    <t>ACCESORIO PARA UNIÓN TIPO ORTOGONAL</t>
  </si>
  <si>
    <t>ALAMBRE NEGRO NO. 14</t>
  </si>
  <si>
    <t>1.04.29 · MURO TOLETE COMUN E=0.06 mts.   |   Unidad: Metro cuadrado (M2)   |   Precio: $ 38.776,79</t>
  </si>
  <si>
    <t>Precio por M2. Materiales: Ladrillo Tolete Comun (31 UND), Mortero 1:4 (0.01 M3). Mano de obra: Auxiliar De Obra 2 (0.86 hh), Oficial Obra 1 (0.86 hh). Equipo: Herrramienta Y Equipo Menor (3.3 %).  Etapa de obra: 5. Mampostería.</t>
  </si>
  <si>
    <t>1.04.30 · MURO TOLETE COMUN E=0.10 mts.   |   Unidad: Metro cuadrado (M2)   |   Precio: $ 50.043,99</t>
  </si>
  <si>
    <t>Precio por M2. Materiales: Ladrillo Tolete Comun (55 UND), Mortero 1:4 (0.02 M3). Mano de obra: Auxiliar De Obra 2 (0.75 hh), Oficial Obra 1 (0.75 hh). Equipo: Herrramienta Y Equipo Menor (3.3 %).  Etapa de obra: 5. Mampostería.</t>
  </si>
  <si>
    <t>1.04.31 · MURO TOLETE COMUN E=0.25 mts   |   Unidad: Metro cuadrado (M2)   |   Precio: $ 96.013,04</t>
  </si>
  <si>
    <t>Precio por M2. Materiales: Ladrillo Tolete Comun (118 UND), Mortero 1:4 (0.03 M3). Mano de obra: Auxiliar De Obra 2 (1.37 hh), Oficial Obra 1 (1.37 hh). Equipo: Herrramienta Y Equipo Menor (3.3 %).  Etapa de obra: 5. Mampostería.</t>
  </si>
  <si>
    <t>1.04.32 · PASAMANOS EN CONCRETO 17.5 MPA (2500 PSI) INC. REFUERZO   |   Unidad: Metro lineal (ML)   |   Precio: $ 71.457,35</t>
  </si>
  <si>
    <t>Precio por ML. Materiales: Alambre Negro No. 18 (0.03 kg), Acero 60000 Psi (1 kg), Arena Lavada De Río (0.01 M3), Concreto 1:2:4 17.5 Mpa (0.02 M3) y 3 más. Mano de obra: Auxiliar De Obra 2 (2.21 hh), Oficial Obra 1 (2.21 hh). Equipo: Herrramienta Y Equipo Menor (3.3 %).  Etapa de obra: 5. Mampostería.</t>
  </si>
  <si>
    <t>1.04.33 · REMATES LADRILLO PRENSADO   |   Unidad: Metro lineal (ML)   |   Precio: $ 40.729,60</t>
  </si>
  <si>
    <t>Precio por ML. Materiales: Arena De Peña (0.05 M3), Cemento Gris (3 kg), Ladrillo Prensado Macizo Santafe (16 UND), Agua (7.5 lt). Mano de obra: Mano De Obra Aa (0.88 hc). Equipo: Herrramienta Y Equipo Menor (3 %).  Etapa de obra: 5. Mampostería.</t>
  </si>
  <si>
    <t>1.04.34 · SOBRECIMIENTO TOLETE COMUN E=0.12 mts.INCLUYE PAÑETE IMP.   |   Unidad: Metro lineal (ML)   |   Precio: $ 54.691,86</t>
  </si>
  <si>
    <t>Precio por ML. Materiales: Ladrillo Tolete Comun (12 UND), Mortero 1:4 (0.05 M3), Sika 2 (0.35 kg). Mano de obra: Auxiliar De Obra 2 (0.8 hh), Oficial Obra 1 (0.8 hh). Equipo: Herrramienta Y Equipo Menor (3.3 %).  Etapa de obra: 5. Mampostería.</t>
  </si>
  <si>
    <t>1.04.35 · SOBRECIMIENTOS E= 0.25 MTS   |   Unidad: Metro lineal (ML)   |   Precio: $ 64.142,15</t>
  </si>
  <si>
    <t>Precio por ML. Materiales: Arena Lavada De Peña (0.04 M3), Cemento Gris (12 kg), Ladrillo Tolete Recocido (24.21 UND), Agua (2.5 lt) y 1 más. Mano de obra: Mano De Obra Aa (1.12 hc). Equipo: Herrramienta Y Equipo Menor (3.3 %).  Etapa de obra: 5. Mampostería.</t>
  </si>
  <si>
    <t>ARENA LAVADA DE PEÑA</t>
  </si>
  <si>
    <t>LADRILLO TOLETE RECOCIDO</t>
  </si>
  <si>
    <t>SIKA-2 (5.5 KG)</t>
  </si>
  <si>
    <t>1.04.36 · SOBRERCIMIENTO TOLETE COMUN E=0.20 mts.INCLUYE PAÑETE IMP.   |   Unidad: Metro cuadrado (M2)   |   Precio: $ 76.567,19</t>
  </si>
  <si>
    <t>Precio por M2. Materiales: Ladrillo Tolete Comun (24.21 UND), Mortero 1:4 (0.06 M3), Sika 2 (0.53 kg). Mano de obra: Auxiliar De Obra 2 (1.12 hh), Oficial Obra 1 (1.12 hh). Equipo: Herrramienta Y Equipo Menor (3.3 %).  Etapa de obra: 5. Mampostería.</t>
  </si>
  <si>
    <t>1.04.37 · SUMINISTRO E INSTALACION DE LAMINA SUPERBOARD E= 8 MM   |   Unidad: Metro cuadrado (M2)   |   Precio: $ 103.691,60</t>
  </si>
  <si>
    <t>Precio por M2. Materiales: Tiro (4 UND), Tornillo 6x1 (16 UND), Tornillo Autoperforante Con Cabeza Extraplana T1 # 7 7/16 (16 UND), Paral B6 Cal. 22 (2 ML) y 7 más. Mano de obra: Mano De Obra Muro Superboard (1 M2). Equipo: Herrramienta Y Equipo Menor (3.3 %).  Etapa de obra: 5. Mampostería.</t>
  </si>
  <si>
    <t>TIRO</t>
  </si>
  <si>
    <t>TORNILLO AUTOPERFORANTE CON CABEZA EXTRAPLANA T1 # 7 7/16</t>
  </si>
  <si>
    <t>PARAL B6 CAL. 22</t>
  </si>
  <si>
    <t>CANAL B6 CAL. 22</t>
  </si>
  <si>
    <t>CINTA MALLA</t>
  </si>
  <si>
    <t>LAMINA SUPERBOARD DE 8 mm</t>
  </si>
  <si>
    <t>LIJA</t>
  </si>
  <si>
    <t>PERNO ALT.VEL. 1/4 X 2</t>
  </si>
  <si>
    <t>PINTURA VINILO TIPO I</t>
  </si>
  <si>
    <t>MANO DE OBRA MURO SUPERBOARD</t>
  </si>
  <si>
    <t>Capítulo 1.05 · PAÑETES</t>
  </si>
  <si>
    <t>16 actividades. Cada tabla lista los insumos de una actividad por unidad de obra.</t>
  </si>
  <si>
    <t>1.05.01 · ENTRAMADO MADERA CIELO RASO   |   Unidad: Metro lineal (ML)   |   Precio: $ 25.682,33</t>
  </si>
  <si>
    <t>Precio por ML. Materiales: Puntilla Con Y Sin Cabeza 2 (0.08 lb), Repisa Ordinaria 3 Mt (2.16 ML). Mano de obra: Mano De Obra Aa (0.55 hc). Equipo: Herrramienta Y Equipo Menor (3.3 %).  Etapa de obra: 8. Acabados.</t>
  </si>
  <si>
    <t>1.05.02 · FILOS Y DILATACIONES EN PAÑETES   |   Unidad: Metro lineal (ML)   |   Precio: $ 8.004,28</t>
  </si>
  <si>
    <t>Precio por ML. Materiales: Mortero 1:4 (0.01 M3), Agua (1 lt). Mano de obra: Auxiliar De Obra 2 (0.15 hh), Oficial Obra 1 (0.15 hh). Equipo: Herrramienta Y Equipo Menor (5.5 %).  Etapa de obra: 8. Acabados.</t>
  </si>
  <si>
    <t>1.05.03 · GOTERAS   |   Unidad: Metro cuadrado (M2)   |   Precio: $ 10.076,74</t>
  </si>
  <si>
    <t>Precio por M2. Materiales: Mortero 1:4 (0.01 M3), Agua (1 lt). Mano de obra: Auxiliar De Obra 2 (0.23 hh), Oficial Obra 1 (0.23 hh). Equipo: Herrramienta Y Equipo Menor (5.5 %).  Etapa de obra: 8. Acabados.</t>
  </si>
  <si>
    <t>1.05.04 · GUADUA BAJO ENTRAMADO   |   Unidad: Metro cuadrado (M2)   |   Precio: $ 22.382,00</t>
  </si>
  <si>
    <t>Precio por M2. Materiales: Alambre Negro No.18 (0.05 kg), Esterilla De Guadua (1 M2), Puntilla Con Y Sin Cabeza 2 (0.2 lb). Mano de obra: Mano De Obra Aa (0.5 hc). Equipo: Herrramienta Y Equipo Menor (3.3 %).  Etapa de obra: 8. Acabados.</t>
  </si>
  <si>
    <t>ALAMBRE NEGRO NO.18 (RECOCIDO)</t>
  </si>
  <si>
    <t>1.05.05 · MALLA BAJO ENTRAMADO   |   Unidad: Metro cuadrado (M2)   |   Precio: $ 14.651,86</t>
  </si>
  <si>
    <t>Precio por M2. Materiales: Malla Con Vena 0.60x2.00 (0.88 UND), Puntilla Con Y Sin Cabeza 2 (0.04 lb). Mano de obra: Mano De Obra Aa (0.4 hc). Equipo: Herrramienta Y Equipo Menor (3.3 %).  Etapa de obra: 8. Acabados.</t>
  </si>
  <si>
    <t>MALLA CON VENA 0.60X2.00</t>
  </si>
  <si>
    <t>1.05.06 · PAÑETE BAJO MALLA 1:5   |   Unidad: Metro cuadrado (M2)   |   Precio: $ 23.528,14</t>
  </si>
  <si>
    <t>Precio por M2. Materiales: Arena De Peña (0.03 M3), Cemento Gris (8.45 kg), Agua (4.17 lt). Mano de obra: Mano De Obra Aa (0.6 hc). Equipo: Herrramienta Y Equipo Menor (3.3 %).  Etapa de obra: 8. Acabados.</t>
  </si>
  <si>
    <t>1.05.07 · PAÑETE BAJO MALLA 1:6   |   Unidad: Metro cuadrado (M2)   |   Precio: $ 22.676,67</t>
  </si>
  <si>
    <t>Precio por M2. Materiales: Arena De Peña (0.03 M3), Cemento Gris (7.3 kg), Agua (3.6 lt). Mano de obra: Mano De Obra Aa (0.6 hc). Equipo: Herrramienta Y Equipo Menor (3.3 %).  Etapa de obra: 8. Acabados.</t>
  </si>
  <si>
    <t>1.05.08 · PAÑETE IMPERMEABILIZADO 1:3   |   Unidad: Metro cuadrado (M2)   |   Precio: $ 23.671,78</t>
  </si>
  <si>
    <t>Precio por M2. Materiales: Arena De Peña (0.03 M3), Cemento Gris (10 kg), Agua (3.63 lt), Sika 1 (0.05 kg). Mano de obra: Auxiliar De Obra 2 (0.56 hh), Oficial Obra 1 (0.56 hh). Equipo: Herrramienta Y Equipo Menor (0.45 %).  Etapa de obra: 8. Acabados.</t>
  </si>
  <si>
    <t>SIKA 1</t>
  </si>
  <si>
    <t>1.05.09 · PAÑETE LISO BAJO PLACA 1.4   |   Unidad: Metro cuadrado (M2)   |   Precio: $ 27.458,85</t>
  </si>
  <si>
    <t>Precio por M2. Materiales: Arena De Peña (0.03 M3), Cemento Gris (9.1 kg), Agua (5.5 lt). Mano de obra: Auxiliar De Obra 2 (0.48 hh), Oficial Obra 1 (0.48 hh). Equipo: Andamio Tubular Normalizado, Tipo Multidireccional, De Acero Galvanizado En Caliente, Según Iso 9001. (0.25 dd), Herrramienta Y Equipo Menor (5.5 %).  Etapa de obra: 8. Acabados.</t>
  </si>
  <si>
    <t>1.05.10 · PAÑETE LISO BAJO MALLA 1:4   |   Unidad: Metro cuadrado (M2)   |   Precio: $ 30.895,99</t>
  </si>
  <si>
    <t>Precio por M2. Materiales: Mortero 1:4 (0.03 M3), Agua (4 lt). Mano de obra: Andamio Tubular Normalizado, Tipo Multidireccional, De Acero Galvanizado En Caliente, Según Iso 9001. (0.2 dd), Auxiliar De Obra 2 (0.6 hh), Oficial Obra 1 (0.6 hh). Equipo: Herrramienta Y Equipo Menor (5.5 %).  Etapa de obra: 8. Acabados.</t>
  </si>
  <si>
    <t>1.05.11 · PAÑETE LISO CULATAS 1:4   |   Unidad: Metro cuadrado (M2)   |   Precio: $ 31.336,03</t>
  </si>
  <si>
    <t>Precio por M2. Materiales: Mortero 1:4 (0.03 M3), Agua (4 lt). Mano de obra: Auxiliar De Obra 2 (0.52 hh), Oficial Obra 1 (0.52 hh). Equipo: Andamio Tubular Normalizado, Tipo Multidireccional, De Acero Galvanizado En Caliente, Según Iso 9001. (0.3 dd), Herrramienta Y Equipo Menor (5.5 %).  Etapa de obra: 8. Acabados.</t>
  </si>
  <si>
    <t>1.05.12 · PAÑETE LISO CULATAS 1:5   |   Unidad: Metro cuadrado (M2)   |   Precio: $ 31.844,19</t>
  </si>
  <si>
    <t>Precio por M2. Materiales: Agua (4 lt), Mortero 1:5 (0.03 M3). Mano de obra: Auxiliar De Obra 2 (0.52 hh), Oficial Obra 1 (0.52 hh). Equipo: Andamio Tubular Normalizado, Tipo Multidireccional, De Acero Galvanizado En Caliente, Según Iso 9001. (0.3 dd), Herrramienta Y Equipo Menor (5.5 %).  Etapa de obra: 8. Acabados.</t>
  </si>
  <si>
    <t>1.05.13 · PAÑETE LISO MUROS 1:4   |   Unidad: Metro cuadrado (M2)   |   Precio: $ 20.187,71</t>
  </si>
  <si>
    <t>Precio por M2. Materiales: Mortero 1:4 (0.02 M3), Agua (3.63 lt). Mano de obra: Auxiliar De Obra 2 (0.46 hh), Oficial Obra 1 (0.46 hh). Equipo: Herrramienta Y Equipo Menor (5.5 %).  Etapa de obra: 8. Acabados.</t>
  </si>
  <si>
    <t>1.05.14 · PAÑETE LISO MUROS 1:5   |   Unidad: Metro cuadrado (M2)   |   Precio: $ 19.306,96</t>
  </si>
  <si>
    <t>Precio por M2. Materiales: Agua (3.63 lt), Mortero 1:5 (0.02 M3). Mano de obra: Auxiliar De Obra 2 (0.46 hh), Oficial Obra 1 (0.46 hh). Equipo: Herrramienta Y Equipo Menor (5.5 %).  Etapa de obra: 8. Acabados.</t>
  </si>
  <si>
    <t>1.05.15 · PAÑETE RUSTICO MUROS 1:5   |   Unidad: Metro cuadrado (M2)   |   Precio: $ 26.930,30</t>
  </si>
  <si>
    <t>Precio por M2. Materiales: Agua (4 lt), Mortero 1:5 (0.02 M3). Mano de obra: Auxiliar De Obra 2 (0.56 hh), Oficial Obra 1 (0.56 hh). Equipo: Andamio Tubular Normalizado, Tipo Multidireccional, De Acero Galvanizado En Caliente, Según Iso 9001. (0.2 dd), Herrramienta Y Equipo Menor (5.5 %).  Etapa de obra: 8. Acabados.</t>
  </si>
  <si>
    <t>1.05.16 · PAÑETE RUSTICO PLACAS 1:5   |   Unidad: Metro cuadrado (M2)   |   Precio: $ 25.296,18</t>
  </si>
  <si>
    <t>Precio por M2. Materiales: Arena De Peña (0.04 M3), Cemento Gris (9.5 kg), Agua (7.2 lt). Mano de obra: Mano De Obra Aa (0.61 hc). Equipo: Herrramienta Y Equipo Menor (3.3 %).  Etapa de obra: 8. Acabados.</t>
  </si>
  <si>
    <t>Capítulo 1.06 · INSTALACIONES HIDRÁULICAS Y</t>
  </si>
  <si>
    <t>41 actividades. Cada tabla lista los insumos de una actividad por unidad de obra.</t>
  </si>
  <si>
    <t>1.06.01 · SUMINISTRO E INSTALACION DE ACCESORIO CODO 90° 1/4 CXC SANITARIO EN PVC 6``   |   Unidad: Unidad (UND)   |   Precio: $ 130.115,55</t>
  </si>
  <si>
    <t>Precio por UND. Materiales: Codo 90° 1/4 Cxc Sanitario 6" (1 UND), Limpiador Pvc 760 Grms (0 UND), Soldadura Liquida Pvc 1/4`` (0 gl). Mano de obra: Auxiliar De Obra 2 (1.4 hh), Oficial Instalaciones (0.7 hh). Equipo: Herrramienta Y Equipo Menor (4 %).  Etapa de obra: 6. Instalaciones.</t>
  </si>
  <si>
    <t>CODO 90° 1/4 CXC SANITARIO 6"</t>
  </si>
  <si>
    <t>1.06.02 · SUMINISTRO E INSTALACION DE ACCESORIO SIFON EN PVC 135 4``   |   Unidad: Unidad (UND)   |   Precio: $ 41.349,88</t>
  </si>
  <si>
    <t>Precio por UND. Materiales: Limpiador Pvc 760 Grms (0 UND), Sifón Pvc 135 4`` (1.03 UND), Soldadura Liquida Pvc 1/4`` (0 gl). Mano de obra: Auxiliar De Obra 2 (1.2 hh), Oficial Instalaciones (0.6 hh). Equipo: Herrramienta Y Equipo Menor (4 %).  Etapa de obra: 6. Instalaciones.</t>
  </si>
  <si>
    <t>SIFÓN PVC 135 4``</t>
  </si>
  <si>
    <t>1.06.03 · SUMINISTRO E INSTALACION DE BAJANTE PVC 3"   |   Unidad: Metro lineal (ML)   |   Precio: $ 65.185,29</t>
  </si>
  <si>
    <t>Precio por ML. Materiales: Union Canal Pvc All (0.34 UND), Bajante Blanco Raingo (1.05 ML), Codo Bajante All 45° (0.06 UND), Soporte Canal Pvc All (2.74 UND). Mano de obra: Auxiliar De Instalaciones 1 (0.9 hh), Oficial Instalaciones (0.89 hh). Equipo: Herrramienta Y Equipo Menor (2 %).  Etapa de obra: 6. Instalaciones.</t>
  </si>
  <si>
    <t>UNION CANAL PVC ALL</t>
  </si>
  <si>
    <t>BAJANTE BLANCO RAINGO</t>
  </si>
  <si>
    <t>CODO BAJANTE ALL 45°</t>
  </si>
  <si>
    <t>SOPORTE CANAL PVC ALL</t>
  </si>
  <si>
    <t>1.06.04 · SUMINISTRO E INSTALACION DE BAJANTE DE AGUA LLUVIA PVC 4"   |   Unidad: Metro lineal (ML)   |   Precio: $ 40.694,33</t>
  </si>
  <si>
    <t>Precio por ML. Materiales: Tubería Pvc 4`` All (1.05 ML), Codo Pvc 90° 4" Sanit (0.06 UND), Limpiador 1/4 Pvc (0.03 gl), Soldadura Liquida Pvc 1/4`` (0.03 gl). Mano de obra: Auxiliar De Instalaciones 1 (0.7 hh), Oficial Instalaciones (0.7 hh). Equipo: Herrramienta Y Equipo Menor (2 %).  Etapa de obra: 6. Instalaciones.</t>
  </si>
  <si>
    <t>TUBERÍA PVC 4`` ALL</t>
  </si>
  <si>
    <t>CODO PVC 90° 4" SANIT</t>
  </si>
  <si>
    <t>LIMPIADOR 1/4 PVC</t>
  </si>
  <si>
    <t>1.06.05 · SUMINISTRO E INSTALACION DE BAJANTE DE AGUA LLUVIA. PVC. 3.   |   Unidad: Metro lineal (ML)   |   Precio: $ 35.245,70</t>
  </si>
  <si>
    <t>Precio por ML. Materiales: Tubería Pvc 3`` All (1.05 ML), Codo C X C 90° Pvc-S 3" (0.06 UND), Limpiador 1/4 Pvc (0.01 gl), Soldadura Liquida Pvc 1/4`` (0.01 gl). Mano de obra: Auxiliar De Instalaciones 1 (0.6 hh), Oficial Instalaciones (0.6 hh). Equipo: Herrramienta Y Equipo Menor (2 %).  Etapa de obra: 6. Instalaciones.</t>
  </si>
  <si>
    <t>TUBERÍA PVC 3`` ALL</t>
  </si>
  <si>
    <t>CODO C X C 90° PVC-S 3"</t>
  </si>
  <si>
    <t>1.06.06 · SUMINISTRO E INSTALACION DE BAJANTE DE AGUA NEGRA PVC 3"   |   Unidad: Metro lineal (ML)   |   Precio: $ 32.626,65</t>
  </si>
  <si>
    <t>Precio por ML. Materiales: Tubería Pvc 3`` Sanit (1.05 ML), Codo C X C 90° Pvc-S 3" (0.06 UND), Limpiador 1/4 Pvc (0.01 gl), Soldadura Liquida Pvc 1/4`` (0.01 gl). Mano de obra: Auxiliar De Instalaciones 1 (0.5 hh), Oficial Instalaciones (0.5 hh). Equipo: Herrramienta Y Equipo Menor (2 %).  Etapa de obra: 6. Instalaciones.</t>
  </si>
  <si>
    <t>1.06.07 · SUMINISTRO E INSTALACION DE BAJANTE DE AGUA NEGRA PVC 4"   |   Unidad: Metro lineal (ML)   |   Precio: $ 46.290,83</t>
  </si>
  <si>
    <t>Precio por ML. Materiales: Tubería Pvc 4`` Sanit (1.05 ML), Codo Pvc 90° 4" Sanit (0.06 UND), Limpiador 1/4 Pvc (0.01 gl), Soldadura Liquida Pvc 1/4`` (0.01 gl). Mano de obra: Auxiliar De Instalaciones 1 (0.73 hh), Oficial Instalaciones (0.73 hh). Equipo: Herrramienta Y Equipo Menor (2 %).  Etapa de obra: 6. Instalaciones.</t>
  </si>
  <si>
    <t>1.06.08 · SUMINISTRO E INSTALACION DE BAJANTE DE AGUA NEGRA PVC 6"   |   Unidad: Metro lineal (ML)   |   Precio: $ 76.462,10</t>
  </si>
  <si>
    <t>Precio por ML. Materiales: Tubería Pvc 6`` San (1.05 ML), Codo Pvc 90° 6" Sanit (0.06 UND), Limpiador 1/4 Pvc (0.01 gl), Soldadura Liquida Pvc 1/4`` (0.02 gl). Mano de obra: Auxiliar De Instalaciones 1 (0.7 hh), Oficial Instalaciones (0.7 hh). Equipo: Herrramienta Y Equipo Menor (5 %).  Etapa de obra: 6. Instalaciones.</t>
  </si>
  <si>
    <t>TUBERÍA PVC 6`` SAN</t>
  </si>
  <si>
    <t>CODO PVC 90° 6" SANIT</t>
  </si>
  <si>
    <t>1.06.09 · SUMINISTRO E INSTALACION DE CANAL EN LAMINA COLD ROLLED CAL. 20 D=0.75 CON PINTURA Y ANTICORROSIVO   |   Unidad: Metro lineal (ML)   |   Precio: $ 75.218,32</t>
  </si>
  <si>
    <t>Precio por ML. Materiales: Canal Lamina Cold Rolled Cal. 20 Con Pintura Y Anticorrosivo (1 ML), Elementos De Anclaje Y Fijación (1.75 glb), Soldadura De Estaño (0.25 UND). Mano de obra: Auxiliar De Instalaciones 1 (1.5 hh), Oficial Instalaciones (1 hh). Equipo: Herrramienta Y Equipo Menor (5 %).  Etapa de obra: 6. Instalaciones.</t>
  </si>
  <si>
    <t>CANAL LAMINA COLD ROLLED CAL. 20 CON PINTURA Y ANTICORROSIVO</t>
  </si>
  <si>
    <t>ELEMENTOS DE ANCLAJE Y FIJACIÓN (TORNILLOS, CHAZOS, ABRAZADERAS, PERNOS)</t>
  </si>
  <si>
    <t>SOLDADURA DE ESTAÑO</t>
  </si>
  <si>
    <t>1.06.10 · SUMINISTRO E INSTALACION DE CANAL EN LAMINA GALV. CAL. 22 TIPO "PECHO DE PALOMA"   |   Unidad: Metro lineal (ML)   |   Precio: $ 65.897,63</t>
  </si>
  <si>
    <t>Precio por ML. Materiales: Elementos De Anclaje Y Fijación (1.25 glb), Lamina Galvanizada Cal. 22 (0.8 UND), Soldadura De Estaño (0.2 UND). Mano de obra: Auxiliar De Instalaciones 1 (1 hh), Oficial Instalaciones (1 hh). Equipo: Herrramienta Y Equipo Menor (5 %).  Etapa de obra: 6. Instalaciones.</t>
  </si>
  <si>
    <t>LAMINA GALVANIZADA CAL. 22</t>
  </si>
  <si>
    <t>1.06.11 · CONEXIÓN TANQUE ELEVADO PVC 2" INCLUY. VALVULA Y REGISTRO   |   Unidad: Unidad (UND)   |   Precio: $ 489.944,74</t>
  </si>
  <si>
    <t>Precio por UND. Materiales: Tee Pvc Presion 2`` (2.75 UND), Tubería Pvc-P 2`` Rde21 (3 ML), Union Pvc 2`` (3 UND), Valvula De Bola 2`` (1 UND) y 4 más. Mano de obra: Auxiliar De Instalaciones 1 (4 hh), Oficial Instalaciones (4 hh). Equipo: Herrramienta Y Equipo Menor (12 %).  Etapa de obra: 6. Instalaciones.</t>
  </si>
  <si>
    <t>TEE PVC PRESION 2``</t>
  </si>
  <si>
    <t>TUBERÍA PVC-P 2`` RDE21</t>
  </si>
  <si>
    <t>UNION PVC 2``</t>
  </si>
  <si>
    <t>VALVULA DE BOLA 2``</t>
  </si>
  <si>
    <t>CODO 90° PVC-P 2"</t>
  </si>
  <si>
    <t>REGISTRO RED WHITE TOYO 2``</t>
  </si>
  <si>
    <t>1.06.12 · INSTALACION LAVAMANOS Y SANITARIO   |   Unidad: Unidad (UND)   |   Precio: $ 58.989,32</t>
  </si>
  <si>
    <t>Precio por UND. Materiales: Cemento Blanco (0.75 kg), Cinta Teflon 10 M 1/2" (1 rl). Mano de obra: Auxiliar De Instalaciones 1 (2 hh), Oficial Instalaciones (2 hh). Equipo: Herrramienta Y Equipo Menor (5 %).  Etapa de obra: 6. Instalaciones.</t>
  </si>
  <si>
    <t>CEMENTO BLANCO</t>
  </si>
  <si>
    <t>CINTA TEFLON 10 m 1/2"</t>
  </si>
  <si>
    <t>1.06.13 · PUNTO AGUA CALIENTE CPVC 1/2" PARAL DE TECHO   |   Unidad: Unidad (UND)   |   Precio: $ 115.446,95</t>
  </si>
  <si>
    <t>Precio por UND. Materiales: Tapon Soldado Cpvc 1/2`` (3 UND), Tubería Cpvc 1/2`` A.c. 82°c 100 Psi (3.75 ML), Cinta Teflon 10 M 1/2" (1 rl), Codo 45° Cpvc 1/2" (3 UND) y 4 más. Mano de obra: Auxiliar De Instalaciones 1 (3.5 hh), Oficial Instalaciones (1.75 hh). Equipo: Herrramienta Y Equipo Menor (5 %).  Etapa de obra: 6. Instalaciones.</t>
  </si>
  <si>
    <t>TAPON SOLDADO CPVC 1/2``</t>
  </si>
  <si>
    <t>TUBERÍA CPVC 1/2`` A.C. 82°C 100 PSI</t>
  </si>
  <si>
    <t>CODO 45° CPVC 1/2"</t>
  </si>
  <si>
    <t>CODO 90° CPVC 1/2"</t>
  </si>
  <si>
    <t>ADAPTADOR MACHO D = 1``</t>
  </si>
  <si>
    <t>1.06.14 · PUNTO AGUA FRIA PVC-P 1/2" PARAL DE TECHO   |   Unidad: Unidad (UND)   |   Precio: $ 86.775,57</t>
  </si>
  <si>
    <t>Precio por UND. Materiales: Tapon Soldado Cpvc 1/2`` (1 UND), Tubería Pvc-P 1/2`` Rde9 (3.75 ML), Cinta Teflon 10 M 1/2" (3 rl), Codo 45° Presión 1/2" (3 UND) y 5 más. Mano de obra: Auxiliar De Instalaciones 1 (3 hh), Oficial Instalaciones (1.5 hh). Equipo: Herrramienta Y Equipo Menor (3.3 %).  Etapa de obra: 6. Instalaciones.</t>
  </si>
  <si>
    <t>TUBERÍA PVC-P 1/2`` RDE9</t>
  </si>
  <si>
    <t>CODO 45° PRESIÓN 1/2"</t>
  </si>
  <si>
    <t>CODO 90° PRESIÓN 1/2"</t>
  </si>
  <si>
    <t>ADAPTADOR HEMBRA D = 1/2"</t>
  </si>
  <si>
    <t>ADAPTADOR MACHO D = 1/2"</t>
  </si>
  <si>
    <t>1.06.15 · PUNTO SUMINISTRO GALVANIZADO   |   Unidad: Unidad (UND)   |   Precio: $ 116.539,38</t>
  </si>
  <si>
    <t>Precio por UND. Materiales: Tubería De Acero Galvanizado Presion 1/2`` (0.75 ML), Tubería De Acero Galvanizado Presion 3/4`` (0.58 ML), Tubo Galvanizado 1`` (0.49 ML), Tubo Galvanizado 2 1/2`` (0.43 ML) y 4 más. Mano de obra: Auxiliar De Instalaciones 1 (1.8 hh), Oficial Instalaciones (1.8 hh). Equipo: Herrramienta Y Equipo Menor (5 %).  Etapa de obra: 6. Instalaciones.</t>
  </si>
  <si>
    <t>TUBERÍA DE ACERO GALVANIZADO PRESION 1/2``</t>
  </si>
  <si>
    <t>TUBERÍA DE ACERO GALVANIZADO PRESION 3/4``</t>
  </si>
  <si>
    <t>TUBO GALVANIZADO 1``</t>
  </si>
  <si>
    <t>TUBO GALVANIZADO 2 1/2``</t>
  </si>
  <si>
    <t>CODO GALV 1"</t>
  </si>
  <si>
    <t>CODO GALVANIZADO 90° 1/2"</t>
  </si>
  <si>
    <t>CODO GALVANIZADO 90° 3/4"</t>
  </si>
  <si>
    <t>REGISTRO CORTINA ROSCADO RED-WHITE 3/4``</t>
  </si>
  <si>
    <t>1.06.16 · SUMINISTRO E INSTALACION DE RED SUMINISTRO CPVC 1/2" A.CAL. 82°C 100 PSI   |   Unidad: Metro lineal (ML)   |   Precio: $ 14.728,06</t>
  </si>
  <si>
    <t>Precio por ML. Materiales: Tee Cpvc 1/2`` (0.5 UND), Tubería Cpvc 1/2`` A.c. 82°c 100 Psi (1.05 ML), Codo 90° Cpvc 1/2" (0.5 UND), Adaptador Macho Cpvc 1/2" (0.5 UND) y 6 más. Mano de obra: Auxiliar De Instalaciones 1 (0.15 hh), Oficial Instalaciones (0.15 hh), Auxiliar De Instalaciones 1 (0.18 hh), Oficial Instalaciones (0.08 hh). Equipo: Herrramienta Y Equipo Menor (3.3 %), Herrramienta Y Equipo Menor (3.3 %).  Etapa de obra: 6. Instalaciones.</t>
  </si>
  <si>
    <t>TEE CPVC 1/2``</t>
  </si>
  <si>
    <t>ADAPTADOR MACHO CPVC 1/2"</t>
  </si>
  <si>
    <t>TEE CPVC 3/4``</t>
  </si>
  <si>
    <t>TUBERÍA CPVC 3/4`` A.C. 82°C 100 PSI</t>
  </si>
  <si>
    <t>CODO CPVC 3/4"</t>
  </si>
  <si>
    <t>ADAPTADOR MACHO D = 3/4"</t>
  </si>
  <si>
    <t>1.06.18 · SUMINISTRO E INSTALACION DE RED SUMINISTRO GALVANIZADA 1/2"   |   Unidad: Metro lineal (ML)   |   Precio: $ 30.633,28</t>
  </si>
  <si>
    <t>Precio por ML. Materiales: Tubería De Acero Galvanizado Presion 1/2`` (1.05 ML), Codo Galvanizado 90° 1/2" (1 UND). Mano de obra: Auxiliar De Instalaciones 1 (1 hh), Oficial Instalaciones (0.5 hh). Equipo: Herrramienta Y Equipo Menor (5 %).  Etapa de obra: 6. Instalaciones.</t>
  </si>
  <si>
    <t>1.06.19 · SUMINISTRO E INSTALACION DE RED SUMINISTRO GALVANIZADA 3/4"   |   Unidad: Metro lineal (ML)   |   Precio: $ 35.658,19</t>
  </si>
  <si>
    <t>Precio por ML. Materiales: Tubería De Acero Galvanizado Presion 3/4`` (1.05 ML), Codo Galvanizado 90° 3/4" (1 UND). Mano de obra: Auxiliar De Instalaciones 1 (1 hh), Oficial Instalaciones (0.6 hh). Equipo: Herrramienta Y Equipo Menor (5 %).  Etapa de obra: 6. Instalaciones.</t>
  </si>
  <si>
    <t>1.06.20 · SUMINISTRO E INSTALACION DE RED SUMINISTRO PARA GAS EXTERIOR (TUBERIA GALVANIZADA D=3/4")   |   Unidad: Metro lineal (ML)   |   Precio: $ 54.057,53</t>
  </si>
  <si>
    <t>Precio por ML. Materiales: Tornillo De Acero 1/2 * 1/4 (2 UND), Tuberia De Gas Galv. 3/4 (1.1 ML), Abrazadera Plastica 5/8 (1 UND), Soldadura 95-5 Plata (0.04 lb). Mano de obra: Auxiliar De Instalaciones 1 (1 hh), Oficial Instalaciones (1 hh). Equipo: Herrramienta Y Equipo Menor (5 %).  Etapa de obra: 6. Instalaciones.</t>
  </si>
  <si>
    <t>TORNILLO DE ACERO 1/2 * 1/4</t>
  </si>
  <si>
    <t>TUBERIA DE GAS GALV. 3/4</t>
  </si>
  <si>
    <t>ABRAZADERA PLASTICA 5/8</t>
  </si>
  <si>
    <t>SOLDADURA 95-5 PLATA</t>
  </si>
  <si>
    <t>1.06.21 · SUMINISTRO E INSTLACION DE RED SUMINISTRO PVC 1" RDE 13.5   |   Unidad: Metro lineal (ML)   |   Precio: $ 14.500,80</t>
  </si>
  <si>
    <t>Precio por ML. Materiales: Tee Pvc Presion 1`` (0.25 UND), Tubería Pvc 1`` Rde13.5 (1.05 ML), Union Pvc 1`` (1 UND), Codo 45° Presión 1" (0.25 UND) y 3 más. Mano de obra: Auxiliar De Instalaciones 1 (0.14 hh), Oficial Instalaciones (0.14 hh). Equipo: Herrramienta Y Equipo Menor (5 %).  Etapa de obra: 6. Instalaciones.</t>
  </si>
  <si>
    <t>TEE PVC PRESION 1``</t>
  </si>
  <si>
    <t>TUBERÍA PVC 1`` RDE13.5</t>
  </si>
  <si>
    <t>UNION PVC 1``</t>
  </si>
  <si>
    <t>CODO 45° PRESIÓN 1"</t>
  </si>
  <si>
    <t>CODO 90° PVC-P 1"</t>
  </si>
  <si>
    <t>1.06.22 · SUMINISTRO E INSTALACION DE RED SUMINISTRO PVC-P 3/4" RDE 11   |   Unidad: Metro lineal (ML)   |   Precio: $ 12.611,54</t>
  </si>
  <si>
    <t>Precio por ML. Materiales: Tee Pvc Presion 3/4`` (1 UND), Tubería Pvc-P 3/4`` Rde11 (1.05 ML), Union Pvc 3/4`` (1 UND), Codo 45° Presión 3/4" (0.5 UND) y 3 más. Mano de obra: Auxiliar De Instalaciones 1 (0.14 hh), Oficial Instalaciones (0.14 hh). Equipo: Herrramienta Y Equipo Menor (3.3 %).  Etapa de obra: 6. Instalaciones.</t>
  </si>
  <si>
    <t>TEE PVC PRESION 3/4``</t>
  </si>
  <si>
    <t>TUBERÍA PVC-P 3/4`` RDE11</t>
  </si>
  <si>
    <t>UNION PVC 3/4``</t>
  </si>
  <si>
    <t>CODO 45° PRESIÓN 3/4"</t>
  </si>
  <si>
    <t>CODO PVC 3/4``</t>
  </si>
  <si>
    <t>1.06.23 · SUMINISTRO E INSTALACION DE RED SUMINISTRO TUBERIA PVC-P 1/2" RDE 9   |   Unidad: Metro lineal (ML)   |   Precio: $ 10.181,86</t>
  </si>
  <si>
    <t>Precio por ML. Materiales: Tee Pvc Presion 1/2`` (1 UND), Tubería Pvc-P 1/2`` Rde9 (1.05 ML), Union Pvc Presion Soldar D = 1/2`` (1 UND), Codo 90° Pvc-P 1/2" (1 UND) y 2 más. Mano de obra: Auxiliar De Instalaciones 1 (0.1 hh), Oficial Instalaciones (0.1 hh). Equipo: Herrramienta Y Equipo Menor (3.3 %).  Etapa de obra: 6. Instalaciones.</t>
  </si>
  <si>
    <t>TEE PVC PRESION 1/2``</t>
  </si>
  <si>
    <t>UNION PVC PRESION SOLDAR D = 1/2``</t>
  </si>
  <si>
    <t>CODO 90° PVC-P 1/2"</t>
  </si>
  <si>
    <t>1.06.24 · SUMINISTRO E INSTALREGISTRO CORTINA ROSCADO RED-WHITE 1/2"   |   Unidad: Unidad (UND)   |   Precio: $ 40.704,26</t>
  </si>
  <si>
    <t>Precio por UND. Materiales: Registro Cortina Roscado Red-White 1/2`` (1 UND). Mano de obra: Auxiliar De Instalaciones 1 (0.3 hh), Oficial Instalaciones (0.3 hh). Equipo: Herrramienta Y Equipo Menor (1 %).  Etapa de obra: 6. Instalaciones.</t>
  </si>
  <si>
    <t>REGISTRO CORTINA ROSCADO RED-WHITE 1/2``</t>
  </si>
  <si>
    <t>1.06.25 · SUMINISTRO E INSTALACION DE REGISTROS 1`` EN BRONCE   |   Unidad: Unidad (UND)   |   Precio: $ 81.172,90</t>
  </si>
  <si>
    <t>Precio por UND. Materiales: Registro Cortina Roscado Tipo Red- White Ref. 206 1`` (1 UND). Mano de obra: Auxiliar De Instalaciones 1 (0.7 hh), Oficial Instalaciones (0.7 hh). Equipo: Herrramienta Y Equipo Menor (5 %).  Etapa de obra: 6. Instalaciones.</t>
  </si>
  <si>
    <t>REGISTRO CORTINA ROSCADO TIPO RED- WHITE REF. 206 1``</t>
  </si>
  <si>
    <t>1.06.26 · SUMINISTRO E INSTALACION DE REGISTROS 3/4`` EN BRONCE   |   Unidad: Unidad (UND)   |   Precio: $ 56.598,71</t>
  </si>
  <si>
    <t>Precio por UND. Materiales: Registro Cortina Roscado Red-White 3/4`` (1 UND). Mano de obra: Auxiliar De Instalaciones 1 (0.55 hh), Oficial Instalaciones (0.55 hh). Equipo: Herrramienta Y Equipo Menor (5 %).  Etapa de obra: 6. Instalaciones.</t>
  </si>
  <si>
    <t>1.06.27 · REVENTILACION PVC 3"   |   Unidad: Metro lineal (ML)   |   Precio: $ 24.485,40</t>
  </si>
  <si>
    <t>Precio por ML. Materiales: Tubería Pvc Rev 3`` (1.05 ML), Codo C X C 90° Pvc-S 3" (0.25 UND), Limpiador 1/4 Pvc (0.01 gl), Soldadura Liquida Pvc 1/4`` (0.01 gl). Mano de obra: Auxiliar De Instalaciones 1 (0.4 hh), Oficial Instalaciones (0.4 hh). Equipo: Herrramienta Y Equipo Menor (5 %).  Etapa de obra: 6. Instalaciones.</t>
  </si>
  <si>
    <t>TUBERÍA PVC REV 3``</t>
  </si>
  <si>
    <t>1.06.28 · SALIDA SANITARIA PVC 3"   |   Unidad: Unidad (UND)   |   Precio: $ 120.339,09</t>
  </si>
  <si>
    <t>Precio por UND. Materiales: Tubería Pvc 3`` Sanit (2.75 ML), Yee Sanitaria Sencilla Pvc-S 3`` (1 UND), Codo C X C 90° Pvc-S 3" (1 UND), Codo C X E 45° Pvc-S 3" (1 UND) y 2 más. Mano de obra: Auxiliar De Instalaciones 1 (2 hh), Oficial Instalaciones (1 hh). Equipo: Herrramienta Y Equipo Menor (5 %).  Etapa de obra: 6. Instalaciones.</t>
  </si>
  <si>
    <t>YEE SANITARIA SENCILLA PVC-S 3``</t>
  </si>
  <si>
    <t>CODO C X E 45° PVC-S 3"</t>
  </si>
  <si>
    <t>1.06.29 · SUMINISTRO E INSTALACIÓN CHEQUE RED-W HITE 1 1/2"   |   Unidad: Unidad (UND)   |   Precio: $ 198.646,71</t>
  </si>
  <si>
    <t>Precio por UND. Materiales: Universal Galvanizada 1 1/2`` (1 UND), Cheque Red - Write 1 1/2" (1 UND). Mano de obra: Auxiliar De Instalaciones 1 (0.5 hh), Oficial Instalaciones (0.5 hh). Equipo: Herrramienta Y Equipo Menor (5 %).  Etapa de obra: 6. Instalaciones.</t>
  </si>
  <si>
    <t>UNIVERSAL GALVANIZADA 1 1/2``</t>
  </si>
  <si>
    <t>CHEQUE RED - WRITE 1 1/2"</t>
  </si>
  <si>
    <t>1.06.30 · SUMINISTRO E INSTALACIÓN CHEQUE RED-WHITE 1"   |   Unidad: Unidad (UND)   |   Precio: $ 99.916,53</t>
  </si>
  <si>
    <t>Precio por UND. Materiales: Universal Galvanizada 1`` (1 UND), Cheque Red - Write Roscado 1" (1 UND). Mano de obra: Auxiliar De Instalaciones 1 (0.5 hh), Oficial Instalaciones (0.5 hh). Equipo: Herrramienta Y Equipo Menor (3 %).  Etapa de obra: 6. Instalaciones.</t>
  </si>
  <si>
    <t>UNIVERSAL GALVANIZADA 1``</t>
  </si>
  <si>
    <t>CHEQUE RED - WRITE ROSCADO 1"</t>
  </si>
  <si>
    <t>1.06.31 · SUMINISTRO E INSTALACIÓN DE ACOMETIDA 2" X 3/4" INCLUYE TUBERÍA PF + UAD 3/4" , REGISTRO DE CORTE, COLLAR DERIVACIÓN Y ACCESORIOS COMPLEMENTARIOS PARA SU CONEXIÓN.   |   Unidad: Unidad (UND)   |   Precio: $ 240.191,17</t>
  </si>
  <si>
    <t>Precio por UND. Materiales: Valvula Elastico 3/4`` (1 UND), Codo 90° Presión 3/4" (1 UND), Adaptador Hembra D = 3/4" (1 UND), Collar De Derivacion De 2 * 3/4`` (1 UND) y 4 más. Mano de obra: Auxiliar De Instalaciones 1 (1 hh), Oficial Instalaciones (1 hh). Equipo: Herrramienta Y Equipo Menor (1 %).  Etapa de obra: 6. Instalaciones.</t>
  </si>
  <si>
    <t>VALVULA ELASTICO 3/4``</t>
  </si>
  <si>
    <t>CODO 90° PRESIÓN 3/4"</t>
  </si>
  <si>
    <t>ADAPTADOR HEMBRA D = 3/4"</t>
  </si>
  <si>
    <t>COLLAR DE DERIVACION DE 2 * 3/4``</t>
  </si>
  <si>
    <t>ADAPTADOR HEMBRA UNIÓN PLATINO PF + UAD D = 3/4"</t>
  </si>
  <si>
    <t>LLAVE DE INCORPORACION 3/4``</t>
  </si>
  <si>
    <t>MANGUERA PF+UAD 3/4``</t>
  </si>
  <si>
    <t>REGISTRO DE CORTE BRONCE D=3/4``</t>
  </si>
  <si>
    <t>1.06.32 · SUMINISTRO E INSTALACIÓN DE ACOMETIDA 2" X 1/2" INCLUYE TUBERÍA PF + UAD 1/2", REGISTRO DE CORTE, COLLAR DERIVACIÓN Y ACCESORIOS COMPLEMENTARIOS PARA SU CONEXIÓN.   |   Unidad: Unidad (UND)   |   Precio: $ 99.613,20</t>
  </si>
  <si>
    <t>Precio por UND. Materiales: Codo Presion 90° Pd+uad 1/2`` (1 UND), Adaptador Hembra D = 1/2" (1 UND), Collar De Derivacion De 2 * 1/2`` (1 UND), Adaptador Hembra Unión Platino Pf + Uad D = 1/2" (2 UND) y 3 más. Mano de obra: Auxiliar De Instalaciones 1 (1 hh), Oficial Instalaciones (1 hh). Equipo: Herrramienta Y Equipo Menor (1 %).  Etapa de obra: 6. Instalaciones.</t>
  </si>
  <si>
    <t>CODO PRESION 90° PD+UAD 1/2``</t>
  </si>
  <si>
    <t>COLLAR DE DERIVACION DE 2 * 1/2``</t>
  </si>
  <si>
    <t>ADAPTADOR HEMBRA UNIÓN PLATINO PF + UAD D = 1/2"</t>
  </si>
  <si>
    <t>LLAVE DE PASO 1/2`` RED-WHITE</t>
  </si>
  <si>
    <t>MANGUERA PF+UAD 1/2``</t>
  </si>
  <si>
    <t>REGISTRO DE CORTE BRONCE D=1/2``</t>
  </si>
  <si>
    <t>1.06.33 · SUMINISTRO E INSTALACIÓN DE ACOMETIDA 3" X 3/4" INCLUYE TUBERÍA PF + UAD 3/4" , REGISTRO DE CORTE, COLLAR DERIVACIÓN Y ACCESORIOS COMPLEMENTARIOS PARA SU CONEXIÓN.   |   Unidad: Unidad (UND)   |   Precio: $ 249.074,83</t>
  </si>
  <si>
    <t>Precio por UND. Materiales: Valvula Elastico 3/4`` (1 UND), Codo 90° Presión 3/4" (1 UND), Adaptador Hembra D = 3/4" (1 UND), Collar De Derivacion De 3* 3/4`` (1 UND) y 4 más. Mano de obra: Auxiliar De Instalaciones 1 (1 hh), Oficial Instalaciones (1 hh). Equipo: Herrramienta Y Equipo Menor (1 %).  Etapa de obra: 6. Instalaciones.</t>
  </si>
  <si>
    <t>COLLAR DE DERIVACION DE 3* 3/4``</t>
  </si>
  <si>
    <t>1.06.34 · SUMINISTRO E INSTALACIÓN DE ACOMETIDA 3" X 1/2" INCLUYE TUBERÍA PF + UAD 1/2", REGISTRO DE CORTE, COLLAR DERIVACIÓN Y ACCESORIOS COMPLEMENTARIOS PARA SU CONEXIÓN.   |   Unidad: Unidad (UND)   |   Precio: $ 100.727,87</t>
  </si>
  <si>
    <t>Precio por UND. Materiales: Codo Presion 90° Pd+uad 1/2`` (1 UND), Adaptador Hembra D = 1/2" (1 UND), Collar De Derivacion De 3* 1/2`` (1 UND), Adaptador Hembra Unión Platino Pf + Uad D = 1/2" (1 UND) y 3 más. Mano de obra: Auxiliar De Instalaciones 1 (1 hh), Oficial Instalaciones (1 hh). Equipo: Herrramienta Y Equipo Menor (1 %).  Etapa de obra: 6. Instalaciones.</t>
  </si>
  <si>
    <t>COLLAR DE DERIVACION DE 3* 1/2``</t>
  </si>
  <si>
    <t>1.06.35 · SUMINISTRO E INSTALACIÓN TANQUE ELEVADO PVC 1000 LTS. INC. ACCESORIOS   |   Unidad: Unidad (UND)   |   Precio: $ 431.820,55</t>
  </si>
  <si>
    <t>Precio por UND. Materiales: Tanque Plastico 1000 Lt (1 UND), Tubería Pvc 1`` Rde13.5 (1.05 ML), Tubería Pvc-P 2`` Rde21 (1.05 ML), Cinta Teflon 10 M 1/2" (1 rl) y 4 más. Mano de obra: Auxiliar De Instalaciones 1 (4 hh), Oficial Instalaciones (2 hh). Equipo: Herrramienta Y Equipo Menor (12 %).  Etapa de obra: 6. Instalaciones.</t>
  </si>
  <si>
    <t>TANQUE PLASTICO 1000 LT</t>
  </si>
  <si>
    <t>1.06.36 · SUMINISTRO E INSTALACIÓN TANQUE ELEVADO PVC 2000 LTS. INC. ACCESORIOS   |   Unidad: Unidad (UND)   |   Precio: $ 696.370,55</t>
  </si>
  <si>
    <t>Precio por UND. Materiales: Tanque Plastico 2000 Lt (1 UND), Tubería Pvc 1`` Rde13.5 (1.05 ML), Tubería Pvc-P 2`` Rde21 (1.05 ML), Cinta Teflon 10 M 1/2" (1 rl) y 4 más. Mano de obra: Auxiliar De Instalaciones 1 (4 hh), Oficial Instalaciones (2 hh). Equipo: Herrramienta Y Equipo Menor (12 %).  Etapa de obra: 6. Instalaciones.</t>
  </si>
  <si>
    <t>TANQUE PLASTICO 2000 LT</t>
  </si>
  <si>
    <t>1.06.37 · SUMINISTRO E INSTALACIÓN TANQUE ELEVADO PVC 250 LTS. INCLUYE ACCESORIOS   |   Unidad: Unidad (UND)   |   Precio: $ 221.302,65</t>
  </si>
  <si>
    <t>Precio por UND. Materiales: Tanque Plastico 250 Lt (1 UND), Tubería Pvc 1`` Rde13.5 (1.05 ML), Tubería Pvc-P 2`` Rde21 (1.05 ML), Cinta Teflon 10 M 1/2" (0.7 rl) y 4 más. Mano de obra: Auxiliar De Instalaciones 1 (2.8 hh), Oficial Instalaciones (1.3 hh). Equipo: Herrramienta Y Equipo Menor (12 %).  Etapa de obra: 6. Instalaciones.</t>
  </si>
  <si>
    <t>TANQUE PLASTICO 250 LT</t>
  </si>
  <si>
    <t>1.06.38 · SUMINISTRO E INSTALACIÓN TANQUE ELEVADO PVC 500 LTS. INC. ACCESORIOS   |   Unidad: Unidad (UND)   |   Precio: $ 289.070,55</t>
  </si>
  <si>
    <t>Precio por UND. Materiales: Tanque Plastico 500 Lt (1 UND), Tubería Pvc 1`` Rde13.5 (1.05 ML), Tubería Pvc-P 2`` Rde21 (1.05 ML), Cinta Teflon 10 M 1/2" (1 rl) y 4 más. Mano de obra: Auxiliar De Instalaciones 1 (4 hh), Oficial Instalaciones (2 hh). Equipo: Herrramienta Y Equipo Menor (12 %).  Etapa de obra: 6. Instalaciones.</t>
  </si>
  <si>
    <t>TANQUE PLASTICO 500 LT</t>
  </si>
  <si>
    <t>1.06.39 · SUMINISTRO E INSTALACIÓN TANQUE ELEVADO PVC 5000 LTS. INC. ACCESORIOS   |   Unidad: Unidad (UND)   |   Precio: $ 2.531.109,26</t>
  </si>
  <si>
    <t>Precio por UND. Materiales: Tanque Plastico 5000 Lt (1 UND), Tubería Pvc 1`` Rde13.5 (1.05 ML), Tubería Pvc-P 2`` Rde21 (1.05 ML), Cinta Teflon 10 M 1/2" (1 rl) y 4 más. Mano de obra: Auxiliar De Instalaciones 1 (9 hh), Oficial Instalaciones (3 hh). Equipo: Herrramienta Y Equipo Menor (12 %).  Etapa de obra: 6. Instalaciones.</t>
  </si>
  <si>
    <t>TANQUE PLASTICO 5000 LT</t>
  </si>
  <si>
    <t>1.06.40 · TUBERIA DE 4`` PVC SANITARIA, INCLUYE INSTALACION   |   Unidad: Metro lineal (ML)   |   Precio: $ 30.385,88</t>
  </si>
  <si>
    <t>Precio por ML. Materiales: Tubería San 4```` Pvc (1.03 ML), Limpiador Pvc 760 Grms (0.21 UND), Soldadura Liquida Pvc 1/4`` (0.02 gl). Mano de obra: Auxiliar De Instalaciones 1 (0.12 hh), Oficial Instalaciones (0.12 hh). Equipo: Herrramienta Y Equipo Menor (2.2 %).  Etapa de obra: 6. Instalaciones.</t>
  </si>
  <si>
    <t>TUBERÍA SAN 4```` PVC</t>
  </si>
  <si>
    <t>1.06.41 · TUBERIA DE 6`` PVC SANITARIA, INCLUYE INSTALACION   |   Unidad: Metro lineal (ML)   |   Precio: $ 56.917,16</t>
  </si>
  <si>
    <t>Precio por ML. Materiales: Tubería San 6`` Pvc-160m (1 ML), Limpiador 1/4 Pvc (0.04 gl), Soldadura Liquida Pvc 1/4`` (0.04 gl). Mano de obra: Auxiliar De Instalaciones 1 (0.13 hh), Oficial Instalaciones (0.13 hh). Equipo: Herrramienta Y Equipo Menor (2.2 %).  Etapa de obra: 6. Instalaciones.</t>
  </si>
  <si>
    <t>TUBERÍA SAN 6`` PVC-160M</t>
  </si>
  <si>
    <t>1.06.42 · TUBERIA PVC DRENAJES D= 6`` CON HIDROSELLO, INCLUYE INSTALACIÓN   |   Unidad: Metro lineal (ML)   |   Precio: $ 69.451,90</t>
  </si>
  <si>
    <t>Precio por ML. Materiales: Tubería San 6`` Pvc-160m (1 ML), Hidrosello Novafort 160mm (0.18 UND), Adhesivo Novafort (0.03 gl). Mano de obra: Auxiliar De Obra 2 (0.4 hh), Auxiliar De Instalaciones 1 (0.4 hh), Oficial Instalaciones (0.4 hh). Equipo: Herrramienta Y Equipo Menor (5 %).  Etapa de obra: 6. Instalaciones.</t>
  </si>
  <si>
    <t>HIDROSELLO NOVAFORT 160MM</t>
  </si>
  <si>
    <t>ADHESIVO NOVAFORT</t>
  </si>
  <si>
    <t>Capítulo 1.07 · INSTALACIONES ELÉCTRICAS - LUMINARIAS - LÁMPARAS</t>
  </si>
  <si>
    <t>57 actividades. Cada tabla lista los insumos de una actividad por unidad de obra.</t>
  </si>
  <si>
    <t>1.07.01 · ACOMETIDA AÉREA 10 M/ PVC   |   Unidad: Unidad (UND)   |   Precio: $ 440.243,64</t>
  </si>
  <si>
    <t>Precio por UND. Materiales: Tubería Pvc Conduit 1/2`` (6.3 ML), Tubería Pvc Conduit 1`` (6.3 ML), Caja 60x60x12 Cm (1 UND), Adaptador Terminal 1`` Conduit (3 UND) y 5 más. Mano de obra: Auxiliar De Instalaciones 1 (6 hh), Oficial Instalaciones (6 hh). Equipo: Herrramienta Y Equipo Menor (3.3 %).  Etapa de obra: 6. Instalaciones.</t>
  </si>
  <si>
    <t>TUBERÍA PVC CONDUIT 1/2``</t>
  </si>
  <si>
    <t>TUBERÍA PVC CONDUIT 1``</t>
  </si>
  <si>
    <t>CAJA 60x60x12 CM</t>
  </si>
  <si>
    <t>ADAPTADOR TERMINAL 1`` CONDUIT</t>
  </si>
  <si>
    <t>ADAPTADOR TERMINAL 1/2`` CONDUIT</t>
  </si>
  <si>
    <t>ALAMBRE COBRE THW 10 AWG THHN/NN</t>
  </si>
  <si>
    <t>ALAMBRE COBRE THW 12 AWG THHN/NN</t>
  </si>
  <si>
    <t>1.07.02 · SALIDA BIFÁSICA+ TOMA, TUBO EMT Ø 1/2   |   Unidad: Unidad (UND)   |   Precio: $ 213.993,15</t>
  </si>
  <si>
    <t>Precio por UND. Materiales: Suplemento Caja Doble Met.galv.2400 (1 UND), Tomac. Bif. 20a-250v Pata Trabada (1 UND), Tubería Conduit Galv. Emt 1/2 (6 ML), Unión Conduit Galv. Emt , 1/2 (2 UND) y 4 más. Mano de obra: Auxiliar De Instalaciones 1 (4 hh), Oficial Instalaciones (4 hh). Equipo: Herrramienta Y Equipo Menor (5 %).  Etapa de obra: 6. Instalaciones.</t>
  </si>
  <si>
    <t>SUPLEMENTO CAJA DOBLE MET.GALV.2400</t>
  </si>
  <si>
    <t>TOMAC. BIF. 20A-250V PATA TRABADA</t>
  </si>
  <si>
    <t>TUBERÍA CONDUIT GALV. EMT 1/2</t>
  </si>
  <si>
    <t>UNIÓN CONDUIT GALV. EMT , 1/2</t>
  </si>
  <si>
    <t>CAJA DOBLE MET. GALV. 2400</t>
  </si>
  <si>
    <t>CURVA CONDUIT GALV. EMT Ø 1/2</t>
  </si>
  <si>
    <t>ADAPTADOR TERMINAL EMT 1/2</t>
  </si>
  <si>
    <t>1.07.03 · SALIDA DE VOZ Y DATOS   |   Unidad: Unidad (UND)   |   Precio: $ 41.590,98</t>
  </si>
  <si>
    <t>Precio por UND. Materiales: Toma Jack Rj45-110 Cat. 5e Amp (1 UND), Wall Plate Ajuste Sencillo (1 UND), Placa De Identificación 2x1 Cm (1 UND). Mano de obra: Auxiliar De Instalaciones 1 (0.53 hh), Oficial Instalaciones (0.53 hh). Equipo: Herrramienta Y Equipo Menor (5 %).  Etapa de obra: 6. Instalaciones.</t>
  </si>
  <si>
    <t>TOMA JACK RJ45-110 CAT. 5E AMP</t>
  </si>
  <si>
    <t>WALL PLATE AJUSTE SENCILLO</t>
  </si>
  <si>
    <t>PLACA DE IDENTIFICACIÓN 2X1 CM</t>
  </si>
  <si>
    <t>1.07.04 · SALIDA LAMPARA TOMA PVC COMPLETA   |   Unidad: Unidad (UND)   |   Precio: $ 134.067,74</t>
  </si>
  <si>
    <t>Precio por UND. Materiales: Tubería Pvc Conduit 1/2`` (4 ML), Caja Sencilla Conduit (1 UND), Adaptador Terminal 1/2`` Conduit (3 UND), Interruptor Doble (1 UND) y 5 más. Mano de obra: Auxiliar De Instalaciones 1 (3.5 hh), Oficial Instalaciones (3.5 hh). Equipo: Herrramienta Y Equipo Menor (3.3 %).  Etapa de obra: 6. Instalaciones.</t>
  </si>
  <si>
    <t>CAJA SENCILLA CONDUIT</t>
  </si>
  <si>
    <t>INTERRUPTOR DOBLE</t>
  </si>
  <si>
    <t>ALAMBRE COBRE 14 AWG THHN/THWN</t>
  </si>
  <si>
    <t>ROSETA (PLAFÓN)</t>
  </si>
  <si>
    <t>1.07.05 · SALIDA LAMPARA. CONMUTABLE PVC COMPLETA.   |   Unidad: Unidad (UND)   |   Precio: $ 145.075,74</t>
  </si>
  <si>
    <t>Precio por UND. Materiales: Tubería Pvc Conduit 1/2`` (4 ML), Caja Sencilla Conduit (2 UND), Adaptador Terminal 1/2`` Conduit (3 UND), Interruptor Conm. Doble (1 UND) y 5 más. Mano de obra: Auxiliar De Instalaciones 1 (3.5 hh), Oficial Instalaciones (3.5 hh). Equipo: Herrramienta Y Equipo Menor (3.3 %).  Etapa de obra: 6. Instalaciones.</t>
  </si>
  <si>
    <t>INTERRUPTOR CONM. DOBLE</t>
  </si>
  <si>
    <t>1.07.06 · SALIDA T.V PVC COMPLETA.   |   Unidad: Unidad (UND)   |   Precio: $ 118.215,64</t>
  </si>
  <si>
    <t>Precio por UND. Materiales: Tubería Pvc Conduit 1/2`` (12 ML), Cable Coaxial (16 ML), Caja Sencilla Conduit (1.05 UND), Adaptador Terminal Emt 1/2 (2 UND) y 2 más. Mano de obra: Auxiliar De Instalaciones 1 (2.5 hh), Oficial Instalaciones (2.5 hh). Equipo: Herrramienta Y Equipo Menor (3.3 %).  Etapa de obra: 6. Instalaciones.</t>
  </si>
  <si>
    <t>CABLE COAXIAL</t>
  </si>
  <si>
    <t>1.07.07 · SALIDA TELEFONO PVC COMPLETA   |   Unidad: Unidad (UND)   |   Precio: $ 139.342,05</t>
  </si>
  <si>
    <t>Precio por UND. Materiales: Alambre Telefónico 2x22 Trenzado (10 ML), Alambre Telefónico N 22 Estañado (10 ML), Toma Telefonica (1 UND), Tubería Pvc Conduit 1/2`` (10 ML) y 4 más. Mano de obra: Auxiliar De Instalaciones 1 (3.33 hh), Oficial Instalaciones (3.33 hh). Equipo: Herrramienta Y Equipo Menor (3.3 %).  Etapa de obra: 6. Instalaciones.</t>
  </si>
  <si>
    <t>ALAMBRE TELEFÓNICO 2X22 TRENZADO</t>
  </si>
  <si>
    <t>ALAMBRE TELEFÓNICO N 22 ESTAÑADO</t>
  </si>
  <si>
    <t>TOMA TELEFONICA</t>
  </si>
  <si>
    <t>1.07.08 · SALIDA TIMBRE PVC COMPLETA   |   Unidad: Unidad (UND)   |   Precio: $ 130.574,38</t>
  </si>
  <si>
    <t>Precio por UND. Materiales: Alambre Telefónico 2x22 Trenzado (10 ML), Tubería Pvc Conduit 1/2`` (10 ML), Caja Sencilla Conduit (1.05 UND), Adaptador Terminal Emt 1/2 (2 UND) y 3 más. Mano de obra: Auxiliar De Instalaciones 1 (3.33 hh), Oficial Instalaciones (3.33 hh). Equipo: Herrramienta Y Equipo Menor (3.3 %).  Etapa de obra: 6. Instalaciones.</t>
  </si>
  <si>
    <t>PULSADOR SENCILLO PARA TIMBRE</t>
  </si>
  <si>
    <t>1.07.09 · SALIDA TRIFÁSICA + TOMA, TUBO EMT   |   Unidad: Unidad (UND)   |   Precio: $ 246.920,30</t>
  </si>
  <si>
    <t>Precio por UND. Materiales: Suplemento Caja Doble Met.galv.2400 (1 UND), Toma Trifásica (1 UND), Tubería Conduit Galv. Emt, 3/4 (6 ML), Unión Conduit Galv. Emt , 3/4 (2 UND) y 4 más. Mano de obra: Auxiliar De Instalaciones 1 (6.8 hh), Oficial Instalaciones (3.4 hh). Equipo: Herrramienta Y Equipo Menor (8 %).  Etapa de obra: 6. Instalaciones.</t>
  </si>
  <si>
    <t>TUBERÍA CONDUIT GALV. EMT, 3/4</t>
  </si>
  <si>
    <t>UNIÓN CONDUIT GALV. EMT , 3/4</t>
  </si>
  <si>
    <t>CAJA CUADRADA 10X10X10 cm</t>
  </si>
  <si>
    <t>CURVA CONDUIT GALV. EMT , 3/4</t>
  </si>
  <si>
    <t>ADAPTADOR TERMINAL EMT 3/4</t>
  </si>
  <si>
    <t>1.07.10 · SALIDA TRIFÁSICA + TOMA, TUBO EMT PVC COMPLETA   |   Unidad: Unidad (UND)   |   Precio: $ 207.411,46</t>
  </si>
  <si>
    <t>Precio por UND. Materiales: Suplemento Caja Doble Met.galv.2400 (1 UND), Tubería Conduit Galv. Emt, 3/4 (6 ML), Unión Conduit Galv. Emt , 3/4 (2 UND), Caja Cuadrada 10x10x10 Cm (1 UND) y 5 más. Mano de obra: Auxiliar De Instalaciones 1 (4 hh), Oficial Instalaciones (4 hh). Equipo: Herrramienta Y Equipo Menor (3.3 %).  Etapa de obra: 6. Instalaciones.</t>
  </si>
  <si>
    <t>1.07.11 · SOCKETS + BALASTO P/40 W   |   Unidad: Unidad (UND)   |   Precio: $ 86.896,25</t>
  </si>
  <si>
    <t>Precio por UND. Materiales: Arrancador Tubo Corriente (1 UND), Balasto Mercurio 400w (1 UND), Sockets Dulux Fluorescente (1 UND). Mano de obra: Cuadrilla Instal. Internas (0.5 hc). Equipo: Herrramienta Y Equipo Menor (5 %).  Etapa de obra: 6. Instalaciones.</t>
  </si>
  <si>
    <t>ARRANCADOR TUBO CORRIENTE</t>
  </si>
  <si>
    <t>BALASTO MERCURIO 400W</t>
  </si>
  <si>
    <t>SOCKETS DULUX FLUORESCENTE</t>
  </si>
  <si>
    <t>CUADRILLA INSTAL. INTERNAS</t>
  </si>
  <si>
    <t>1.07.12 · SOCKETS + BALASTO P/48 W   |   Unidad: Unidad (UND)   |   Precio: $ 43.858,25</t>
  </si>
  <si>
    <t>Precio por UND. Materiales: Balasto Mag Slim Line De 2x48w 120v (1 UND), Sockets Dulux Fluorescente (1 UND). Mano de obra: Cuadrilla Instal. Internas (0.5 hc). Equipo: Herrramienta Y Equipo Menor (5 %).  Etapa de obra: 6. Instalaciones.</t>
  </si>
  <si>
    <t>BALASTO MAG SLIM LINE DE 2X48W 120V</t>
  </si>
  <si>
    <t>1.07.13 · SOPORTE PROYECTORES   |   Unidad: Unidad (UND)   |   Precio: $ 85.980,25</t>
  </si>
  <si>
    <t>Precio por UND. Materiales: Soporte Para Reflectores (1 UND). Mano de obra: Cuadrilla Instal. Internas (0.5 hc). Equipo: Herrramienta Y Equipo Menor (5 %).  Etapa de obra: 6. Instalaciones.</t>
  </si>
  <si>
    <t>SOPORTE PARA REFLECTORES</t>
  </si>
  <si>
    <t>1.07.14 · SALIDA TOMA GFCI CABLE12AWG THHN. PVC Ø 1/2 INCLUYE TOMA   |   Unidad: Unidad (UND)   |   Precio: $ 180.229,74</t>
  </si>
  <si>
    <t>Precio por UND. Materiales: Tubería Conduit Pvc 1/2 (2 ML), Tomacorriente Gfci (1 UND), Caja Doble Met. Galv. 2400 (1 UND), Curva Conduit Galv. Emt ø 1/2 (1 UND) y 4 más. Mano de obra: Auxiliar De Instalaciones 1 (3.5 hh), Oficial Instalaciones (3.5 hh). Equipo: Herrramienta Y Equipo Menor (3.3 %).  Etapa de obra: 6. Instalaciones.</t>
  </si>
  <si>
    <t>TUBERÍA CONDUIT PVC 1/2</t>
  </si>
  <si>
    <t>TOMACORRIENTE GFCI</t>
  </si>
  <si>
    <t>1.07.15 · SALIDA TOMA DOBLE CABLE 12AWG HFFR-LS PVC 1/2 COMPLETA   |   Unidad: Unidad (UND)   |   Precio: $ 128.062,74</t>
  </si>
  <si>
    <t>Precio por UND. Materiales: Toma Corriente De Polo Aislado (1 UND), Tubería Conduit Pvc 1/2 (2 ML), Cable De Cobre Aislado 12 Hffr Ls (6 ML), Caja Doble Met. Galv. 2400 (1 UND) y 4 más. Mano de obra: Auxiliar De Instalaciones 1 (3.5 hh), Oficial Instalaciones (3.5 hh). Equipo: Herrramienta Y Equipo Menor (3.3 %).  Etapa de obra: 6. Instalaciones.</t>
  </si>
  <si>
    <t>TOMA CORRIENTE DE POLO AISLADO</t>
  </si>
  <si>
    <t>CABLE DE COBRE AISLADO 12 HFFR LS</t>
  </si>
  <si>
    <t>1.07.16 · SUMINISTRO E INSTALACIÓN PANEL LED INCRUSTAR 12W   |   Unidad: Unidad (UND)   |   Precio: $ 13.883,85</t>
  </si>
  <si>
    <t>Precio por UND. Materiales: Panel Led Incrustar 12w (1 UND). Mano de obra: Auxiliar De Instalaciones 1 (0.03 hh), Oficial Instalaciones (0.03 hh). Equipo: Herrramienta Y Equipo Menor (5 %).  Etapa de obra: 6. Instalaciones.</t>
  </si>
  <si>
    <t>PANEL LED INCRUSTAR 12W</t>
  </si>
  <si>
    <t>1.07.17 · SUMINISTRO E INSTALACIÓN DE LÁMPARA LED HERMÉTICA 2x32W   |   Unidad: Unidad (UND)   |   Precio: $ 121.411,39</t>
  </si>
  <si>
    <t>Precio por UND. Materiales: Clavija Plastica 15a-120v Con Polo A Tierra (1 UND), Lámpara Hermética 2x32 (1 UND), Cable Encauchetado St 3x16 (2 ML). Mano de obra: Auxiliar De Instalaciones 1 (0.3 hh), Oficial Instalaciones (0.3 hh). Equipo: Herrramienta Y Equipo Menor (5 %).  Etapa de obra: 6. Instalaciones.</t>
  </si>
  <si>
    <t>CLAVIJA PLASTICA 15A-120V CON POLO A TIERRA</t>
  </si>
  <si>
    <t>LÁMPARA HERMÉTICA 2X32</t>
  </si>
  <si>
    <t>CABLE ENCAUCHETADO ST 3x16</t>
  </si>
  <si>
    <t>1.07.18 · SUMINISTRO E INSTALACIÓN PANEL LED SOBREPONER 60*60 48W   |   Unidad: Unidad (UND)   |   Precio: $ 97.637,85</t>
  </si>
  <si>
    <t>Precio por UND. Materiales: Lámpara Panel Sobreponer Led 60x60 48w Blanca (1 UND). Mano de obra: Auxiliar De Instalaciones 1 (0.03 hh), Oficial Instalaciones (0.03 hh). Equipo: Herrramienta Y Equipo Menor (5 %).  Etapa de obra: 6. Instalaciones.</t>
  </si>
  <si>
    <t>LÁMPARA PANEL SOBREPONER LED 60X60 48W BLANCA</t>
  </si>
  <si>
    <t>1.07.19 · SUMINISTRO E INSTALACIÓN DE LÁMPARA LED HERMÉTICA 2x18W   |   Unidad: Unidad (UND)   |   Precio: $ 81.953,39</t>
  </si>
  <si>
    <t>Precio por UND. Materiales: Clavija Plastica 15a-120v Con Polo A Tierra (1 UND), Lámpara Hermética Led 2x18 (1 UND), Cable Encauchetado St 3x16 (2 ML). Mano de obra: Auxiliar De Instalaciones 1 (0.3 hh), Oficial Instalaciones (0.3 hh). Equipo: Herrramienta Y Equipo Menor (5 %).  Etapa de obra: 6. Instalaciones.</t>
  </si>
  <si>
    <t>LÁMPARA HERMÉTICA LED 2X18</t>
  </si>
  <si>
    <t>1.07.20 · SUMINISTRO E INSTALACION DE CONTADOR ELECTRICO MONOFASICO   |   Unidad: Unidad (UND)   |   Precio: $ 247.819,73</t>
  </si>
  <si>
    <t>Precio por UND. Materiales: Contador Electrico Monofasico 15 A 20 Amp (1 UND). Mano de obra: Auxiliar De Instalaciones 1 (6 hh), Oficial Instalaciones (6 hh). Equipo: Herrramienta Y Equipo Menor (5 %).  Etapa de obra: 6. Instalaciones.</t>
  </si>
  <si>
    <t>CONTADOR ELECTRICO MONOFASICO 15 A 20 AMP</t>
  </si>
  <si>
    <t>1.07.21 · SUMINISTRO E INSTALACIÓN DE CONTADOR ELECTRICO TRIFASICO   |   Unidad: Unidad (UND)   |   Precio: $ 684.212,02</t>
  </si>
  <si>
    <t>Precio por UND. Materiales: Contador Electrico Trifasico 20 A 80 Amp (1 UN). Mano de obra: Auxiliar De Instalaciones 1 (8 hh), Oficial Instalaciones (8 hh). Equipo: Herrramienta Y Equipo Menor (7 %).  Etapa de obra: 6. Instalaciones.</t>
  </si>
  <si>
    <t>CONTADOR ELECTRICO TRIFASICO 20 A 80 AMP</t>
  </si>
  <si>
    <t>1.07.22 · SUMINISTRO E INSTALACIÓN DE FLUORESCENTE (4P) PLACA   |   Unidad: Unidad (UND)   |   Precio: $ 23.771,70</t>
  </si>
  <si>
    <t>Precio por UND. Materiales: Carga Fulminante Fuerte + Clavo 5/16 B. Vel 1 (4 UND), Perno Alt.vel. 1/4 X 2 (4 UND). Mano de obra: Cuadrilla Instal. Internas (0.75 hc). Equipo: Herrramienta Y Equipo Menor (5 %).  Etapa de obra: 6. Instalaciones.</t>
  </si>
  <si>
    <t>CARGA FULMINANTE FUERTE + CLAVO 5/16 B. VEL 1</t>
  </si>
  <si>
    <t>1.07.23 · SUMINISTRO E INSTALACIÓN DE FLUORESCENTE (6P) PLACA   |   Unidad: Unidad (UND)   |   Precio: $ 32.112,48</t>
  </si>
  <si>
    <t>Precio por UND. Materiales: Carga Fulminante Fuerte + Clavo 5/16 B. Vel 1 (6 UND), Perno Alt.vel. 1/4 X 2 (6 UND). Mano de obra: Cuadrilla Instal. Internas (1 hc). Equipo: Herrramienta Y Equipo Menor (5 %).  Etapa de obra: 6. Instalaciones.</t>
  </si>
  <si>
    <t>1.07.24 · SUMINISTRO E INSTALACIÓN DE LAMPARA 2*48 BAJO PLACA LAMINA LATERAL INDUSTRIAL   |   Unidad: Unidad (UND)   |   Precio: $ 106.010,73</t>
  </si>
  <si>
    <t>Precio por UND. Materiales: Carga Fulm Fuerte 330 (4 UND), Lampara 2*48 Lateral Lamina Industrial (1 UND), Perno Alt.vel. 1/4 X 2 (4 UND). Mano de obra: Auxiliar De Instalaciones 1 (0.5 hh), Oficial Instalaciones (0.5 hh). Equipo: Herrramienta Y Equipo Menor (3.3 %).  Etapa de obra: 6. Instalaciones.</t>
  </si>
  <si>
    <t>LAMPARA 2*48 LATERAL LAMINA INDUSTRIAL</t>
  </si>
  <si>
    <t>1.07.25 · SUMINISTRO E INSTALACIÓN DE LAMPARA 2*96 BAJO PLACA LAMINA LATERAL INDUSTRIAL   |   Unidad: Unidad (UND)   |   Precio: $ 242.823,00</t>
  </si>
  <si>
    <t>Precio por UND. Materiales: Carga Fulminante Fuerte + Clavo 5/16 B. Vel 1 (4 UND), Lampara 2*96 Lateral Lamina Industrial (1 UND), Perno Alt.vel. 1/4 X 2 (4 UND). Mano de obra: Auxiliar De Instalaciones 1 (0.8 hh), Oficial Instalaciones (0.8 hh). Equipo: Herrramienta Y Equipo Menor (3.3 %).  Etapa de obra: 6. Instalaciones.</t>
  </si>
  <si>
    <t>LAMPARA 2*96 LATERAL LAMINA INDUSTRIAL</t>
  </si>
  <si>
    <t>1.07.26 · SUMINISTRO E INSTALACIÓN DE LÁMPARA 2X48 BAJO PLACA   |   Unidad: Unidad (UND)   |   Precio: $ 159.181,57</t>
  </si>
  <si>
    <t>Precio por UND. Materiales: Carga Fulminante Fuerte + Clavo 5/16 B. Vel 1 (4 UND), Lámpara Slim 2x48 X-20km (1 UND), Perno Alt.vel. 1/4 X 2 (4 UND). Mano de obra: Cuadrilla Instal. Internas (0.5 hc). Equipo: Herrramienta Y Equipo Menor (5 %).  Etapa de obra: 6. Instalaciones.</t>
  </si>
  <si>
    <t>LÁMPARA SLIM 2X48 X-20KM</t>
  </si>
  <si>
    <t>1.07.27 · SUMINISTRO E INSTALACIÓN DE LÁMPARA 2X96 BAJO PLACA   |   Unidad: Unidad (UND)   |   Precio: $ 227.312,48</t>
  </si>
  <si>
    <t>Precio por UND. Materiales: Carga Fulminante Fuerte + Clavo 5/16 B. Vel 1 (6 UND), Lámpara Slim 2x96 X-20km (1 UND), Perno Alt.vel. 1/4 X 2 (6 UND). Mano de obra: Cuadrilla Instal. Internas (1 hc). Equipo: Herrramienta Y Equipo Menor (5 %).  Etapa de obra: 6. Instalaciones.</t>
  </si>
  <si>
    <t>LÁMPARA SLIM 2X96 X-20KM</t>
  </si>
  <si>
    <t>1.07.28 · SALIDA LÁMPARA-TOMA / ECONÓMICA   |   Unidad: Unidad (UND)   |   Precio: $ 129.604,00</t>
  </si>
  <si>
    <t>Precio por UND. Materiales: Toma Sencilla Americana (1 UND), Tubería Conduit Pvc 1/2 (5 ML), Caja Sencilla Conduit (2 UND), Adaptador Terminal Conduit 1/2 (3 UND) y 4 más. Mano de obra: Cuadrilla Instal. Internas (2 hc). Equipo: Herrramienta Y Equipo Menor (5 %).  Etapa de obra: 6. Instalaciones.</t>
  </si>
  <si>
    <t>TOMA SENCILLA AMERICANA</t>
  </si>
  <si>
    <t>ADAPTADOR TERMINAL CONDUIT 1/2</t>
  </si>
  <si>
    <t>INTERR. SENCILLO CIVIC CHAMPAGNE O BRONCE PQ X 20</t>
  </si>
  <si>
    <t>1.07.29 · SUMINISTRO E INSTALACIÓN DE LUMINARIA COLONIAL   |   Unidad: Unidad (UND)   |   Precio: $ 532.450,50</t>
  </si>
  <si>
    <t>Precio por UND. Materiales: Farol Colonial 70 W. Sodio (1 UND). Mano de obra: Cuadrilla Instal. Internas (1 hc). Equipo: Herrramienta Y Equipo Menor (5 %).  Etapa de obra: 6. Instalaciones.</t>
  </si>
  <si>
    <t>FAROL COLONIAL 70 W. SODIO</t>
  </si>
  <si>
    <t>1.07.30 · SUMINISTRO E INSTALACIÓN DE LUMINARIA DJK 125 W   |   Unidad: Unidad (UND)   |   Precio: $ 300.870,38</t>
  </si>
  <si>
    <t>Precio por UND. Materiales: Farol Djk 70 W (1 UND). Mano de obra: Cuadrilla Instal. Internas (0.75 hc). Equipo: Herrramienta Y Equipo Menor (5 %).  Etapa de obra: 6. Instalaciones.</t>
  </si>
  <si>
    <t>FAROL DJK 70 W</t>
  </si>
  <si>
    <t>1.07.31 · SUMINISTRO E INSTALACIÓN DE LUMINARIA AP LED 18-35W 5040 lm   |   Unidad: Unidad (UND)   |   Precio: $ 702.137,93</t>
  </si>
  <si>
    <t>Precio por UND. Materiales: Fotocelda Para Luminaria (1 UN), Luminaria Ap Led Street Urban 18-35w 5040lm (1 UN), Brazo Luminaria 3/4 (1 UND), Alambre Cobre Thw 12 Awg Thhn/Nn (4 ML). Mano de obra: Hr. Cuadrilla Of+aux. Eléctrico (1 hc). Equipo: Herrramienta Y Equipo Menor (3.3 %).  Etapa de obra: 6. Instalaciones.</t>
  </si>
  <si>
    <t>FOTOCELDA PARA LUMINARIA</t>
  </si>
  <si>
    <t>LUMINARIA AP LED STREET URBAN 18-35W 5040lm</t>
  </si>
  <si>
    <t>BRAZO LUMINARIA 3/4</t>
  </si>
  <si>
    <t>HR. CUADRILLA OF+AUX. ELÉCTRICO</t>
  </si>
  <si>
    <t>1.07.32 · SUMINISTRO E INSTALACIÓN DE LUMINARIA AP LED 30-60W 8400 lm   |   Unidad: Unidad (UND)   |   Precio: $ 862.734,93</t>
  </si>
  <si>
    <t>Precio por UND. Materiales: Fotocelda Para Luminaria (1 UN), Luminaria Ap Led Street Urban 30-60w 8400lm (1 UN), Brazo Luminaria 3/4 (1 UND), Alambre Cobre Thw 12 Awg Thhn/Nn (4 ML). Mano de obra: Hr. Cuadrilla Of+aux. Eléctrico (1 hc). Equipo: Herrramienta Y Equipo Menor (3.3 %).  Etapa de obra: 6. Instalaciones.</t>
  </si>
  <si>
    <t>LUMINARIA AP LED STREET URBAN 30-60W 8400lm</t>
  </si>
  <si>
    <t>1.07.33 · SUMINISTRO E INSTALACIÓN DE LUMINARIA AP LED 60W 7500 lm   |   Unidad: Unidad (UND)   |   Precio: $ 585.470,93</t>
  </si>
  <si>
    <t>Precio por UND. Materiales: Fotocelda Para Luminaria (1 UN), Luminaria Ap Led 60w 7500lm (1 UN), Brazo Luminaria 3/4 (1 UND), Alambre Cobre Thw 12 Awg Thhn/Nn (4 ML). Mano de obra: Hr. Cuadrilla Of+aux. Eléctrico (1 hc). Equipo: Herrramienta Y Equipo Menor (3.3 %).  Etapa de obra: 6. Instalaciones.</t>
  </si>
  <si>
    <t>LUMINARIA AP LED 60W 7500lm</t>
  </si>
  <si>
    <t>1.07.34 · SUMINISTRO E INSTALACIÓN DE LUMINARIA PARA POSTE   |   Unidad: Unidad (UND)   |   Precio: $ 322.026,00</t>
  </si>
  <si>
    <t>Precio por UND. Materiales: Luminaria Y Jk-A 400w. Sodio (1 UND). Mano de obra: Cuadrilla Instal. Internas (0.75 hc). Equipo: Herrramienta Y Equipo Menor (3.3 %).  Etapa de obra: 6. Instalaciones.</t>
  </si>
  <si>
    <t>LUMINARIA Y JK-A 400W. SODIO</t>
  </si>
  <si>
    <t>1.07.35 · SUMINISTRO E INSTALACIÓN DE LUMINARIA PEDESTAL   |   Unidad: Unidad (UND)   |   Precio: $ 459.960,50</t>
  </si>
  <si>
    <t>Precio por UND. Materiales: Farol De Pedestal 70 W (1 UND). Mano de obra: Cuadrilla Instal. Internas (1 hc). Equipo: Herrramienta Y Equipo Menor (5 %).  Etapa de obra: 6. Instalaciones.</t>
  </si>
  <si>
    <t>FAROL DE PEDESTAL 70 W</t>
  </si>
  <si>
    <t>1.07.36 · SUMINISTRO E INSTALACIÓN DE LUMINARIA SODIO 150 W   |   Unidad: Unidad (UND)   |   Precio: $ 462.014,93</t>
  </si>
  <si>
    <t>Precio por UND. Materiales: Brazo Luminaria 3/4 (1 UND), Lámpara De Sodio De 150w Calima 2 (1 UND), Alambre Cobre Thw 12 Awg Thhn/Nn (4 ML). Mano de obra: Hr. Cuadrilla Of+aux. Eléctrico (1 hc). Equipo: Herrramienta Y Equipo Menor (3.3 %).  Etapa de obra: 6. Instalaciones.</t>
  </si>
  <si>
    <t>LÁMPARA DE SODIO DE 150W CALIMA 2</t>
  </si>
  <si>
    <t>1.07.37 · SUMINISTRO E INSTALACIÓN DE LUMINARIA SODIO 250 W   |   Unidad: Unidad (UND)   |   Precio: $ 529.414,93</t>
  </si>
  <si>
    <t>Precio por UND. Materiales: Brazo Luminaria 3/4 (1 UND), Luminaria Sodio Ltp-Vc 250w (1 UND), Alambre Cobre Thw 12 Awg Thhn/Nn (4 ML). Mano de obra: Hr. Cuadrilla Of+aux. Eléctrico (1 hc). Equipo: Herrramienta Y Equipo Menor (3.3 %).  Etapa de obra: 6. Instalaciones.</t>
  </si>
  <si>
    <t>LUMINARIA SODIO LTP-VC 250W</t>
  </si>
  <si>
    <t>1.07.38 · SUMINISTRO E INSTALACIÓN DE LUMINARIA SODIO 400 W   |   Unidad: Unidad (UND)   |   Precio: $ 539.214,93</t>
  </si>
  <si>
    <t>Precio por UND. Materiales: Brazo Luminaria 3/4 (1 UND), Luminaria Sodio Ltp-Vc 400w (1 UND), Alambre Cobre Thw 12 Awg Thhn/Nn (4 ML). Mano de obra: Hr. Cuadrilla Of+aux. Eléctrico (1 hc). Equipo: Herrramienta Y Equipo Menor (3.3 %).  Etapa de obra: 6. Instalaciones.</t>
  </si>
  <si>
    <t>LUMINARIA SODIO LTP-VC 400W</t>
  </si>
  <si>
    <t>1.07.39 · SUMINISTRO E INSTALACIÓN DE REFLECTOR DE PISO 250 W   |   Unidad: Unidad (UND)   |   Precio: $ 399.060,50</t>
  </si>
  <si>
    <t>Precio por UND. Materiales: Proyector Piso Rra 250 W (1 UND). Mano de obra: Cuadrilla Instal. Internas (1 hc). Equipo: Herrramienta Y Equipo Menor (5 %).  Etapa de obra: 6. Instalaciones.</t>
  </si>
  <si>
    <t>PROYECTOR PISO RRA 250 W</t>
  </si>
  <si>
    <t>1.07.40 · SUMINISTRO E INSTALACIÓN DE REFLECTOR DE PISO 400 W   |   Unidad: Unidad (UND)   |   Precio: $ 521.760,50</t>
  </si>
  <si>
    <t>Precio por UND. Materiales: Proyector Piso Rra 400 W (1 UND). Mano de obra: Cuadrilla Instal. Internas (1 hc). Equipo: Herrramienta Y Equipo Menor (5 %).  Etapa de obra: 6. Instalaciones.</t>
  </si>
  <si>
    <t>PROYECTOR PISO RRA 400 W</t>
  </si>
  <si>
    <t>1.07.41 · SUMINISTRO E INSTALACIÓN DE RIEL ELÉCTRICO 2.34 M   |   Unidad: Unidad (UND)   |   Precio: $ 49.617,29</t>
  </si>
  <si>
    <t>Precio por UND. Materiales: Riel Para 2 Spot Incandescente 60w (1 UND). Mano de obra: Auxiliar De Instalaciones 1 (1 hh), Oficial Instalaciones (1 hh). Equipo: Herrramienta Y Equipo Menor (5 %).  Etapa de obra: 6. Instalaciones.</t>
  </si>
  <si>
    <t>RIEL PARA 2 SPOT INCANDESCENTE 60W</t>
  </si>
  <si>
    <t>1.07.42 · SUMINISTRO E INSTALACIÓN DE ROSETA BAKELITA   |   Unidad: Unidad (UND)   |   Precio: $ 5.208,12</t>
  </si>
  <si>
    <t>Precio por UND. Materiales: Roseta Bakelita (1 UND). Mano de obra: Auxiliar De Instalaciones 1 (0.1 hh), Oficial Instalaciones (0.1 hh). Equipo: Herrramienta Y Equipo Menor (5 %).  Etapa de obra: 6. Instalaciones.</t>
  </si>
  <si>
    <t>ROSETA BAKELITA</t>
  </si>
  <si>
    <t>1.07.43 · SUMINISTRO E INSTALACIÓN DE ROSETA PORCELANA   |   Unidad: Unidad (UND)   |   Precio: $ 4.886,05</t>
  </si>
  <si>
    <t>Precio por UND. Materiales: Roseta Porcelana (1 UND). Mano de obra: Cuadrilla Instal. Internas (0.1 hc). Equipo: Herrramienta Y Equipo Menor (5 %).  Etapa de obra: 6. Instalaciones.</t>
  </si>
  <si>
    <t>ROSETA PORCELANA</t>
  </si>
  <si>
    <t>1.07.44 · SUMINISTRO E INSTALACIÓN DE TABLERO PARCIAL 12 CIRCUITOS.   |   Unidad: Unidad (UND)   |   Precio: $ 355.872,42</t>
  </si>
  <si>
    <t>Precio por UND. Materiales: Tablero Bif. 125a-240v S/Pta., 12 Ctos (1 UND), Placa De Identificación 2x1 Cm (18 UND). Mano de obra: Auxiliar De Instalaciones 1 (4 hh), Oficial Instalaciones (4 hh). Equipo: Herrramienta Y Equipo Menor (3.3 %).  Etapa de obra: 6. Instalaciones.</t>
  </si>
  <si>
    <t>TABLERO BIF. 125A-240V S/PTA., 12 CTOS</t>
  </si>
  <si>
    <t>1.07.45 · SUMINISTRO E INSTALACIÓN DE TABLERO PARCIAL 18 CIRCUITOS.   |   Unidad: Unidad (UND)   |   Precio: $ 349.471,86</t>
  </si>
  <si>
    <t>Precio por UND. Materiales: Tablero Trif .225a, P-C.,esp. Total, 18 Ctos (1 UND), Placa De Identificación 2x1 Cm (18 UND). Mano de obra: Auxiliar De Instalaciones 1 (3 hh), Oficial Instalaciones (3 hh). Equipo: Herrramienta Y Equipo Menor (5 %).  Etapa de obra: 6. Instalaciones.</t>
  </si>
  <si>
    <t>TABLERO TRIF .225A, P-C.,ESP. TOTAL, 18 CTOS</t>
  </si>
  <si>
    <t>1.07.46 · SUMINISTRO E INSTALACIÓN DE TABLERO PARCIALES 4 CIRCUITOS.   |   Unidad: Unidad (UND)   |   Precio: $ 163.298,31</t>
  </si>
  <si>
    <t>Precio por UND. Materiales: Tablero Monof. 125a, 120/127v, 3h, 4 Ctos (1 UND), Placa De Identificación 2x1 Cm (4 UND). Mano de obra: Auxiliar De Instalaciones 1 (3 hh), Oficial Instalaciones (3 hh). Equipo: Herrramienta Y Equipo Menor (3.3 %).  Etapa de obra: 6. Instalaciones.</t>
  </si>
  <si>
    <t>TABLERO MONOF. 125A, 120/127V, 3H, 4 CTOS</t>
  </si>
  <si>
    <t>1.07.47 · SUMINISTRO E INSTALACIÓN DE TUBERIA PVC CONDUIT 1 1/2".   |   Unidad: Metro lineal (ML)   |   Precio: $ 28.612,47</t>
  </si>
  <si>
    <t>Precio por ML. Materiales: Tubería Pvc Conduit 1 1/2`` (1.05 ML), Adaptador Terminal 1 1/2`` Conduit (2 UND), Limpiador 1/4 Pvc (0.01 gl), Soldadura Liquida Pvc 1/4`` (0.01 gl) y 4 más. Mano de obra: Auxiliar De Instalaciones 1 (0.4 hh), Oficial Instalaciones (0.4 hh), Auxiliar De Instalaciones 1 (0.45 hh), Oficial Instalaciones (0.45 hh). Equipo: Herrramienta Y Equipo Menor (3.3 %), Herrramienta Y Equipo Menor (5 %).  Etapa de obra: 6. Instalaciones.</t>
  </si>
  <si>
    <t>TUBERÍA PVC CONDUIT 1 1/2``</t>
  </si>
  <si>
    <t>ADAPTADOR TERMINAL 1 1/2`` CONDUIT</t>
  </si>
  <si>
    <t>1.07.49 · SUMINISTRO E INSTALACIÓN DE TUBERIA PVC CONDUIT 3/4".   |   Unidad: Metro lineal (ML)   |   Precio: $ 16.149,22</t>
  </si>
  <si>
    <t>Precio por ML. Materiales: Tubería Pvc Conduit 3/4`` (1 ML), Adaptador Terminal 3/4`` Conduit (2 UND), Limpiador 1/4 Pvc (0.01 gl), Soldadura Liquida Pvc 1/4`` (0.01 gl). Mano de obra: Auxiliar De Instalaciones 1 (0.4 hh), Oficial Instalaciones (0.4 hh). Equipo: Herrramienta Y Equipo Menor (3.3 %).  Etapa de obra: 6. Instalaciones.</t>
  </si>
  <si>
    <t>TUBERÍA PVC CONDUIT 3/4``</t>
  </si>
  <si>
    <t>ADAPTADOR TERMINAL 3/4`` CONDUIT</t>
  </si>
  <si>
    <t>1.07.50 · SUMINSITO E INTALACIÓN DE CAJA EMPALME 75X75X35MM CABLEADO EST   |   Unidad: Unidad (UND)   |   Precio: $ 345.972,42</t>
  </si>
  <si>
    <t>Precio por UND. Materiales: Caja Empalme 75x75x35mm Cableado Estructurado (1 UND). Mano de obra: Auxiliar De Instalaciones 1 (0.2 hh), Oficial Instalaciones (0.2 hh). Equipo: Herrramienta Y Equipo Menor (6.7 %).  Etapa de obra: 6. Instalaciones.</t>
  </si>
  <si>
    <t>CAJA EMPALME 75X75X35MM CABLEADO ESTRUCTURADO</t>
  </si>
  <si>
    <t>1.07.51 · SUMINSTRO E INSTALACIÓN DE STRIP TELEFONICO 10 PARES   |   Unidad: Unidad (UND)   |   Precio: $ 285.736,74</t>
  </si>
  <si>
    <t>Precio por UND. Materiales: Caja 0,30 X 0,30 X 0,10 (1 UND), Placa De Identificación 2x1 Cm (10 UND), Regleta Strip Telefónico 10 Pares (1 UND), Soldadura Electrica (0.22 kg). Mano de obra: Auxiliar De Instalaciones 1 (4 hh), Oficial Instalaciones (4 hh). Equipo: Herrramienta Y Equipo Menor (3.3 %).  Etapa de obra: 6. Instalaciones.</t>
  </si>
  <si>
    <t>CAJA 0,30 X 0,30 X 0,10</t>
  </si>
  <si>
    <t>REGLETA STRIP TELEFÓNICO 10 PARES</t>
  </si>
  <si>
    <t>SOLDADURA ELECTRICA (SOLDADURA 7018)</t>
  </si>
  <si>
    <t>1.07.52 · TIERRA TABLERO GENERAL (VARILLA COOPER WELL)   |   Unidad: Unidad (UND)   |   Precio: $ 353.950,34</t>
  </si>
  <si>
    <t>Precio por UND. Materiales: Varilla Cw 1/2 X 2.40 (1.05 UND), Cable Cobre Desnudo Awg 1/O (3 ML), Soldadura Exotérmica (1.5 UND). Mano de obra: Auxiliar De Instalaciones 1 (4 hh), Oficial Instalaciones (4 hh). Equipo: Herrramienta Y Equipo Menor (3.3 %).  Etapa de obra: 6. Instalaciones.</t>
  </si>
  <si>
    <t>VARILLA CW 1/2 X 2.40</t>
  </si>
  <si>
    <t>CABLE COBRE DESNUDO AWG 1/O</t>
  </si>
  <si>
    <t>SOLDADURA EXOTÉRMICA</t>
  </si>
  <si>
    <t>1.07.53 · SALIDA PARA INTERRUPTOR SENCILLO CABLE 12AWG THHN COBRE PVC 1/2". INCLUYE INTERRUPTOR   |   Unidad: Unidad (UND)   |   Precio: $ 75.827,95</t>
  </si>
  <si>
    <t>Precio por UND. Materiales: Tubería Conduit Pvc 1/2 (2 ML), Caja Doble Met. Galv. 2400 (1 UND), Curva Conduit Galv. Emt ø 1/2 (2 UND), Adaptador Terminal 1/2`` Conduit (1 UND) y 4 más. Mano de obra: Auxiliar De Instalaciones 1 (2 hh), Oficial Instalaciones (1 hh). Equipo: Herrramienta Y Equipo Menor (5 %).  Etapa de obra: 6. Instalaciones.</t>
  </si>
  <si>
    <t>1.07.54 · SALIDA PARA INTERRUPTOR DOBLE CABLE 12AWG THHN COBRE PVC 1/2". INCLUYE INTERRUPTOR   |   Unidad: Unidad (UND)   |   Precio: $ 71.709,95</t>
  </si>
  <si>
    <t>1.07.55 · SALIDA PARA INTERRUPTOR DOBLE CABLE 12AWG HFFR LS COBRE PVC 1/2". INCLUYE INTERRUPTOR   |   Unidad: Unidad (UND)   |   Precio: $ 71.649,95</t>
  </si>
  <si>
    <t>Precio por UND. Materiales: Tubería Conduit Pvc 1/2 (2 ML), Cable De Cobre Aislado 12 Hffr Ls (6 ML), Caja Doble Met. Galv. 2400 (1 UND), Curva Conduit Galv. Emt ø 1/2 (2 UND) y 4 más. Mano de obra: Auxiliar De Instalaciones 1 (2 hh), Oficial Instalaciones (1 hh). Equipo: Herrramienta Y Equipo Menor (5 %).  Etapa de obra: 6. Instalaciones.</t>
  </si>
  <si>
    <t>1.07.56 · SALIDA PARA INTERRUPTOR SENCILLO CABLE 12AWG HFFR LS COBRE PVC 1/2". INCLUYE INTERRUPTOR   |   Unidad: Unidad (UND)   |   Precio: $ 75.767,95</t>
  </si>
  <si>
    <t>1.07.57 · SALIDA PARA LUMINARIA CABLE 12AWG THHN PVC 1/2.   |   Unidad: Unidad (UND)   |   Precio: $ 125.505,88</t>
  </si>
  <si>
    <t>Precio por UND. Materiales: Tubería Conduit Pvc 1/2 (2 ML), Caja Doble Met. Galv. 2400 (1 UND), Curva Conduit Galv. Emt ø 1/2 (1 UND), Adaptador Terminal 1/2`` Conduit (1 UND) y 3 más. Mano de obra: Auxiliar De Instalaciones 1 (3.5 hh), Oficial Instalaciones (3.5 hh). Equipo: Herrramienta Y Equipo Menor (5 %).  Etapa de obra: 6. Instalaciones.</t>
  </si>
  <si>
    <t>1.07.58 · SALIDA PARA LUMINARIA CABLE 12AWG HFFR LS PVC 1/2".   |   Unidad: Unidad (UND)   |   Precio: $ 119.498,88</t>
  </si>
  <si>
    <t>Precio por UND. Materiales: Tubería Conduit Pvc 1/2 (2 ML), Cable De Cobre Aislado 12 Hffr Ls (6 ML), Caja Sencilla Conduit (1 UND), Curva Conduit Galv. Emt ø 1/2 (1 UND) y 3 más. Mano de obra: Auxiliar De Instalaciones 1 (3.5 hh), Oficial Instalaciones (3.5 hh). Equipo: Herrramienta Y Equipo Menor (5 %).  Etapa de obra: 6. Instalaciones.</t>
  </si>
  <si>
    <t>Capítulo 1.08 · INSTLACIONES DE GAS</t>
  </si>
  <si>
    <t>9 actividades. Cada tabla lista los insumos de una actividad por unidad de obra.</t>
  </si>
  <si>
    <t>1.08.01 · SUMINISTRO E INSTALACION DE ACCESORIO CODO 90° COBRE 1/2   |   Unidad: Unidad (UND)   |   Precio: $ 5.801,75</t>
  </si>
  <si>
    <t>Precio por UND. Materiales: Codo 90 Cobre 1/2 (0.4 UND), Limpiador Fundente Cobre (0.04 lb), Soldadura Estaño De Plata 95,5 (0.02 lb). Mano de obra: Auxiliar De Instalaciones 1 (0.08 hh), Oficial Instalaciones (0.08 hh). Equipo: Herrramienta Y Equipo Menor (3.3 %).  Etapa de obra: 6. Instalaciones.</t>
  </si>
  <si>
    <t>CODO 90 COBRE 1/2</t>
  </si>
  <si>
    <t>LIMPIADOR FUNDENTE COBRE</t>
  </si>
  <si>
    <t>SOLDADURA ESTAÑO DE PLATA 95,5</t>
  </si>
  <si>
    <t>1.08.02 · SUMINISTRO E INSTALACION DE ACCESORIO CODO 90° GALVANIZADO 1/2   |   Unidad: Unidad (UND)   |   Precio: $ 5.287,36</t>
  </si>
  <si>
    <t>Precio por UND. Materiales: Cinta Teflon 10 M 1/2" (0.01 rl), Codo Galvanizado 90° 1/2" (0.4 UND), Sellante Acero Traba Quimica Anaerobica .55 Gr (0.04 UND). Mano de obra: Auxiliar De Instalaciones 1 (0.13 hh), Oficial Instalaciones (0.13 hh). Equipo: Herrramienta Y Equipo Menor (3.3 %).  Etapa de obra: 6. Instalaciones.</t>
  </si>
  <si>
    <t>SELLANTE ACERO TRABA QUIMICA ANAEROBICA .55 GR</t>
  </si>
  <si>
    <t>1.08.03 · SUMINISTRO E INSTALACION DE TUBERÍA ACERO GALVANIZADA 1/2   |   Unidad: Metro lineal (ML)   |   Precio: $ 15.744,01</t>
  </si>
  <si>
    <t>Precio por ML. Materiales: Tubería Galvanizada Sch 40 1/2 (1 ML), Abrazadera Con Recubrimiento En Cobre 1/2 (0.6 UND), Sellante Acero Traba Quimica Anaerobica .55 Gr (0.08 UND). Mano de obra: Auxiliar De Instalaciones 1 (0.08 hh), Oficial Instalaciones (0.08 hh). Equipo: Herrramienta Y Equipo Menor (3.3 %).  Etapa de obra: 6. Instalaciones.</t>
  </si>
  <si>
    <t>TUBERÍA GALVANIZADA SCH 40 1/2</t>
  </si>
  <si>
    <t>ABRAZADERA CON RECUBRIMIENTO EN COBRE 1/2</t>
  </si>
  <si>
    <t>1.08.04 · SUMINISTRO E INSTALACION DE TUBERÍA COBRE 1/2   |   Unidad: Metro lineal (ML)   |   Precio: $ 20.781,08</t>
  </si>
  <si>
    <t>Precio por ML. Materiales: Tubería De Cobre Tipo L 1/2 (1 ML), Abrazadera Con Recubrimiento En Cobre 1/2 (0.6 UND), Limpiador Fundente Cobre (0.04 lb), Soldadura Estaño De Plata 95,5 (0.02 lb). Mano de obra: Auxiliar De Instalaciones 1 (0.08 hh), Oficial Instalaciones (0.08 hh). Equipo: Herrramienta Y Equipo Menor (3.3 %).  Etapa de obra: 6. Instalaciones.</t>
  </si>
  <si>
    <t>TUBERÍA DE COBRE TIPO L 1/2</t>
  </si>
  <si>
    <t>1.08.05 · SUMINISTRO E INSTALACION DE VALVULA DE BOLA GAS 1/2   |   Unidad: Unidad (UND)   |   Precio: $ 14.308,92</t>
  </si>
  <si>
    <t>Precio por UND. Materiales: Válvula De Bola 1/2 (1 UND), Sellante Acero Traba Quimica Anaerobica .55 Gr (0.15 UND). Mano de obra: Auxiliar De Instalaciones 1 (0.08 hh), Oficial Instalaciones (0.08 hh). Equipo: Herrramienta Y Equipo Menor (3.3 %).  Etapa de obra: 6. Instalaciones.</t>
  </si>
  <si>
    <t>VÁLVULA DE BOLA 1/2</t>
  </si>
  <si>
    <t>1.08.06 · SUMINISTRO E INSTALACION DE ACCESORIO TEE COBRE 1/2   |   Unidad: Unidad (UND)   |   Precio: $ 6.857,28</t>
  </si>
  <si>
    <t>Precio por UND. Materiales: Tee Cobre 1/2 (1 UND), Limpiador Fundente Cobre (0.04 lb), Soldadura Estaño De Plata 95,5 (0.02 lb). Mano de obra: Auxiliar De Instalaciones 1 (0.08 hh), Oficial Instalaciones (0.08 hh). Equipo: Herrramienta Y Equipo Menor (3.3 %).  Etapa de obra: 6. Instalaciones.</t>
  </si>
  <si>
    <t>TEE COBRE 1/2</t>
  </si>
  <si>
    <t>1.08.07 · SUMINISTRO E INSTALACION DE ACCESORIO TEE GALVANIZADO 1/2   |   Unidad: Unidad (UND)   |   Precio: $ 5.863,56</t>
  </si>
  <si>
    <t>Precio por UND. Materiales: Tee Galvanizada 1/2 (1 UND), Cinta Teflon 10 M 1/2" (0.01 rl), Sellante Acero Traba Quimica Anaerobica .55 Gr (0.04 UND). Mano de obra: Auxiliar De Instalaciones 1 (0.13 hh), Oficial Instalaciones (0.13 hh). Equipo: Herrramienta Y Equipo Menor (3.3 %).  Etapa de obra: 6. Instalaciones.</t>
  </si>
  <si>
    <t>TEE GALVANIZADA 1/2</t>
  </si>
  <si>
    <t>1.08.08 · SUMINISTRO E INSTALACION DE ACCESORIO UNION COBRE 1/2   |   Unidad: Unidad (UND)   |   Precio: $ 6.406,28</t>
  </si>
  <si>
    <t>Precio por UND. Materiales: Unión Cobre 1/2 (1 UND), Limpiador Fundente Cobre (0.04 lb), Soldadura Estaño De Plata 95,5 (0.02 lb). Mano de obra: Auxiliar De Instalaciones 1 (0.08 hh), Oficial Instalaciones (0.08 hh). Equipo: Herrramienta Y Equipo Menor (3.3 %).  Etapa de obra: 6. Instalaciones.</t>
  </si>
  <si>
    <t>UNIÓN COBRE 1/2</t>
  </si>
  <si>
    <t>1.08.09 · SUMINISTRO E INSTALACION DE ACCESORIO UNION GALVANIZADO 1/2   |   Unidad: Unidad (UND)   |   Precio: $ 6.795,23</t>
  </si>
  <si>
    <t>Precio por UND. Materiales: Unión Galvanizada 1/2 (1 UND), Cinta Teflon 10 M 1/2" (0.01 rl), Sellante Acero Traba Quimica Anaerobica .55 Gr (0.04 UND). Mano de obra: Auxiliar De Instalaciones 1 (0.13 hh), Oficial Instalaciones (0.13 hh). Equipo: Herrramienta Y Equipo Menor (3.3 %).  Etapa de obra: 6. Instalaciones.</t>
  </si>
  <si>
    <t>UNIÓN GALVANIZADA 1/2</t>
  </si>
  <si>
    <t>Capítulo 1.09 · PINTURA</t>
  </si>
  <si>
    <t>23 actividades. Cada tabla lista los insumos de una actividad por unidad de obra.</t>
  </si>
  <si>
    <t>1.09.01 · ADHERENTE EPOXICO SIKADUR 32   |   Unidad: Metro cuadrado (M2)   |   Precio: $ 63.113,76</t>
  </si>
  <si>
    <t>Precio por M2. Materiales: Adherente Epoxico Sikadur 32 (0.6 kg). Mano de obra: Auxiliar De Obra 2 (0.2 hh), Oficial Obra 1 (0.15 hh). Equipo: Herrramienta Y Equipo Menor (5.6 %).  Etapa de obra: 8. Acabados.</t>
  </si>
  <si>
    <t>1.09.02 · CARBURO SOBRE PAÑETE BAJO PLACA   |   Unidad: Metro cuadrado (M2)   |   Precio: $ 11.473,77</t>
  </si>
  <si>
    <t>Precio por M2. Materiales: Cal (2.25 kg), Agua (1 lt). Mano de obra: Auxiliar De Pintura 1 (0.21 hh), Oficial Pintura (0.21 hh). Equipo: Andamio Tubular Normalizado, Tipo Multidireccional, De Acero Galvanizado En Caliente, Según Iso 9001. (0.11 dd), Herrramienta Y Equipo Menor (12 %).  Etapa de obra: 8. Acabados.</t>
  </si>
  <si>
    <t>AUXILIAR DE PINTURA 1 ( C )</t>
  </si>
  <si>
    <t>OFICIAL PINTURA (C)</t>
  </si>
  <si>
    <t>1.09.03 · CARBURO SOBRE PAÑETE EN MUROS   |   Unidad: Metro cuadrado (M2)   |   Precio: $ 7.612,00</t>
  </si>
  <si>
    <t>Precio por M2. Materiales: Cal (1.75 kg), Agua (0.5 lt). Mano de obra: Auxiliar De Pintura 1 (0.19 hh), Oficial Pintura (0.19 hh). Equipo: Herrramienta Y Equipo Menor (12 %).  Etapa de obra: 8. Acabados.</t>
  </si>
  <si>
    <t>1.09.04 · ESMALTE LAMINA LINEAL 3 MANOS   |   Unidad: Metro lineal (ML)   |   Precio: $ 5.545,06</t>
  </si>
  <si>
    <t>Precio por ML. Materiales: Disolvente Thiner (0.01 gl), Lija (0.16 UND), Pintura Esmalte Sintetico Tipo Ii (0.02 gl). Mano de obra: Auxiliar De Pintura 1 (0.15 hh), Oficial Pintura (0.15 hh). Equipo: Herrramienta Y Equipo Menor (5 %).  Etapa de obra: 8. Acabados.</t>
  </si>
  <si>
    <t>DISOLVENTE THINER</t>
  </si>
  <si>
    <t>PINTURA ESMALTE SINTETICO TIPO II</t>
  </si>
  <si>
    <t>1.09.05 · ESMALTE LAMINA LLENA 3 MANOS   |   Unidad: Metro cuadrado (M2)   |   Precio: $ 12.551,38</t>
  </si>
  <si>
    <t>Precio por M2. Materiales: Disolvente Thiner (0.03 gl), Lija (0.4 UND), Pintura Esmalte Sintetico Tipo Ii (0.04 gl). Mano de obra: Auxiliar De Pintura 1 (0.33 hh), Oficial Pintura (0.33 hh). Equipo: Herrramienta Y Equipo Menor (4 %).  Etapa de obra: 8. Acabados.</t>
  </si>
  <si>
    <t>1.09.06 · ESMALTE MADERA LINEAL 3 MANOS   |   Unidad: Metro lineal (ML)   |   Precio: $ 4.366,99</t>
  </si>
  <si>
    <t>Precio por ML. Materiales: Barniz Tapa Poro (0.01 gl), Disolvente Thiner (0.02 gl), Lija (0.2 UND), Pintura Esmalte Sintetico Tipo Ii (0.03 gl). Mano de obra: Auxiliar De Pintura 1 (0.07 hh), Oficial Pintura (0.07 hh). Equipo: Herrramienta Y Equipo Menor (6 %).  Etapa de obra: 8. Acabados.</t>
  </si>
  <si>
    <t>BARNIZ TAPA PORO</t>
  </si>
  <si>
    <t>1.09.07 · ESMALTE MADERA LLENA 3 MANOS   |   Unidad: Metro cuadrado (M2)   |   Precio: $ 14.912,61</t>
  </si>
  <si>
    <t>Precio por M2. Materiales: Barniz Tapa Poro (0.02 gl), Disolvente Thiner (0.02 gl), Lija (1.05 UND), Pintura Esmalte Sintetico Tipo Ii (0.05 gl). Mano de obra: Auxiliar De Pintura 1 (0.35 hh), Oficial Pintura (0.35 hh). Equipo: Herrramienta Y Equipo Menor (6 %).  Etapa de obra: 8. Acabados.</t>
  </si>
  <si>
    <t>1.09.08 · ESMALTE MARCOS LAMINA 3 MANOS   |   Unidad: Metro cuadrado (M2)   |   Precio: $ 11.058,25</t>
  </si>
  <si>
    <t>Precio por M2. Materiales: Disolvente Thiner (0.02 gl), Lija (0.2 UND), Pintura Esmalte Sintetico Tipo Ii (0.04 gl), Revestimento Marmoplast Fachada (1 M2). Mano de obra: Auxiliar De Pintura 1 (0.28 hh), Oficial Pintura (0.28 hh), Auxiliar De Pintura 1 (0.17 hh), Oficial Pintura (0.17 hh). Equipo: Herrramienta Y Equipo Menor (10 %), Herrramienta Y Equipo Menor (4 %).  Etapa de obra: 8. Acabados.</t>
  </si>
  <si>
    <t>REVESTIMENTO MARMOPLAST FACHADA</t>
  </si>
  <si>
    <t>1.09.09 · ESMALTE MARCOS MADERA 3 MANOS   |   Unidad: Metro lineal (ML)   |   Precio: $ 11.870,85</t>
  </si>
  <si>
    <t>Precio por ML. Materiales: Barniz Tapa Poro (0.03 gl), Disolvente Thiner (0.02 gl), Lija (0.75 UND), Pintura Esmalte Sintetico Tipo Ii (0.03 gl). Mano de obra: Auxiliar De Pintura 1 (0.28 hh), Oficial Pintura (0.28 hh). Equipo: Herrramienta Y Equipo Menor (5 %).  Etapa de obra: 8. Acabados.</t>
  </si>
  <si>
    <t>1.09.10 · ESTUCO BAJO PLACA   |   Unidad: Metro cuadrado (M2)   |   Precio: $ 17.730,76</t>
  </si>
  <si>
    <t>Precio por M2. Materiales: Yeso Corriente (0.03 bt), Caolin * 40 Kg (0.12 bt), Cemento Gris (0.35 kg), Lija (0.1 UND). Mano de obra: Auxiliar De Obra 2 (0.22 hh), Oficial Obra 1 (0.22 hh). Equipo: Andamio Tubular Normalizado, Tipo Multidireccional, De Acero Galvanizado En Caliente, Según Iso 9001. (0.35 dd).  Etapa de obra: 8. Acabados.</t>
  </si>
  <si>
    <t>YESO CORRIENTE</t>
  </si>
  <si>
    <t>bt</t>
  </si>
  <si>
    <t>CAOLIN * 40 KG</t>
  </si>
  <si>
    <t>1.09.11 · ESTUCO MUROS   |   Unidad: Metro cuadrado (M2)   |   Precio: $ 8.079,58</t>
  </si>
  <si>
    <t>Precio por M2. Materiales: Yeso Corriente (0.01 bt), Caolin * 40 Kg (0.09 bt), Cemento Gris (0.26 kg), Lija (0.1 UND). Mano de obra: Auxiliar De Obra 2 (0.21 hh), Oficial Obra 1 (0.21 hh). Equipo: Herrramienta Y Equipo Menor (10 %).  Etapa de obra: 8. Acabados.</t>
  </si>
  <si>
    <t>1.09.12 · ESTUCO Y VINILO TRES MANOS BAJO PLACA   |   Unidad: Metro cuadrado (M2)   |   Precio: $ 22.298,98</t>
  </si>
  <si>
    <t>Precio por M2. Materiales: Yeso Corriente (0.03 bt), Caolin * 40 Kg (0.15 bt), Cemento Gris (0.32 kg), Lija (0.02 UND) y 1 más. Mano de obra: Auxiliar De Obra 2 (0.3 hh), Oficial Obra 1 (0.3 hh). Equipo: Andamio Tubular Normalizado, Tipo Multidireccional, De Acero Galvanizado En Caliente, Según Iso 9001. (0.3 dd), Herrramienta Y Equipo Menor (12 %).  Etapa de obra: 8. Acabados.</t>
  </si>
  <si>
    <t>1.09.13 · ESTUCO Y VINILO TRES MANOS EN MUROS   |   Unidad: Metro cuadrado (M2)   |   Precio: $ 12.641,78</t>
  </si>
  <si>
    <t>Precio por M2. Materiales: Yeso Corriente (0.01 bt), Caolin * 40 Kg (0.09 bt), Cemento Gris (0.26 kg), Lija (0.04 UND) y 1 más. Mano de obra: Auxiliar De Obra 2 (0.3 hh), Oficial Obra 1 (0.3 hh). Equipo: Herrramienta Y Equipo Menor (12 %).  Etapa de obra: 8. Acabados.</t>
  </si>
  <si>
    <t>1.09.14 · FILOS Y DILATACIONES EN ESTUCO   |   Unidad: Metro lineal (ML)   |   Precio: $ 6.962,45</t>
  </si>
  <si>
    <t>Precio por ML. Materiales: Yeso Corriente (0.03 bt), Cemento Gris (0.25 kg), Lija (0.02 UND). Mano de obra: Auxiliar De Pintura 1 (0.2 hh), Oficial Pintura (0.2 hh). Equipo: Herrramienta Y Equipo Menor (10 %).  Etapa de obra: 8. Acabados.</t>
  </si>
  <si>
    <t>1.09.15 · MARMOLINA SOBRE PAÑETE.   |   Unidad: Metro cuadrado (M2)   |   Precio: $ 15.755,73</t>
  </si>
  <si>
    <t>Precio por M2. Materiales: Carburo No.2 (0.2 kg), Cemento Blanco (1.05 kg), Marmolina Bto 48 Kg (0.36 bt), Agua (0.5 lt). Mano de obra: Auxiliar De Pintura 1 (0.2 hh), Oficial Pintura (0.2 hh). Equipo: Herrramienta Y Equipo Menor (12 %).  Etapa de obra: 8. Acabados.</t>
  </si>
  <si>
    <t>CARBURO NO.2</t>
  </si>
  <si>
    <t>MARMOLINA BTO 48 KG</t>
  </si>
  <si>
    <t>1.09.16 · MARMOPLAST FACHADA   |   Unidad: Metro cuadrado (M2)   |   Precio: $ 18.539,16</t>
  </si>
  <si>
    <t>Precio por M2. Materiales: Revestimento Marmoplast Fachada (1 M2). Mano de obra: Auxiliar De Pintura 1 (0.23 hh), Oficial Pintura (0.23 hh). Equipo: Herrramienta Y Equipo Menor (5 %).  Etapa de obra: 8. Acabados.</t>
  </si>
  <si>
    <t>1.09.17 · PINTURA FACHADA EN VINILO PARA EXTERIORES   |   Unidad: Metro cuadrado (M2)   |   Precio: $ 14.045,29</t>
  </si>
  <si>
    <t>Precio por M2. Materiales: Pintura Vinilo Para Exterior (0.05 gl). Mano de obra: Auxiliar De Pintura 1 (0.3 hh), Oficial Pintura (0.3 hh). Equipo: Andamio Tubular Normalizado, Tipo Multidireccional, De Acero Galvanizado En Caliente, Según Iso 9001. (0.1 dd), Herrramienta Y Equipo Menor (5 %).  Etapa de obra: 8. Acabados.</t>
  </si>
  <si>
    <t>PINTURA VINILO PARA EXTERIOR</t>
  </si>
  <si>
    <t>1.09.18 · VINILO TIPO I SOBRE PAÑETE TRES MANOS SOBRE ESTUCO   |   Unidad: Metro cuadrado (M2)   |   Precio: $ 8.284,07</t>
  </si>
  <si>
    <t>Precio por M2. Materiales: Vinilo Tipo I (0.06 gl), Lija (0.1 UND), Agua (0.03 lt). Mano de obra: Auxiliar De Pintura 1 (0.15 hh), Oficial Pintura (0.15 hh). Equipo: Herrramienta Y Equipo Menor (12 %).  Etapa de obra: 8. Acabados.</t>
  </si>
  <si>
    <t>VINILO TIPO I</t>
  </si>
  <si>
    <t>1.09.19 · TINTILLA SOBRE MADERA LINEAL   |   Unidad: Metro lineal (ML)   |   Precio: $ 3.923,57</t>
  </si>
  <si>
    <t>Precio por ML. Materiales: Tintilla Para Madera Café (0.02 gl), Barniz Tapa Poro (0.01 gl), Lija (0.16 UND). Mano de obra: Auxiliar De Pintura 1 (0.09 hh), Oficial Pintura (0.09 hh). Equipo: Herrramienta Y Equipo Menor (5 %).  Etapa de obra: 8. Acabados.</t>
  </si>
  <si>
    <t>TINTILLA PARA MADERA CAFÉ</t>
  </si>
  <si>
    <t>1.09.20 · TINTILLA SOBRE MADERA LLENA   |   Unidad: Metro cuadrado (M2)   |   Precio: $ 12.617,43</t>
  </si>
  <si>
    <t>Precio por M2. Materiales: Tintilla Para Madera Café (0.02 gl), Barniz Tapa Poro (0.02 gl), Lija (0.5 UND). Mano de obra: Auxiliar De Pintura 1 (0.35 hh), Oficial Pintura (0.35 hh). Equipo: Herrramienta Y Equipo Menor (5 %).  Etapa de obra: 8. Acabados.</t>
  </si>
  <si>
    <t>1.09.21 · TINTILLA SOBRE MUEBLES   |   Unidad: Metro lineal (ML)   |   Precio: $ 52.664,07</t>
  </si>
  <si>
    <t>Precio por ML. Materiales: Tintilla Para Madera Café (0.18 gl), Barniz Tapa Poro (0.11 gl), Lija (3.15 UND). Mano de obra: Auxiliar De Pintura 1 (1.23 hh), Oficial Pintura (1.23 hh). Equipo: Herrramienta Y Equipo Menor (5 %).  Etapa de obra: 8. Acabados.</t>
  </si>
  <si>
    <t>1.09.22 · VINILO TIPO II SOBRE PAÑETE DOS MANOS BAJO PLACA   |   Unidad: Metro cuadrado (M2)   |   Precio: $ 14.931,95</t>
  </si>
  <si>
    <t>Precio por M2. Materiales: Pintura Vinilo Tipo Ii (0.06 gl). Mano de obra: Auxiliar De Pintura 1 (0.17 hh), Oficial Pintura (0.17 hh). Equipo: Andamio Tubular Normalizado, Tipo Multidireccional, De Acero Galvanizado En Caliente, Según Iso 9001. (0.3 dd), Herrramienta Y Equipo Menor (12 %).  Etapa de obra: 8. Acabados.</t>
  </si>
  <si>
    <t>PINTURA VINILO TIPO II</t>
  </si>
  <si>
    <t>1.09.23 · VINILO TIPO II SOBRE PAÑETE DOS MANOS EN MUROS   |   Unidad: Metro cuadrado (M2)   |   Precio: $ 6.089,26</t>
  </si>
  <si>
    <t>Precio por M2. Materiales: Pintura Vinilo Tipo Ii (0.04 gl). Mano de obra: Auxiliar De Pintura 1 (0.15 hh), Oficial Pintura (0.15 hh). Equipo: Herrramienta Y Equipo Menor (12 %).  Etapa de obra: 8. Acabados.</t>
  </si>
  <si>
    <t>Capítulo 1.10 · ENCHAPES</t>
  </si>
  <si>
    <t>21 actividades. Cada tabla lista los insumos de una actividad por unidad de obra.</t>
  </si>
  <si>
    <t>1.10.01 · SUMINISTRO E INSTALACION DE ENCHAPE EN PIEDRA CREMA   |   Unidad: Metro cuadrado (M2)   |   Precio: $ 124.099,92</t>
  </si>
  <si>
    <t>Precio por M2. Materiales: Arena De Peña (0.04 M3), Cemento Blanco (0.51 kg), Cemento Gris (9.41 kg), Enchape Piedra Crema E=20mm (1.03 M2) y 1 más. Mano de obra: Auxiliar De Obra 2 (1.3 hh), Oficial Obra 1 (1.3 hh). Equipo: Andamio Tubular Normalizado, Tipo Multidireccional, De Acero Galvanizado En Caliente, Según Iso 9001. (0.25 dd), Herrramienta Y Equipo Menor (3.3 %).  Etapa de obra: 8. Acabados.</t>
  </si>
  <si>
    <t>ENCHAPE PIEDRA CREMA E=20MM</t>
  </si>
  <si>
    <t>1.10.02 · SUMINISTRO E INSTALACION DE ENCHAPE EN PIEDRA MUÑECA   |   Unidad: Metro cuadrado (M2)   |   Precio: $ 165.380,59</t>
  </si>
  <si>
    <t>Precio por M2. Materiales: Arena Lavada De Río (0.04 M3), Cemento Blanco (0.51 kg), Cemento Gris (9.41 kg), Enchape Piedra Muñeca E=20 Mm (1.03 M2) y 1 más. Mano de obra: Auxiliar De Obra 2 (1.3 hh), Oficial Obra 1 (1.3 hh). Equipo: Andamio Tubular Normalizado, Tipo Multidireccional, De Acero Galvanizado En Caliente, Según Iso 9001. (0.25 dd), Herrramienta Y Equipo Menor (3.3 %).  Etapa de obra: 8. Acabados.</t>
  </si>
  <si>
    <t>ENCHAPE PIEDRA MUÑECA E=20 MM</t>
  </si>
  <si>
    <t>1.10.03 · SUMINISTRO E INSTALACION DE ENCHAPE EN PIEDRA SANTA ROSEÑA O SIMILAR   |   Unidad: Metro cuadrado (M2)   |   Precio: $ 107.407,04</t>
  </si>
  <si>
    <t>Precio por M2. Materiales: Arena Lavada De Río (0.04 M3), Cemento Blanco (0.51 kg), Cemento Gris (9.41 kg), Enchape Piedra Santa Roseña (1.03 M2) y 1 más. Mano de obra: Auxiliar De Obra 2 (1.3 hh), Oficial Obra 1 (1.3 hh). Equipo: Andamio Tubular Normalizado, Tipo Multidireccional, De Acero Galvanizado En Caliente, Según Iso 9001. (0.25 dd), Herrramienta Y Equipo Menor (3.3 %).  Etapa de obra: 8. Acabados.</t>
  </si>
  <si>
    <t>ENCHAPE PIEDRA SANTA ROSEÑA</t>
  </si>
  <si>
    <t>1.10.04 · SUMINISTRO E INSTALACION DE ENCHAPE EN PORCELANA ATLANTIS O SIMILAR 20*20   |   Unidad: Metro cuadrado (M2)   |   Precio: $ 53.375,91</t>
  </si>
  <si>
    <t>Precio por M2. Materiales: Cemento Blanco (0.7 kg), Enchape Porcelana 56.6*56.6 (1.05 M2), Hilasa (0.5 kg), Pegacor (3.15 kg) y 1 más. Mano de obra: Auxiliar De Obra 2 (0.8 hh), Oficial Obra 1 (0.8 hh). Equipo: Herrramienta Y Equipo Menor (3.3 %).  Etapa de obra: 8. Acabados.</t>
  </si>
  <si>
    <t>ENCHAPE PORCELANA 56.6*56.6</t>
  </si>
  <si>
    <t>HILASA</t>
  </si>
  <si>
    <t>PEGACOR</t>
  </si>
  <si>
    <t>1.10.05 · SUMINISTRO E INSTALACION DE ENCHAPE EN PORCELANA OLIMPIA 20X20 O SIMILAR   |   Unidad: Metro cuadrado (M2)   |   Precio: $ 52.392,21</t>
  </si>
  <si>
    <t>Precio por M2. Materiales: Cemento Blanco (0.7 kg), Enchape Porcelana 20*20 (1.05 M2), Hilasa (0.5 kg), Pegacor (3.15 kg) y 1 más. Mano de obra: Auxiliar De Obra 2 (0.74 hh), Oficial Obra 1 (0.73 hh). Equipo: Herrramienta Y Equipo Menor (3.3 %).  Etapa de obra: 8. Acabados.</t>
  </si>
  <si>
    <t>ENCHAPE PORCELANA 20*20</t>
  </si>
  <si>
    <t>1.10.06 · SUMINISTRO E INSTALACION DE ESPACATO TRAVERTINO   |   Unidad: Metro cuadrado (M2)   |   Precio: $ 213.141,93</t>
  </si>
  <si>
    <t>Precio por M2. Materiales: Spacato (1.03 M2), Arena De Peña (0.2 M3), Cemento Gris (8.31 kg), Agua (2.85 lt). Mano de obra: Auxiliar De Obra 2 (1.6 hh), Oficial Obra 1 (1.6 hh). Equipo: Herrramienta Y Equipo Menor (3.3 %).  Etapa de obra: 8. Acabados.</t>
  </si>
  <si>
    <t>SPACATO</t>
  </si>
  <si>
    <t>1.10.07 · SUMINISTRO E INSTALACION DE INCRUSTACIONES 3 PIEZAS EN PORCELANA COLOR BLANCO   |   Unidad: Juego (jgo)   |   Precio: $ 90.199,58</t>
  </si>
  <si>
    <t>Precio por jgo. Materiales: Cemento Blanco (1.54 kg), Juego Incrustaciones 3 Piezas (1 UND). Mano de obra: Auxiliar De Obra 2 (2 hh), Oficial Obra 1 (2 hh). Equipo: Herrramienta Y Equipo Menor (3.3 %).  Etapa de obra: 8. Acabados.</t>
  </si>
  <si>
    <t>JUEGO INCRUSTACIONES 3 PIEZAS</t>
  </si>
  <si>
    <t>1.10.08 · SUMINISTRO E INSTALACION DE INCRUSTACIONES 6 PIEZAS EN PORCELANA COLOR BLANCO   |   Unidad: Juego (jgo)   |   Precio: $ 150.249,58</t>
  </si>
  <si>
    <t>Precio por jgo. Materiales: Cemento Blanco (1.54 kg), Juego Incrustaciones 6 Piezas (1 UND). Mano de obra: Auxiliar De Obra 2 (2 hh), Oficial Obra 1 (2 hh). Equipo: Herrramienta Y Equipo Menor (3.3 %).  Etapa de obra: 8. Acabados.</t>
  </si>
  <si>
    <t>JUEGO INCRUSTACIONES 6 PIEZAS</t>
  </si>
  <si>
    <t>1.10.09 · SUMINNISTRO E INSTALACION DE INCRUSTACIONES 8 PIEZAS EN PORCELANA COLOR BLANCO   |   Unidad: Juego (jgo)   |   Precio: $ 194.970,29</t>
  </si>
  <si>
    <t>Precio por jgo. Materiales: Cemento Blanco (1.54 kg), Juego Incrustaciones 8 Piezas En Porcelana (1 UND). Mano de obra: Auxiliar De Obra 2 (2.5 hh), Oficial Obra 1 (2.5 hh). Equipo: Herrramienta Y Equipo Menor (3.3 %).  Etapa de obra: 8. Acabados.</t>
  </si>
  <si>
    <t>JUEGO INCRUSTACIONES 8 PIEZAS EN PORCELANA (MARCA ESPACIO)</t>
  </si>
  <si>
    <t>1.10.10 · MURETE DUCHA 0.10 X 0.20 MTS   |   Unidad: Metro lineal (ML)   |   Precio: $ 53.303,29</t>
  </si>
  <si>
    <t>Precio por ML. Materiales: Tabla 0.10 (1.1 ML), Concreto 1:3:5 14 Mpa (0.02 M3), Bocel Remates Ceramicos (0.66 UND), Cemento Blanco (0.58 kg) y 3 más. Mano de obra: Auxiliar De Obra 2 (0.79 hh), Oficial Obra 1 (0.79 hh). Equipo: Herrramienta Y Equipo Menor (3.3 %).  Etapa de obra: 8. Acabados.</t>
  </si>
  <si>
    <t>TABLA 0.10</t>
  </si>
  <si>
    <t>BOCEL REMATES CERAMICOS</t>
  </si>
  <si>
    <t>1.10.11 · MURETE DUCHA 0.20 X 0.30 MTS   |   Unidad: Metro lineal (ML)   |   Precio: $ 53.311,74</t>
  </si>
  <si>
    <t>Precio por ML. Materiales: Concreto 1:3:5 14 Mpa (0.02 M3), Bocel Remates Ceramicos (0.66 UND), Cemento Blanco (0.58 kg), Enchape Porcelana 20*20 (0.7 M2) y 2 más. Mano de obra: Auxiliar De Obra 2 (0.79 hh), Oficial Obra 1 (0.79 hh). Equipo: Herrramienta Y Equipo Menor (3.3 %).  Etapa de obra: 8. Acabados.</t>
  </si>
  <si>
    <t>1.10.12 · SUMINISTRO E INSTALACION DE REJILLAS CUPULA TRAGANTE 5*3   |   Unidad: Unidad (UND)   |   Precio: $ 28.264,67</t>
  </si>
  <si>
    <t>Precio por UND. Materiales: Cemento Blanco (0.2 kg), Rejillas Tragante 5*3 Aluminio (1 UND). Mano de obra: Auxiliar De Obra 2 (0.3 hh), Oficial Obra 1 (0.3 hh). Equipo: Herrramienta Y Equipo Menor (3.3 %).  Etapa de obra: 8. Acabados.</t>
  </si>
  <si>
    <t>REJILLAS TRAGANTE 5*3 ALUMINIO</t>
  </si>
  <si>
    <t>1.10.13 · SUMINISTRO E INSTALACION DE REJILLAS CUPULA TRAGANTE 6*4   |   Unidad: Unidad (UND)   |   Precio: $ 34.533,06</t>
  </si>
  <si>
    <t>Precio por UND. Materiales: Cemento Blanco (0.2 kg), Rejillas Tragante 6*4 Aluminio (1 UND). Mano de obra: Auxiliar De Obra 2 (0.3 hh), Oficial Obra 1 (0.3 hh). Equipo: Herrramienta Y Equipo Menor (3.3 %).  Etapa de obra: 8. Acabados.</t>
  </si>
  <si>
    <t>REJILLAS TRAGANTE 6*4 ALUMINIO</t>
  </si>
  <si>
    <t>1.10.14 · SUMINISTRO E INSTALACIOREJILLAS DE PISO SOSCO 4*4*3 ALUMINIO   |   Unidad: Unidad (UND)   |   Precio: $ 19.548,00</t>
  </si>
  <si>
    <t>Precio por UND. Materiales: Cemento Blanco (0.2 kg), Rejillas Sosco 4*4*3 Aluminio (1 UND). Mano de obra: Auxiliar De Obra 2 (0.3 hh), Oficial Obra 1 (0.3 hh). Equipo: Herrramienta Y Equipo Menor (3.3 %).  Etapa de obra: 8. Acabados.</t>
  </si>
  <si>
    <t>REJILLAS SOSCO 4*4*3 ALUMINIO</t>
  </si>
  <si>
    <t>1.10.15 · SUMINISTRO E INSTALACION DE REJILLAS PLANA BRONCE 20*20   |   Unidad: Unidad (UND)   |   Precio: $ 32.914,67</t>
  </si>
  <si>
    <t>Precio por UND. Materiales: Cemento Blanco (0.2 kg), Rejillas Sifon 20*20 Aluminio (1 UND). Mano de obra: Auxiliar De Obra 2 (0.3 hh), Oficial Obra 1 (0.3 hh). Equipo: Herrramienta Y Equipo Menor (3.3 %).  Etapa de obra: 8. Acabados.</t>
  </si>
  <si>
    <t>REJILLAS SIFON 20*20 ALUMINIO</t>
  </si>
  <si>
    <t>1.10.16 · SUMINISTRO E INSTALACION DE REJILLAS PLASTICA SOSCO 5*3   |   Unidad: Unidad (UND)   |   Precio: $ 18.176,55</t>
  </si>
  <si>
    <t>Precio por UND. Materiales: Cemento Blanco (0.05 kg), Rejillas Sosco 5*3 Aluminio (1 UND). Mano de obra: Auxiliar De Obra 2 (0.3 hh), Oficial Obra 1 (0.3 hh). Equipo: Herrramienta Y Equipo Menor (3.3 %).  Etapa de obra: 8. Acabados.</t>
  </si>
  <si>
    <t>REJILLAS SOSCO 5*3 ALUMINIO</t>
  </si>
  <si>
    <t>1.10.17 · SUMINISTRO E INSTALACION DE REJILLAS PLASTICAS SOSCO 4*4*3   |   Unidad: Unidad (UND)   |   Precio: $ 11.660,92</t>
  </si>
  <si>
    <t>Precio por UND. Materiales: Cemento Blanco (0.05 kg), Rejillas Sosco 4*4*3 Plasticas (1 UND). Mano de obra: Auxiliar De Obra 2 (0.3 hh), Oficial Obra 1 (0.3 hh). Equipo: Herrramienta Y Equipo Menor (3.3 %).  Etapa de obra: 8. Acabados.</t>
  </si>
  <si>
    <t>REJILLAS SOSCO 4*4*3 PLASTICAS</t>
  </si>
  <si>
    <t>1.10.18 · SUMINISTRO E INSTALACION REJILLAS VENTILACION 20*20 ALUMINIO   |   Unidad: Unidad (UND)   |   Precio: $ 32.914,67</t>
  </si>
  <si>
    <t>1.10.19 · REMATE BOCEL ALUMINIO "WINGS"   |   Unidad: Metro lineal (ML)   |   Precio: $ 8.917,57</t>
  </si>
  <si>
    <t>Precio por ML. Materiales: Cemento Blanco (0.2 kg). Mano de obra: Auxiliar De Obra 2 (0.29 hh), Oficial Obra 1 (0.29 hh). Equipo: Bocel Aluminio (1.05 UND), Herrramienta Y Equipo Menor (3.3 %).  Etapa de obra: 8. Acabados.</t>
  </si>
  <si>
    <t>BOCEL ALUMINIO</t>
  </si>
  <si>
    <t>1.10.20 · REMATE BOCEL PORCELANA E= 0.11 MTS   |   Unidad: Metro lineal (ML)   |   Precio: $ 18.925,28</t>
  </si>
  <si>
    <t>Precio por ML. Materiales: Bocel Remates Ceramicos (0.67 UND), Cemento Blanco (0.51 kg), Pegacor (1.05 kg). Mano de obra: Auxiliar De Obra 2 (0.5 hh), Oficial Obra 1 (0.5 hh). Equipo: Herrramienta Y Equipo Menor (3.3 %).  Etapa de obra: 8. Acabados.</t>
  </si>
  <si>
    <t>1.10.21 · SUMINISTRO E INSTALACION DE TUBO CORTINA DUCHA E= 1.50 MTS   |   Unidad: Unidad (UND)   |   Precio: $ 23.523,87</t>
  </si>
  <si>
    <t>Precio por UND. Materiales: Soporte Muro Metalico 3/4`` (2 UND), Tubo Cortina Ducha 19 Mm`` (1.5 ML). Mano de obra: Auxiliar De Obra 2 (0.3 hh), Oficial Obra 1 (0.3 hh). Equipo: Herrramienta Y Equipo Menor (3.3 %).  Etapa de obra: 8. Acabados.</t>
  </si>
  <si>
    <t>SOPORTE MURO METALICO 3/4`` (PARA TUBO CORTINA)</t>
  </si>
  <si>
    <t>TUBO CORTINA DUCHA 19 MM``</t>
  </si>
  <si>
    <t>Capítulo 1.11 · PISOS - BASES - ACABADOS</t>
  </si>
  <si>
    <t>43 actividades. Cada tabla lista los insumos de una actividad por unidad de obra.</t>
  </si>
  <si>
    <t>1.11.01 · ALISTADO ENDURECIDO 4CM   |   Unidad: Metro cuadrado (M2)   |   Precio: $ 44.057,57</t>
  </si>
  <si>
    <t>Precio por M2. Materiales: Mortero 1:3 (0.04 M3), Rocktop Rojo (3.5 kg). Mano de obra: Mano De Obra Aa (0.3 hc). Equipo: Herrramienta Y Equipo Menor (5 %).  Etapa de obra: 8. Acabados.</t>
  </si>
  <si>
    <t>ROCKTOP ROJO</t>
  </si>
  <si>
    <t>1.11.02 · ALISTADO PARA LISTÓN 4CM   |   Unidad: Metro cuadrado (M2)   |   Precio: $ 15.322,59</t>
  </si>
  <si>
    <t>Precio por M2. Materiales: Tiras Alistado 3 X 3 X 3 Ord (3 ML), Arena De Peña (0.01 M3), Cemento Gris (1.22 kg), Agua (0.55 lt). Mano de obra: Mano De Obra Aa (0.4 hc). Equipo: Herrramienta Y Equipo Menor (5 %).  Etapa de obra: 8. Acabados.</t>
  </si>
  <si>
    <t>TIRAS ALISTADO 3 X 3 X 3 ORD</t>
  </si>
  <si>
    <t>1.11.03 · ALISTADO IMPERMEABILIZADO E=4CM - 1:3   |   Unidad: Metro cuadrado (M2)   |   Precio: $ 33.790,36</t>
  </si>
  <si>
    <t>Precio por M2. Materiales: Mortero 1:3 Impermeabilizado (0.04 M3). Mano de obra: Auxiliar De Obra 2 (0.4 hh), Oficial Obra 1 (0.4 hh). Equipo: Herrramienta Y Equipo Menor (5 %).  Etapa de obra: 8. Acabados.</t>
  </si>
  <si>
    <t>1.11.04 · ALISTADO PISO E= 4 CM - 1:5   |   Unidad: Metro cuadrado (M2)   |   Precio: $ 24.941,36</t>
  </si>
  <si>
    <t>Precio por M2. Materiales: Mortero 1:5 (0.04 M3). Mano de obra: Auxiliar De Obra 2 (0.4 hh), Oficial Obra 1 (0.4 hh). Equipo: Herrramienta Y Equipo Menor (5 %).  Etapa de obra: 8. Acabados.</t>
  </si>
  <si>
    <t>1.11.05 · ALISTADO TERRAZAS E=8 CM   |   Unidad: Metro cuadrado (M2)   |   Precio: $ 86.723,29</t>
  </si>
  <si>
    <t>Precio por M2. Materiales: Arena De Peña (0.1 M3), Cemento Gris (24.88 kg), Agua (14.8 lt), Sika 2 (1.8 kg). Mano de obra: Mano De Obra Aa (0.6 hc). Equipo: Herrramienta Y Equipo Menor (5 %).  Etapa de obra: 8. Acabados.</t>
  </si>
  <si>
    <t>1.11.06 · BASE EN MATERIAL DE AFIRMADO COMPACTADO   |   Unidad: Metro cúbico (M3)   |   Precio: $ 57.047,23</t>
  </si>
  <si>
    <t>Precio por M3. Materiales: Material De Afirmado (1.2 M3), Agua (0.25 lt). Mano de obra: Auxiliar De Obra 1 (0.1 jr), Oficial Obra 2 (0.1 jr). Equipo: Vibrocompactador Rana (0.33 hr), Herrramienta Y Equipo Menor (3.3 %).  Etapa de obra: 8. Acabados.</t>
  </si>
  <si>
    <t>MATERIAL DE AFIRMADO</t>
  </si>
  <si>
    <t>1.11.07 · BOCA PUERTA EN GRANITO PULIDO   |   Unidad: Metro lineal (ML)   |   Precio: $ 61.339,04</t>
  </si>
  <si>
    <t>Precio por ML. Materiales: Cemento Gris (6 kg), Dilatacion Bronce (0.36 ML), Granito Blanco # 3 (0.05 bt), Mortero 1:3 (0.01 M3) y 3 más. Mano de obra: Auxiliar De Obra 2 (0.5 hh), Oficial Obra 1 (2 hh). Equipo: Pulidora (0.2 dd), Herrramienta Y Equipo Menor (1 %).  Etapa de obra: 8. Acabados.</t>
  </si>
  <si>
    <t>DILATACION BRONCE</t>
  </si>
  <si>
    <t>GRANITO BLANCO # 3</t>
  </si>
  <si>
    <t>MINERAL</t>
  </si>
  <si>
    <t>1.11.08 · BOCA PUERTA EN GRANITO SIN PULIR   |   Unidad: Metro lineal (ML)   |   Precio: $ 46.220,59</t>
  </si>
  <si>
    <t>Precio por ML. Materiales: Cemento Gris (6 kg), Dilatacion Bronce (0.36 ML), Granito Blanco # 3 (0.05 bt), Mortero 1:3 (0.01 M3) y 3 más. Mano de obra: Auxiliar De Obra 2 (0.5 hh), Oficial Obra 1 (1.6 hh). Equipo: Herrramienta Y Equipo Menor (0.7 %).  Etapa de obra: 8. Acabados.</t>
  </si>
  <si>
    <t>1.11.09 · PASO ESCALERA GRANITO DE 80 A 100 CM   |   Unidad: Metro lineal (ML)   |   Precio: $ 124.348,44</t>
  </si>
  <si>
    <t>Precio por ML. Materiales: Arena Lavada De Río (0.07 M3), Cemento Blanco (10.5 kg), Cemento Gris (12 kg), Dilatacion Bronce (0.2 ML) y 5 más. Mano de obra: Auxiliar De Obra 2 (2.3 hh), Oficial Obra 1 (2.3 hh). Equipo: Herrramienta Y Equipo Menor (5 %).  Etapa de obra: 8. Acabados.</t>
  </si>
  <si>
    <t>GRANITO NO. 3</t>
  </si>
  <si>
    <t>PIRLAN ALUMINIO DORADO</t>
  </si>
  <si>
    <t>1.11.10 · PASOS ESCALERA GRAVILLA LAVADA   |   Unidad: Metro lineal (ML)   |   Precio: $ 86.147,22</t>
  </si>
  <si>
    <t>Precio por ML. Materiales: Cemento Blanco (3.5 kg), Gravilla De Trituradora (0.1 M3), Mineral (0.15 kg), Pirlan Aluminio Dorado (1.03 ML) y 1 más. Mano de obra: Auxiliar De Obra 2 (2.3 hh), Oficial Obra 1 (2.3 hh). Equipo: Herrramienta Y Equipo Menor (5 %).  Etapa de obra: 8. Acabados.</t>
  </si>
  <si>
    <t>GRAVILLA DE TRITURADORA</t>
  </si>
  <si>
    <t>1.11.11 · PIRLANES ALUMINIO   |   Unidad: Metro lineal (ML)   |   Precio: $ 17.003,37</t>
  </si>
  <si>
    <t>Precio por ML. Materiales: Tornillo Para Madera 1 No.6 (3 UND), Pirlan Aluminio Dorado (1.03 ML). Mano de obra: Mano De Obra Aa (0.3 hc). Equipo: Herrramienta Y Equipo Menor (5 %).  Etapa de obra: 8. Acabados.</t>
  </si>
  <si>
    <t>TORNILLO PARA MADERA 1 NO.6</t>
  </si>
  <si>
    <t>1.11.12 · PIRLANES LADRILLO   |   Unidad: Metro lineal (ML)   |   Precio: $ 30.806,80</t>
  </si>
  <si>
    <t>Precio por ML. Materiales: Arena De Peña (0.02 M3), Cemento Gris (3.32 kg), Ladrillo Tolete Recocido (11 UND). Mano de obra: Mano De Obra Aa (0.84 hc). Equipo: Herrramienta Y Equipo Menor (5 %).  Etapa de obra: 8. Acabados.</t>
  </si>
  <si>
    <t>1.11.13 · PISO ALFOMBRA RESIDENCIAL ALFA BERBER O SIMILAR   |   Unidad: Metro cuadrado (M2)   |   Precio: $ 47.749,32</t>
  </si>
  <si>
    <t>Precio por M2. Materiales: Pegante (0.3 gl), Piso Alfombra Ref. Alfa Berber (1.05 M2). Mano de obra: Auxiliar De Obra 2 (0.16 hh), Oficial Obra 1 (0.16 hh). Equipo: Herrramienta Y Equipo Menor (5 %).  Etapa de obra: 8. Acabados.</t>
  </si>
  <si>
    <t>PEGANTE</t>
  </si>
  <si>
    <t>PISO ALFOMBRA REF. ALFA BERBER</t>
  </si>
  <si>
    <t>1.11.14 · PISO ALFOMBRA RESIDENCIAL TERUEL 7 mm O SIMILAR   |   Unidad: Metro cuadrado (M2)   |   Precio: $ 59.003,95</t>
  </si>
  <si>
    <t>Precio por M2. Materiales: Pegante (0.3 gl), Piso Alfombra Argollada Tráfico Pesado (1.05 M2). Mano de obra: Auxiliar De Obra 2 (0.1 hh), Oficial Obra 1 (0.1 hh). Equipo: Herrramienta Y Equipo Menor (5 %).  Etapa de obra: 8. Acabados.</t>
  </si>
  <si>
    <t>PISO ALFOMBRA ARGOLLADA TRÁFICO PESADO</t>
  </si>
  <si>
    <t>1.11.15 · PISO CERÁMICA 25*25 CM   |   Unidad: Metro cuadrado (M2)   |   Precio: $ 49.467,56</t>
  </si>
  <si>
    <t>Precio por M2. Materiales: Emboquillador (0.5 kg), Hilasa (0.2 kg), Pegacor (3.1 kg), Piso Ceramica 20,5*2o,5 (1.05 M2) y 1 más. Mano de obra: Auxiliar De Obra 2 (0.85 hh), Oficial Obra 1 (0.85 hh). Equipo: Herrramienta Y Equipo Menor (5 %).  Etapa de obra: 8. Acabados.</t>
  </si>
  <si>
    <t>EMBOQUILLADOR</t>
  </si>
  <si>
    <t>PISO CERAMICA 20,5*2O,5 (20*20)</t>
  </si>
  <si>
    <t>1.11.16 · PISO EN GRAMA (SEMILLAS)   |   Unidad: Metro cuadrado (M2)   |   Precio: $ 7.607,19</t>
  </si>
  <si>
    <t>Precio por M2. Materiales: Tierra Negra (0.02 M3), Grama (1.1 M2). Mano de obra: Mano De Obra Aa (0.1 hc). Equipo: Herrramienta Y Equipo Menor (5 %).  Etapa de obra: 8. Acabados.</t>
  </si>
  <si>
    <t>GRAMA (SEMILLA)</t>
  </si>
  <si>
    <t>1.11.17 · PISO EN GRANITO LAVADO   |   Unidad: Metro cuadrado (M2)   |   Precio: $ 153.041,17</t>
  </si>
  <si>
    <t>Precio por M2. Materiales: Arena Lavada De Río (0.09 M3), Cemento Blanco (21 kg), Cemento Gris (18.7 kg), Dilatacion Bronce (1.35 ML) y 4 más. Mano de obra: Auxiliar De Obra 2 (1.5 hh), Oficial Obra 1 (1.5 hh). Equipo: Herrramienta Y Equipo Menor (5 %).  Etapa de obra: 8. Acabados.</t>
  </si>
  <si>
    <t>1.11.18 · PISO EN POLVO DE LADRILLO   |   Unidad: Metro cúbico (M3)   |   Precio: $ 349.855,32</t>
  </si>
  <si>
    <t>Precio por M3. Materiales: Polvo De Ladrillo (1.2 M3). Mano de obra: Vibrocompactador Rana (0.04 dd), Mano De Obra Aa (0.7 hc).  Etapa de obra: 8. Acabados.</t>
  </si>
  <si>
    <t>POLVO DE LADRILLO</t>
  </si>
  <si>
    <t>1.11.19 · PISO GRANITO PULIDO   |   Unidad: Metro cuadrado (M2)   |   Precio: $ 156.634,14</t>
  </si>
  <si>
    <t>Precio por M2. Materiales: Arena Lavada De Río (0.09 M3), Cemento Blanco (18.7 kg), Cemento Gris (15 kg), Dilatacion Bronce (1.35 ML) y 4 más. Mano de obra: Pulidora (0.25 dd), Auxiliar De Obra 2 (1.5 hh), Oficial Obra 1 (1.5 hh). Equipo: Herrramienta Y Equipo Menor (5 %).  Etapa de obra: 8. Acabados.</t>
  </si>
  <si>
    <t>1.11.20 · PISO GRAVILLA LAVADA DE RIO   |   Unidad: Metro cuadrado (M2)   |   Precio: $ 93.658,36</t>
  </si>
  <si>
    <t>Precio por M2. Materiales: Arena Lavada De Río (0.03 M3), Cemento Gris (6.98 kg), Dilatacion Bronce (0.8 ML), Gravilla De Trituradora (0.02 M3) y 2 más. Mano de obra: Auxiliar De Obra 2 (2.5 hh), Oficial Obra 1 (2.5 hh). Equipo: Herrramienta Y Equipo Menor (5 %).  Etapa de obra: 8. Acabados.</t>
  </si>
  <si>
    <t>1.11.21 · PISO LISTON MADERA M.H. AMARILLO E= 8CM   |   Unidad: Metro cuadrado (M2)   |   Precio: $ 97.751,66</t>
  </si>
  <si>
    <t>Precio por M2. Materiales: Tornillo M 2*8 (40 UND), Chazo Expansible 3/8"*1 (40 UND), Machimbre L. Amarillo 8x1 Cm X 3m Largo (1.1 M2), Pegante Boxer (0.3 gl) y 1 más. Mano de obra: Auxiliar De Carpinterias 1 (0.5 hh), Oficial Carpinterias (0.5 hh). Equipo: Herrramienta Y Equipo Menor (5 %).  Etapa de obra: 8. Acabados.</t>
  </si>
  <si>
    <t>TORNILLO M 2*8</t>
  </si>
  <si>
    <t>CHAZO EXPANSIBLE 3/8"*1</t>
  </si>
  <si>
    <t>MACHIMBRE L. AMARILLO 8x1 cm x 3m largo</t>
  </si>
  <si>
    <t>PEGANTE BOXER</t>
  </si>
  <si>
    <t>PEGANTE COLBON MADERA</t>
  </si>
  <si>
    <t>1.11.22 · PISO PLANCHUELA DE MARMOL BRECCIA   |   Unidad: Metro cuadrado (M2)   |   Precio: $ 168.016,46</t>
  </si>
  <si>
    <t>Precio por M2. Materiales: Cemento Blanco (1.03 kg), Mortero 1:4 (0.02 M3), Piso Marmol Imperio 51x51-1 (1.03 M2). Mano de obra: Auxiliar De Obra 2 (1.3 hh), Oficial Obra 1 (1.3 hh). Equipo: Herrramienta Y Equipo Menor (5 %).  Etapa de obra: 8. Acabados.</t>
  </si>
  <si>
    <t>PISO MARMOL IMPERIO 51X51-1</t>
  </si>
  <si>
    <t>1.11.23 · PISO TABLÓN DE GRES 30*30 CM   |   Unidad: Metro cuadrado (M2)   |   Precio: $ 57.628,31</t>
  </si>
  <si>
    <t>Precio por M2. Materiales: Cemento Gris (2.1 kg), Mortero 1:4 (0.03 M3), Piso Tablon De Gres 30 * 30 (1.05 M2). Mano de obra: Auxiliar De Obra 2 (1 hh), Oficial Obra 1 (0.8 hh). Equipo: Pulidora (0.05 dd), Herrramienta Y Equipo Menor (4.9 %).  Etapa de obra: 8. Acabados.</t>
  </si>
  <si>
    <t>PISO TABLON DE GRES 30 * 30</t>
  </si>
  <si>
    <t>1.11.24 · PISO VINILO PISOPAK 1.6MM   |   Unidad: Metro cuadrado (M2)   |   Precio: $ 37.790,74</t>
  </si>
  <si>
    <t>Precio por M2. Materiales: Pegante Boxer (0.09 gl), Pisopak Residencial 1.6mm (1 M2). Mano de obra: Auxiliar De Obra 2 (0.25 hh), Oficial Obra 1 (0.25 hh). Equipo: Herrramienta Y Equipo Menor (5 %).  Etapa de obra: 8. Acabados.</t>
  </si>
  <si>
    <t>PISOPAK RESIDENCIAL 1.6MM</t>
  </si>
  <si>
    <t>1.11.25 · PLACA BASE EN CONCRETO E= 8 CM 2500 PSI   |   Unidad: Metro cuadrado (M2)   |   Precio: $ 61.867,06</t>
  </si>
  <si>
    <t>Precio por M2. Materiales: Concreto 1:2:4 17.5 Mpa (0.09 M3), Madera T. Chapa-Ordinario 0.30 (0.51 ML). Mano de obra: Auxiliar De Obra 2 (0.8 hh), Oficial Obra 1 (0.8 hh). Equipo: Herrramienta Y Equipo Menor (5 %).  Etapa de obra: 8. Acabados.</t>
  </si>
  <si>
    <t>MADERA T. CHAPA-ORDINARIO 0.30</t>
  </si>
  <si>
    <t>1.11.26 · PLACA BASE EN CONCRETO E= 10 CM 2500 PSI   |   Unidad: Metro cuadrado (M2)   |   Precio: $ 66.938,23</t>
  </si>
  <si>
    <t>Precio por M2. Materiales: Concreto 1:2:4 17.5 Mpa (0.11 M3), Madera T. Chapa-Ordinario 0.30 (0.51 ML). Mano de obra: Auxiliar De Obra 2 (0.66 hh), Oficial Obra 1 (0.66 hh). Equipo: Herrramienta Y Equipo Menor (3 %).  Etapa de obra: 8. Acabados.</t>
  </si>
  <si>
    <t>1.11.27 · POYOS COCINA Y BASE MUEBLES A= 60 CM E= 8 CM   |   Unidad: Metro cuadrado (M2)   |   Precio: $ 41.742,57</t>
  </si>
  <si>
    <t>Precio por M2. Materiales: Concreto 1:2:4 17.5 Mpa (0.05 M3), Madera T. Chapa-Ordinario 0.30 (1 ML). Mano de obra: Auxiliar De Obra 2 (0.52 hh), Oficial Obra 1 (0.52 hh). Equipo: Herrramienta Y Equipo Menor (5 %).  Etapa de obra: 8. Acabados.</t>
  </si>
  <si>
    <t>1.11.28 · PULIDA Y DESTRONADO DE PISO EN BALDOSÍN DE GRANITO   |   Unidad: Metro cuadrado (M2)   |   Precio: $ 15.598,80</t>
  </si>
  <si>
    <t>Precio por M2. Materiales: Cera Para Pisos (0.03 gl), Agua (2 lt). Mano de obra: Auxiliar De Obra 2 (0.35 hh), Oficial Obra 1 (0.35 hh). Equipo: Pulidora Piso 2 Ejes (0.25 dd), Herrramienta Y Equipo Menor (5 %).  Etapa de obra: 8. Acabados.</t>
  </si>
  <si>
    <t>CERA PARA PISOS</t>
  </si>
  <si>
    <t>PULIDORA PISO 2 EJES</t>
  </si>
  <si>
    <t>1.11.29 · PULIDAD DE PISO EN MARMOL   |   Unidad: Metro cuadrado (M2)   |   Precio: $ 24.661,93</t>
  </si>
  <si>
    <t>Precio por M2. Mano de obra: Auxiliar De Obra 2 (0.7 hh), Oficial Obra 1 (0.7 hh). Equipo: Pulidora (0.15 dd), Herrramienta Y Equipo Menor (5.25 %).  Etapa de obra: 8. Acabados.</t>
  </si>
  <si>
    <t>1.11.30 · SUMINISTRO E INSTALACIÓN DE ADOQUÍN PEATONAL CONCRETO 6 CM   |   Unidad: Metro cuadrado (M2)   |   Precio: $ 48.748,59</t>
  </si>
  <si>
    <t>Precio por M2. Materiales: Arena Lavada De Peña (0.03 M3), Adoquín Concreto 10x6x20 (50 UND), Agua (2.85 lt). Mano de obra: Mano De Obra Aa (0.5 hc). Equipo: Herrramienta Y Equipo Menor (5 %).  Etapa de obra: 8. Acabados.</t>
  </si>
  <si>
    <t>ADOQUÍN CONCRETO 10X6X20</t>
  </si>
  <si>
    <t>1.11.31 · SUMINISTRO E INSTALACIÓN DE ADOQUÍN VEHICULAR CONCRETO 8 CM   |   Unidad: Metro cuadrado (M2)   |   Precio: $ 55.071,68</t>
  </si>
  <si>
    <t>Precio por M2. Materiales: Arena Lavada De Peña (0.03 M3), Adoquín Concreto 10x8x20 (50 UND), Agua (2.85 lt). Mano de obra: Mano De Obra Aa (0.7 hc). Equipo: Herrramienta Y Equipo Menor (5 %).  Etapa de obra: 8. Acabados.</t>
  </si>
  <si>
    <t>ADOQUÍN CONCRETO 10X8X20</t>
  </si>
  <si>
    <t>1.11.32 · SUMINISTRO E INSTALACIÓN ADOQUÍN DE GRES PEATONAL 10*20*25 CM   |   Unidad: Metro cuadrado (M2)   |   Precio: $ 75.847,18</t>
  </si>
  <si>
    <t>Precio por M2. Materiales: Arena De Peña (0.02 M3), Mineral (1.03 kg), Adoquin Peatonal 10x20x2.5 (1.03 M2), Agua (2.8 lt). Mano de obra: Auxiliar De Obra 2 (1 hh), Oficial Obra 1 (1.05 hh). Equipo: Herrramienta Y Equipo Menor (5 %).  Etapa de obra: 8. Acabados.</t>
  </si>
  <si>
    <t>ADOQUIN PEATONAL 10x20x2.5</t>
  </si>
  <si>
    <t>1.11.33 · SUMINISTRO E INSTALACIÓN DE BALDOSÍN DE CEMENTO 25*25 CM   |   Unidad: Metro cuadrado (M2)   |   Precio: $ 62.962,22</t>
  </si>
  <si>
    <t>Precio por M2. Materiales: Cemento Blanco (0.3 kg), Mortero 1:4 (0.02 M3), Piso Baldosin Cemento 25*25 (1.03 M2). Mano de obra: Auxiliar De Obra 2 (0.95 hh), Oficial Obra 1 (0.95 hh). Equipo: Herrramienta Y Equipo Menor (5 %).  Etapa de obra: 8. Acabados.</t>
  </si>
  <si>
    <t>PISO BALDOSIN CEMENTO 25*25</t>
  </si>
  <si>
    <t>1.11.34 · SUMINISTRO E INSTALACIÓN DE BALDOSÍN DE GRANITO No. 5 30*30*1.7 CM   |   Unidad: Metro cuadrado (M2)   |   Precio: $ 74.733,78</t>
  </si>
  <si>
    <t>Precio por M2. Materiales: Cemento Blanco (0.25 kg), Mortero 1:4 (0.02 M3), Piso Baldosin De Granito 30*30 E=1.7 (1.03 M2). Mano de obra: Auxiliar De Obra 2 (0.95 hh), Oficial Obra 1 (0.95 hh). Equipo: Herrramienta Y Equipo Menor (5 %).  Etapa de obra: 8. Acabados.</t>
  </si>
  <si>
    <t>PISO BALDOSIN DE GRANITO 30*30 E=1.7</t>
  </si>
  <si>
    <t>1.11.35 · SUMINISTRO E INSTALACIÓN DE CAÑUELA CONCRETO 0.20 X 0.12 MTS   |   Unidad: Metro lineal (ML)   |   Precio: $ 31.294,44</t>
  </si>
  <si>
    <t>Precio por ML. Materiales: Tabla Burra 3 M (0.33 ML), Concreto 1:3:5 14 Mpa (0.02 M3). Mano de obra: Mano De Obra Aa (0.8 hc). Equipo: Herrramienta Y Equipo Menor (5 %).  Etapa de obra: 8. Acabados.</t>
  </si>
  <si>
    <t>1.11.36 · SUMINISTRO E INSTALACIÓN DE GUARDAESCOBA GRANITO   |   Unidad: Metro lineal (ML)   |   Precio: $ 37.247,31</t>
  </si>
  <si>
    <t>Precio por ML. Materiales: Cemento Blanco (0.25 kg), Guardaescoba Granito (1.03 ML), Marmolina Bto 48 Kg (0.1 bt), Mortero 1:4 (0 M3) y 1 más. Mano de obra: Auxiliar De Obra 2 (0.5 hh), Oficial Obra 1 (0.5 hh). Equipo: Herrramienta Y Equipo Menor (5 %).  Etapa de obra: 8. Acabados.</t>
  </si>
  <si>
    <t>GUARDAESCOBA GRANITO</t>
  </si>
  <si>
    <t>PULIDA GRANITO</t>
  </si>
  <si>
    <t>1.11.37 · SUMINISTRO E INSTALACIÓN DE GUARDAESCOBA BALDOSIN   |   Unidad: Metro lineal (ML)   |   Precio: $ 39.999,78</t>
  </si>
  <si>
    <t>Precio por ML. Materiales: Cemento Blanco (0.25 kg), Guardaescoba Baldosin (4.92 UND), Mortero 1:4 (0 M3). Mano de obra: Auxiliar De Obra 2 (0.5 hh), Oficial Obra 1 (0.5 hh). Equipo: Herrramienta Y Equipo Menor (5 %).  Etapa de obra: 8. Acabados.</t>
  </si>
  <si>
    <t>GUARDAESCOBA BALDOSIN</t>
  </si>
  <si>
    <t>1.11.38 · SUMINISTRO E INSTALACIÓN DE GUARDAESCOBA CON BALDOSÍN DE GRANITO   |   Unidad: Metro lineal (ML)   |   Precio: $ 41.470,26</t>
  </si>
  <si>
    <t>Precio por ML. Materiales: Baldosin De Granito (1.05 ML), Cemento Blanco (4 kg), Marmolina Bto 48 Kg (0.15 bt), Mineral (0.1 kg). Mano de obra: Auxiliar De Obra 2 (0.5 hh), Oficial Obra 1 (0.5 hh). Equipo: Herrramienta Y Equipo Menor (5 %).  Etapa de obra: 8. Acabados.</t>
  </si>
  <si>
    <t>BALDOSIN DE GRANITO</t>
  </si>
  <si>
    <t>1.11.39 · SUMINISTRO E INSTALACIÓN DE GUARDAESCOBA VINISOL 7 CM   |   Unidad: Metro lineal (ML)   |   Precio: $ 16.735,72</t>
  </si>
  <si>
    <t>Precio por ML. Materiales: Guardaescoba Vinisol (1.03 ML), Pegante Boxer (0.06 gl). Mano de obra: Auxiliar De Obra 2 (0.25 hh), Oficial Obra 1 (0.25 hh). Equipo: Herrramienta Y Equipo Menor (5 %).  Etapa de obra: 8. Acabados.</t>
  </si>
  <si>
    <t>GUARDAESCOBA VINISOL</t>
  </si>
  <si>
    <t>1.11.40 · SUMINISTRO E INSTALACIÓN DE GUARDAESCOBA VIROLA 8 CM   |   Unidad: Metro lineal (ML)   |   Precio: $ 10.272,67</t>
  </si>
  <si>
    <t>Precio por ML. Materiales: Chazo Madera 0,4 X 0,4 (2 UND), Guardaescoba Virola (1.03 ML). Mano de obra: Auxiliar De Obra 2 (0.2 hh), Oficial Obra 1 (0.2 hh). Equipo: Herrramienta Y Equipo Menor (5 %).  Etapa de obra: 8. Acabados.</t>
  </si>
  <si>
    <t>CHAZO MADERA 0,4 X 0,4</t>
  </si>
  <si>
    <t>GUARDAESCOBA VIROLA</t>
  </si>
  <si>
    <t>1.11.41 · SUMINISTRO E INSTALACIÓN DE GUARDAESCOBA EN PINO   |   Unidad: Metro lineal (ML)   |   Precio: $ 16.196,61</t>
  </si>
  <si>
    <t>Precio por ML. Materiales: Disolvente Thiner (0 gl), Guardaescoba En Pino 8 Cm (1.03 ML), Laca Madera Mate 7402 (0.08 lt), Lija (0.05 UND) y 1 más. Mano de obra: Auxiliar De Carpinterias 1 (0.2 hh), Auxiliar De Pintura 1 (0.05 hh), Oficial Carpinterias (0.2 hh), Oficial Pintura (0.05 hh). Equipo: Herrramienta Y Equipo Menor (5 %).  Etapa de obra: 8. Acabados.</t>
  </si>
  <si>
    <t>GUARDAESCOBA EN PINO 8 CM</t>
  </si>
  <si>
    <t>LACA MADERA MATE 7402</t>
  </si>
  <si>
    <t>PEGANTE A X W</t>
  </si>
  <si>
    <t>1.11.42 · SUMINISTRO E INSTALACIÓN DE TABLETA DE GRES 20*20 CM   |   Unidad: Metro cuadrado (M2)   |   Precio: $ 41.467,91</t>
  </si>
  <si>
    <t>Precio por M2. Materiales: Mortero 1:4 (0.02 M3), Piso Tableta De Gres 20*20 (1.05 M2). Mano de obra: Auxiliar De Obra 2 (0.7 hh), Oficial Obra 1 (0.7 hh). Equipo: Herrramienta Y Equipo Menor (5 %).  Etapa de obra: 8. Acabados.</t>
  </si>
  <si>
    <t>PISO TABLETA DE GRES 20*20</t>
  </si>
  <si>
    <t>1.11.43 · SUMINISTRO E INSTALACIÓN TABLÓN DE GRES 30*30 CM   |   Unidad: Metro cuadrado (M2)   |   Precio: $ 54.441,23</t>
  </si>
  <si>
    <t>Precio por M2. Materiales: Emboquillador (2.05 kg), Mortero 1:4 (0.03 M3), Piso Tablon De Gres 30 * 30 (1.05 M2). Mano de obra: Auxiliar De Obra 2 (0.5 hh), Oficial Obra 1 (0.5 hh). Equipo: Herrramienta Y Equipo Menor (5 %).  Etapa de obra: 8. Acabados.</t>
  </si>
  <si>
    <t>Capítulo 1.12 · CUBIERTAS</t>
  </si>
  <si>
    <t>49 actividades. Cada tabla lista los insumos de una actividad por unidad de obra.</t>
  </si>
  <si>
    <t>1.12.01 · AFINADO CUBIERTAS PLANAS E= 6CM   |   Unidad: Metro cuadrado (M2)   |   Precio: $ 47.368,81</t>
  </si>
  <si>
    <t>Precio por M2. Materiales: Arena Lavada De Río (0.06 M3), Cemento Gris (23.38 kg), Agua (13.93 lt). Mano de obra: Auxiliar De Obra 2 (0.7 hh), Oficial Obra 1 (0.7 hh). Equipo: Andamio Tubular Normalizado, Tipo Multidireccional, De Acero Galvanizado En Caliente, Según Iso 9001. (0.1 dd), Herrramienta Y Equipo Menor (20 %).  Etapa de obra: 7. Cubierta.</t>
  </si>
  <si>
    <t>1.12.02 · ALISTADO E IMPERMEABILIZADO PARA TEJA BARRO   |   Unidad: Metro cuadrado (M2)   |   Precio: $ 143.574,18</t>
  </si>
  <si>
    <t>Precio por M2. Materiales: Alambre Negro No. 18 (0.02 kg), Mortero 1:3 Impermeabilizado (0.05 M3), Asfalto Tipo 90 (1.02 kg), Guadua 6m (0.85 UND) y 2 más. Mano de obra: Auxiliar De Instalaciones 1 (1.4 hh), Oficial Obra 1 (1.4 hh). Equipo: Andamio Tubular Normalizado, Tipo Multidireccional, De Acero Galvanizado En Caliente, Según Iso 9001. (0.1 dd), Herrramienta Y Equipo Menor (3.3 %).  Etapa de obra: 7. Cubierta.</t>
  </si>
  <si>
    <t>ASFALTO TIPO 90</t>
  </si>
  <si>
    <t>GUADUA 6M</t>
  </si>
  <si>
    <t>1.12.03 · SUMINISTRO E INSTALACIÓN DE BAJANTE AMAZONA   |   Unidad: Metro lineal (ML)   |   Precio: $ 67.277,32</t>
  </si>
  <si>
    <t>Precio por ML. Materiales: Tornillo Para Madera 1 No.6 (2 UND), Unión De Canal Amazona (0.34 UND), Bajante Amazona (1.05 ML), Codo Bajante 45° Blanco (0.17 UND) y 1 más. Mano de obra: Andamio Tubular Normalizado, Tipo Multidireccional, De Acero Galvanizado En Caliente, Según Iso 9001. (0.1 dd), Mano De Obra Bb (0.6 hc). Equipo: Herrramienta Y Equipo Menor (3.3 %).  Etapa de obra: 7. Cubierta.</t>
  </si>
  <si>
    <t>UNIÓN DE CANAL AMAZONA</t>
  </si>
  <si>
    <t>BAJANTE AMAZONA</t>
  </si>
  <si>
    <t>CODO BAJANTE 45° BLANCO</t>
  </si>
  <si>
    <t>SOPORTE DE BAJANTE</t>
  </si>
  <si>
    <t>1.12.04 · SUMINISTRO E INSTALACIÓN DE CANAL AMAZONA   |   Unidad: Metro lineal (ML)   |   Precio: $ 89.860,08</t>
  </si>
  <si>
    <t>Precio por ML. Materiales: Tapa Externa Derecha E Izquierda (0.68 UND), Unión De Canal Amazona (0.34 UND), Canal Amazona (1.03 ML), Soporte De Canal Amazona (3 UND). Mano de obra: Mano De Obra Bb (0.85 hc). Equipo: Herrramienta Y Equipo Menor (3.3 %).  Etapa de obra: 7. Cubierta.</t>
  </si>
  <si>
    <t>TAPA EXTERNA DERECHA E IZQUIERDA</t>
  </si>
  <si>
    <t>CANAL AMAZONA</t>
  </si>
  <si>
    <t>SOPORTE DE CANAL AMAZONA</t>
  </si>
  <si>
    <t>1.12.05 · SUMINISTRO E INSTALACIÓN DE CANAL PAVCO RAINGO   |   Unidad: Metro lineal (ML)   |   Precio: $ 65.787,31</t>
  </si>
  <si>
    <t>Precio por ML. Materiales: Tapa Externa Canal Raingo (0.17 UND), Unión De Canal (0.17 UND), Canal Raingo (1.03 ML), Soporte De Canal Raingo (3 UND). Mano de obra: Mano De Obra Bb (0.8 hc). Equipo: Herrramienta Y Equipo Menor (3.3 %).  Etapa de obra: 7. Cubierta.</t>
  </si>
  <si>
    <t>TAPA EXTERNA CANAL RAINGO</t>
  </si>
  <si>
    <t>UNIÓN DE CANAL</t>
  </si>
  <si>
    <t>CANAL RAINGO</t>
  </si>
  <si>
    <t>SOPORTE DE CANAL RAINGO</t>
  </si>
  <si>
    <t>1.12.06 · SUMINISTRO E INSTALACIÓN DE CANAL PVC REF 12445   |   Unidad: Metro lineal (ML)   |   Precio: $ 56.034,62</t>
  </si>
  <si>
    <t>Precio por ML. Materiales: Tapa Externa Derecha E Izquierda (0.17 UND), Tornillo Para Madera 1 No.6 (4 UND), Unión Canal Blanco (0.17 UND), Canal Ref.12445 Blanco (1.03 ML) y 1 más. Mano de obra: Andamio Tubular Normalizado, Tipo Multidireccional, De Acero Galvanizado En Caliente, Según Iso 9001. (0.09 dd), Mano De Obra Bb (0.74 hc). Equipo: Herrramienta Y Equipo Menor (3.3 %).  Etapa de obra: 7. Cubierta.</t>
  </si>
  <si>
    <t>UNIÓN CANAL BLANCO</t>
  </si>
  <si>
    <t>CANAL REF.12445 BLANCO</t>
  </si>
  <si>
    <t>SOPORTE DE CANAL BLANCO</t>
  </si>
  <si>
    <t>1.12.07 · SUMINISTRO E INSTALACIÓN DE CUBIERTA GALVANIZADA CL 30   |   Unidad: Metro cuadrado (M2)   |   Precio: $ 27.236,06</t>
  </si>
  <si>
    <t>Precio por M2. Materiales: Torn. Autoperforante/Sello De Neopreno (1.6 UND), Cubierta Arquitectonica Galvanizada O Similar  0.3 Mm Cl 30 (0.47 UND). Mano de obra: Mano De Obra Aa (0.3 hc). Equipo: Andamio Tubular Normalizado, Tipo Multidireccional, De Acero Galvanizado En Caliente, Según Iso 9001. (0.04 dd), Herrramienta Y Equipo Menor (3.3 %).  Etapa de obra: 7. Cubierta.</t>
  </si>
  <si>
    <t>TORN. AUTOPERFORANTE/SELLO DE NEOPRENO</t>
  </si>
  <si>
    <t>CUBIERTA ARQUITECTONICA GALVANIZADA O SIMILAR (.73x3) 0.3 mm CL 30</t>
  </si>
  <si>
    <t>1.12.08 · SUMINISTRO E INSTALACIÓN DE CUBIERTA SENCILLA HUNTER DOUGLAS   |   Unidad: Metro cuadrado (M2)   |   Precio: $ 115.865,98</t>
  </si>
  <si>
    <t>Precio por M2. Materiales: Teja Modular Tipo C (1.05 M2), Torn. Autoperforante/Sello De Neopreno (3 UND), Clip Tipo C Sencillo (3 UND). Mano de obra: Andamio Tubular Normalizado, Tipo Multidireccional, De Acero Galvanizado En Caliente, Según Iso 9001. (0.05 dd), Mano De Obra Aa (0.37 hc). Equipo: Herrramienta Y Equipo Menor (3.3 %).  Etapa de obra: 7. Cubierta.</t>
  </si>
  <si>
    <t>TEJA MODULAR TIPO C (5,00 MT)</t>
  </si>
  <si>
    <t>CLIP TIPO C SENCILLO</t>
  </si>
  <si>
    <t>1.12.09 · SUMINISTRO E INSTALACION DE CUBIERTA TEJA CALIFORNIA DINALSA O SIMILAR   |   Unidad: Metro cuadrado (M2)   |   Precio: $ 28.884,22</t>
  </si>
  <si>
    <t>Precio por M2. Materiales: Torn. Autoperforante/Sello De Neopreno (2.12 UND), Espesor 1 (0.42 ML). Mano de obra: Mano De Obra Aa (0.3 hc). Equipo: Herrramienta Y Equipo Menor (3.3 %).  Etapa de obra: 7. Cubierta.</t>
  </si>
  <si>
    <t>ESPESOR 1</t>
  </si>
  <si>
    <t>1.12.10 · SUMINISTRO E INSTALACIÓN DE CUBIERTA TEJA DURALUM 812 DINALSA   |   Unidad: Metro cuadrado (M2)   |   Precio: $ 47.448,80</t>
  </si>
  <si>
    <t>Precio por M2. Materiales: Teja Duralum 812 - 6,00 M (1 M2), Torn. Autoperforante/Sello De Neopreno (3 UND). Mano de obra: Andamio Tubular Normalizado, Tipo Multidireccional, De Acero Galvanizado En Caliente, Según Iso 9001. (0.04 dd), Mano De Obra Aa (0.3 hc). Equipo: Herrramienta Y Equipo Menor (3.3 %).  Etapa de obra: 7. Cubierta.</t>
  </si>
  <si>
    <t>TEJA DURALUM 812 - 6,00 M</t>
  </si>
  <si>
    <t>1.12.11 · SUMINISTRO E INSTALACIÓN DE ESTRUCTURA DE MADERA P/TEJA DE BARRO   |   Unidad: Metro lineal (ML)   |   Precio: $ 79.808,56</t>
  </si>
  <si>
    <t>Precio por ML. Materiales: Durmiente 3 M (5 ML), Puntilla Con Y Sin Cabeza 2 (0.3 lb). Mano de obra: Mano De Obra Aa (1.86 hc). Equipo: Andamio Tubular Normalizado, Tipo Multidireccional, De Acero Galvanizado En Caliente, Según Iso 9001. (0.19 dd), Herrramienta Y Equipo Menor (3.3 %).  Etapa de obra: 7. Cubierta.</t>
  </si>
  <si>
    <t>1.12.12 · SUMINISTRO E INSTALACIÓN DE ESTRUCTURA DE MADERA P/TEJA DE FIBROCEMENTO   |   Unidad: Metro lineal (ML)   |   Precio: $ 63.713,77</t>
  </si>
  <si>
    <t>Precio por ML. Materiales: Malla Bajo Entramado (0.75 M2), Planchón Ordinario 3 M (0.75 ML), Puntilla Con Y Sin Cabeza 2 (0.2 lb), Repisa Ordinaria 3 Mt (1.5 ML). Mano de obra: Mano De Obra Aa (1 hc). Equipo: Andamio Tubular Normalizado, Tipo Multidireccional, De Acero Galvanizado En Caliente, Según Iso 9001. (0.13 dd), Herrramienta Y Equipo Menor (3.3 %).  Etapa de obra: 7. Cubierta.</t>
  </si>
  <si>
    <t>PLANCHÓN ORDINARIO 3 M</t>
  </si>
  <si>
    <t>1.12.13 · SUMINISTRO E INSTALACIÓN DE ESTRUCTURA METÁLICA P/TEJA FIBROCEMENTO   |   Unidad: Metro lineal (ML)   |   Precio: $ 98.396,72</t>
  </si>
  <si>
    <t>Precio por ML. Materiales: Barra G-60 3/8 6m (1.5 kg), Perfil Tipo Perlin En C Negro P-10-12n (0.75 ML), Soldadura Eléctrica 004kg De 3/32 (0.3 kg). Mano de obra: Andamio Tubular Normalizado, Tipo Multidireccional, De Acero Galvanizado En Caliente, Según Iso 9001. (0.13 dd), Mano De Obra Aa (1 hc). Equipo: Herrramienta Y Equipo Menor (3.3 %).  Etapa de obra: 7. Cubierta.</t>
  </si>
  <si>
    <t>BARRA G-60 3/8 6M</t>
  </si>
  <si>
    <t>PERFIL TIPO PERLIN EN C NEGRO P-10-12N</t>
  </si>
  <si>
    <t>SOLDADURA ELÉCTRICA 004KG DE 3/32</t>
  </si>
  <si>
    <t>1.12.14 · IMPERMEABILIZACIÓN AUTOPROTEGIDA   |   Unidad: Metro lineal (ML)   |   Precio: $ 62.264,21</t>
  </si>
  <si>
    <t>Precio por ML. Materiales: Manto Metal Fl 2.5mm Fiberglass Rollo Por 10m2 (0.11 rl), Mortero 1:4 (0.04 M3), Sika 1 (0.5 kg). Mano de obra: Mano De Obra Aa (0.75 hc). Equipo: Andamio Tubular Normalizado, Tipo Multidireccional, De Acero Galvanizado En Caliente, Según Iso 9001. (0.09 dd), Herrramienta Y Equipo Menor (3.3 %).  Etapa de obra: 7. Cubierta.</t>
  </si>
  <si>
    <t>MANTO METAL FL 2.5MM FIBERGLASS ROLLO POR 10M2</t>
  </si>
  <si>
    <t>1.12.15 · SUMINISTRO E INSTALACIÓN CUBIERTA SHINGLE CON IMPERMEABILIZANTE   |   Unidad: Metro cuadrado (M2)   |   Precio: $ 375.736,05</t>
  </si>
  <si>
    <t>Precio por M2. Materiales: Dura Felt Plus Fiberglass 20 M2 (2 rl), Emulsión Asfáltica Ed/9 Cuñete 5 Gl Texsa (0.5 gl), Puntilla Con Y Sin Cabeza 1 (0.3 lb), Shingle Evergreen Blend Ct-20 (2.2 M2). Mano de obra: Mano De Obra Aa (0.82 hc). Equipo: Andamio Tubular Normalizado, Tipo Multidireccional, De Acero Galvanizado En Caliente, Según Iso 9001. (0.1 dd), Herrramienta Y Equipo Menor (3.3 %).  Etapa de obra: 7. Cubierta.</t>
  </si>
  <si>
    <t>DURA FELT PLUS FIBERGLASS 20 M2</t>
  </si>
  <si>
    <t>EMULSIÓN ASFÁLTICA ED/9 CUÑETE 5 GL TEXSA</t>
  </si>
  <si>
    <t>SHINGLE EVERGREEN BLEND CT-20</t>
  </si>
  <si>
    <t>1.12.16 · SUMINISTRO E INSTALACIÓN BAJANTE EN LAMINA 12 X 6 CAL. 22   |   Unidad: Metro lineal (ML)   |   Precio: $ 54.719,01</t>
  </si>
  <si>
    <t>Precio por ML. Materiales: Elementos De Anclaje Y Fijación (1 glb), Lamina Galvanizada Cal. 22 (1.05 UND), Platina 1/8 X 1 X 6 M (0.1 UND), Soldadura De Estaño (0.05 UND). Mano de obra: Auxiliar De Obra 2 (0.3 hh), Oficial Obra 1 (0.3 hh). Equipo: Andamio Tubular Normalizado, Tipo Multidireccional, De Acero Galvanizado En Caliente, Según Iso 9001. (0.03 dd), Herrramienta Y Equipo Menor (3.3 %).  Etapa de obra: 7. Cubierta.</t>
  </si>
  <si>
    <t>PLATINA 1/8 x 1 x 6 M</t>
  </si>
  <si>
    <t>1.12.17 · SUMINISTRO E INSTALACIÓN BAJANTE PLASTICA ALL X 3M   |   Unidad: Metro lineal (ML)   |   Precio: $ 48.551,50</t>
  </si>
  <si>
    <t>Precio por ML. Materiales: Tornillo 1*6`` Canal Raingo (1 UND), Unión De Canal (0.33 UND), Bajante Plastica Rectangular All X 3m (1.05 ML), Codo Bajante 45° Blanco (0.06 UND) y 1 más. Mano de obra: Andamio Tubular Normalizado, Tipo Multidireccional, De Acero Galvanizado En Caliente, Según Iso 9001. (0.13 dd), Auxiliar De Instalaciones 1 (1 hh), Oficial Instalaciones (0.43 hh). Equipo: Herrramienta Y Equipo Menor (3.3 %).  Etapa de obra: 7. Cubierta.</t>
  </si>
  <si>
    <t>TORNILLO 1*6`` CANAL RAINGO</t>
  </si>
  <si>
    <t>BAJANTE PLASTICA RECTANGULAR ALL X 3M</t>
  </si>
  <si>
    <t>1.12.18 · SUMINISTRO E INSTALACIÓN CABALLETE ARTICULADO TEJA ESPAÑOLA EN FIBROCEMENTO   |   Unidad: Metro lineal (ML)   |   Precio: $ 71.632,79</t>
  </si>
  <si>
    <t>Precio por ML. Materiales: Caballete Articulado Fibrocemento Superior E Inferior (2 UND), Gancho Especial Para Caballete Fibrocemento (2 UND), Igas Gris Sellante 5 Kg (0.1 gl). Mano de obra: Auxiliar De Obra 2 (0.3 hh), Oficial Obra 1 (0.3 hh). Equipo: Andamio Tubular Normalizado, Tipo Multidireccional, De Acero Galvanizado En Caliente, Según Iso 9001. (0.04 dd), Herrramienta Y Equipo Menor (3.3 %).  Etapa de obra: 7. Cubierta.</t>
  </si>
  <si>
    <t>CABALLETE ARTICULADO FIBROCEMENTO SUPERIOR E INFERIOR</t>
  </si>
  <si>
    <t>GANCHO ESPECIAL PARA CABALLETE FIBROCEMENTO</t>
  </si>
  <si>
    <t>IGAS GRIS SELLANTE 5 KG</t>
  </si>
  <si>
    <t>1.12.19 · SUMINISTRO E INSTALACIÓN CABALLETE ONDULADO FIBROCEMENTO   |   Unidad: Metro lineal (ML)   |   Precio: $ 48.186,72</t>
  </si>
  <si>
    <t>Precio por ML. Materiales: Caballete Eternit Pf/7 Fijo (1 UND), Gancho Teja Eternit 55 Mm (5 UND). Mano de obra: Andamio Tubular Normalizado, Tipo Multidireccional, De Acero Galvanizado En Caliente, Según Iso 9001. (0.07 dd), Auxiliar De Obra 2 (0.54 hh), Oficial Obra 1 (0.54 hh). Equipo: Herrramienta Y Equipo Menor (3.3 %).  Etapa de obra: 7. Cubierta.</t>
  </si>
  <si>
    <t>CABALLETE ETERNIT PF/7 FIJO</t>
  </si>
  <si>
    <t>GANCHO TEJA ETERNIT 55 MM</t>
  </si>
  <si>
    <t>1.12.20 · SUMINISTRO E INSTALACIÓN CANAL EN LAMINA CAL. 22   |   Unidad: Metro lineal (ML)   |   Precio: $ 54.019,53</t>
  </si>
  <si>
    <t>Precio por ML. Materiales: Elementos De Anclaje Y Fijación (1 glb), Lamina Galvanizada Cal. 22 (1 UND), Platina 1/8 X 1 X 6 M (0.2 UND), Soldadura De Estaño (0.05 UND). Mano de obra: Auxiliar De Obra 2 (0.3 hh), Oficial Obra 1 (0.3 hh). Equipo: Andamio Tubular Normalizado, Tipo Multidireccional, De Acero Galvanizado En Caliente, Según Iso 9001. (0.04 dd), Herrramienta Y Equipo Menor (3.3 %).  Etapa de obra: 7. Cubierta.</t>
  </si>
  <si>
    <t>1.12.21 · SUMINISTRO E INSTALACIÓN CANAL PLASTICA ALL 3 M   |   Unidad: Metro lineal (ML)   |   Precio: $ 62.856,03</t>
  </si>
  <si>
    <t>Precio por ML. Materiales: Tapa Externa (0.33 UND), Unión De Canal (0.33 UND), Canal Plastica X 3 M (1.03 ML), Soporte Canal (3 UND). Mano de obra: Auxiliar De Instalaciones 1 (1.6 hh), Oficial Instalaciones (0.72 hh). Equipo: Andamio Tubular Normalizado, Tipo Multidireccional, De Acero Galvanizado En Caliente, Según Iso 9001. (0.2 dd), Herrramienta Y Equipo Menor (3.3 %).  Etapa de obra: 7. Cubierta.</t>
  </si>
  <si>
    <t>TAPA EXTERNA</t>
  </si>
  <si>
    <t>CANAL PLASTICA X 3 M</t>
  </si>
  <si>
    <t>SOPORTE CANAL</t>
  </si>
  <si>
    <t>1.12.22 · SUMINISTRO E INSTALACIÓN CUBIERTA ARQUITECTÓNICA GALVANIZADA O SIMILAR CAL 30   |   Unidad: Metro cuadrado (M2)   |   Precio: $ 47.638,02</t>
  </si>
  <si>
    <t>Precio por M2. Materiales: Cubierta Arquitectonica Galvanizada O Similar  0.3 Mm Cl 30 (0.47 UND), Gancho Teja Eternit 55 Mm (2 UND). Mano de obra: Andamio Tubular Normalizado, Tipo Multidireccional, De Acero Galvanizado En Caliente, Según Iso 9001. (0.17 dd), Auxiliar De Obra 2 (1.4 hh), Oficial Obra 1 (0.7 hh). Equipo: Herrramienta Y Equipo Menor (3.3 %).  Etapa de obra: 7. Cubierta.</t>
  </si>
  <si>
    <t>1.12.23 · SUMINISTRO E INSTALACIÓN CUBIERTA EN TEJA FIBROCEMENTO NUMERO 10   |   Unidad: Metro cuadrado (M2)   |   Precio: $ 52.209,47</t>
  </si>
  <si>
    <t>Precio por M2. Materiales: Teja Fibrocemento No. 10 92 X 305 Cms (0.47 UND), Gancho Teja Eternit 55 Mm (2 UND). Mano de obra: Auxiliar De Obra 2 (1.5 hh), Oficial Obra 1 (0.75 hh). Equipo: Andamio Tubular Normalizado, Tipo Multidireccional, De Acero Galvanizado En Caliente, Según Iso 9001. (0.19 dd), Herrramienta Y Equipo Menor (3.3 %).  Etapa de obra: 7. Cubierta.</t>
  </si>
  <si>
    <t>TEJA FIBROCEMENTO NO. 10 92 X 305 cms</t>
  </si>
  <si>
    <t>1.12.24 · SUMINISTRO E INSTALACIÓN CUBIERTA EN TEJA FIBROCEMENTO NUMERO 4   |   Unidad: Metro cuadrado (M2)   |   Precio: $ 35.011,93</t>
  </si>
  <si>
    <t>Precio por M2. Materiales: Teja Fibrocemento No. 4 92 X 122 Cms (1.03 UND), Gancho Galvanizado Para Madera (1 UND). Mano de obra: Auxiliar De Obra 2 (0.8 hh), Oficial Obra 1 (0.4 hh). Equipo: Andamio Tubular Normalizado, Tipo Multidireccional, De Acero Galvanizado En Caliente, Según Iso 9001. (0.1 dd), Herrramienta Y Equipo Menor (3.3 %).  Etapa de obra: 7. Cubierta.</t>
  </si>
  <si>
    <t>TEJA FIBROCEMENTO NO. 4 92 X 122 cms</t>
  </si>
  <si>
    <t>GANCHO GALVANIZADO PARA MADERA</t>
  </si>
  <si>
    <t>1.12.25 · SUMINISTRO E INSTALACIÓN CUBIERTA EN TEJA FIBROCEMENTO NUMERO 6   |   Unidad: Metro cuadrado (M2)   |   Precio: $ 41.801,76</t>
  </si>
  <si>
    <t>Precio por M2. Materiales: Teja Fibrocemento No. 6 92 X 183 Cms (0.63 UND), Gancho Teja Eternit 55 Mm (1.3 UND). Mano de obra: Andamio Tubular Normalizado, Tipo Multidireccional, De Acero Galvanizado En Caliente, Según Iso 9001. (0.15 dd), Auxiliar De Obra 2 (1.2 hh), Oficial Obra 1 (0.6 hh). Equipo: Herrramienta Y Equipo Menor (3.3 %).  Etapa de obra: 7. Cubierta.</t>
  </si>
  <si>
    <t>TEJA FIBROCEMENTO NO. 6 92 X 183 cms</t>
  </si>
  <si>
    <t>1.12.26 · SUMINISTRO E INSTALACIÓN CUBIERTA EN TEJA FIBROCEMENTO NUMERO 8   |   Unidad: Metro cuadrado (M2)   |   Precio: $ 44.924,67</t>
  </si>
  <si>
    <t>Precio por M2. Materiales: Teja Fibrocemento No. 8 92 X 244 Cms (0.45 UND), Gancho Teja Eternit 55 Mm (1.3 UND). Mano de obra: Andamio Tubular Normalizado, Tipo Multidireccional, De Acero Galvanizado En Caliente, Según Iso 9001. (0.18 dd), Auxiliar De Obra 2 (1.4 hh), Oficial Obra 1 (0.7 hh). Equipo: Herrramienta Y Equipo Menor (3.3 %).  Etapa de obra: 7. Cubierta.</t>
  </si>
  <si>
    <t>TEJA FIBROCEMENTO NO. 8 92 X 244 cms</t>
  </si>
  <si>
    <t>1.12.27 · SUMINISTRO E INSTALACIÓN CUBIERTA EN TEJA POLICARBONATO P7 N° 6   |   Unidad: Metro cuadrado (M2)   |   Precio: $ 57.481,16</t>
  </si>
  <si>
    <t>Precio por M2. Materiales: Teja Policarbonato P7 No 6 (0.63 UND), Gancho Teja Eternit 55 Mm (2 UND). Mano de obra: Auxiliar De Obra 2 (1.2 hh), Oficial Obra 1 (0.6 hh). Equipo: Andamio Tubular Normalizado, Tipo Multidireccional, De Acero Galvanizado En Caliente, Según Iso 9001. (0.15 dd), Herrramienta Y Equipo Menor (3.3 %).  Etapa de obra: 7. Cubierta.</t>
  </si>
  <si>
    <t>TEJA POLICARBONATO P7 No 6</t>
  </si>
  <si>
    <t>1.12.28 · SUMINISTRO E INSTALACIÓN CUBIERTA EN TEJA PANEL METÁLICO DE ALUZINC - ALUZINC CAL 26 TIPO SANDUCHE, CON POLIURETANO EXPANDIDO DE ALTA DENSIDAD, ACABADO EN PINTURA POLIESTER   |   Unidad: Metro cuadrado (M2)   |   Precio: $ 176.691,43</t>
  </si>
  <si>
    <t>Precio por M2. Materiales: Teja Panel Metálico De Aluzinc - Aluzinc Cal 26 Tipo Sanduche (1 M2). Mano de obra: Andamio Tubular Normalizado, Tipo Multidireccional, De Acero Galvanizado En Caliente, Según Iso 9001. (0.18 dd), Auxiliar De Obra 2 (1.4 hh), Oficial Obra 1 (0.7 hh). Equipo: Herrramienta Y Equipo Menor (3.3 %).  Etapa de obra: 7. Cubierta.</t>
  </si>
  <si>
    <t>TEJA PANEL METÁLICO DE ALUZINC - ALUZINC CAL 26 TIPO SANDUCHE</t>
  </si>
  <si>
    <t>1.12.29 · SUMINISTRO E INSTALACIÓN CUBIERTA EN TEJA TECHOLINE   |   Unidad: Metro cuadrado (M2)   |   Precio: $ 220.646,88</t>
  </si>
  <si>
    <t>Precio por M2. Materiales: Teja Techoline B.t. (0.53 UND), Fijaciones Techoline (4 UND). Mano de obra: Auxiliar De Obra 2 (11 hh), Oficial Obra 1 (5.5 hh). Equipo: Andamio Tubular Normalizado, Tipo Multidireccional, De Acero Galvanizado En Caliente, Según Iso 9001. (0.18 dd), Herrramienta Y Equipo Menor (3.3 %).  Etapa de obra: 7. Cubierta.</t>
  </si>
  <si>
    <t>TEJA TECHOLINE B.T.</t>
  </si>
  <si>
    <t>FIJACIONES TECHOLINE</t>
  </si>
  <si>
    <t>1.12.30 · SUMINISTRO E INSTALACIÓN CUBIERTA EN TEJA TRANSPARENTE No. 6 NO INCLUYE ENTRAMADO   |   Unidad: Metro cuadrado (M2)   |   Precio: $ 46.170,80</t>
  </si>
  <si>
    <t>Precio por M2. Materiales: Teja Transparente Ajover No.6 (0.63 UND), Puntilla Con Y Sin Cabeza 1 (1.3 lb). Mano de obra: Auxiliar De Obra 2 (0.55 hh), Oficial Obra 1 (0.55 hh). Equipo: Andamio Tubular Normalizado, Tipo Multidireccional, De Acero Galvanizado En Caliente, Según Iso 9001. (0.07 dd), Herrramienta Y Equipo Menor (3.3 %).  Etapa de obra: 7. Cubierta.</t>
  </si>
  <si>
    <t>TEJA TRANSPARENTE AJOVER NO.6</t>
  </si>
  <si>
    <t>1.12.31 · SUMINISTRO E INSTALACIÓN CUBIERTA LAMINA POLICARBONATO Cal. 6 mm   |   Unidad: Metro cuadrado (M2)   |   Precio: $ 105.665,68</t>
  </si>
  <si>
    <t>Precio por M2. Materiales: Tornillo Autoperforante 3/4 (3 UND), Lamina De Policarbonato Alveolar 6 Mm Cristal 2.10*11.80 (0.12 UND). Mano de obra: Auxiliar De Obra 2 (0.6 hh), Oficial Obra 1 (0.6 hh). Equipo: Andamio Tubular Normalizado, Tipo Multidireccional, De Acero Galvanizado En Caliente, Según Iso 9001. (0.08 dd), Herrramienta Y Equipo Menor (3.3 %).  Etapa de obra: 7. Cubierta.</t>
  </si>
  <si>
    <t>TORNILLO AUTOPERFORANTE 3/4</t>
  </si>
  <si>
    <t>LAMINA DE POLICARBONATO ALVEOLAR 6 mm CRISTAL 2.10*11.80</t>
  </si>
  <si>
    <t>1.12.32 · SUMINISTRO E INSTALACIÓN CUBIERTA TEJA ONDULADA THERMOACUSTICA 0.83 X 12   |   Unidad: Metro cuadrado (M2)   |   Precio: $ 64.002,65</t>
  </si>
  <si>
    <t>Precio por M2. Materiales: Teja Ondulada Thermoacustica Con Asfalto Modificado 0.83 X 12 (0.1 UND), Gancho De Fijacion (4 UND). Mano de obra: Auxiliar De Obra 2 (1 hh), Oficial Obra 1 (0.5 hh). Equipo: Andamio Tubular Normalizado, Tipo Multidireccional, De Acero Galvanizado En Caliente, Según Iso 9001. (0.14 dd), Herrramienta Y Equipo Menor (3.3 %).  Etapa de obra: 7. Cubierta.</t>
  </si>
  <si>
    <t>TEJA ONDULADA THERMOACUSTICA CON ASFALTO MODIFICADO 0.83 X 12</t>
  </si>
  <si>
    <t>GANCHO DE FIJACION</t>
  </si>
  <si>
    <t>1.12.33 · SUMINISTRO E INSTALACIÓN CUBIERTA THERMOACUSTICA ONDULADA EN POLIPROPILENO No. 10   |   Unidad: Metro cuadrado (M2)   |   Precio: $ 65.451,52</t>
  </si>
  <si>
    <t>Precio por M2. Materiales: Teja Thermoacustica Ondulada En Polipropileno No. 10 0.83 X 12 M (0.1 UND), Gancho De Fijacion (4 UND). Mano de obra: Auxiliar De Obra 2 (0.65 hh), Oficial Obra 1 (0.65 hh). Equipo: Andamio Tubular Normalizado, Tipo Multidireccional, De Acero Galvanizado En Caliente, Según Iso 9001. (0.08 dd), Herrramienta Y Equipo Menor (3.3 %).  Etapa de obra: 7. Cubierta.</t>
  </si>
  <si>
    <t>TEJA THERMOACUSTICA ONDULADA EN POLIPROPILENO No. 10 0.83 x 12 M</t>
  </si>
  <si>
    <t>1.12.34 · SUMINISTRO E INSTALACIÓN ENTRAMADO PARA TEJA ESPAÑOLA EN FIBROCEMENTO   |   Unidad: Metro cuadrado (M2)   |   Precio: $ 46.690,45</t>
  </si>
  <si>
    <t>Precio por M2. Materiales: Madera Planchon Ordinario 5 M (2.62 ML), Madera Repisa 3 M (0.51 ML), Puntilla Con Y Sin Cabeza 2 (0.2 lb). Mano de obra: Auxiliar De Obra 2 (1 hh), Oficial Obra 1 (1 hh). Equipo: Andamio Tubular Normalizado, Tipo Multidireccional, De Acero Galvanizado En Caliente, Según Iso 9001. (0.13 dd), Herrramienta Y Equipo Menor (3.3 %).  Etapa de obra: 7. Cubierta.</t>
  </si>
  <si>
    <t>MADERA PLANCHON ORDINARIO 5 M</t>
  </si>
  <si>
    <t>1.12.35 · SUMINISTRO E INSTALACIÓN ENTRAMADO PARA TEJA ONDULADA   |   Unidad: Metro cuadrado (M2)   |   Precio: $ 46.690,45</t>
  </si>
  <si>
    <t>1.12.36 · SUMINISTRO E INSTALACIÓN ENTRAMADO PARA TEJA DE BARRO   |   Unidad: Metro cuadrado (M2)   |   Precio: $ 74.634,38</t>
  </si>
  <si>
    <t>Precio por M2. Materiales: Madera Planchon Ordinario 3 M (2.62 ML), Madera Repisa 3 M (1.03 ML), Puntilla Con Y Sin Cabeza 2 (0.3 lb). Mano de obra: Auxiliar De Obra 2 (1.85 hh), Oficial Obra 1 (1.85 hh). Equipo: Andamio Tubular Normalizado, Tipo Multidireccional, De Acero Galvanizado En Caliente, Según Iso 9001. (0.23 dd), Herrramienta Y Equipo Menor (3.3 %).  Etapa de obra: 7. Cubierta.</t>
  </si>
  <si>
    <t>MADERA PLANCHON ORDINARIO 3 M</t>
  </si>
  <si>
    <t>1.12.37 · SUMINISTRO E INSTALACIÓN FLANCHE EN LAMINA   |   Unidad: Metro lineal (ML)   |   Precio: $ 35.951,83</t>
  </si>
  <si>
    <t>Precio por ML. Materiales: Lamina Galvanizada Cal. 22 (0.2 UND), Soldadura Estaño (0.2 UND). Mano de obra: Andamio Tubular Normalizado, Tipo Multidireccional, De Acero Galvanizado En Caliente, Según Iso 9001. (0.09 dd), Auxiliar De Obra 2 (0.7 hh), Oficial Obra 1 (0.7 hh). Equipo: Herrramienta Y Equipo Menor (3.3 %).  Etapa de obra: 7. Cubierta.</t>
  </si>
  <si>
    <t>SOLDADURA ESTAÑO</t>
  </si>
  <si>
    <t>1.12.38 · SUMINISTRO E INSTALACIÓN IMPERFRESCO CUBIERTA   |   Unidad: Metro lineal (ML)   |   Precio: $ 35.150,54</t>
  </si>
  <si>
    <t>Precio por ML. Materiales: Ladrillo Tolete Comun (13 UND), Mortero 1:4 (0.02 M3). Mano de obra: Auxiliar De Obra 2 (0.85 hh), Oficial Obra 1 (0.85 hh). Equipo: Herrramienta Y Equipo Menor (3.3 %).  Etapa de obra: 7. Cubierta.</t>
  </si>
  <si>
    <t>1.12.39 · SUMINISTRO E INSTALACIÓN IMPERMEABILIZACION EN MANTO ASFALTICO   |   Unidad: Metro lineal (ML)   |   Precio: $ 59.547,39</t>
  </si>
  <si>
    <t>Precio por ML. Materiales: Mortero 1:3 Impermeabilizado (0.04 M3), Manto Protector 3mm Fiberglass Rollo Por 10 M2 (0.09 rl). Mano de obra: Auxiliar De Obra 2 (1.5 hh), Oficial Obra 1 (0.75 hh). Equipo: Herrramienta Y Equipo Menor (3.3 %).  Etapa de obra: 7. Cubierta.</t>
  </si>
  <si>
    <t>MANTO PROTECTOR 3MM FIBERGLASS ROLLO POR 10 M2</t>
  </si>
  <si>
    <t>1.12.40 · SUMINISTRO E INSTALACIÓN LAMINA ALVEOLAR 4MM FIBRA DE CARBONO   |   Unidad: Metro cuadrado (M2)   |   Precio: $ 51.989,61</t>
  </si>
  <si>
    <t>Precio por M2. Materiales: Accesorios De Instalaciòn Teja De Fibra De Carbón (9 UND), Lamina Alveolar 4 Mm (1.05 M2). Mano de obra: Andamio Tubular Normalizado, Tipo Multidireccional, De Acero Galvanizado En Caliente, Según Iso 9001. (0.08 dd), Auxiliar De Obra 2 (0.6 hh), Oficial Obra 1 (0.6 hh). Equipo: Herrramienta Y Equipo Menor (3.3 %).  Etapa de obra: 7. Cubierta.</t>
  </si>
  <si>
    <t>ACCESORIOS DE INSTALACIÒN TEJA DE FIBRA DE CARBÓN</t>
  </si>
  <si>
    <t>LAMINA ALVEOLAR 4 MM (0,8 KG/M2)</t>
  </si>
  <si>
    <t>1.12.41 · SUMINISTRO E INSTALACIÓN LAMINA ALVEOLAR 6MM FIBRA DE CARBONO   |   Unidad: Metro cuadrado (M2)   |   Precio: $ 49.360,46</t>
  </si>
  <si>
    <t>Precio por M2. Materiales: Elementos De Anclaje Y Fijación (1 glb), Lamina Alveolar 6 Mm  11.8x2.10 (1.05 M2). Mano de obra: Andamio Tubular Normalizado, Tipo Multidireccional, De Acero Galvanizado En Caliente, Según Iso 9001. (0.08 dd), Auxiliar De Obra 2 (0.6 hh), Oficial Obra 1 (0.6 hh). Equipo: Herrramienta Y Equipo Menor (3.3 %).  Etapa de obra: 7. Cubierta.</t>
  </si>
  <si>
    <t>LAMINA ALVEOLAR 6 MM (1,3 KG/M2) 11.8X2.10</t>
  </si>
  <si>
    <t>1.12.42 · SUMINISTRO E INSTALACIÓN MANTO FIBERGLASS   |   Unidad: Metro cuadrado (M2)   |   Precio: $ 60.211,51</t>
  </si>
  <si>
    <t>Precio por M2. Materiales: Mortero 1:3 Impermeabilizado (0.05 M3), Manto Protector 3mm Fiberglass Rollo Por 10 M2 (0.09 rl). Mano de obra: Auxiliar De Obra 2 (1.2 hh), Oficial Obra 1 (0.6 hh). Equipo: Herrramienta Y Equipo Menor (3.3 %).  Etapa de obra: 7. Cubierta.</t>
  </si>
  <si>
    <t>1.12.43 · SUMINISTRO E INSTALACIÓN PERFILERIA METALICA PARA ESTRUCTURA DE CUBIERTA. DIMENSIONES Y CALIBRES SEGÚN DISEÑO   |   Unidad: Kilogramo (kg)   |   Precio: $ 10.828,84</t>
  </si>
  <si>
    <t>Precio por kg. Materiales: Anticorrosivo Phcl (0 gl), Acero 60000 Psi (0.13 kg), Acero Estruct. Astm A-36 (1 kg), Soldadura 6011 X 1/8`` (0.05 kg). Mano de obra: Auxiliar De Obra 2 (0.06 hh), Auxiliar De Carpinterias 1 (0.06 hh), Auxiliar De Pintura 1 (0.01 hh), Oficial Carpinterias (0.06 hh) y 2 más. Equipo: Oxicorte (0.01 dd), Andamio Tubular Normalizado, Tipo Multidireccional, De Acero Galvanizado En Caliente, Según Iso 9001. (0.05 dd), Herrramienta Y Equipo Menor (3.3 %).  Etapa de obra: 7. Cubierta.</t>
  </si>
  <si>
    <t>ANTICORROSIVO PHCL</t>
  </si>
  <si>
    <t>ACERO ESTRUCT. ASTM A-36</t>
  </si>
  <si>
    <t>SOLDADURA 6011 x 1/8``</t>
  </si>
  <si>
    <t>SOLDADOR 1</t>
  </si>
  <si>
    <t>1.12.44 · SUMINISTRO E INSTALACIÓN TEJA ESPAÑOLA ETERNIT (NO INCLUYE ENTRAMADO)   |   Unidad: Metro cuadrado (M2)   |   Precio: $ 74.502,50</t>
  </si>
  <si>
    <t>Precio por M2. Materiales: Teja Eternit Española 0.7 (1 M2), Gancho Teja Eternit 55 Mm (4 UND). Mano de obra: Andamio Tubular Normalizado, Tipo Multidireccional, De Acero Galvanizado En Caliente, Según Iso 9001. (0.06 dd), Auxiliar De Obra 2 (0.45 hh), Oficial Obra 1 (0.45 hh). Equipo: Herrramienta Y Equipo Menor (3.3 %).  Etapa de obra: 7. Cubierta.</t>
  </si>
  <si>
    <t>TEJA ETERNIT ESPAÑOLA 0.7</t>
  </si>
  <si>
    <t>1.12.45 · SUMINISTRO E INSTALACIÓN TEJA DE BARRO SOBRE ETERNIT.   |   Unidad: Metro cuadrado (M2)   |   Precio: $ 62.363,13</t>
  </si>
  <si>
    <t>Precio por M2. Materiales: Teja De Barro Española 18/16 X 40 Cm (24 UND), Mortero 1:3 Impermeabilizado (0.04 M3). Mano de obra: Auxiliar De Obra 2 (0.7 hh), Oficial Obra 1 (0.7 hh). Equipo: Andamio Tubular Normalizado, Tipo Multidireccional, De Acero Galvanizado En Caliente, Según Iso 9001. (0.08 dd), Herrramienta Y Equipo Menor (3.3 %).  Etapa de obra: 7. Cubierta.</t>
  </si>
  <si>
    <t>TEJA DE BARRO ESPAÑOLA 18/16 x 40 cm (24 und x m2)</t>
  </si>
  <si>
    <t>1.12.46 · SUMINISTRO E INSTALACIÓN TEJA DE BARRO TIPO ESPAÑOLA   |   Unidad: Metro cuadrado (M2)   |   Precio: $ 107.495,26</t>
  </si>
  <si>
    <t>Precio por M2. Materiales: Teja De Barro Tipo ``española`` (48 UND), Mortero 1:3 Impermeabilizado (0.05 M3). Mano de obra: Andamio Tubular Normalizado, Tipo Multidireccional, De Acero Galvanizado En Caliente, Según Iso 9001. (0.18 dd), Auxiliar De Obra 2 (1.4 hh), Oficial Obra 1 (1.4 hh). Equipo: Herrramienta Y Equipo Menor (3.3 %).  Etapa de obra: 7. Cubierta.</t>
  </si>
  <si>
    <t>TEJA DE BARRO TIPO ``ESPAÑOLA``</t>
  </si>
  <si>
    <t>1.12.47 · SUMINISTRO E INSTALACIÓN TEJA THERMOACUSTICA TIPO TRAPEZOIDAL a 360   |   Unidad: Metro cuadrado (M2)   |   Precio: $ 53.238,67</t>
  </si>
  <si>
    <t>Precio por M2. Materiales: Teja Termoacustica Tipo Trapezoidal A 360 (1.05 ML), Gancho De Fijacion (4 UND). Mano de obra: Andamio Tubular Normalizado, Tipo Multidireccional, De Acero Galvanizado En Caliente, Según Iso 9001. (0.07 dd), Auxiliar De Obra 2 (0.55 hh), Oficial Obra 1 (0.55 hh). Equipo: Herrramienta Y Equipo Menor (3.3 %).  Etapa de obra: 7. Cubierta.</t>
  </si>
  <si>
    <t>TEJA TERMOACUSTICA TIPO TRAPEZOIDAL a 360</t>
  </si>
  <si>
    <t>1.12.48 · SUMINISTRO E INTALACION CUBIERTA ARQUITECTONICA METALICA TIPO ACESCO O SIMILAR 0.73 X 3.66 M   |   Unidad: Metro cuadrado (M2)   |   Precio: $ 34.695,09</t>
  </si>
  <si>
    <t>Precio por M2. Materiales: Cubierta Arquitectonica Tipo Acesco O Similar 0.73 X 3m Cl 30 (0.46 UND), Gancho De Fijacion (2.5 UND). Mano de obra: Auxiliar De Obra 2 (0.3 hh), Oficial Obra 1 (0.2 hh). Equipo: Herrramienta Y Equipo Menor (3.3 %).  Etapa de obra: 7. Cubierta.</t>
  </si>
  <si>
    <t>CUBIERTA ARQUITECTONICA TIPO ACESCO O SIMILAR 0.73 X 3M CL 30</t>
  </si>
  <si>
    <t>1.12.49 · TRAGANTES 6   |   Unidad: Unidad (UND)   |   Precio: $ 28.121,15</t>
  </si>
  <si>
    <t>Precio por UND. Materiales: Mortero 1:3 Impermeabilizado (0 M3), Cúpula Tragante C 6x4 (1 UND). Mano de obra: Mano De Obra Aa (0.4 hc). Equipo: Herrramienta Y Equipo Menor (3.3 %).  Etapa de obra: 7. Cubierta.</t>
  </si>
  <si>
    <t>CÚPULA TRAGANTE C 6X4</t>
  </si>
  <si>
    <t>Capítulo 1.13 · CIELO RASOS</t>
  </si>
  <si>
    <t>1.13.01 · APLIQUE DE LUZ EN YESO O SIMILAR   |   Unidad: Unidad (UND)   |   Precio: $ 70.982,76</t>
  </si>
  <si>
    <t>Precio por UND. Materiales: Aplique De Luz (1 UND). Mano de obra: Auxiliar De Obra 2 (0.5 hh), Oficial Obra 1 (0.5 hh). Equipo: Herrramienta Y Equipo Menor (3.3 %).  Etapa de obra: 8. Acabados.</t>
  </si>
  <si>
    <t>APLIQUE DE LUZ</t>
  </si>
  <si>
    <t>1.13.02 · ARMADURA MADERA Y MALLA.   |   Unidad: Metro cuadrado (M2)   |   Precio: $ 38.944,47</t>
  </si>
  <si>
    <t>Precio por M2. Materiales: Malla Con Vena 0.60x2.00 (0.9 UND), Puntilla Con Y Sin Cabeza 2 (0.04 lb), Repisa Ordinaria 3 Mt (0.74 ML). Mano de obra: Mano De Obra Aa (1.1 hc). Equipo: Andamio Tubular Normalizado, Tipo Multidireccional, De Acero Galvanizado En Caliente, Según Iso 9001. (0.1 dd), Herrramienta Y Equipo Menor (3.3 %).  Etapa de obra: 8. Acabados.</t>
  </si>
  <si>
    <t>1.13.03 · ARMADURA MADERA Y MALLA CON VENA   |   Unidad: Metro cuadrado (M2)   |   Precio: $ 43.994,43</t>
  </si>
  <si>
    <t>Precio por M2. Materiales: Madera Repisa 3 M (2.16 ML), Malla Con Vena 0.60x2.00 (0.73 UND), Puntilla Con Y Sin Cabeza 2 (0.04 lb). Mano de obra: Andamio Tubular Normalizado, Tipo Multidireccional, De Acero Galvanizado En Caliente, Según Iso 9001. (0.15 dd), Auxiliar De Obra 2 (1 hh), Oficial Obra 1 (1 hh). Equipo: Herrramienta Y Equipo Menor (2 %).  Etapa de obra: 8. Acabados.</t>
  </si>
  <si>
    <t>1.13.04 · CIELO RASO BÓVEDAS DRYWALL   |   Unidad: Metro cuadrado (M2)   |   Precio: $ 68.917,42</t>
  </si>
  <si>
    <t>Precio por M2. Materiales: Vinilux (0.05 gl), Cielo Raso Pvc (1.05 M2). Mano de obra: Mano De Obra Dd (1.4 hc). Equipo: Herrramienta Y Equipo Menor (5 %).  Etapa de obra: 8. Acabados.</t>
  </si>
  <si>
    <t>VINILUX</t>
  </si>
  <si>
    <t>CIELO RASO PVC</t>
  </si>
  <si>
    <t>MANO DE OBRA DD</t>
  </si>
  <si>
    <t>1.13.05 · CIELO RASO DURACUSTICO CIROCCO   |   Unidad: Metro cuadrado (M2)   |   Precio: $ 56.282,34</t>
  </si>
  <si>
    <t>Precio por M2. Materiales: Angulo Perimetral De 1x1 Cal 26 (0.5 UND), Tee Aluminio 1" X 3/4 (0.8 ML), Duracustic Cirocco 2x4x5/8s.w. (1 lm), Remache Pop 4-2 1/4``x1/8 (4 UND). Mano de obra: Mano De Obra Bb (0.6 hc). Equipo: Andamio Tubular Normalizado, Tipo Multidireccional, De Acero Galvanizado En Caliente, Según Iso 9001. (0.13 dd), Herrramienta Y Equipo Menor (3.3 %).  Etapa de obra: 8. Acabados.</t>
  </si>
  <si>
    <t>ANGULO PERIMETRAL DE 1x1 CAL 26</t>
  </si>
  <si>
    <t>TEE ALUMINIO 1" X 3/4</t>
  </si>
  <si>
    <t>DURACUSTIC CIROCCO 2X4X5/8S.W.</t>
  </si>
  <si>
    <t>lm</t>
  </si>
  <si>
    <t>REMACHE POP 4-2 1/4``X1/8</t>
  </si>
  <si>
    <t>1.13.06 · CIELO RASO EN DRYWALL 1/2   |   Unidad: Metro cuadrado (M2)   |   Precio: $ 60.101,62</t>
  </si>
  <si>
    <t>Precio por M2. Materiales: Tornillo 6x1 (5.4 UND), Tornillo Largo Para Lamina Cabeza De Lenteja (11 UND), Angulo Perimetral De 1x1 Cal 26 (0.45 UND), Vigueta En Aluminio Cal 26 (0.56 UND) y 4 más. Mano de obra: Auxiliar De Obra 2 (1 hh), Oficial Obra 1 (1 hh). Equipo: Andamio Tubular Normalizado, Tipo Multidireccional, De Acero Galvanizado En Caliente, Según Iso 9001. (0.13 dd), Herrramienta Y Equipo Menor (3.3 %).  Etapa de obra: 8. Acabados.</t>
  </si>
  <si>
    <t>TORNILLO LARGO PARA LAMINA CABEZA DE LENTEJA</t>
  </si>
  <si>
    <t>VIGUETA EN ALUMINIO CAL 26</t>
  </si>
  <si>
    <t>OMEGA EN ALUMINIO CAL 26</t>
  </si>
  <si>
    <t>1.13.07 · CIELO RASO EN LAMINA DURACUSTIC 5/8" R.H   |   Unidad: Metro cuadrado (M2)   |   Precio: $ 54.096,05</t>
  </si>
  <si>
    <t>Precio por M2. Materiales: Angulo Perimetral De 1x1 Cal 26 (0.5 UND), Tee Aluminio 1" X 3/4 (0.8 ML), Lamina Duracustic 5/8`` R-H (1 UND), Remache Pop 4-2 1/4``x1/8 (4 UND). Mano de obra: Auxiliar De Obra 2 (0.6 hh), Oficial Obra 1 (0.6 hh). Equipo: Andamio Tubular Normalizado, Tipo Multidireccional, De Acero Galvanizado En Caliente, Según Iso 9001. (0.13 dd), Herrramienta Y Equipo Menor (3.3 %).  Etapa de obra: 8. Acabados.</t>
  </si>
  <si>
    <t>LAMINA DURACUSTIC 5/8`` R-H</t>
  </si>
  <si>
    <t>1.13.08 · CIELO RASO EN MADERA MACHIMBRE   |   Unidad: Metro cuadrado (M2)   |   Precio: $ 53.875,39</t>
  </si>
  <si>
    <t>Precio por M2. Materiales: Machimbre (1 M2), Repisa Ordinaria 3 Mt (2 ML). Mano de obra: Auxiliar De Obra 2 (0.5 hh), Oficial Obra 1 (0.5 hh). Equipo: Andamio Tubular Normalizado, Tipo Multidireccional, De Acero Galvanizado En Caliente, Según Iso 9001. (0.13 dd), Herrramienta Y Equipo Menor (3.3 %).  Etapa de obra: 8. Acabados.</t>
  </si>
  <si>
    <t>MACHIMBRE</t>
  </si>
  <si>
    <t>1.13.09 · CIELO RASO EN SUPERBOARD 8MM   |   Unidad: Metro cuadrado (M2)   |   Precio: $ 74.418,62</t>
  </si>
  <si>
    <t>Precio por M2. Materiales: Tornillo 6x1 (9 UND), Tornillo Largo Para Lamina Cabeza De Lenteja (11 UND), Angulo Perimetral De 1x1 Cal 26 (0.42 UND), Vigueta En Aluminio Cal 26 (0.56 UND) y 4 más. Mano de obra: Auxiliar De Obra 2 (1.2 hh), Oficial Obra 1 (1.2 hh). Equipo: Andamio Tubular Normalizado, Tipo Multidireccional, De Acero Galvanizado En Caliente, Según Iso 9001. (0.13 dd), Herrramienta Y Equipo Menor (3.3 %).  Etapa de obra: 8. Acabados.</t>
  </si>
  <si>
    <t>1.13.10 · CIELO RASO LISTON MACHIEMBRIADO CIPRES   |   Unidad: Metro cuadrado (M2)   |   Precio: $ 66.665,75</t>
  </si>
  <si>
    <t>Precio por M2. Materiales: Toc Madera Transparente (0.05 kg), Cielo Raso Liston Machimbre Cipres (1.03 M2), Madera Media Caña (0.2 ML), Madera Tiras Alistado .03x.03x2.7m (2 ML) y 1 más. Mano de obra: Andamio Tubular Normalizado, Tipo Multidireccional, De Acero Galvanizado En Caliente, Según Iso 9001. (0.13 dd), Auxiliar De Obra 2 (1.5 hh), Oficial Obra 1 (1.5 hh). Equipo: Herrramienta Y Equipo Menor (2.5 %).  Etapa de obra: 8. Acabados.</t>
  </si>
  <si>
    <t>TOC MADERA TRANSPARENTE</t>
  </si>
  <si>
    <t>CIELO RASO LISTON MACHIMBRE CIPRES</t>
  </si>
  <si>
    <t>MADERA MEDIA CAÑA</t>
  </si>
  <si>
    <t>1.13.11 · CIELO RASO METALICOS   |   Unidad: Metro cuadrado (M2)   |   Precio: $ 176.088,20</t>
  </si>
  <si>
    <t>Precio por M2. Materiales: Angulo Perimetral De 1x1 Cal 26 (1.25 UND), Tee Aluminio 1" X 3/4 (0.8 ML), Disolvente Thiner (0.01 gl), Lamina Galvanizada Cal. 22 (1.26 UND) y 5 más. Mano de obra: Auxiliar De Carpinterias 1 (1.9 hh), Oficial Carpinterias (0.95 hh), Oficial Pintura (0.28 hh). Equipo: Andamio Tubular Normalizado, Tipo Multidireccional, De Acero Galvanizado En Caliente, Según Iso 9001. (0.4 dd), Herrramienta Y Equipo Menor (3.3 %).  Etapa de obra: 8. Acabados.</t>
  </si>
  <si>
    <t>POLIURETANO TIPO A</t>
  </si>
  <si>
    <t>POLIURETANO TIPO B</t>
  </si>
  <si>
    <t>1.13.12 · CIELO RASO THERMOACUSTICOS EN SUPERBOARD 8 MM   |   Unidad: Metro cuadrado (M2)   |   Precio: $ 78.130,46</t>
  </si>
  <si>
    <t>Precio por M2. Materiales: Tornillo 6x1 (9 UND), Tornillo Largo Para Lamina Cabeza De Lenteja (11 UND), Angulo Perimetral De 1x1 Cal 26 (0.42 UND), Vigueta En Aluminio Cal 26 (0.56 UND) y 5 más. Mano de obra: Auxiliar De Obra 2 (1.2 hh), Oficial Obra 1 (1.2 hh). Equipo: Herrramienta Y Equipo Menor (3.3 %).  Etapa de obra: 8. Acabados.</t>
  </si>
  <si>
    <t>FRESCASA FIBERGLASS 17.8X2.5" +C2</t>
  </si>
  <si>
    <t>1.13.13 · MALLA CON VENA PARA PAÑETAR   |   Unidad: Metro cuadrado (M2)   |   Precio: $ 15.599,23</t>
  </si>
  <si>
    <t>Precio por M2. Materiales: Malla Con Vena 0.60x2.00 (0.73 UND), Puntilla Con Y Sin Cabeza 2 (0.02 lb). Mano de obra: Auxiliar De Obra 2 (0.35 hh), Oficial Obra 1 (0.35 hh). Equipo: Andamio Tubular Normalizado, Tipo Multidireccional, De Acero Galvanizado En Caliente, Según Iso 9001. (0.13 dd), Herrramienta Y Equipo Menor (2 %).  Etapa de obra: 8. Acabados.</t>
  </si>
  <si>
    <t>1.13.14 · TABLEX PIZANO 9 MM INCLUYE ALISTADO INMUNIZADO   |   Unidad: Metro cuadrado (M2)   |   Precio: $ 70.154,47</t>
  </si>
  <si>
    <t>Precio por M2. Materiales: Triplex Pizano 4 Mm 1.22 X 2.44 (0.34 UND), Madera Repisa 3 M (2.54 ML), Merulex (0.2 kg), Puntilla Con Y Sin Cabeza 2 (2.06 lb). Mano de obra: Andamio Tubular Normalizado, Tipo Multidireccional, De Acero Galvanizado En Caliente, Según Iso 9001. (0.13 dd), Auxiliar De Obra 2 (1.1 hh), Oficial Obra 1 (1.1 hh). Equipo: Herrramienta Y Equipo Menor (0.9 %).  Etapa de obra: 8. Acabados.</t>
  </si>
  <si>
    <t>TRIPLEX PIZANO 4 MM 1.22 X 2.44</t>
  </si>
  <si>
    <t>1.13.15 · CORNISAS EN YESO   |   Unidad: Metro lineal (ML)   |   Precio: $ 19.900,34</t>
  </si>
  <si>
    <t>Precio por ML. Materiales: Cornisa 16 (1 ML). Mano de obra: Mano De Obra Aa (0.25 hc). Equipo: Herrramienta Y Equipo Menor (5 %).  Etapa de obra: 8. Acabados.</t>
  </si>
  <si>
    <t>CORNISA 16 (CORTINERO)</t>
  </si>
  <si>
    <t>1.13.16 · LAMINA ICOPOR RUSTICO INCUYE ALISTADO ALUMINIO   |   Unidad: Metro cuadrado (M2)   |   Precio: $ 58.768,88</t>
  </si>
  <si>
    <t>Precio por M2. Materiales: Angulo Perimetral De 1x1 Cal 26 (1.25 UND), Tee Aluminio 1" X 3/4 (0.8 ML), Cielo Raso Icopor Rustico (1.03 M2), Remache Pop 4-2 1/4``x1/8 (4 UND). Mano de obra: Auxiliar De Obra 2 (1.4 hh), Oficial Obra 1 (0.7 hh). Equipo: Andamio Tubular Normalizado, Tipo Multidireccional, De Acero Galvanizado En Caliente, Según Iso 9001. (0.13 dd), Herrramienta Y Equipo Menor (5 %).  Etapa de obra: 8. Acabados.</t>
  </si>
  <si>
    <t>CIELO RASO ICOPOR RUSTICO</t>
  </si>
  <si>
    <t>1.13.17 · LAMINA PANEL(PVC-FOIL ALUM)   |   Unidad: Metro cuadrado (M2)   |   Precio: $ 32.753,40</t>
  </si>
  <si>
    <t>Precio por M2. Materiales: Lamina Cielo R. Falso Yeso+pvc+fo (1.35 UND), Perfil Galv L 1 X1 -305 (0.34 UND), Perfil Galv T 1 X1 -122 (1 UND), Perfil Galv T 1.1/2x1-366 (0.34 UND) y 2 más. Mano de obra: Auxiliar De Carpinterias 1 (0.8 hh), Oficial Carpinterias (0.4 hh). Equipo: Herrramienta Y Equipo Menor (3.3 %).  Etapa de obra: 8. Acabados.</t>
  </si>
  <si>
    <t>LAMINA CIELO R. FALSO YESO+PVC+FO</t>
  </si>
  <si>
    <t>PERFIL GALV L 1 X1 -305</t>
  </si>
  <si>
    <t>PERFIL GALV T 1 X1 -122</t>
  </si>
  <si>
    <t>PERFIL GALV T 1.1/2X1-366</t>
  </si>
  <si>
    <t>ALAMBRE GALVANIZADO # 18</t>
  </si>
  <si>
    <t>1.13.18 · LAMINA PLANA ETERNIT O SIMILAR INCLUYE ALISTADO ALUMINIO   |   Unidad: Metro cuadrado (M2)   |   Precio: $ 106.965,48</t>
  </si>
  <si>
    <t>Precio por M2. Materiales: Tornillo 6x1 (9 UND), Tornillo Largo Para Lamina Cabeza De Lenteja (11 UND), Angulo Perimetral De 1x1 Cal 26 (0.42 UND), Vigueta En Aluminio Cal 26 (0.56 UND) y 4 más. Mano de obra: Andamio Tubular Normalizado, Tipo Multidireccional, De Acero Galvanizado En Caliente, Según Iso 9001. (0.13 dd), Auxiliar De Obra 2 (1 hh), Oficial Obra 1 (1 hh). Equipo: Herrramienta Y Equipo Menor (1.8 %).  Etapa de obra: 8. Acabados.</t>
  </si>
  <si>
    <t>CIELO RASO PLACA ETERBOARD 6MM</t>
  </si>
  <si>
    <t>1.13.19 · LAMINA PLANA SUPERCELL INCLUYE ALISTADO ALUMINIO   |   Unidad: Metro cuadrado (M2)   |   Precio: $ 84.870,19</t>
  </si>
  <si>
    <t>Precio por M2. Materiales: Angulo Perimetral De 1x1 Cal 26 (1.25 UND), Tee Aluminio 1" X 3/4 (0.8 ML), Cielo Raso Lamina Plana Supercell (1.03 M2), Remache Pop 4-2 1/4``x1/8 (4 UND). Mano de obra: Auxiliar De Obra 2 (1.4 hh), Oficial Obra 1 (0.7 hh). Equipo: Herrramienta Y Equipo Menor (8.5 %).  Etapa de obra: 8. Acabados.</t>
  </si>
  <si>
    <t>CIELO RASO LAMINA PLANA SUPERCELL</t>
  </si>
  <si>
    <t>1.13.20 · LISTÓN M.H. EN PINO CIPRÉS INCLUYE MEDIA CAÑA   |   Unidad: Metro cuadrado (M2)   |   Precio: $ 90.598,18</t>
  </si>
  <si>
    <t>Precio por M2. Materiales: Toc Madera Transparente (0.05 kg), Listón M.h. Pino Cipres (4.32 ML), Madera Tiras Alistado .03x.03x2.7m (2 ML), Media Caña 9x3 (0.54 ML) y 1 más. Mano de obra: Andamio Tubular Normalizado, Tipo Multidireccional, De Acero Galvanizado En Caliente, Según Iso 9001. (0.13 dd), Mano De Obra Aa (0.5 hc). Equipo: Herrramienta Y Equipo Menor (5 %).  Etapa de obra: 8. Acabados.</t>
  </si>
  <si>
    <t>LISTÓN M.H. PINO CIPRES</t>
  </si>
  <si>
    <t>MEDIA CAÑA 9X3</t>
  </si>
  <si>
    <t>1.13.21 · LUXACELL ACERO   |   Unidad: Metro cuadrado (M2)   |   Precio: $ 291.192,54</t>
  </si>
  <si>
    <t>Precio por M2. Materiales: Cielo Raso Aluzinc Cell 5x5 (1.03 M2). Equipo: Mano De Obra Aa (0.03 hc), Herrramienta Y Equipo Menor (5 %).  Etapa de obra: 8. Acabados.</t>
  </si>
  <si>
    <t>CIELO RASO ALUZINC CELL 5X5</t>
  </si>
  <si>
    <t>Capítulo 1.14 · CARPINTERÍA MADERA</t>
  </si>
  <si>
    <t>39 actividades. Cada tabla lista los insumos de una actividad por unidad de obra.</t>
  </si>
  <si>
    <t>1.14.01 · BARANDA EN MADERA CEDRO MACHO   |   Unidad: Metro lineal (ML)   |   Precio: $ 154.063,35</t>
  </si>
  <si>
    <t>Precio por ML. Materiales: Tornillo M 2*8 (2 UND), Madera Cedro Macho Pieza (1 UND), Puntilla Con Y Sin Cabeza 1 (0.25 lb). Mano de obra: Auxiliar De Carpinterias 1 (2 hh), Oficial Carpinterias (2 hh). Equipo: Herrramienta Y Equipo Menor (2.5 %).  Etapa de obra: 8. Acabados.</t>
  </si>
  <si>
    <t>MADERA CEDRO MACHO PIEZA</t>
  </si>
  <si>
    <t>1.14.02 · CLOSET TIPO A CEDRO CAQUETA FORRADO (entablerado)   |   Unidad: Metro cuadrado (M2)   |   Precio: $ 879.553,09</t>
  </si>
  <si>
    <t>Precio por M2. Materiales: Tornillo M 2*8 (4 UND), Triplex Pizano 9mm 2.44 X 1.22 (2.18 UND), Bisagra Comun 3`` (2 UND), Madera Cedro Caqueta Pieza (1.5 UND) y 2 más. Mano de obra: Auxiliar De Carpinterias 1 (14 hh), Oficial Carpinterias (14 hh). Equipo: Herrramienta Y Equipo Menor (2 %).  Etapa de obra: 8. Acabados.</t>
  </si>
  <si>
    <t>TRIPLEX PIZANO 9MM 2.44 X 1.22</t>
  </si>
  <si>
    <t>BISAGRA COMUN 3``</t>
  </si>
  <si>
    <t>MADERA CEDRO CAQUETA PIEZA</t>
  </si>
  <si>
    <t>PEGANTE PARA MADERA</t>
  </si>
  <si>
    <t>1.14.03 · CLOSET TIPO B CEDRO CAQUETA SIN FORRAR (puerta entablerada)   |   Unidad: Metro cuadrado (M2)   |   Precio: $ 589.448,03</t>
  </si>
  <si>
    <t>Precio por M2. Materiales: Tornillo M 2*8 (4 UND), Bisagra Comun 3`` (2 UND), Madera Cedro Caqueta Pieza (1.3 UND), Madera Triplex 4mm (1.07 UND) y 2 más. Mano de obra: Auxiliar De Carpinterias 1 (10 hh), Oficial Carpinterias (10 hh). Equipo: Herrramienta Y Equipo Menor (2 %).  Etapa de obra: 8. Acabados.</t>
  </si>
  <si>
    <t>MADERA TRIPLEX 4MM</t>
  </si>
  <si>
    <t>1.14.04 · CLOSETS MADERA ABARCO (puerta entablerada; sin forrar)   |   Unidad: Metro cuadrado (M2)   |   Precio: $ 380.775,50</t>
  </si>
  <si>
    <t>Precio por M2. Materiales: Tornillo Madera 8*2 (4 UND), Bisagra Comun 3`` (2 UND), Madera Abarco (2 UND), Madera Triplex 4mm (1.07 UND) y 2 más. Mano de obra: Auxiliar De Carpinterias 1 (8 hh), Oficial Carpinterias (8 hh). Equipo: Herrramienta Y Equipo Menor (5 %).  Etapa de obra: 8. Acabados.</t>
  </si>
  <si>
    <t>TORNILLO MADERA 8*2</t>
  </si>
  <si>
    <t>MADERA ABARCO</t>
  </si>
  <si>
    <t>1.14.05 · CLOSETS MADERA AMARILLO (puerta entablerada; sin forrar)   |   Unidad: Metro cuadrado (M2)   |   Precio: $ 393.185,49</t>
  </si>
  <si>
    <t>Precio por M2. Materiales: Tornillo Madera 8*2 (4 UND), Bisagra Comun 3`` (0.76 UND), Madera Amarillo (2 UND), Madera Triplex 4mm (1.75 UND) y 2 más. Mano de obra: Auxiliar De Carpinterias 1 (7 hh), Oficial Carpinterias (7 hh). Equipo: Herrramienta Y Equipo Menor (0.7 %).  Etapa de obra: 8. Acabados.</t>
  </si>
  <si>
    <t>MADERA AMARILLO</t>
  </si>
  <si>
    <t>1.14.06 · CLOSETS MADERA GUAYACÁN (puerta entablerada; sin forrar)   |   Unidad: Metro cuadrado (M2)   |   Precio: $ 611.744,24</t>
  </si>
  <si>
    <t>Precio por M2. Materiales: Tornillo Madera 8*2 (4 UND), Bisagra Comun 3`` (0.8 UND), Madera Guayacan (1.3 UND), Madera Triplex 4mm (1.07 UND) y 2 más. Mano de obra: Auxiliar De Carpinterias 1 (8 hh), Oficial Carpinterias (8 hh). Equipo: Herrramienta Y Equipo Menor (2.5 %).  Etapa de obra: 8. Acabados.</t>
  </si>
  <si>
    <t>MADERA GUAYACAN</t>
  </si>
  <si>
    <t>1.14.07 · CLOSETS MADERA PINO   |   Unidad: Metro cuadrado (M2)   |   Precio: $ 397.427,67</t>
  </si>
  <si>
    <t>Precio por M2. Materiales: Tornillo Madera 8*2 (4 UND), Bisagra Comun 3`` (3 UND), Madera Pino (1.75 UND), Madera Triplex 4mm (1.5 UND) y 2 más. Mano de obra: Auxiliar De Carpinterias 1 (8 hh), Oficial Carpinterias (8 hh). Equipo: Herrramienta Y Equipo Menor (5 %).  Etapa de obra: 8. Acabados.</t>
  </si>
  <si>
    <t>MADERA PINO</t>
  </si>
  <si>
    <t>1.14.08 · GABINETES DE BAÑOS MADERA ABARCO 80 CM (tamboreado y forrado)   |   Unidad: Metro lineal (ML)   |   Precio: $ 434.089,67</t>
  </si>
  <si>
    <t>Precio por ML. Materiales: Tornillo Madera 8*2 (7 UND), Bisagra Comun 3`` (0.76 UND), Madera Abarco (2 UND), Madera Triplex 4mm (2.5 UND) y 2 más. Mano de obra: Auxiliar De Carpinterias 1 (8 hh), Oficial Carpinterias (8 hh). Equipo: Herrramienta Y Equipo Menor (5 %).  Etapa de obra: 8. Acabados.</t>
  </si>
  <si>
    <t>1.14.09 · GABINETES DE BAÑOS MADERA AMARILLO 80 CM (tablereado y forrado)   |   Unidad: Metro lineal (ML)   |   Precio: $ 540.297,69</t>
  </si>
  <si>
    <t>Precio por ML. Materiales: Tornillo Madera 8*2 (7 UND), Bisagra Comun 3`` (0.76 UND), Madera Amarillo (2.75 UND), Madera Triplex 4mm (2 UND) y 2 más. Mano de obra: Auxiliar De Carpinterias 1 (10 hh), Oficial Carpinterias (10 hh). Equipo: Herrramienta Y Equipo Menor (2.3 %).  Etapa de obra: 8. Acabados.</t>
  </si>
  <si>
    <t>1.14.10 · GABINETES DE BAÑOS MADERA GUAYACÁN 80 CM ALTO   |   Unidad: Metro lineal (ML)   |   Precio: $ 875.470,32</t>
  </si>
  <si>
    <t>Precio por ML. Materiales: Tornillo Madera 8*2 (7 UND), Triplex Pizano 9mm 2.44 X 1.22 (0.75 UND), Bisagra Comun 3`` (0.76 UND), Madera Guayacan (2.1 UND) y 2 más. Mano de obra: Auxiliar De Carpinterias 1 (9 hh), Oficial Carpinterias (9 hh). Equipo: Herrramienta Y Equipo Menor (3 %).  Etapa de obra: 8. Acabados.</t>
  </si>
  <si>
    <t>1.14.11 · GABINETES DE BAÑOS MADERA PINO 80 CM   |   Unidad: Metro lineal (ML)   |   Precio: $ 448.737,41</t>
  </si>
  <si>
    <t>Precio por ML. Materiales: Tornillo Madera 8*2 (7 UND), Bisagra Comun 3`` (4 UND), Madera Pino (2 UND), Madera Triplex 4mm (2.5 UND) y 2 más. Mano de obra: Auxiliar De Carpinterias 1 (8 hh), Oficial Carpinterias (8 hh). Equipo: Herrramienta Y Equipo Menor (2.5 %).  Etapa de obra: 8. Acabados.</t>
  </si>
  <si>
    <t>1.14.12 · GABINETES DE COCINA MADERA ABARCO   |   Unidad: Metro cuadrado (M2)   |   Precio: $ 390.617,87</t>
  </si>
  <si>
    <t>Precio por M2. Materiales: Tornillo Madera 8*2 (7 UND), Bisagra Comun 3`` (0.76 UND), Madera Abarco (2.3 UND), Madera Triplex 4mm (1 UND) y 2 más. Mano de obra: Auxiliar De Carpinterias 1 (8 hh), Oficial Carpinterias (8 hh). Equipo: Herrramienta Y Equipo Menor (5 %).  Etapa de obra: 8. Acabados.</t>
  </si>
  <si>
    <t>1.14.13 · GABINETES DE COCINA MADERA AMARILLO   |   Unidad: Metro cuadrado (M2)   |   Precio: $ 376.357,74</t>
  </si>
  <si>
    <t>Precio por M2. Materiales: Tornillo Madera 8*2 (7 UND), Bisagra Comun 3`` (0.76 UND), Madera Amarillo (1.75 UND), Madera Triplex 4mm (1.5 UND) y 2 más. Mano de obra: Auxiliar De Carpinterias 1 (7 hh), Oficial Carpinterias (7 hh). Equipo: Herrramienta Y Equipo Menor (2.5 %).  Etapa de obra: 8. Acabados.</t>
  </si>
  <si>
    <t>1.14.14 · GABINETES DE COCINA MADERA GUAYACAN   |   Unidad: Metro cuadrado (M2)   |   Precio: $ 817.550,81</t>
  </si>
  <si>
    <t>Precio por M2. Materiales: Tornillo Madera 8*2 (7 UND), Triplex Pizano 9mm 2.44 X 1.22 (0.3 UND), Bisagra Comun 3`` (4 UND), Madera Guayacan (2.1 UND) y 3 más. Mano de obra: Auxiliar De Carpinterias 1 (8 hh), Oficial Carpinterias (8 hh). Equipo: Herrramienta Y Equipo Menor (3 %).  Etapa de obra: 8. Acabados.</t>
  </si>
  <si>
    <t>1.14.15 · GABINETES DE COCINA MADERA PINO   |   Unidad: Metro cuadrado (M2)   |   Precio: $ 365.214,91</t>
  </si>
  <si>
    <t>Precio por M2. Materiales: Tornillo Madera 8*2 (7 UND), Bisagra Comun 3`` (0.76 UND), Madera Pino (1.25 UND), Madera Triplex 4mm (1.5 UND) y 2 más. Mano de obra: Auxiliar De Carpinterias 1 (8 hh), Oficial Carpinterias (8 hh). Equipo: Herrramienta Y Equipo Menor (2.5 %).  Etapa de obra: 8. Acabados.</t>
  </si>
  <si>
    <t>1.14.16 · HOJA PUERTA FORTEC O SIMILAR DE 60 CM ECONÓMICO   |   Unidad: Unidad (UND)   |   Precio: $ 175.539,79</t>
  </si>
  <si>
    <t>Precio por UND. Materiales: Puerta Fortec Res.0.60 (1 UND). Mano de obra: Auxiliar De Carpinterias 1 (0.5 hh), Oficial Carpinterias (0.5 hh). Equipo: Herrramienta Y Equipo Menor (2 %).  Etapa de obra: 8. Acabados.</t>
  </si>
  <si>
    <t>PUERTA FORTEC RES.0.60</t>
  </si>
  <si>
    <t>1.14.17 · HOJA PUERTA FORTEC O SIMILAR DE 80 CM ECONÓMICO   |   Unidad: Unidad (UND)   |   Precio: $ 242.527,79</t>
  </si>
  <si>
    <t>Precio por UND. Materiales: Puerta Fortec Res.0.80 (1 UND). Mano de obra: Auxiliar De Carpinterias 1 (0.5 hh), Oficial Carpinterias (0.5 hh). Equipo: Herrramienta Y Equipo Menor (2 %).  Etapa de obra: 8. Acabados.</t>
  </si>
  <si>
    <t>PUERTA FORTEC RES.0.80</t>
  </si>
  <si>
    <t>1.14.18 · HOJA PUERTA FORTEC O SIMILAR 100 CM ECONÓMICO   |   Unidad: Unidad (UND)   |   Precio: $ 210.141,79</t>
  </si>
  <si>
    <t>Precio por UND. Materiales: Puerta Fortec Res.1.00 (1 UND). Mano de obra: Auxiliar De Carpinterias 1 (0.5 hh), Oficial Carpinterias (0.5 hh). Equipo: Herrramienta Y Equipo Menor (2 %).  Etapa de obra: 8. Acabados.</t>
  </si>
  <si>
    <t>PUERTA FORTEC RES.1.00</t>
  </si>
  <si>
    <t>1.14.19 · HOJA PUERTA TRIPLEX DE 60 CM ECONÓMICA PIZANO O SIMILAR   |   Unidad: Unidad (UND)   |   Precio: $ 156.338,92</t>
  </si>
  <si>
    <t>Precio por UND. Materiales: Puerta Pizano Eco. 0.60 (1 UND). Mano de obra: Auxiliar De Carpinterias 1 (0.7 hh), Oficial Carpinterias (0.7 hh). Equipo: Herrramienta Y Equipo Menor (2 %).  Etapa de obra: 8. Acabados.</t>
  </si>
  <si>
    <t>PUERTA PIZANO ECO. 0.60</t>
  </si>
  <si>
    <t>1.14.20 · HOJA PUERTA TRIPLEX DE 80 CM ECONÓMICO PIZANO O SIMILAR   |   Unidad: Unidad (UND)   |   Precio: $ 171.327,79</t>
  </si>
  <si>
    <t>Precio por UND. Materiales: Puerta Pizano Eco. 0.80 (1 UND). Mano de obra: Auxiliar De Carpinterias 1 (0.5 hh), Oficial Carpinterias (0.5 hh). Equipo: Herrramienta Y Equipo Menor (2 %).  Etapa de obra: 8. Acabados.</t>
  </si>
  <si>
    <t>PUERTA PIZANO ECO. 0.80</t>
  </si>
  <si>
    <t>1.14.21 · HOJA PUERTA TRIPLEX DE 100 CM ECONÓMICO PIZANO O SIMILAR   |   Unidad: Unidad (UND)   |   Precio: $ 275.027,79</t>
  </si>
  <si>
    <t>Precio por UND. Materiales: Puerta Pizano Eco. 1.00 (1 UND). Mano de obra: Auxiliar De Carpinterias 1 (0.5 hh), Oficial Carpinterias (0.5 hh). Equipo: Herrramienta Y Equipo Menor (2 %).  Etapa de obra: 8. Acabados.</t>
  </si>
  <si>
    <t>PUERTA PIZANO ECO. 1.00</t>
  </si>
  <si>
    <t>1.14.22 · MARCO Y PUERTA MADERA PINO ENTABL. TRIPLEX 70-90 * 200 CM   |   Unidad: Unidad (UND)   |   Precio: $ 370.577,33</t>
  </si>
  <si>
    <t>Precio por UND. Materiales: Tornillo Madera 8*2 (18 UND), Triplex Pizano 9mm 2.44 X 1.22 (0.54 UND), Bisagra Comun 3`` (3 UND), Madera Pino (4 UND) y 2 más. Mano de obra: Auxiliar De Carpinterias 1 (4 hh), Oficial Carpinterias (4 hh). Equipo: Herrramienta Y Equipo Menor (5 %).  Etapa de obra: 8. Acabados.</t>
  </si>
  <si>
    <t>1.14.23 · MUEBLE BAJO DE 80 CM CEDRO CAQUETA   |   Unidad: Metro lineal (ML)   |   Precio: $ 738.611,20</t>
  </si>
  <si>
    <t>Precio por ML. Materiales: Tornillo M 2*8 (7 UND), Bisagra Comun 3`` (4.6 UND), Madera Cedro Caqueta Pieza (1.6 UND), Madera Triplex 4mm (1.74 UND) y 2 más. Mano de obra: Auxiliar De Carpinterias 1 (12 hh), Oficial Carpinterias (12 hh). Equipo: Herrramienta Y Equipo Menor (2 %).  Etapa de obra: 8. Acabados.</t>
  </si>
  <si>
    <t>1.14.24 · MUEBLE TIPO LINOS CEDRO CAQUETA   |   Unidad: Metro cuadrado (M2)   |   Precio: $ 595.290,37</t>
  </si>
  <si>
    <t>Precio por M2. Materiales: Tornillo M 2*8 (4.56 UND), Triplex Pizano 9mm 2.44 X 1.22 (1 UND), Madera Cedro Caqueta Pieza (1.15 UND), Pegante Para Madera (0.2 kg) y 1 más. Mano de obra: Auxiliar De Carpinterias 1 (10 hh), Oficial Carpinterias (10 hh). Equipo: Herrramienta Y Equipo Menor (2.5 %).  Etapa de obra: 8. Acabados.</t>
  </si>
  <si>
    <t>1.14.25 · PASA MANOS ESCALERA ABARCO   |   Unidad: Metro lineal (ML)   |   Precio: $ 75.923,67</t>
  </si>
  <si>
    <t>Precio por ML. Materiales: Tornillo Madera 8*2 (2 UND), Madera Abarco (0.75 UND), Puntilla Con Y Sin Cabeza 1 (0.25 lb). Mano de obra: Auxiliar De Carpinterias 1 (1.4 hh), Oficial Carpinterias (1.4 hh). Equipo: Herrramienta Y Equipo Menor (5 %).  Etapa de obra: 8. Acabados.</t>
  </si>
  <si>
    <t>1.14.26 · PASA MANOS ESCALERA AMARILLO   |   Unidad: Metro lineal (ML)   |   Precio: $ 94.908,00</t>
  </si>
  <si>
    <t>Precio por ML. Materiales: Tornillo Madera 8*2 (2 UND), Madera Amarillo (1 UND), Puntilla Con Y Sin Cabeza 1 (0.25 lb). Mano de obra: Auxiliar De Carpinterias 1 (1.2 hh), Oficial Carpinterias (1.2 hh). Equipo: Herrramienta Y Equipo Menor (5 %).  Etapa de obra: 8. Acabados.</t>
  </si>
  <si>
    <t>1.14.27 · PASA MANOS ESCALERA GUAYACÁN   |   Unidad: Metro lineal (ML)   |   Precio: $ 281.801,08</t>
  </si>
  <si>
    <t>Precio por ML. Materiales: Tornillo Madera 8*2 (2 UND), Madera Guayacan (1 UND), Puntilla Con Y Sin Cabeza 1 (0.25 lb). Mano de obra: Auxiliar De Carpinterias 1 (1 hh), Oficial Carpinterias (1 hh). Equipo: Herrramienta Y Equipo Menor (5 %).  Etapa de obra: 8. Acabados.</t>
  </si>
  <si>
    <t>1.14.28 · PASA MANOS ESCALERA PINO   |   Unidad: Metro lineal (ML)   |   Precio: $ 82.268,50</t>
  </si>
  <si>
    <t>Precio por ML. Materiales: Tornillo Madera 8*2 (2 UND), Madera Pino (0.95 UND), Puntilla Con Y Sin Cabeza 1 (0.25 lb). Mano de obra: Auxiliar De Carpinterias 1 (1.2 hh), Oficial Carpinterias (1.2 hh). Equipo: Herrramienta Y Equipo Menor (5 %).  Etapa de obra: 8. Acabados.</t>
  </si>
  <si>
    <t>1.14.29 · PASA MANOS ESCALERA CEDRO CAQUETA   |   Unidad: Metro cuadrado (M2)   |   Precio: $ 85.960,43</t>
  </si>
  <si>
    <t>Precio por M2. Materiales: Tornillo M 2*8 (2 UND), Madera Cedro Caqueta Pieza (0.3 UND), Puntilla Con Y Sin Cabeza 1 (0.25 lb). Mano de obra: Auxiliar De Carpinterias 1 (1 hh), Oficial Carpinterias (1 hh). Equipo: Herrramienta Y Equipo Menor (2.5 %).  Etapa de obra: 8. Acabados.</t>
  </si>
  <si>
    <t>1.14.30 · PIRLAN DE MADERA CEDROS CAQUETA A= 15 CM   |   Unidad: Metro lineal (ML)   |   Precio: $ 43.605,48</t>
  </si>
  <si>
    <t>Precio por ML. Materiales: Tornillo M 2*8 (2 UND), Pirlan Madera Cedro (1 ML), Puntilla Con Y Sin Cabeza 1 (0.14 lb). Mano de obra: Auxiliar De Carpinterias 1 (0.8 hh), Oficial Carpinterias (0.8 hh). Equipo: Herrramienta Y Equipo Menor (2 %).  Etapa de obra: 8. Acabados.</t>
  </si>
  <si>
    <t>PIRLAN MADERA CEDRO</t>
  </si>
  <si>
    <t>1.14.31 · PUERTA MARCO MADERA ABARCO ENTABL. TRIPLEX 4MM ECONOMICA 70 - 90 * 200 CM   |   Unidad: Unidad (UND)   |   Precio: $ 333.497,09</t>
  </si>
  <si>
    <t>Precio por UND. Materiales: Tornillo Madera 8*2 (18 UND), Triplex Pizano 4 Mm 1.22 X 2.44 (0.54 UND), Bisagra Comun 3`` (3 UND), Madera Abarco (4 UND) y 2 más. Mano de obra: Auxiliar De Carpinterias 1 (4 hh), Oficial Carpinterias (4 hh). Equipo: Herrramienta Y Equipo Menor (5 %).  Etapa de obra: 8. Acabados.</t>
  </si>
  <si>
    <t>1.14.32 · PUERTA MARCO MADERA AMARILLO ENTABL. TRIPLEX 80 - 100 * 200 CM   |   Unidad: Unidad (UND)   |   Precio: $ 470.189,58</t>
  </si>
  <si>
    <t>Precio por UND. Materiales: Tornillo Madera 8*2 (18 UND), Triplex Pizano 9mm 2.44 X 1.22 (0.75 UND), Bisagra Comun 3`` (3 UND), Madera Amarillo (4.75 UND) y 1 más. Mano de obra: Auxiliar De Carpinterias 1 (4 hh), Oficial Carpinterias (4 hh). Equipo: Herrramienta Y Equipo Menor (5 %).  Etapa de obra: 8. Acabados.</t>
  </si>
  <si>
    <t>1.14.33 · PUERTA MARCO MADERA ENTABL. CEDRO 100 * 210 CM   |   Unidad: Unidad (UND)   |   Precio: $ 1.128.287,67</t>
  </si>
  <si>
    <t>Precio por UND. Materiales: Tornillo Madera 8*2 (18 UND), Triplex Pizano 9mm 2.44 X 1.22 (0.2 UND), Bisagra Comun 3`` (3 UND), Madera Cedro Caqueta Pieza (3.6 UND) y 2 más. Mano de obra: Auxiliar De Carpinterias 1 (14 hh), Oficial Carpinterias (14 hh). Equipo: Herrramienta Y Equipo Menor (5 %).  Etapa de obra: 8. Acabados.</t>
  </si>
  <si>
    <t>1.14.34 · PUERTA MARCO MADERA GUAYACÁN ENTABL. TRIPLEX 80 - 100 * 200 CM   |   Unidad: Unidad (UND)   |   Precio: $ 1.368.014,03</t>
  </si>
  <si>
    <t>Precio por UND. Materiales: Tornillo Madera 8*2 (18 UND), Triplex Pizano 9mm 2.44 X 1.22 (1 UND), Bisagra Comun 3`` (3 UND), Madera Guayacan (4.5 UND) y 2 más. Mano de obra: Auxiliar De Carpinterias 1 (4.5 hh), Oficial Carpinterias (4.5 hh). Equipo: Herrramienta Y Equipo Menor (10 %).  Etapa de obra: 8. Acabados.</t>
  </si>
  <si>
    <t>1.14.35 · VENTANERIA EN MADERA ABARCO   |   Unidad: Metro cuadrado (M2)   |   Precio: $ 114.756,95</t>
  </si>
  <si>
    <t>Precio por M2. Materiales: Tornillo Madera 8*2 (6 UND), Bisagra Comun 3`` (1 UND), Madera Abarco (0.75 UND), Pegante Para Madera (0.13 kg) y 1 más. Mano de obra: Auxiliar De Carpinterias 1 (2.5 hh), Oficial Carpinterias (2.5 hh). Equipo: Herrramienta Y Equipo Menor (5 %).  Etapa de obra: 8. Acabados.</t>
  </si>
  <si>
    <t>1.14.36 · VENTANERIA EN MADERA AMARILLO   |   Unidad: Metro cuadrado (M2)   |   Precio: $ 145.621,10</t>
  </si>
  <si>
    <t>Precio por M2. Materiales: Tornillo Madera 8*2 (6 UND), Bisagra Comun 3`` (1 UND), Madera Amarillo (1.1 UND), Pegante Para Madera (0.13 kg) y 1 más. Mano de obra: Auxiliar De Carpinterias 1 (2.5 hh), Oficial Carpinterias (2.5 hh). Equipo: Herrramienta Y Equipo Menor (5 %).  Etapa de obra: 8. Acabados.</t>
  </si>
  <si>
    <t>1.14.37 · VENTANERIA EN MADERA GUAYACAN   |   Unidad: Metro cuadrado (M2)   |   Precio: $ 358.010,20</t>
  </si>
  <si>
    <t>Precio por M2. Materiales: Tornillo Madera 8*2 (6 UND), Bisagra Comun 3`` (1 UND), Madera Guayacan (1.1 UND), Pegante Para Madera (0.13 kg) y 1 más. Mano de obra: Auxiliar De Carpinterias 1 (2.5 hh), Oficial Carpinterias (2.5 hh). Equipo: Herrramienta Y Equipo Menor (5 %).  Etapa de obra: 8. Acabados.</t>
  </si>
  <si>
    <t>1.14.38 · VENTANERIA EN MADERA PINO   |   Unidad: Metro cuadrado (M2)   |   Precio: $ 134.281,20</t>
  </si>
  <si>
    <t>Precio por M2. Materiales: Tornillo Madera 8*2 (6 UND), Bisagra Comun 3`` (1 UND), Madera Pino (1.1 UND), Pegante Para Madera (0.13 kg) y 1 más. Mano de obra: Auxiliar De Carpinterias 1 (2.5 hh), Oficial Carpinterias (2.5 hh). Equipo: Herrramienta Y Equipo Menor (5 %).  Etapa de obra: 8. Acabados.</t>
  </si>
  <si>
    <t>1.14.39 · VENTANERIA EN MADERA TIPO CEDRO CAQUETA   |   Unidad: Metro cuadrado (M2)   |   Precio: $ 265.010,20</t>
  </si>
  <si>
    <t>Precio por M2. Materiales: Tornillo Madera 8*2 (6 UND), Bisagra Comun 3`` (1 UND), Madera Cedro Caqueta Pieza (1 UND), Pegante Para Madera (0.13 kg) y 1 más. Mano de obra: Auxiliar De Carpinterias 1 (2.5 hh), Oficial Carpinterias (2.5 hh). Equipo: Herrramienta Y Equipo Menor (5 %).  Etapa de obra: 8. Acabados.</t>
  </si>
  <si>
    <t>Capítulo 1.15 · CARPINTERÍA METÁLICA</t>
  </si>
  <si>
    <t>18 actividades. Cada tabla lista los insumos de una actividad por unidad de obra.</t>
  </si>
  <si>
    <t>1.15.01 · CORREA 2 D=1/2" 1 D=1/2" CELOSIA EN 3/8" INC. ANTICORR.   |   Unidad: Metro lineal (ML)   |   Precio: $ 91.541,51</t>
  </si>
  <si>
    <t>Precio por ML. Materiales: Varilla 1/2`` (3 kg), Varilla 3/8`` (1.68 kg), Pintura Anticorrosivo (0.01 gl), Soldadura Electrica (0.16 kg). Mano de obra: Auxiliar De Obra 2 (2 hh), Oficial Obra 1 (2 hh), Sub-Contrato Ornamentacion (0.25 hr). Equipo: Andamio Tubular Normalizado, Tipo Multidireccional, De Acero Galvanizado En Caliente, Según Iso 9001. (0.1 dd), Herrramienta Y Equipo Menor (0.03 %).  Etapa de obra: 8. Acabados.</t>
  </si>
  <si>
    <t>VARILLA 1/2`` (6 METROS)</t>
  </si>
  <si>
    <t>VARILLA 3/8`` (6 METROS)</t>
  </si>
  <si>
    <t>PINTURA ANTICORROSIVO</t>
  </si>
  <si>
    <t>SUB-CONTRATO ORNAMENTACION</t>
  </si>
  <si>
    <t>1.15.02 · CORREA 2 D=1/2" 1 D=5/8" CELOSIA EN 3/8 INC. ANTICORR.   |   Unidad: Metro lineal (ML)   |   Precio: $ 95.438,38</t>
  </si>
  <si>
    <t>Precio por ML. Materiales: Varilla 1/2`` (2 kg), Varilla 3/8`` (1.68 kg), Varilla 5/8`` (1.56 kg), Pintura Anticorrosivo (0.02 gl) y 1 más. Mano de obra: Auxiliar De Obra 2 (2 hh), Oficial Obra 1 (2 hh), Sub-Contrato Ornamentacion (0.25 hr). Equipo: Andamio Tubular Normalizado, Tipo Multidireccional, De Acero Galvanizado En Caliente, Según Iso 9001. (0.1 dd), Herrramienta Y Equipo Menor (3 %).  Etapa de obra: 8. Acabados.</t>
  </si>
  <si>
    <t>VARILLA 5/8`` (6 METROS)</t>
  </si>
  <si>
    <t>1.15.03 · DIVISIONES PARA BAÑO EN ALUMINIO Y VIDRIO TEMPLADO DE 0,05 MM   |   Unidad: Metro cuadrado (M2)   |   Precio: $ 363.361,29</t>
  </si>
  <si>
    <t>Precio por M2. Materiales: Division Baño Aluminio Vidrio Templado (1 M2). Mano de obra: Auxiliar De Instalaciones 1 (1 hh), Oficial Instalaciones (1 hh). Equipo: Herrramienta Y Equipo Menor (5 %).  Etapa de obra: 8. Acabados.</t>
  </si>
  <si>
    <t>DIVISION BAÑO ALUMINIO VIDRIO TEMPLADO</t>
  </si>
  <si>
    <t>1.15.04 · DIVISIONES PARA BAÑOS EN ALUMINIO Y ACRILICO 0.05 MM   |   Unidad: Metro cuadrado (M2)   |   Precio: $ 207.979,29</t>
  </si>
  <si>
    <t>Precio por M2. Materiales: Division Baño Aluminio Y Acrilico (1 M2). Mano de obra: Auxiliar De Instalaciones 1 (1 hh), Oficial Instalaciones (1 hh). Equipo: Herrramienta Y Equipo Menor (5 %).  Etapa de obra: 8. Acabados.</t>
  </si>
  <si>
    <t>DIVISION BAÑO ALUMINIO Y ACRILICO</t>
  </si>
  <si>
    <t>1.15.05 · ESCALERA DE GATO INC. ANTICORR. TUBO D=1"   |   Unidad: Metro lineal (ML)   |   Precio: $ 200.041,20</t>
  </si>
  <si>
    <t>Precio por ML. Materiales: Angulo 1*1*1/8`` (2 ML), Tubo Galvanizado 1`` (3.75 ML), Tubo Galvanizado 2 1/2`` (1.75 ML), Acero Estruct. Astm A-36 (3.75 kg) y 3 más. Mano de obra: Sub-Contrato Ornamentacion (0.55 hr). Equipo: Herrramienta Y Equipo Menor (2 %).  Etapa de obra: 8. Acabados.</t>
  </si>
  <si>
    <t>ANGULO 1*1*1/8``</t>
  </si>
  <si>
    <t>1.15.06 · PUERTA DE ACCESO EN ALUMINIO PERFIL 1 1/2" X 1 1/2"   |   Unidad: Metro cuadrado (M2)   |   Precio: $ 303.419,88</t>
  </si>
  <si>
    <t>Precio por M2. Materiales: Puerta Acceso Aluminio (1 M2). Mano de obra: Auxiliar De Obra 2 (1 hh), Oficial Obra 1 (1 hh). Equipo: Herrramienta Y Equipo Menor (0.25 %).  Etapa de obra: 8. Acabados.</t>
  </si>
  <si>
    <t>PUERTA ACCESO ALUMINIO</t>
  </si>
  <si>
    <t>1.15.07 · SUMINISTRO E INSTALACIÓN MARCO EN LAMINA A=90 CM CAL 18 INC. ANTICORROSIVO   |   Unidad: Unidad (UND)   |   Precio: $ 142.509,30</t>
  </si>
  <si>
    <t>Precio por UND. Materiales: Bisagra Aluminio Ext 3 (3 UND), Lamina Coll Roled Cal 18 De 2*1 (0.45 UND), Pintura Anticorrosivo (0.04 gl), Soldadura Electrica (0.08 kg). Equipo: Sub-Contrato Ornamentacion (0.5 hr).  Etapa de obra: 8. Acabados.</t>
  </si>
  <si>
    <t>BISAGRA ALUMINIO EXT 3</t>
  </si>
  <si>
    <t>LAMINA COLL ROLED CAL 18 DE 2*1</t>
  </si>
  <si>
    <t>1.15.08 · SUMINISTRO E INSTALACIÓN PUERTA EN LAMINA CAL 18 INC. ANTICORROSIVO   |   Unidad: Metro cuadrado (M2)   |   Precio: $ 224.637,24</t>
  </si>
  <si>
    <t>Precio por M2. Materiales: Lamina Coll Roled Cal 18 De 2*1 (0.62 UND), Pintura Anticorrosivo (0.05 gl), Soldadura Electrica (0.67 kg). Mano de obra: Sub-Contrato Ornamentacion (1 hr). Equipo: Herrramienta Y Equipo Menor (2.5 %).  Etapa de obra: 8. Acabados.</t>
  </si>
  <si>
    <t>1.15.09 · SUMINISTRO E INSTALACIÓN PUERTA VENTANA EN LAMINA CAL 18 INC. ANTICORR.   |   Unidad: Metro cuadrado (M2)   |   Precio: $ 221.233,20</t>
  </si>
  <si>
    <t>Precio por M2. Materiales: Angulo 3/4`` * 1/8`` (1 ML), Vidrio 5 Mm Peldar (0.5 M2), Bisagra Comun 3`` (2 UND), Lamina Coll Roled Cal 18 De 2*1 (0.4 UND) y 3 más. Mano de obra: Auxiliar De Obra 2 (2 hh), Oficial Obra 1 (1 hh), Sub-Contrato Ornamentacion (0.65 hr). Equipo: Herrramienta Y Equipo Menor (2.5 %).  Etapa de obra: 8. Acabados.</t>
  </si>
  <si>
    <t>ANGULO 3/4`` * 1/8``</t>
  </si>
  <si>
    <t>VIDRIO 5 MM PELDAR</t>
  </si>
  <si>
    <t>MANIJA PARA VENTANA</t>
  </si>
  <si>
    <t>1.15.10 · SUMINISTRO E INSTALACION PUERTA Y MARCO CAL. 18 1 X 2 INCLUYE ANTICORROSIVO   |   Unidad: Unidad (UND)   |   Precio: $ 421.727,62</t>
  </si>
  <si>
    <t>Precio por UND. Materiales: Bisagra Comun 3`` (2 UND), Lamina Coll Roled Cal 18 De 2*1 (1.67 UND), Masilla Plastica Tec Panel (0.11 cuñ), Pintura Anticorrosivo (0.23 gl) y 1 más. Mano de obra: Auxiliar De Instalaciones 1 (3 hh), Oficial Carpinterias (3 hh). Equipo: Herrramienta Y Equipo Menor (5 %).  Etapa de obra: 8. Acabados.</t>
  </si>
  <si>
    <t>MASILLA PLASTICA TEC PANEL</t>
  </si>
  <si>
    <t>cuñ</t>
  </si>
  <si>
    <t>1.15.11 · SUMINISTRO E INSTALACIÓN REJA BANCARIA INC. ANTICORROSIVO   |   Unidad: Metro cuadrado (M2)   |   Precio: $ 91.883,05</t>
  </si>
  <si>
    <t>Precio por M2. Materiales: Hierro Cuadrado 9 Mm (1.74 UND), Pintura Anticorrosivo (0.2 gl), Soldadura Electrica (0.6 kg). Mano de obra: Auxiliar De Obra 2 (1 hh), Oficial Obra 1 (1 hh), Sub-Contrato Ornamentacion (0.3 hr). Equipo: Herrramienta Y Equipo Menor (3.5 %).  Etapa de obra: 8. Acabados.</t>
  </si>
  <si>
    <t>HIERRO CUADRADO 9 MM</t>
  </si>
  <si>
    <t>1.15.12 · SUMINISTRO E INSTALACIÓN REJA EN LAMINA CAL. 18 INC. ANTICORROSIVO   |   Unidad: Metro cuadrado (M2)   |   Precio: $ 171.857,78</t>
  </si>
  <si>
    <t>Precio por M2. Materiales: Tubo Mueble Cal 1`` 1,10 Mm (7.35 ML), Lamina Coll Roled Cal 18 De 2*1 (0.3 UND), Pintura Anticorrosivo (0.02 gl), Soldadura Electrica (0.46 kg). Mano de obra: Auxiliar De Obra 2 (1.5 hh), Oficial Obra 1 (1.5 hh), Sub-Contrato Ornamentacion (0.5 hr). Equipo: Herrramienta Y Equipo Menor (2 %).  Etapa de obra: 8. Acabados.</t>
  </si>
  <si>
    <t>TUBO MUEBLE CAL 1`` 1,10 MM</t>
  </si>
  <si>
    <t>1.15.13 · SUMINISTRO E INSTALACION TEMPLETES 3/8" INC. ANTICORR.   |   Unidad: Metro lineal (ML)   |   Precio: $ 12.068,45</t>
  </si>
  <si>
    <t>Precio por ML. Materiales: Varilla 3/8`` (0.56 kg), Pintura Anticorrosivo (0.01 gl). Mano de obra: Auxiliar De Obra 2 (0.3 hh), Oficial Obra 1 (0.3 hh). Equipo: Andamio Tubular Normalizado, Tipo Multidireccional, De Acero Galvanizado En Caliente, Según Iso 9001. (0.1 dd), Herrramienta Y Equipo Menor (5 %).  Etapa de obra: 8. Acabados.</t>
  </si>
  <si>
    <t>1.15.14 · SUMINSITRO E INSTALACIÓN VENTANA LAMINA CAL. 18 CON VIDRIO INC. ANTICORR.   |   Unidad: Metro cuadrado (M2)   |   Precio: $ 221.874,28</t>
  </si>
  <si>
    <t>Precio por M2. Materiales: Angulo 3/4`` * 1/8`` (2 ML), Vidrio 5 Mm Peldar (1 M2), Bisagra Comun 2`` (2 UND), Lamina Coll Roled Cal 18 De 2*1 (0.4 UND) y 3 más. Mano de obra: Auxiliar De Obra 2 (1.4 hh), Oficial Obra 1 (0.9 hh), Sub-Contrato Ornamentacion (0.6 hr). Equipo: Herrramienta Y Equipo Menor (2 %).  Etapa de obra: 8. Acabados.</t>
  </si>
  <si>
    <t>BISAGRA COMUN 2``</t>
  </si>
  <si>
    <t>1.15.15 · VENTANA EN ALUMINIO CORREDIZA   |   Unidad: Metro cuadrado (M2)   |   Precio: $ 224.019,25</t>
  </si>
  <si>
    <t>Precio por M2. Materiales: Ventana Aluminio Corrediza (1 M2). Mano de obra: Auxiliar De Obra 2 (2 hh), Oficial Obra 1 (2 hh). Equipo: Herrramienta Y Equipo Menor (3 %).  Etapa de obra: 8. Acabados.</t>
  </si>
  <si>
    <t>VENTANA ALUMINIO CORREDIZA</t>
  </si>
  <si>
    <t>1.15.16 · VENTANA EN ALUMINIO PROYECTANTE   |   Unidad: Metro cuadrado (M2)   |   Precio: $ 184.512,94</t>
  </si>
  <si>
    <t>Precio por M2. Materiales: Ventana Aluminio Proyectante (1 M2). Mano de obra: Auxiliar De Obra 2 (2.1 hh), Oficial Obra 1 (2.1 hh). Equipo: Herrramienta Y Equipo Menor (3 %).  Etapa de obra: 8. Acabados.</t>
  </si>
  <si>
    <t>VENTANA ALUMINIO PROYECTANTE</t>
  </si>
  <si>
    <t>1.15.17 · DIVISIÓN PARA BATERIA SANITARIA EN ACERO INOXIDABLE CALIBRE 20 REF. 304 SATINADO   |   Unidad: Metro cuadrado (M2)   |   Precio: $ 587.723,89</t>
  </si>
  <si>
    <t>Precio por M2. Materiales: Division Para Bateria Sanitaria En Acero Inoxidable Calibre 20 Ref. 304 Acabado Satinado. (1.05 M2). Mano de obra: Auxiliar De Instalaciones 1 (1 hh), Oficial Instalaciones (1 hh). Equipo: Equipo De Soldadura 400 (0.15 hr), Herrramienta Y Equipo Menor (5 %).  Etapa de obra: 8. Acabados.</t>
  </si>
  <si>
    <t>DIVISION PARA BATERIA SANITARIA EN ACERO INOXIDABLE CALIBRE 20 REF. 304 ACABADO SATINADO.</t>
  </si>
  <si>
    <t>EQUIPO DE SOLDADURA 400</t>
  </si>
  <si>
    <t>1.15.18 · BARRA DE SEGURIDAD PARA MOVILIDAD REDUCIDA EN ACERO INOXIDABLE CALIBRE 18 D = 1 1/2" (distancia mayor a 1 ml)   |   Unidad: Metro lineal (ML)   |   Precio: $ 193.976,68</t>
  </si>
  <si>
    <t>Precio por ML. Materiales: Barra De Seguridad Para Movilidad Reducida En Acero Inoxidable Calibre 18 D = 1 1/2" (1.05 ML). Mano de obra: Taladro (0.15 hr), Auxiliar De Instalaciones 1 (0.2 hh), Oficial Instalaciones (0.2 hh). Equipo: Herrramienta Y Equipo Menor (5 %).  Etapa de obra: 8. Acabados.</t>
  </si>
  <si>
    <t>BARRA DE SEGURIDAD PARA MOVILIDAD REDUCIDA EN ACERO INOXIDABLE CALIBRE 18 D = 1 1/2"</t>
  </si>
  <si>
    <t>TALADRO</t>
  </si>
  <si>
    <t>Capítulo 1.16 · APARATOS SANITARIOS</t>
  </si>
  <si>
    <t>1.16.01 · APARATOS SANITARIOS BAJO CONSUMO CON VALVULA ANTIVANDALICA   |   Unidad: Unidad (UND)   |   Precio: $ 665.592,83</t>
  </si>
  <si>
    <t>Precio por UND. Materiales: Aparatos Sanitarios Bajo Consumo Con Valvula Antivandalica (1 UND), Cemento Blanco (1 kg), Agua (0.25 lt). Mano de obra: Auxiliar De Obra 2 (1.2 hh), Oficial Obra 1 (1.2 hh). Equipo: Herrramienta Y Equipo Menor (5 %).  Etapa de obra: 8. Acabados.</t>
  </si>
  <si>
    <t>1.16.02 · DUCHA MEZCLADORA BAÑERA TAYRONA O SIMILAR   |   Unidad: Unidad (UND)   |   Precio: $ 82.641,39</t>
  </si>
  <si>
    <t>Precio por UND. Materiales: Ducha Mezcladora Athenea Color Cromo (1 UND). Mano de obra: Auxiliar De Instalaciones 1 (0.3 hh), Oficial Instalaciones (0.3 hh). Equipo: Herrramienta Y Equipo Menor (5 %).  Etapa de obra: 8. Acabados.</t>
  </si>
  <si>
    <t>DUCHA MEZCLADORA ATHENEA COLOR CROMO</t>
  </si>
  <si>
    <t>1.16.03 · SUMINISTRO E INSTALACIÓN. LAVAMANOS AVANTI CON PEDESTAL COLOR BLANCO INC. GRIFERIA   |   Unidad: Unidad (UND)   |   Precio: $ 174.582,49</t>
  </si>
  <si>
    <t>Precio por UND. Materiales: Cemento Blanco (1 kg), Lavamanos Avanti Blanco Con Pedestal Incl. Griferia (1 UND), Agua (2.85 lt). Mano de obra: Auxiliar De Instalaciones 1 (0.5 hh), Oficial Instalaciones (0.5 hh). Equipo: Herrramienta Y Equipo Menor (5 %).  Etapa de obra: 8. Acabados.</t>
  </si>
  <si>
    <t>LAVAMANOS AVANTI BLANCO CON PEDESTAL INCL. GRIFERIA</t>
  </si>
  <si>
    <t>1.16.04 · SUMINISTRO E INSTALACIÓN COMBO ACUACER LAVAMANOS, SANITARIO, GRIFERIA E INCRUSTACIONES   |   Unidad: Unidad (UND)   |   Precio: $ 325.482,41</t>
  </si>
  <si>
    <t>Precio por UND. Materiales: Cemento Blanco (0.5 kg), Agua (2.85 lt), Combo Acuacer Plus Blanco (1 UND). Mano de obra: Auxiliar De Instalaciones 1 (1.6 hh), Oficial Instalaciones (1.6 hh). Equipo: Herrramienta Y Equipo Menor (5 %).  Etapa de obra: 8. Acabados.</t>
  </si>
  <si>
    <t>COMBO ACUACER PLUS BLANCO (CORONA)</t>
  </si>
  <si>
    <t>1.16.05 · SUMINISTRO E INSTALACIÓN COMBO SENSACION LAVAMANOS, SANITARIO, GRIFERIA E INCRUSTACIONES   |   Unidad: Unidad (UND)   |   Precio: $ 345.867,38</t>
  </si>
  <si>
    <t>Precio por UND. Materiales: Cemento Blanco (1 kg), Agua (2.85 lt), Combo Sensación Plus (1 UND). Mano de obra: Auxiliar De Obra 2 (1.6 hh), Oficial Instalaciones (1.6 hh). Equipo: Herrramienta Y Equipo Menor (5 %).  Etapa de obra: 8. Acabados.</t>
  </si>
  <si>
    <t>COMBO SENSACIÓN PLUS (CORONA)</t>
  </si>
  <si>
    <t>1.16.06 · SUMINISTRO E INSTALACIÓN DE DISPENSADOR DE JABÓN   |   Unidad: Unidad (UND)   |   Precio: $ 154.961,70</t>
  </si>
  <si>
    <t>Precio por UND. Materiales: Dispensador De Jabon (1 UND). Mano de obra: Taladro (0.02 hr), Auxiliar De Obra 2 (0.5 hh), Oficial Obra 1 (0.5 hh). Equipo: Herrramienta Y Equipo Menor (5 %).  Etapa de obra: 8. Acabados.</t>
  </si>
  <si>
    <t>DISPENSADOR DE JABON</t>
  </si>
  <si>
    <t>1.16.07 · SUMINISTRO E INSTALACIÓN DE GABINETES PARA TOALLAS DE PAPEL PARA BAÑOS EN ACERO INOXIDABLE   |   Unidad: Unidad (UND)   |   Precio: $ 253.097,91</t>
  </si>
  <si>
    <t>Precio por UND. Materiales: Dispensador Metalico De Toalla De Papel (1 UND). Mano de obra: Auxiliar De Obra 2 (0.25 hh), Oficial Obra 1 (0.25 hh). Equipo: Taladro (0.2 hr), Herrramienta Y Equipo Menor (5 %).  Etapa de obra: 8. Acabados.</t>
  </si>
  <si>
    <t>DISPENSADOR METALICO DE TOALLA DE PAPEL</t>
  </si>
  <si>
    <t>1.16.08 · SUMINISTRO E INSTALACIÓN DE SECADOR ELÉCTRICO PARA MANOS, AUTOMÁTICO EN ACERO INOXIDABLE TIPO POTENZA O SIMILAR   |   Unidad: Unidad (UND)   |   Precio: $ 804.636,33</t>
  </si>
  <si>
    <t>Precio por UND. Materiales: Cemento Blanco (1 kg), Secador Electrico Automatico Tipo Potenza En Acero Inoxidable (1 UND). Mano de obra: Taladro (0.2 hr), Auxiliar De Obra 2 (0.75 hh), Oficial Instalaciones (0.75 hh). Equipo: Herrramienta Y Equipo Menor (5 %).  Etapa de obra: 8. Acabados.</t>
  </si>
  <si>
    <t>SECADOR ELECTRICO AUTOMATICO TIPO POTENZA EN ACERO INOXIDABLE</t>
  </si>
  <si>
    <t>1.16.09 · SUMINISTRO E INSTALACIÓN DUCHA SENCILLA   |   Unidad: Unidad (UND)   |   Precio: $ 46.243,77</t>
  </si>
  <si>
    <t>Precio por UND. Materiales: Cinta Teflon 10 M 1/2" (1 rl), Ducha Sencilla (1 UND), Limpiador 1/4 Pvc (0.01 gl), Soldadura Liquida Pvc 1/4`` (0.01 gl). Mano de obra: Auxiliar De Instalaciones 1 (0.3 hh), Oficial Instalaciones (0.3 hh). Equipo: Herrramienta Y Equipo Menor (5 %).  Etapa de obra: 8. Acabados.</t>
  </si>
  <si>
    <t>DUCHA SENCILLA</t>
  </si>
  <si>
    <t>1.16.10 · SUMINISTRO E INSTALACIÓN LAVAMANOS ACUACER BLANCO DE COLGAR INC. GRIFERIA   |   Unidad: Unidad (UND)   |   Precio: $ 106.236,29</t>
  </si>
  <si>
    <t>Precio por UND. Materiales: Cemento Blanco (1 kg), Lavamanos Acuacer Blanco De Colgar Inc. Griferia (1 UND). Mano de obra: Auxiliar De Instalaciones 1 (1 hh), Oficial Instalaciones (1 hh). Equipo: Herrramienta Y Equipo Menor (5 %).  Etapa de obra: 8. Acabados.</t>
  </si>
  <si>
    <t>LAVAMANOS ACUACER BLANCO DE COLGAR INC. GRIFERIA</t>
  </si>
  <si>
    <t>1.16.11 · SUMINISTRO E INSTALACIÓN LAVAMANOS ENSO CON PEDESTAL INC. GRIFERIA   |   Unidad: Unidad (UND)   |   Precio: $ 293.653,29</t>
  </si>
  <si>
    <t>Precio por UND. Materiales: Cemento Blanco (1 kg), Lavamanos Enso Color Pedestal Incluye Griferia (1 UND). Mano de obra: Auxiliar De Instalaciones 1 (1 hh), Oficial Instalaciones (1 hh). Equipo: Herrramienta Y Equipo Menor (5 %).  Etapa de obra: 8. Acabados.</t>
  </si>
  <si>
    <t>LAVAMANOS ENSO COLOR PEDESTAL INCLUYE GRIFERIA</t>
  </si>
  <si>
    <t>1.16.12 · SUMINISTRO E INSTALACIÓN LAVAMANOS SOBREPONER ENNA COLOR BLANCO INC. GRIFERIA   |   Unidad: Unidad (UND)   |   Precio: $ 214.218,29</t>
  </si>
  <si>
    <t>Precio por UND. Materiales: Cemento Blanco (1 kg), Lavamanos Sobre Poner Enna Inc. Griferia (1 UND). Mano de obra: Auxiliar De Instalaciones 1 (1 hh), Oficial Instalaciones (1 hh). Equipo: Herrramienta Y Equipo Menor (5 %).  Etapa de obra: 8. Acabados.</t>
  </si>
  <si>
    <t>LAVAMANOS SOBRE PONER ENNA INC. GRIFERIA</t>
  </si>
  <si>
    <t>1.16.13 · SUMINISTRO E INSTALACIÓN ORINAL MEDIANO COMPLETO. GRIF TRADICIONAL CROMO   |   Unidad: Unidad (UND)   |   Precio: $ 240.817,53</t>
  </si>
  <si>
    <t>Precio por UND. Materiales: Cemento Blanco (1 kg), Orinal Institucional (1 UND). Mano de obra: Auxiliar De Obra 2 (1.6 hh), Oficial Instalaciones (1.6 hh). Equipo: Herrramienta Y Equipo Menor (5 %).  Etapa de obra: 8. Acabados.</t>
  </si>
  <si>
    <t>ORINAL INSTITUCIONAL</t>
  </si>
  <si>
    <t>1.16.14 · SUMINISTRO E INSTALACIÓN SANITARIO AVANTI PLUS BLANCO LAVAMANOS CON PEDESTAL, SANITARIO, GRIFERIA E INCRUSTACIONES   |   Unidad: Unidad (UND)   |   Precio: $ 522.317,53</t>
  </si>
  <si>
    <t>Precio por UND. Materiales: Cemento Blanco (1 kg), Combo Avanti Plus Blanco Pedestal (1 UND). Mano de obra: Auxiliar De Obra 2 (1.6 hh), Oficial Instalaciones (1.6 hh). Equipo: Herrramienta Y Equipo Menor (5 %).  Etapa de obra: 8. Acabados.</t>
  </si>
  <si>
    <t>COMBO AVANTI PLUS BLANCO PEDESTAL (CORONA)</t>
  </si>
  <si>
    <t>1.16.15 · SUMINISTRO E INSTALACIÓN SANITARIO AQUAPRO LAVAMANOS SEMIPEDESTAL, SANITARIO, GRIFERIA E INCRUSTACIONES O SIMILAR   |   Unidad: Unidad (UND)   |   Precio: $ 627.077,53</t>
  </si>
  <si>
    <t>Precio por UND. Materiales: Cemento Blanco (1 kg), Combo Aquapro Blanco Semipedestal  O Similar (1 UND). Mano de obra: Auxiliar De Obra 2 (1.6 hh), Oficial Instalaciones (1.6 hh). Equipo: Herrramienta Y Equipo Menor (5 %).  Etapa de obra: 8. Acabados.</t>
  </si>
  <si>
    <t>COMBO AQUAPRO BLANCO SEMIPEDESTAL (CORONA) O SIMILAR</t>
  </si>
  <si>
    <t>1.16.16 · SUMINISTRO EN INSTALACIÓN DE PROTECTOR DE PAPEL HIGIÉNICO   |   Unidad: Unidad (UND)   |   Precio: $ 59.117,05</t>
  </si>
  <si>
    <t>Precio por UND. Materiales: Protector Plastico De Papel Higienico (1 UND). Mano de obra: Auxiliar De Obra 2 (0.5 hh), Oficial Obra 1 (0.5 hh). Equipo: Herrramienta Y Equipo Menor (5 %).  Etapa de obra: 8. Acabados.</t>
  </si>
  <si>
    <t>PROTECTOR PLASTICO DE PAPEL HIGIENICO</t>
  </si>
  <si>
    <t>1.16.17 · SUMINISTRO E INSTALACIÓN BARRA DE SEGURIDAD EN ACERO INOXIDABLE 18" (PARA BAÑOS)   |   Unidad: Unidad (UND)   |   Precio: $ 125.783,22</t>
  </si>
  <si>
    <t>Precio por UND. Materiales: Barra De Seguridad En Acero Inoxidable 18" (1 UND). Mano de obra: Auxiliar De Obra 2 (0.2 hh), Oficial Obra 1 (0.2 hh). Equipo: Taladro (0.15 hr), Herrramienta Y Equipo Menor (5 %).  Etapa de obra: 8. Acabados.</t>
  </si>
  <si>
    <t>BARRA DE SEGURIDAD EN ACERO INOXIDABLE 18" (PARA BAÑOS)</t>
  </si>
  <si>
    <t>1.16.18 · SUMINISTRO E INSTALACIÓN BARRA DE SEGURIDAD EN ACERO INOXIDABLE 30" (PARA BAÑOS)   |   Unidad: Unidad (UND)   |   Precio: $ 168.883,22</t>
  </si>
  <si>
    <t>Precio por UND. Materiales: Barra De Seguridad En Acero Inoxidable 30" (1 UND). Mano de obra: Auxiliar De Obra 2 (0.2 hh), Oficial Obra 1 (0.2 hh). Equipo: Taladro (0.15 hr), Herrramienta Y Equipo Menor (5 %).  Etapa de obra: 8. Acabados.</t>
  </si>
  <si>
    <t>BARRA DE SEGURIDAD EN ACERO INOXIDABLE 30" (PARA BAÑOS)</t>
  </si>
  <si>
    <t>1.16.19 · SUMINISTRO E INSTALACIÓN BARRA DE SEGURIDAD EN ACERO INOXIDABLE PLEGABLE (PARA BAÑOS)   |   Unidad: Unidad (UND)   |   Precio: $ 538.997,91</t>
  </si>
  <si>
    <t>Precio por UND. Materiales: Barra De Seguridad En Acero Inoxidable Plegable (1 UND). Mano de obra: Auxiliar De Obra 2 (0.25 hh), Oficial Obra 1 (0.25 hh). Equipo: Taladro (0.2 hr), Herrramienta Y Equipo Menor (5 %).  Etapa de obra: 8. Acabados.</t>
  </si>
  <si>
    <t>BARRA DE SEGURIDAD EN ACERO INOXIDABLE PLEGABLE (PARA BAÑOS)</t>
  </si>
  <si>
    <t>1.16.20 · SUMINISTRO E INSTALACIÓN BARRA DE SEGURIDAD TIPO H EN ACERO INOXIDABLE (PARA BAÑOS)   |   Unidad: Unidad (UND)   |   Precio: $ 762.562,61</t>
  </si>
  <si>
    <t>Precio por UND. Materiales: Barra De Seguridad Tipo H En Acero Inoxidable (1 UND). Mano de obra: Auxiliar De Obra 2 (0.3 hh), Oficial Obra 1 (0.3 hh). Equipo: Taladro (0.25 hr), Herrramienta Y Equipo Menor (5 %).  Etapa de obra: 8. Acabados.</t>
  </si>
  <si>
    <t>BARRA DE SEGURIDAD TIPO H EN ACERO INOXIDABLE (PARA BAÑOS)</t>
  </si>
  <si>
    <t>1.16.21 · SUMINISTRO E INSTALACIÓN BARRA DE SEGURIDAD EN ACERO INOXIDABLE 12" (PARA BAÑOS)   |   Unidad: Unidad (UND)   |   Precio: $ 123.583,22</t>
  </si>
  <si>
    <t>Precio por UND. Materiales: Barra De Seguridad En Acero Inoxidable 12" (1 UND). Mano de obra: Auxiliar De Obra 2 (0.2 hh), Oficial Obra 1 (0.2 hh). Equipo: Taladro (0.15 hr), Herrramienta Y Equipo Menor (5 %).  Etapa de obra: 8. Acabados.</t>
  </si>
  <si>
    <t>BARRA DE SEGURIDAD EN ACERO INOXIDABLE 12" (PARA BAÑOS)</t>
  </si>
  <si>
    <t>Capítulo 1.17 · VIDRIOS Y CERRADURAS</t>
  </si>
  <si>
    <t>6 actividades. Cada tabla lista los insumos de una actividad por unidad de obra.</t>
  </si>
  <si>
    <t>1.17.01 · CERRADURA ALCOBA   |   Unidad: Unidad (UND)   |   Precio: $ 49.186,00</t>
  </si>
  <si>
    <t>Precio por UND. Materiales: Cerradura Schlage A 50 Ws Madera (1 UND). Mano de obra: Auxiliar De Obra 2 (0.75 hh), Oficial Obra 1 (0.75 hh). Equipo: Herrramienta Y Equipo Menor (1.1 %).  Etapa de obra: 8. Acabados.</t>
  </si>
  <si>
    <t>CERRADURA SCHLAGE A 50 WS MADERA</t>
  </si>
  <si>
    <t>1.17.02 · CERRADURA BAÑO   |   Unidad: Unidad (UND)   |   Precio: $ 48.320,00</t>
  </si>
  <si>
    <t>Precio por UND. Materiales: Cerradura Baño Bell Wood (1 UND). Mano de obra: Auxiliar De Obra 2 (0.75 hh), Oficial Obra 1 (0.75 hh). Equipo: Herrramienta Y Equipo Menor (1.1 %).  Etapa de obra: 8. Acabados.</t>
  </si>
  <si>
    <t>CERRADURA BAÑO BELL WOOD</t>
  </si>
  <si>
    <t>1.17.03 · CERRADURA ENTRADA DOBLE CILINDRO   |   Unidad: Unidad (UND)   |   Precio: $ 109.514,70</t>
  </si>
  <si>
    <t>Precio por UND. Materiales: Cerradura Yale Dobles Cilindro (1 UND). Mano de obra: Auxiliar De Carpinterias 1 (0.75 hh), Oficial Carpinterias (0.75 hh). Equipo: Herrramienta Y Equipo Menor (3 %).  Etapa de obra: 8. Acabados.</t>
  </si>
  <si>
    <t>CERRADURA YALE DOBLES CILINDRO</t>
  </si>
  <si>
    <t>1.17.04 · ESPEJO 4 MM SIN BICEL   |   Unidad: Metro cuadrado (M2)   |   Precio: $ 76.044,05</t>
  </si>
  <si>
    <t>Precio por M2. Materiales: Espejo 4 Mm Peldar Sin Bicel (1.1 M2). Mano de obra: Auxiliar De Obra 2 (0.25 hh), Oficial Obra 1 (0.25 hh). Equipo: Herrramienta Y Equipo Menor (0.9 %).  Etapa de obra: 8. Acabados.</t>
  </si>
  <si>
    <t>ESPEJO 4 MM PELDAR SIN BICEL</t>
  </si>
  <si>
    <t>1.17.05 · VIDRIO 4 MM   |   Unidad: Metro cuadrado (M2)   |   Precio: $ 40.954,66</t>
  </si>
  <si>
    <t>Precio por M2. Materiales: Vidrio 4 Mm Peldar (1.1 M2). Mano de obra: Auxiliar De Obra 2 (0.25 hh), Oficial Obra 1 (0.25 hh). Equipo: Herrramienta Y Equipo Menor (1.8 %).  Etapa de obra: 8. Acabados.</t>
  </si>
  <si>
    <t>VIDRIO 4 MM PELDAR</t>
  </si>
  <si>
    <t>1.17.06 · VIDRIO 5 MM   |   Unidad: Metro cuadrado (M2)   |   Precio: $ 48.168,46</t>
  </si>
  <si>
    <t>Precio por M2. Materiales: Vidrio 5 Mm Peldar (1.1 M2). Mano de obra: Auxiliar De Obra 2 (0.25 hh), Oficial Obra 1 (0.25 hh). Equipo: Herrramienta Y Equipo Menor (1.8 %).  Etapa de obra: 8. Acabados.</t>
  </si>
  <si>
    <t>Capítulo 1.18 · OBRAS EXTERIORES</t>
  </si>
  <si>
    <t>12 actividades. Cada tabla lista los insumos de una actividad por unidad de obra.</t>
  </si>
  <si>
    <t>1.18.01 · ADOQUIN DE GRES   |   Unidad: Metro cuadrado (M2)   |   Precio: $ 62.689,75</t>
  </si>
  <si>
    <t>Precio por M2. Materiales: Arena Fina (0.07 M3), Adoquín Español 20x10x6 Santafé (52 UND). Mano de obra: Cuadrilla Obra Of + Auxiliar (0.7 hc). Equipo: Herrramienta Y Equipo Menor (5 %).  Etapa de obra: 9. Exteriores.</t>
  </si>
  <si>
    <t>ARENA FINA</t>
  </si>
  <si>
    <t>ADOQUÍN ESPAÑOL 20X10X6 SANTAFÉ</t>
  </si>
  <si>
    <t>CUADRILLA OBRA OF + AUXILIAR</t>
  </si>
  <si>
    <t>1.18.02 · ANDEN ADOQUIN DE GRES   |   Unidad: Metro cuadrado (M2)   |   Precio: $ 119.411,98</t>
  </si>
  <si>
    <t>Precio por M2. Materiales: Arena Fina Para Pavimento En Adoquin (0.06 M3), Excavacion Mecanica P/Sub Rasante (0.21 M3), Bordillo Prefabricado A-80 (1 ML), Descapote (0.8 M2) y 3 más.  Etapa de obra: 9. Exteriores.</t>
  </si>
  <si>
    <t>ARENA FINA PARA PAVIMENTO EN ADOQUIN</t>
  </si>
  <si>
    <t>EXCAVACION MECANICA P/SUB RASANTE</t>
  </si>
  <si>
    <t>BORDILLO PREFABRICADO A-80</t>
  </si>
  <si>
    <t>DESCAPOTE</t>
  </si>
  <si>
    <t>ADOQUÍN DE GRES</t>
  </si>
  <si>
    <t>1.18.03 · ASEO GENERAL ENTREGA   |   Unidad: Metro cuadrado (M2)   |   Precio: $ 5.402,16</t>
  </si>
  <si>
    <t>Precio por M2. Mano de obra: Auxiliar De Obra 2 (0.2 hh), Oficial Obra 1 (0.2 hh). Equipo: Herrramienta Y Equipo Menor (10 %).  Etapa de obra: 10. Entrega.</t>
  </si>
  <si>
    <t>1.18.04 · CONCRETO ESTRIADO RAMPAS 17.5 MPa - (2500 PSI)   |   Unidad: Metro cuadrado (M2)   |   Precio: $ 105.619,44</t>
  </si>
  <si>
    <t>Precio por M2. Materiales: Concreto 1:2:4 17.5 Mpa (0.16 M3), Madera Tabla 0.10 (1.1 ML). Mano de obra: Auxiliar De Obra 2 (1.2 hh), Oficial Obra 1 (1.2 hh). Equipo: Herrramienta Y Equipo Menor (1 %).  Etapa de obra: 9. Exteriores.</t>
  </si>
  <si>
    <t>1.18.05 · CONSTRUCCION DE ANDENES E=0.10 MTS, EN CONCRETO DE 17.5 MPa - (2500 PSI)   |   Unidad: Metro cuadrado (M2)   |   Precio: $ 58.740,91</t>
  </si>
  <si>
    <t>Precio por M2. Materiales: Tabla 1x05x300 Otobo (0.1 UND), Concreto 1:2:4 17.5 Mpa (0.1 M3), Liston Ordinario (1 ML), Puntilla Con Y Sin Cabeza 2 (0.1 lb). Mano de obra: Auxiliar De Obra 1 (0.02 jr), Oficial Obra 2 (0.02 jr). Equipo: Herrramienta Y Equipo Menor (2 %).  Etapa de obra: 9. Exteriores.</t>
  </si>
  <si>
    <t>LISTON ORDINARIO</t>
  </si>
  <si>
    <t>1.18.06 · ESTUCO Y PINTURA DE FACHADAS HASTA 3 METROS   |   Unidad: Metro cuadrado (M2)   |   Precio: $ 10.884,90</t>
  </si>
  <si>
    <t>Precio por M2. Materiales: Yeso Blanco Estucador (0.01 bt), Caolin * 40 Kg (0.09 bt), Cemento Gris (0.26 kg), Lija De Agua 150 Súper (0.02 UND) y 2 más. Mano de obra: Auxiliar De Obra 2 (0.31 hh), Oficial Obra 1 (0.31 hh). Equipo: Herrramienta Y Equipo Menor (1 %).  Etapa de obra: 9. Exteriores.</t>
  </si>
  <si>
    <t>YESO BLANCO ESTUCADOR</t>
  </si>
  <si>
    <t>1.18.07 · ESTUCO Y PINTURA DE FACHADAS ALTURA MAYOR A 3 METROS   |   Unidad: Metro cuadrado (M2)   |   Precio: $ 15.909,90</t>
  </si>
  <si>
    <t>Precio por M2. Materiales: Yeso Blanco Estucador (0.01 bt), Caolin * 40 Kg (0.09 bt), Cemento Gris (0.26 kg), Lija De Agua 150 Súper (0.02 UND) y 2 más. Mano de obra: Auxiliar De Obra 2 (0.31 hh), Oficial Obra 1 (0.31 hh). Equipo: Andamio Tubular Normalizado, Tipo Multidireccional, De Acero Galvanizado En Caliente, Según Iso 9001. (0.2 dd), Herrramienta Y Equipo Menor (1 %).  Etapa de obra: 9. Exteriores.</t>
  </si>
  <si>
    <t>1.18.08 · FACHADA EN GRANIPLAS   |   Unidad: Metro cuadrado (M2)   |   Precio: $ 25.693,70</t>
  </si>
  <si>
    <t>Precio por M2. Materiales: Graniplast (0.7 gl). Mano de obra: Auxiliar De Obra 2 (0.32 hh), Oficial Obra 1 (0.32 hh). Equipo: Herrramienta Y Equipo Menor (4 %).  Etapa de obra: 9. Exteriores.</t>
  </si>
  <si>
    <t>GRANIPLAST</t>
  </si>
  <si>
    <t>1.18.09 · MURO CARA DOBLE EN ETEBOARD 10 MM   |   Unidad: Metro cuadrado (M2)   |   Precio: $ 143.915,08</t>
  </si>
  <si>
    <t>Precio por M2. Materiales: Tiro (2 UND), Tornillo Autoperforante Con Cabeza Extraplana T1 # 7 7/16 (50 UND), Tornillo Eterboard 1`` Avellanante Punta De Broca Sin Aleta (60 UND), Canal B9 X 2.44 Cal 20 (0.23 UND) y 8 más. Mano de obra: Mano De Obra Muro Superboard (1 M2). Equipo: Paral B9 Cal. 24 (2 ML), Andamio Tubular Normalizado, Tipo Multidireccional, De Acero Galvanizado En Caliente, Según Iso 9001. (0.8 dd), Herrramienta Y Equipo Menor (6.7 %).  Etapa de obra: 9. Exteriores.</t>
  </si>
  <si>
    <t>TORNILLO ETERBOARD 1`` AVELLANANTE PUNTA DE BROCA SIN ALETA</t>
  </si>
  <si>
    <t>CANAL B9 X 2.44 CAL 20</t>
  </si>
  <si>
    <t>DILATACION PARA DRY WALL</t>
  </si>
  <si>
    <t>ETERCOAT HR Juntas Invisibles</t>
  </si>
  <si>
    <t>ETERGLAS MF Masillado completo</t>
  </si>
  <si>
    <t>PARAL B9 CAL. 24</t>
  </si>
  <si>
    <t>1.18.10 · PISO EN GRAMA INCL. TIERRA NEGRA   |   Unidad: Metro cuadrado (M2)   |   Precio: $ 28.516,92</t>
  </si>
  <si>
    <t>Precio por M2. Materiales: Tierra Negra (0.3 M3), Grama (1.1 M2). Mano de obra: Auxiliar De Obra 2 (0.1 hh), Oficial Obra 1 (0.1 hh). Equipo: Herrramienta Y Equipo Menor (3.5 %).  Etapa de obra: 9. Exteriores.</t>
  </si>
  <si>
    <t>GRAMA</t>
  </si>
  <si>
    <t>1.18.11 · PRADIZACION (PASTO)   |   Unidad: Metro cuadrado (M2)   |   Precio: $ 24.344,32</t>
  </si>
  <si>
    <t>Precio por M2. Materiales: Tierra Negra (0.3 M3), Pasto (1 M2). Mano de obra: Auxiliar De Obra 2 (0.1 hh), Oficial Obra 1 (0.1 hh).  Etapa de obra: 9. Exteriores.</t>
  </si>
  <si>
    <t>PASTO</t>
  </si>
  <si>
    <t>1.18.12 · SARDINEL FUNDIDO IN-SITU H=0.40 MTS - A=0.20 MTS, CONCRETO DE 2500 PSI   |   Unidad: Metro lineal (ML)   |   Precio: $ 48.340,05</t>
  </si>
  <si>
    <t>Precio por ML. Materiales: Concreto 1:2:4 17.5 Mpa (0.08 M3). Mano de obra: Formaleta Sardinel (0.82 dd), Cuadrilla Obra Of + Auxiliar (0.46 hc).  Etapa de obra: 9. Exteriores.</t>
  </si>
  <si>
    <t>FORMALETA SARDINEL</t>
  </si>
  <si>
    <t>Capítulo 1.19 · INSTALACIONES DEPORTIVAS</t>
  </si>
  <si>
    <t>1.19.01 · CANCHA MINI FUTBOL Y/O MINIBALONCESTO INCL. MALLA. TUBO 3" Y 2"   |   Unidad: Unidad (UND)   |   Precio: $ 1.731.000,35</t>
  </si>
  <si>
    <t>Precio por UND. Materiales: Cancha Mini Futbol Y/O Minibaloncesto Incl. Malla. (1 jg).  Etapa de obra: 9. Exteriores.</t>
  </si>
  <si>
    <t>CANCHA MINI FUTBOL Y/O MINIBALONCESTO INCL. MALLA.</t>
  </si>
  <si>
    <t>1.19.02 · CANCHA MULTIPLE TUBO AGUA NEGRA 3" Y 2" INCL.TABLERO ACRILICO 10 MM PARA ANCLAR AL PISO   |   Unidad: Juego (jgo)   |   Precio: $ 4.039.614,10</t>
  </si>
  <si>
    <t>Precio por jgo. Materiales: Juego De Cancha Multiple Tubo Agua Para Anclar Al Piso (1 jg).  Etapa de obra: 9. Exteriores.</t>
  </si>
  <si>
    <t>JUEGO DE CANCHA MULTIPLE TUBO AGUA PARA ANCLAR AL PISO</t>
  </si>
  <si>
    <t>1.19.03 · CANCHA MULTIPLE TUBO AGUA NEGRA 3" Y 2" INCL.TABLERO ACRILICOB 10 MM CON RODACHINES Y CILINDRO PARA MOVILIZAR   |   Unidad: Juego (jgo)   |   Precio: $ 4.009.920,02</t>
  </si>
  <si>
    <t>Precio por jgo. Materiales: Tablero Acrilico 10mm (1 UND), Juego De Cancha Multiple Tubo Agua Con Rodachines Y Cilindro Para Movilizar (1 jg).  Etapa de obra: 9. Exteriores.</t>
  </si>
  <si>
    <t>TABLERO ACRILICO 10MM</t>
  </si>
  <si>
    <t>JUEGO DE CANCHA MULTIPLE TUBO AGUA CON RODACHINES Y CILINDRO PARA MOVILIZAR</t>
  </si>
  <si>
    <t>1.19.04 · CANCHA PARA MICROFUTBOL TUBO A.N. 3" Y 2"   |   Unidad: Juego (jgo)   |   Precio: $ 1.333.666,67</t>
  </si>
  <si>
    <t>Precio por jgo. Materiales: Cancha Microfutbol Tubo A.n T.p (1 jg).  Etapa de obra: 9. Exteriores.</t>
  </si>
  <si>
    <t>CANCHA MICROFUTBOL TUBO A.N T.P</t>
  </si>
  <si>
    <t>1.19.05 · CANCHA PARA SOLO BALONCESTO CON RODACHINES Y CILINDRO TUBO 3" Y 2". INCL. TABLERO ACRILICO   |   Unidad: Juego (jgo)   |   Precio: $ 3.847.667,00</t>
  </si>
  <si>
    <t>Precio por jgo. Materiales: Cancha Para Solo Baloncesto C/ Rodachines Y Cilindro Incl. Tablero Acrilico (1 jg).  Etapa de obra: 9. Exteriores.</t>
  </si>
  <si>
    <t>CANCHA PARA SOLO BALONCESTO C/ RODACHINES Y CILINDRO INCL. TABLERO ACRILICO</t>
  </si>
  <si>
    <t>1.19.06 · CANCHA PARA SOLO BALONCESTO DE ANCLAR AL PISO TUBO 3" Y 2". INCLU TABLERO ACRILICO   |   Unidad: Juego (jgo)   |   Precio: $ 3.441.083,33</t>
  </si>
  <si>
    <t>Precio por jgo. Materiales: Juego De Cancha Solo Para Baloncesto Tubo Agua 2`` Incl. Tablero Acrilico. Para Anclar Al Piso (1 jg).  Etapa de obra: 9. Exteriores.</t>
  </si>
  <si>
    <t>JUEGO DE CANCHA SOLO PARA BALONCESTO TUBO AGUA 2`` INCL. TABLERO ACRILICO. PARA ANCLAR AL PISO</t>
  </si>
  <si>
    <t>1.19.07 · DEMARCACION CON PINTURA TIPO TRAFICO E=0.08 M   |   Unidad: Metro lineal (ML)   |   Precio: $ 5.614,24</t>
  </si>
  <si>
    <t>Precio por ML. Materiales: Pintura Acrilica Base Agua Para Demarcacion (0.02 gl). Mano de obra: Auxiliar De Obra 2 (0.15 hh), Oficial Obra 1 (0.15 hh). Equipo: Herrramienta Y Equipo Menor (5 %).  Etapa de obra: 9. Exteriores.</t>
  </si>
  <si>
    <t>PINTURA ACRILICA BASE AGUA PARA DEMARCACION</t>
  </si>
  <si>
    <t>1.19.08 · PORTERÍA (JUEGO CANCHAS FÚTBOL)   |   Unidad: Juego (jg)   |   Precio: $ 7.090.310,56</t>
  </si>
  <si>
    <t>Precio por jg. Materiales: Excavacion Manual En Material Comun (1.72 M3), Malla Portería Fútbol (2 UND), Portería Fútbol (1 UND).  Etapa de obra: 9. Exteriores.</t>
  </si>
  <si>
    <t>MALLA PORTERÍA FÚTBOL</t>
  </si>
  <si>
    <t>PORTERÍA FÚTBOL (unidad)</t>
  </si>
  <si>
    <t>1.19.09 · TABLERO PARA BALONCESTO EN ACRILICO 10 MM   |   Unidad: Unidad (UND)   |   Precio: $ 360.100,00</t>
  </si>
  <si>
    <t>Precio por UND. Materiales: Tablero Acrilico 10mm (1 UND), Tubería Estructural 2 Redondo 4mm Colmena (3 ML), Concreto 1:3:5 14 Mpa (0.01 M3), Mano De Obra Aa (1 hc).  Etapa de obra: 9. Exteriores.</t>
  </si>
  <si>
    <t>TUBERÍA ESTRUCTURAL 2 REDONDO 4MM COLMENA</t>
  </si>
  <si>
    <t>Capítulo 1.20 · OTROS</t>
  </si>
  <si>
    <t>1.20.01 · ACABADO MESON PARA BAÑOS Y COCINA EN ACERO INOXIDABLE   |   Unidad: Metro lineal (ML)   |   Precio: $ 602.136,98</t>
  </si>
  <si>
    <t>Precio por ML. Materiales: Anticorrosivo Phcl (0.04 gl), Lija (1 UND), Masilla Plastica Tec Panel (0 cuñ), Meson En Acero Inoxidable (1 ML) y 1 más. Mano de obra: Auxiliar De Obra 2 (3.3 hh), Oficial Obra 1 (1.65 hh). Equipo: Oxicorte (0.5 dd), Pulidora (1 dd), Herrramienta Y Equipo Menor (10 %).  Etapa de obra: 8. Acabados.</t>
  </si>
  <si>
    <t>MESON EN ACERO INOXIDABLE</t>
  </si>
  <si>
    <t>SOLDADURA 7018</t>
  </si>
  <si>
    <t>1.20.02 · ACABADO MESON PARA BAÑOS Y COCINA EN FIBRA DE VIDRIO 60 CMS   |   Unidad: Metro lineal (ML)   |   Precio: $ 362.888,42</t>
  </si>
  <si>
    <t>Precio por ML. Materiales: Meson Fibra De Vidrio A = 60 Cms E = 1 Cms (1 ML). Mano de obra: Auxiliar De Obra 2 (3.3 hh), Oficial Obra 1 (1.65 hh). Equipo: Pulidora (1 dd), Herrramienta Y Equipo Menor (3 %).  Etapa de obra: 8. Acabados.</t>
  </si>
  <si>
    <t>MESON FIBRA DE VIDRIO A = 60 CMS E = 1 CMS</t>
  </si>
  <si>
    <t>1.20.03 · ACABADO MESON PARA BAÑOS Y COCINA EN GRANITO PULIDO   |   Unidad: Metro cuadrado (M2)   |   Precio: $ 241.140,26</t>
  </si>
  <si>
    <t>Precio por M2. Materiales: Vareta 1``x1``x 3m (1.25 UND), Cemento Blanco (12.31 kg), Cera Para Pisos (0.08 gl), Granito Blanco # 3 (1.04 bt) y 3 más. Mano de obra: Auxiliar De Obra 2 (6 hh), Oficial Obra 1 (4.6 hh). Equipo: Pulidora (0.1 dd), Herrramienta Y Equipo Menor (0.7 %).  Etapa de obra: 8. Acabados.</t>
  </si>
  <si>
    <t>MALLA GALLINERO 1.1/4</t>
  </si>
  <si>
    <t>PIRLAN BRONCE</t>
  </si>
  <si>
    <t>1.20.04 · ACABADO MESON PARA BAÑOS Y COCINA EN MARMOL   |   Unidad: Metro cuadrado (M2)   |   Precio: $ 144.161,36</t>
  </si>
  <si>
    <t>Precio por M2. Materiales: Cemento Blanco (12.31 kg), Grano Marmol # 3 (0.8 bt), Marmolina Bto 48 Kg (0.2 bt), Pirlan Bronce (2 ML). Mano de obra: Auxiliar De Obra 2 (2.6 hh), Oficial Obra 1 (1.3 hh). Equipo: Pulidora (0.15 dd), Herrramienta Y Equipo Menor (0.7 %).  Etapa de obra: 8. Acabados.</t>
  </si>
  <si>
    <t>GRANO MARMOL # 3</t>
  </si>
  <si>
    <t>1.20.05 · BORDE CONTENEDOR DE RAICES A-70   |   Unidad: Metro lineal (ML)   |   Precio: $ 61.411,56</t>
  </si>
  <si>
    <t>Precio por ML. Materiales: Borde Contenedor De Raíces A-70 (1 ML), Mortero 1:4 (0.04 M3), Cuadrilla Obra Of + Auxiliar (1 hc).  Etapa de obra: 8. Acabados.</t>
  </si>
  <si>
    <t>BORDE CONTENEDOR DE RAÍCES A-70</t>
  </si>
  <si>
    <t>1.20.06 · BORDILLO EN ADOQUIN HILADA PARADA TIPO TOLETE PERFORADO (0-25 CONFINADO) PREFABRICADO, REFORZADO. INCLUYE EXCAVACION, RETIRO DE SOBRANTES, CONCRETO POBRE, RELLENO   |   Unidad: Metro lineal (ML)   |   Precio: $ 82.019,89</t>
  </si>
  <si>
    <t>Precio por ML. Materiales: Suministro E Instalacion De Concreto De 14 Mpa  Solados Y Atraques (0 M3), Acero 60000 Psi (0.6 kg), Grafil 5.5 Mm (0.12 kg), Grouting 17.5 Mpa (0 M3) y 2 más. Mano de obra: Auxiliar De Obra 2 (2.5 hh), Oficial Obra 1 (1.6 hh). Equipo: Cortadora De Ladrillo (0 dd), Herrramienta Y Equipo Menor (1 %). Transporte: Viaje Volqueta M3 (0.03 M3).  Etapa de obra: 8. Acabados.</t>
  </si>
  <si>
    <t>SUMINISTRO E INSTALACION DE CONCRETO DE 14 MPA (2000 PSI) SOLADOS Y ATRAQUES</t>
  </si>
  <si>
    <t>GRAFIL 5.5 mm</t>
  </si>
  <si>
    <t>GROUTING 17.5 Mpa</t>
  </si>
  <si>
    <t>ADOQUIN PERFORADO TIPO TOLETE</t>
  </si>
  <si>
    <t>1.20.07 · CERCA DE ALAMBRE DE PUAS CON POSTES DE MADERA INMUNIZADA D= 9 - 10 CM H=1.50 M 5 LINEAS. DISTANCIA ENTRE POSTES 2 M   |   Unidad: Metro lineal (ML)   |   Precio: $ 31.266,08</t>
  </si>
  <si>
    <t>Precio por ML. Materiales: Grapas (0.05 kg), Poste Pino Patula [1.50m] D=9-10 Cm (0.5 UND), Alambre De Puas N° 12.5 (0.6 kg). Mano de obra: Auxiliar De Obra 2 (0.7 hh), Oficial Obra 1 (0.7 hh). Equipo: Herrramienta Y Equipo Menor (5 %).  Etapa de obra: 8. Acabados.</t>
  </si>
  <si>
    <t>1.20.08 · CERRAMIENTO EN MALLA ESLABONADA CAL 10 MM (INCLUYE TUBO AGUA NEGRA DE 2" Y ANGULO 1"X1"X3/16") H=2.1   |   Unidad: Metro cuadrado (M2)   |   Precio: $ 105.980,11</t>
  </si>
  <si>
    <t>Precio por M2. Materiales: Tubería Galvanizada Para Cerramiento De 2`` X 6 M (1.2 ML), Malla Eslabonada 2`` X 2`` C 13 (1 M2), Pintura Anticorrosivo (0.16 gl), Pintura Esmalte Sintetico Tipo I (0.31 gl) y 3 más. Mano de obra: Auxiliar De Obra 2 (1.5 hh), Oficial Obra 1 (1.5 hh). Equipo: Herrramienta Y Equipo Menor (6.7 %).  Etapa de obra: 8. Acabados.</t>
  </si>
  <si>
    <t>TUBERÍA GALVANIZADA PARA CERRAMIENTO DE 2`` X 6 M</t>
  </si>
  <si>
    <t>MALLA ESLABONADA 2`` X 2`` C 13</t>
  </si>
  <si>
    <t>PINTURA ESMALTE SINTETICO TIPO I</t>
  </si>
  <si>
    <t>SOLDADURA ELECTRICA Tipo WESTARCO SUPER E- 6013 DE 1/8 o Similar.</t>
  </si>
  <si>
    <t>1.20.09 · CERRAMIENTO MALLA ESLABONADA C. 10 INC. ANGULO   |   Unidad: Metro cuadrado (M2)   |   Precio: $ 152.574,21</t>
  </si>
  <si>
    <t>Precio por M2. Materiales: Angulo 1*1*1/8`` (2.3 ML), Tubo Galvanizado 2`` Cerramiento (1.2 ML), Malla Eslabonada Cal 10 2``*2`` (1 M2), Pintura Anticorrosivo (0.16 gl) y 2 más. Mano de obra: Auxiliar De Obra 2 (1 hh), Oficial Obra 1 (1 hh). Equipo: Sub-Contrato Ornamentacion (0.5 hr).  Etapa de obra: 8. Acabados.</t>
  </si>
  <si>
    <t>TUBO GALVANIZADO 2`` CERRAMIENTO</t>
  </si>
  <si>
    <t>MALLA ESLABONADA CAL 10 2``*2``</t>
  </si>
  <si>
    <t>1.20.10 · SUMINISTRO E INSTALACION DE CANECA EN MALLA METALICA M-120, INCLUYE ESTRUCTURA DE APOYO Y ANCLAJE   |   Unidad: Unidad (UND)   |   Precio: $ 471.963,31</t>
  </si>
  <si>
    <t>Precio por UND. Materiales: Caneca ø50cm H=75cm En Malla Metalica M-120 (1 UND), Mortero 1:5 (0.01 M3). Mano de obra: Auxiliar De Obra 2 (1.72 hh), Oficial Obra 1 (0.86 hh).  Etapa de obra: 8. Acabados.</t>
  </si>
  <si>
    <t>CANECA Ø50CM H=75CM EN MALLA METALICA M-120</t>
  </si>
  <si>
    <t>1.20.11 · SUMINISTRO E INSTALACION TUBO AGUA NEGRA TIPO PESADO D=2"   |   Unidad: Metro lineal (ML)   |   Precio: $ 25.242,09</t>
  </si>
  <si>
    <t>Precio por ML. Materiales: Tubo Metálio Agua Negra D= 2``, C. 0,80 (1.05 ML), Anticorrosivo Phcl (0.15 gl), Acero 37000 Psi (0.6 kg), Disolvente Thiner (0.01 gl) y 2 más. Mano de obra: Auxiliar De Carpinterias 1 (0.2 hh), Oficial Carpinterias (0.2 hh). Equipo: Herrramienta Y Equipo Menor (10 %).  Etapa de obra: 8. Acabados.</t>
  </si>
  <si>
    <t>TUBO METÁLIO AGUA NEGRA D= 2``, C. 0,80</t>
  </si>
  <si>
    <t>1.20.12 · SUMINISTRO E INSTALACIÓN SEÑAL PLACA CON TEXTO EN SISTEMA BRAILLE Y/O PICTOGRAMA EN ALTO RELIEVE ACRÍLICO 30*15 CM INCLUYE TUBO METÁLICO GUÍA DE MANO A SEÑAL SEGÚN NTC 4596   |   Unidad: Unidad (UND)   |   Precio: $ 69.015,26</t>
  </si>
  <si>
    <t>Precio por UND. Materiales: Tubo Mueble Cal 1`` 1,10 Mm (0.5 ML), Señal Placa Con Texto En Sistema Braille Y/O Pictograma En Alto Relieve Acrilico 30*15 Cm (1 UND). Mano de obra: Auxiliar De Obra 2 (0.5 hh), Oficial Instalaciones (0.5 hh). Equipo: Taladro (0.4 hr), Herrramienta Y Equipo Menor (5 %).  Etapa de obra: 8. Acabados.</t>
  </si>
  <si>
    <t>SEÑAL PLACA CON TEXTO EN SISTEMA BRAILLE Y/O PICTOGRAMA EN ALTO RELIEVE ACRILICO 30*15 CM</t>
  </si>
  <si>
    <t>Capítulo 1.21 · SISTEMA TELÉFONICO</t>
  </si>
  <si>
    <t>1.21.01 · ACOM. TELÉFONOS INCRUSTADA 3 TUBO PVC   |   Unidad: Metro lineal (ML)   |   Precio: $ 64.221,30</t>
  </si>
  <si>
    <t>Precio por ML. Materiales: Tubería Conduit Pvc 3" (1 ML), Adaptador Terminal Pvc 3 (1 UND), Limpiador Rem.pvc 760 Gr. (0.01 UND), Soldadura Liquida Pvc 1/4`` (0.01 gl) y 1 más.  Etapa de obra: 6. Instalaciones.</t>
  </si>
  <si>
    <t>TUBERÍA CONDUIT PVC 3"</t>
  </si>
  <si>
    <t>ADAPTADOR TERMINAL PVC 3</t>
  </si>
  <si>
    <t>LIMPIADOR REM.PVC 760 GR.</t>
  </si>
  <si>
    <t>1.21.02 · ACOMETIDA TELÉFONOS SUSPENDIDA 3 TUBO PVC   |   Unidad: Metro lineal (ML)   |   Precio: $ 93.204,79</t>
  </si>
  <si>
    <t>Precio por ML. Materiales: Ángulo Hierro 1-1/2 X 1/4 (0.5 ML), Tubería Conduit Pvc 3" (1 ML), Arandela Galvanizada 1/2 (1 UND), Barra G-60 1/2 6m (0.6 kg) y 4 más.  Etapa de obra: 6. Instalaciones.</t>
  </si>
  <si>
    <t>ÁNGULO HIERRO 1-1/2 X 1/4</t>
  </si>
  <si>
    <t>ARANDELA GALVANIZADA 1/2</t>
  </si>
  <si>
    <t>BARRA G-60 1/2 6M</t>
  </si>
  <si>
    <t>1.21.03 · CABLE TELÉFONOS 10 PARES   |   Unidad: Metro lineal (ML)   |   Precio: $ 9.407,55</t>
  </si>
  <si>
    <t>Precio por ML. Materiales: Cable Teléfonos 10 Pares (1.05 ML), Cuadrilla Instal. Internas (0.15 hc).  Etapa de obra: 6. Instalaciones.</t>
  </si>
  <si>
    <t>1.21.04 · CABLE TELÉFONOS 2 PARES   |   Unidad: Metro lineal (ML)   |   Precio: $ 1.732,20</t>
  </si>
  <si>
    <t>Precio por ML. Materiales: Cable Teléfonos 2 Pares (1.05 ML), Cuadrilla Instal. Internas (0.03 hc).  Etapa de obra: 6. Instalaciones.</t>
  </si>
  <si>
    <t>1.21.05 · CABLE TELÉFONOS 20 PARES   |   Unidad: Metro lineal (ML)   |   Precio: $ 13.134,00</t>
  </si>
  <si>
    <t>Precio por ML. Materiales: Cable Teléfonos 20 Pares (1.05 ML), Cuadrilla Instal. Internas (0.15 hc).  Etapa de obra: 6. Instalaciones.</t>
  </si>
  <si>
    <t>1.21.06 · CABLE TELÉFONOS 40 PARES   |   Unidad: Metro lineal (ML)   |   Precio: $ 20.931,00</t>
  </si>
  <si>
    <t>Precio por ML. Materiales: Cable Teléfonos 40 Pares (1.05 ML), Cuadrilla Instal. Internas (0.18 hc).  Etapa de obra: 6. Instalaciones.</t>
  </si>
  <si>
    <t>1.21.07 · INTERCONEXIÓN ENTRE STRIP   |   Unidad: Metro lineal (ML)   |   Precio: $ 152.295,70</t>
  </si>
  <si>
    <t>Precio por ML. Materiales: Tubería Conduit Galv. Emt 1 (1 ML), Unión Conduit Galv. Emt , 1 (1 UND), Cable Teléfonos 50 Pares (1.05 ML), Adaptador Terminal Emt 1 (1 UND) y 1 más.  Etapa de obra: 6. Instalaciones.</t>
  </si>
  <si>
    <t>TUBERÍA CONDUIT GALV. EMT 1</t>
  </si>
  <si>
    <t>UNIÓN CONDUIT GALV. EMT , 1</t>
  </si>
  <si>
    <t>CABLE TELÉFONOS 50 PARES</t>
  </si>
  <si>
    <t>ADAPTADOR TERMINAL EMT 1</t>
  </si>
  <si>
    <t>1.21.08 · SALIDA TELÉFONO 2 PARES, TUBO EMT   |   Unidad: Unidad (UND)   |   Precio: $ 209.733,00</t>
  </si>
  <si>
    <t>Precio por UND. Materiales: Suplemento Caja Doble Met.galv.2400 (1 UND), Tubería Conduit Galv. Emt 1/2 (10 ML), Unión Conduit Galv. Emt , 1/2 (3 UND), Cable Teléfonos 2 Pares (6 ML) y 4 más.  Etapa de obra: 6. Instalaciones.</t>
  </si>
  <si>
    <t>CERCO ORDINARIO 3 M</t>
  </si>
  <si>
    <t>1.21.09 · SALIDA TELÉFONO 2 PARES, TUBO PVC   |   Unidad: Unidad (UND)   |   Precio: $ 145.240,59</t>
  </si>
  <si>
    <t>Precio por UND. Materiales: Suplemento Caja Doble Met.galv.2400 (1 UND), Tubería Conduit Pvc 1/2 (10 ML), Cable Teléfonos 2 Pares (6 ML), Caja Doble Met. Galv. 2400 (1 UND) y 5 más.  Etapa de obra: 6. Instalaciones.</t>
  </si>
  <si>
    <t>1.21.10 · SALIDA TELÉFONO TUBO EMT   |   Unidad: Unidad (UND)   |   Precio: $ 183.048,07</t>
  </si>
  <si>
    <t>Precio por UND. Materiales: Alambre Telefónico 2x22 Trenzado (6 ML), Toma Telef. Americana Senc. 4 Hilos Rj11-Genesis (1 UND), Tubería Conduit Galv. Emt 1/2 (10 ML), Unión Conduit Galv. Emt , 1/2 (3 UND) y 3 más.  Etapa de obra: 6. Instalaciones.</t>
  </si>
  <si>
    <t>TOMA TELEF. AMERICANA SENC. 4 HILOS RJ11-GENESIS</t>
  </si>
  <si>
    <t>CAJA GALVANIZADA 5800</t>
  </si>
  <si>
    <t>1.21.11 · SALIDA TELÉFONO, TUBO PVC   |   Unidad: Unidad (UND)   |   Precio: $ 122.132,07</t>
  </si>
  <si>
    <t>Precio por UND. Materiales: Alambre Telefónico 2x22 Trenzado (8 ML), Alambre Telefónico N 22 Estañado (8 ML), Tubería Conduit Pvc 1/2 (10 ML), Caja Galvanizada 5800 (1 UND) y 2 más.  Etapa de obra: 6. Instalaciones.</t>
  </si>
  <si>
    <t>1.21.12 · STRIP TELÉFONOS 10 PARES   |   Unidad: Unidad (UND)   |   Precio: $ 280.978,29</t>
  </si>
  <si>
    <t>Precio por UND. Materiales: Caja 30 X 30 X 10cm (1 UND), Placa De Identificación 2x1 Cm (10 UND), Regleta Strip Telefónico 10 Pares (1 UND), Soldadura Eléctrica 004kg De 3/32 (0.22 kg) y 1 más.  Etapa de obra: 6. Instalaciones.</t>
  </si>
  <si>
    <t>CAJA 30 X 30 X 10CM</t>
  </si>
  <si>
    <t>1.21.13 · STRIP TELÉFONOS 20 PARES   |   Unidad: Unidad (UND)   |   Precio: $ 332.185,29</t>
  </si>
  <si>
    <t>Precio por UND. Materiales: Caja 40 X 45 X 12cm (1 UND), Placa De Identificación 2x1 Cm (20 UND), Regleta Strip Telefónico 20 Pares (1 UND), Soldadura Eléctrica 004kg De 3/32 (0.22 kg) y 1 más.  Etapa de obra: 6. Instalaciones.</t>
  </si>
  <si>
    <t>CAJA 40 X 45 X 12CM</t>
  </si>
  <si>
    <t>REGLETA STRIP TELEFÓNICO 20 PARES</t>
  </si>
  <si>
    <t>1.21.14 · TELÉFONO - CITÓFONO ECONÓMICA   |   Unidad: Unidad (UND)   |   Precio: $ 91.810,53</t>
  </si>
  <si>
    <t>Precio por UND. Materiales: Alambre Telefónico 2x22 Trenzado (4 ML), Toma Teléfono Decora (1 UND), Tubería Conduit Pvc 1/2 (6 ML), Caja Sencilla Conduit (1 UND) y 2 más.  Etapa de obra: 6. Instalaciones.</t>
  </si>
  <si>
    <t>TOMA TELÉFONO DECORA</t>
  </si>
  <si>
    <t>1.21.15 · TOMA TELEF. A/CANA DOBLE L/NEX CLÁSICA   |   Unidad: Unidad (UND)   |   Precio: $ 10.898,20</t>
  </si>
  <si>
    <t>Precio por UND. Materiales: Toma Telef. Americana Senc. 4 Hilos Rj11-Genesis (1 UND), Cuadrilla Instal. Internas (0.12 hc).  Etapa de obra: 6. Instalaciones.</t>
  </si>
  <si>
    <t>1.21.16 · TOMA TELEF. AMERICANA L/NEX CLÁSICA   |   Unidad: Unidad (UND)   |   Precio: $ 10.358,00</t>
  </si>
  <si>
    <t>Precio por UND. Materiales: Toma Telef. Americana Senc. 4 Hilos Rj11-Genesis (1 UND), Cuadrilla Instal. Internas (0.1 hc).  Etapa de obra: 6. Instalaciones.</t>
  </si>
  <si>
    <t>Capítulo 1.22 · CABLEADO ESTRCTURADO</t>
  </si>
  <si>
    <t>35 actividades. Cada tabla lista los insumos de una actividad por unidad de obra.</t>
  </si>
  <si>
    <t>1.22.01 · BANDEJA TIPO ESCAL.30 X 80   |   Unidad: Metro lineal (ML)   |   Precio: $ 132.969,00</t>
  </si>
  <si>
    <t>Precio por ML. Materiales: Soporte Para Bandeja Portacables (1 UND), Anclaje Autoperforante 1/2 (2 UND), Bandeja Portacable Escalera (1.32 UND), Accesorio T Para Bandeja T Escalera (0.5 UND) y 1 más.  Etapa de obra: 6. Instalaciones.</t>
  </si>
  <si>
    <t>SOPORTE PARA BANDEJA PORTACABLES</t>
  </si>
  <si>
    <t>ANCLAJE AUTOPERFORANTE 1/2</t>
  </si>
  <si>
    <t>BANDEJA PORTACABLE ESCALERA</t>
  </si>
  <si>
    <t>ACCESORIO T PARA BANDEJA T ESCALERA</t>
  </si>
  <si>
    <t>1.22.02 · CABLE AWG/THW   |   Unidad: Metro lineal (ML)   |   Precio: $ 12.151,00</t>
  </si>
  <si>
    <t>Precio por ML. Materiales: Amarre De Longitud 280 Mm, Ancho 4.6mm. (1 UND), Cable Cobre Thw 10 Awg (1.15 ML), Cable Cobre Thw 12 Awg (1.15 ML), Alambre Desnudo No.10 Awg (1.15 ML) y 1 más.  Etapa de obra: 6. Instalaciones.</t>
  </si>
  <si>
    <t>AMARRE DE LONGITUD 280 MM, ANCHO 4.6MM.</t>
  </si>
  <si>
    <t>CABLE COBRE THW 10 AWG</t>
  </si>
  <si>
    <t>CABLE COBRE THW 12 AWG</t>
  </si>
  <si>
    <t>ALAMBRE DESNUDO NO.10 AWG</t>
  </si>
  <si>
    <t>1.22.03 · CABLE UTP CAT 5 TENDIDO   |   Unidad: Metro lineal (ML)   |   Precio: $ 3.554,60</t>
  </si>
  <si>
    <t>Precio por ML. Materiales: Amarre De Longitud 280 Mm, Ancho 4.6mm. (1 UND), Cable Utp Categoría 5/4 Pares Belde (1 ML), Cuadrilla Instal. Internas (0.06 hc).  Etapa de obra: 6. Instalaciones.</t>
  </si>
  <si>
    <t>CABLE UTP CATEGORÍA 5/4 PARES BELDE</t>
  </si>
  <si>
    <t>1.22.04 · CAJA INSPECCIÓN A.P. CS-274 CODENSA   |   Unidad: Unidad (UND)   |   Precio: $ 460.385,91</t>
  </si>
  <si>
    <t>Precio por UND. Materiales: Tabla Burra Ordinario 25 (4.4 ML), Concreto 1:3:5 14 Mpa (0.05 M3), Concreto 1:2:4 17.5 Mpa (0.16 M3), Cinta De Marcación Plastica (0.24 ML) y 3 más. Mano de obra: Auxiliar De Instalaciones 1 (4.8 hh), Oficial Instalaciones (4.8 hh). Transporte: Viaje Volqueta M3 (0.91 M3).  Etapa de obra: 6. Instalaciones.</t>
  </si>
  <si>
    <t>TABLA BURRA ORDINARIO 25</t>
  </si>
  <si>
    <t>CINTA DE MARCACIÓN PLASTICA</t>
  </si>
  <si>
    <t>ADAPTADOR TERMINAL CONDUIT 3"</t>
  </si>
  <si>
    <t>1.22.05 · CANALETA DLP 60 X 16 MM 3 DIVISIONES   |   Unidad: Metro lineal (ML)   |   Precio: $ 66.919,03</t>
  </si>
  <si>
    <t>Precio por ML. Materiales: Sujeta Cables (1 UND), Tee Plana Para Canaleta 60x16mm (0.2 UND), Angulo Ext. Variable Canaleta 60x16mm (1 UND), Angulo Int Variable Canaleta 60x16mm (1 UND) y 4 más. Mano de obra: Cuadrilla Instal. Internas (0.3 hc). Equipo: Taladro Percutor 2vv-R1/2 700w 0.1000/0.3000rpm (0.38 dd).  Etapa de obra: 6. Instalaciones.</t>
  </si>
  <si>
    <t>SUJETA CABLES</t>
  </si>
  <si>
    <t>TEE PLANA PARA CANALETA 60X16MM</t>
  </si>
  <si>
    <t>ANGULO EXT. VARIABLE CANALETA 60X16MM</t>
  </si>
  <si>
    <t>ANGULO INT VARIABLE CANALETA 60X16MM</t>
  </si>
  <si>
    <t>ANGULO PLANO VARIABLE</t>
  </si>
  <si>
    <t>UNIÒN CANALETA 60X16MM</t>
  </si>
  <si>
    <t>CANALETA DLP 60X16MM 3 COMPARTIMIENTOS</t>
  </si>
  <si>
    <t>CHAZO PLÁSTICO 1/4</t>
  </si>
  <si>
    <t>TALADRO PERCUTOR 2VV-R1/2 700W 0.1000/0.3000RPM</t>
  </si>
  <si>
    <t>1.22.06 · CANALETA DLP 75X20 MM 3 DIVISIONES   |   Unidad: Metro lineal (ML)   |   Precio: $ 95.007,72</t>
  </si>
  <si>
    <t>Precio por ML. Materiales: Sujeta Cables (1 UND), Tapa Final Canaleta 75x20mm (0.1 UND), Tee Plana Para Canaleta 75x20mm (0.2 UND), Angulo Ext. Variable Canaleta 75x20mm (1 UND) y 4 más. Mano de obra: Cuadrilla Instal. Internas (0.3 hc). Equipo: Taladro Percutor 2vv-R1/2 700w 0.1000/0.3000rpm (0.38 dd).  Etapa de obra: 6. Instalaciones.</t>
  </si>
  <si>
    <t>TAPA FINAL CANALETA 75X20MM</t>
  </si>
  <si>
    <t>TEE PLANA PARA CANALETA 75X20MM</t>
  </si>
  <si>
    <t>ANGULO EXT. VARIABLE CANALETA 75X20MM</t>
  </si>
  <si>
    <t>ANGULO INT. VARIABLE CANALETA 75X20MM</t>
  </si>
  <si>
    <t>UNIÓN CANALETA 75X20MM</t>
  </si>
  <si>
    <t>CANALETA DLP 75X20MM 3 COMPARTIMIENTOS</t>
  </si>
  <si>
    <t>1.22.07 · CANALETA METÁLICA 10 X 4   |   Unidad: Metro lineal (ML)   |   Precio: $ 69.052,58</t>
  </si>
  <si>
    <t>Precio por ML. Materiales: Tapa Troquelada Metálica 2 Orificios (1 UND), Tornillo Goloso 1/8x1 1/4 (6 UND), Canaleta Metálica Con División 10 (1 UND), Chazo Para Tornillo 1/8 X 1 1/4 (6 UND). Mano de obra: Taladro Percutor 2vv-R1/2 700w 0.1000/0.3000rpm (0.07 dd), Cuadrilla Instal. Internas (1 hc).  Etapa de obra: 6. Instalaciones.</t>
  </si>
  <si>
    <t>TAPA TROQUELADA METÁLICA 2 ORIFICIOS</t>
  </si>
  <si>
    <t>TORNILLO GOLOSO 1/8X1 1/4</t>
  </si>
  <si>
    <t>CANALETA METÁLICA CON DIVISIÓN 10</t>
  </si>
  <si>
    <t>CHAZO PARA TORNILLO 1/8 X 1 1/4</t>
  </si>
  <si>
    <t>1.22.08 · CANALETA PLÁSTICA 10 X 4   |   Unidad: Metro lineal (ML)   |   Precio: $ 132.036,81</t>
  </si>
  <si>
    <t>Precio por ML. Materiales: Accesorio T Para Canaleta Plástica 10x4 (0.15 UND), Canaleta Plástica Panduit 10 (1 UND), Clavo Alta Velocidad 1/4 X 2 (3 UND). Mano de obra: Auxiliar De Instalaciones 1 (0.54 hh), Oficial Instalaciones (0.54 hh).  Etapa de obra: 6. Instalaciones.</t>
  </si>
  <si>
    <t>ACCESORIO T PARA CANALETA PLÁSTICA 10X4</t>
  </si>
  <si>
    <t>CANALETA PLÁSTICA PANDUIT 10</t>
  </si>
  <si>
    <t>CLAVO ALTA VELOCIDAD 1/4 X 2</t>
  </si>
  <si>
    <t>1.22.09 · CORAZA METÁLICA 3   |   Unidad: Metro lineal (ML)   |   Precio: $ 95.602,13</t>
  </si>
  <si>
    <t>Precio por ML. Materiales: Coraza Metálica 3 (1.2 ML), Accesorio Para Coraza 3 (1 UND), Cuadrilla Instal. Internas (0.56 hc).  Etapa de obra: 6. Instalaciones.</t>
  </si>
  <si>
    <t>ACCESORIO PARA CORAZA 3</t>
  </si>
  <si>
    <t>1.22.10 · CORTACIRCUITOS ENCHU.TRIP 20A   |   Unidad: Unidad (UND)   |   Precio: $ 119.945,55</t>
  </si>
  <si>
    <t>Precio por UND. Materiales: Cortacircuitos Termomagnético Autom.trip.20a (1 UND). Mano de obra: Auxiliar Eléctrico (0.25 hh).  Etapa de obra: 6. Instalaciones.</t>
  </si>
  <si>
    <t>CORTACIRCUITOS TERMOMAGNÉTICO AUTOM.TRIP.20A</t>
  </si>
  <si>
    <t>AUXILIAR ELÉCTRICO (B)</t>
  </si>
  <si>
    <t>1.22.11 · CUARTOS DE CONTROL   |   Unidad: Unidad (UND)   |   Precio: $ 729.806,50</t>
  </si>
  <si>
    <t>Precio por UND. Materiales: Bandeja Rack C/16 Toma Ele (1 UND), Ducto Vertical 80 Para Manejo Cables (1 UND), Cuadrilla Instal. Internas (5 hc).  Etapa de obra: 6. Instalaciones.</t>
  </si>
  <si>
    <t>BANDEJA RACK C/16 TOMA ELE</t>
  </si>
  <si>
    <t>DUCTO VERTICAL 80 PARA MANEJO CABLES</t>
  </si>
  <si>
    <t>1.22.12 · DUCTO DLP 100 X 34 MM   |   Unidad: Metro lineal (ML)   |   Precio: $ 123.068,28</t>
  </si>
  <si>
    <t>Precio por ML. Materiales: Sujeta Cables (2 UND), Tabique De Separación (2 UND), Angulo Ext. Variable Ducto 100x34mm (1 UND), Angulo Interno Variable Ducto 100x34mm (1 UND) y 4 más. Mano de obra: Taladro Percutor 2vv-R1/2 700w 0.1000/0.3000rpm (0.04 dd), Cuadrilla Instal. Internas (0.35 hc).  Etapa de obra: 6. Instalaciones.</t>
  </si>
  <si>
    <t>TABIQUE DE SEPARACIÓN</t>
  </si>
  <si>
    <t>ANGULO EXT. VARIABLE DUCTO 100X34MM</t>
  </si>
  <si>
    <t>ANGULO INTERNO VARIABLE DUCTO 100X34MM</t>
  </si>
  <si>
    <t>ANGULO PLANO VARIABLE CANALETA 100X34</t>
  </si>
  <si>
    <t>UNIÓN DE DUCTO 100X34MM</t>
  </si>
  <si>
    <t>DUCTO DLP 100X34MM CON CUBIERTA</t>
  </si>
  <si>
    <t>1.22.13 · DUCTO DLP 60 X 40 MM   |   Unidad: Metro lineal (ML)   |   Precio: $ 67.886,96</t>
  </si>
  <si>
    <t>Precio por ML. Materiales: Sujeta Cables (1 UND), Tabique De Separación (1 UND), Tapa Final Ducto 60x40mm (1 UND), Angulo Ext. Variable Ducto 60x40mm (1 UND) y 5 más. Mano de obra: Cuadrilla Instal. Internas (0.35 hc). Equipo: Taladro Percutor 2vv-R1/2 700w 0.1000/0.3000rpm (0.04 dd).  Etapa de obra: 6. Instalaciones.</t>
  </si>
  <si>
    <t>TAPA FINAL DUCTO 60X40MM</t>
  </si>
  <si>
    <t>ANGULO EXT. VARIABLE DUCTO 60X40MM</t>
  </si>
  <si>
    <t>ANGULO INTE. VARIABLE DUCTO 60X40MM</t>
  </si>
  <si>
    <t>ANGULO PLANO VARIABLE DUCTO 60X40MM</t>
  </si>
  <si>
    <t>UNIÓN DE DUCTO 60X40MM</t>
  </si>
  <si>
    <t>DUCTO DLP 60X40MM CON CUBIERTA</t>
  </si>
  <si>
    <t>1.22.14 · DUCTOS VERTICALES 30 X 8   |   Unidad: Metro lineal (ML)   |   Precio: $ 131.525,76</t>
  </si>
  <si>
    <t>Precio por ML. Materiales: Soporte Para Bandeja Portacables (1 UND), Anclaje Autoperforante 1/2 (4 UND), Ducto Metálico Sin División 30x8 (1 UND). Mano de obra: Taladro Percutor 2vv-R1/2 700w 0.1000/0.3000rpm (0.07 dd), Cuadrilla Instal. Internas (0.56 hc).  Etapa de obra: 6. Instalaciones.</t>
  </si>
  <si>
    <t>DUCTO METÁLICO SIN DIVISIÓN 30X8</t>
  </si>
  <si>
    <t>1.22.15 · GABINETE RACK CERRADO   |   Unidad: Unidad (UND)   |   Precio: $ 950.826,31</t>
  </si>
  <si>
    <t>Precio por UND. Materiales: Anclaje Chazo Expansivo 1/2x2 (4 UND), Bandeja Rack C/16 Toma Ele (1 UND), Ducto Vertical 80 Para Manejo Cables (1 UND), Gabinete Pared 19 5 Rms (1 UND) y 1 más.  Etapa de obra: 6. Instalaciones.</t>
  </si>
  <si>
    <t>ANCLAJE CHAZO EXPANSIVO 1/2X2</t>
  </si>
  <si>
    <t>GABINETE PARED 19 5 RMS</t>
  </si>
  <si>
    <t>1.22.16 · LINE CORD 1 M   |   Unidad: Unidad (UND)   |   Precio: $ 19.015,20</t>
  </si>
  <si>
    <t>Precio por UND. Materiales: Line Cord Cat 5 24 Awg (1.05 UND), Cuadrilla Instal. Internas (0.03 hc).  Etapa de obra: 6. Instalaciones.</t>
  </si>
  <si>
    <t>LINE CORD CAT 5 24 AWG</t>
  </si>
  <si>
    <t>1.22.17 · MARCO PLANO 6 MODULOS   |   Unidad: Unidad (UND)   |   Precio: $ 252.059,00</t>
  </si>
  <si>
    <t>Precio por UND. Materiales: Marco Plano Capacidad 6 Módulos (1 UND), Cuadrilla Instal. Internas (0.3 hc).  Etapa de obra: 6. Instalaciones.</t>
  </si>
  <si>
    <t>MARCO PLANO CAPACIDAD 6 MÓDULOS</t>
  </si>
  <si>
    <t>1.22.18 · MARCO+BASE+ACOPLE 3 MÓDULOS SALIDA   |   Unidad: Unidad (UND)   |   Precio: $ 460.966,00</t>
  </si>
  <si>
    <t>Precio por UND. Materiales: Base Marco Para Tres Modulos (1 UND), Empalme Para Base Marco Tres Modulos (1 UND), Cuadrilla Instal. Internas (0.3 hc).  Etapa de obra: 6. Instalaciones.</t>
  </si>
  <si>
    <t>BASE MARCO PARA TRES MODULOS</t>
  </si>
  <si>
    <t>EMPALME PARA BASE MARCO TRES MODULOS</t>
  </si>
  <si>
    <t>1.22.19 · MÓDULO BOTÓN CIEGO   |   Unidad: Unidad (UND)   |   Precio: $ 4.814,00</t>
  </si>
  <si>
    <t>Precio por UND. Materiales: Módulo Boton Ciego Vela (1 UND), Cuadrilla Instal. Internas (0.1 hc).  Etapa de obra: 6. Instalaciones.</t>
  </si>
  <si>
    <t>MÓDULO BOTON CIEGO VELA</t>
  </si>
  <si>
    <t>1.22.20 · MÓDULO INTERRUPTOR SENCILLO LUZ PILOTO   |   Unidad: Unidad (UND)   |   Precio: $ 23.775,33</t>
  </si>
  <si>
    <t>Precio por UND. Materiales: Módulo Int. Semc. Luz Piloto Vela (1 UND), Cuadrilla Instal. Internas (0.1 hc).  Etapa de obra: 6. Instalaciones.</t>
  </si>
  <si>
    <t>MÓDULO INT. SEMC. LUZ PILOTO VELA</t>
  </si>
  <si>
    <t>1.22.21 · MÓDULO PULSADOR CON LUZ PILOTO   |   Unidad: Unidad (UND)   |   Precio: $ 7.347,00</t>
  </si>
  <si>
    <t>Precio por UND. Materiales: Pulsador Sencillo Para Timbre (1 UND), Cuadrilla Instal. Internas (0.1 hc).  Etapa de obra: 6. Instalaciones.</t>
  </si>
  <si>
    <t>1.22.22 · MÓDULO TOMA CON INDICADOR DE P.T AISLADO   |   Unidad: Unidad (UND)   |   Precio: $ 13.524,00</t>
  </si>
  <si>
    <t>Precio por UND. Materiales: Módulo Toma Pt Ind. Aisl. Kr-3bgx (1 UND), Cuadrilla Instal. Internas (0.1 hc).  Etapa de obra: 6. Instalaciones.</t>
  </si>
  <si>
    <t>MÓDULO TOMA PT IND. AISL. KR-3BGX</t>
  </si>
  <si>
    <t>1.22.23 · MÓDULO TOMA PATA TRABADA   |   Unidad: Unidad (UND)   |   Precio: $ 9.528,00</t>
  </si>
  <si>
    <t>Precio por UND. Materiales: Módulo Toma Pata Trabada (1 UND), Cuadrilla Instal. Internas (0.1 hc).  Etapa de obra: 6. Instalaciones.</t>
  </si>
  <si>
    <t>1.22.24 · MÓDULO TOMA TELEF. AMERICANA 4 HILOS   |   Unidad: Unidad (UND)   |   Precio: $ 19.783,67</t>
  </si>
  <si>
    <t>Precio por UND. Materiales: Módulo Toma Telef. Americana (1 UND), Cuadrilla Instal. Internas (0.1 hc).  Etapa de obra: 6. Instalaciones.</t>
  </si>
  <si>
    <t>MÓDULO TOMA TELEF. AMERICANA</t>
  </si>
  <si>
    <t>1.22.25 · MÓDULO TOMA TELEF. COLOMBIANA 2 HILOS   |   Unidad: Unidad (UND)   |   Precio: $ 19.785,33</t>
  </si>
  <si>
    <t>Precio por UND. Materiales: Salida Telefónica Americana Rj11, 4 Hilos (1 UND), Cuadrilla Instal. Internas (0.1 hc).  Etapa de obra: 6. Instalaciones.</t>
  </si>
  <si>
    <t>SALIDA TELEFÓNICA AMERICANA RJ11, 4 HILOS</t>
  </si>
  <si>
    <t>1.22.26 · MÓDULO TOMACORRIENTE CON POLO A TIERRA   |   Unidad: Unidad (UND)   |   Precio: $ 14.921,00</t>
  </si>
  <si>
    <t>Precio por UND. Materiales: Módulo Tomacorriente Sencillo (1 UND), Cuadrilla Instal. Internas (0.1 hc).  Etapa de obra: 6. Instalaciones.</t>
  </si>
  <si>
    <t>MÓDULO TOMACORRIENTE SENCILLO</t>
  </si>
  <si>
    <t>1.22.27 · PATCH CORD 2 M   |   Unidad: Metro lineal (ML)   |   Precio: $ 18.528,00</t>
  </si>
  <si>
    <t>Precio por ML. Materiales: Patch Cord Cat5 24 (1.3 UND), Cuadrilla Instal. Internas (0.03 hc).  Etapa de obra: 6. Instalaciones.</t>
  </si>
  <si>
    <t>PATCH CORD CAT5 24</t>
  </si>
  <si>
    <t>1.22.28 · PATCH PANEL 24 PUERTOS   |   Unidad: Unidad (UND)   |   Precio: $ 543.296,00</t>
  </si>
  <si>
    <t>Precio por UND. Materiales: Patch Panel 24 Puertos Cat 5e Amp (1 UND), Cuadrilla Instal. Internas (6 hc).  Etapa de obra: 6. Instalaciones.</t>
  </si>
  <si>
    <t>PATCH PANEL 24 PUERTOS CAT 5E AMP</t>
  </si>
  <si>
    <t>1.22.29 · PROTECTOR DE ESTADO SÓLIDO   |   Unidad: Unidad (UND)   |   Precio: $ 22.875,30</t>
  </si>
  <si>
    <t>Precio por UND. Materiales: Relé Estado Solido 4 Canales (1 UND), Cuadrilla Instal. Internas (0.03 hc).  Etapa de obra: 6. Instalaciones.</t>
  </si>
  <si>
    <t>RELÉ ESTADO SOLIDO 4 CANALES</t>
  </si>
  <si>
    <t>1.22.30 · RACK ABIERTO   |   Unidad: Unidad (UND)   |   Precio: $ 1.095.380,65</t>
  </si>
  <si>
    <t>Precio por UND. Materiales: Anclaje Chazo Expansivo 1/2x2 (4 UND), Bandeja Rack C/16 Toma Ele (1 UND), Ducto Vertical 80 Para Manejo Cables (1 UND), Rack 19xh 1.10 Aluminio (1 UND) y 1 más.  Etapa de obra: 6. Instalaciones.</t>
  </si>
  <si>
    <t>RACK 19XH 1.10 ALUMINIO</t>
  </si>
  <si>
    <t>1.22.31 · SALIDA DE DATOS Y VOZ   |   Unidad: Unidad (UND)   |   Precio: $ 40.874,80</t>
  </si>
  <si>
    <t>Precio por UND. Materiales: Toma Jack Rj45-110 Cat. 5e Amp (1 UND), Wall Plate Ajuste Sencillo (1 UND), Placa De Identificación 2x1 Cm (1 UND), Cuadrilla Instal. Internas (0.53 hc).  Etapa de obra: 6. Instalaciones.</t>
  </si>
  <si>
    <t>1.22.32 · SALIDA ELÉCTRICA CORRIENTE REGULADA   |   Unidad: Unidad (UND)   |   Precio: $ 29.514,77</t>
  </si>
  <si>
    <t>Precio por UND. Materiales: Toma Corriente De Polo Aislado (1 UND), Placa De Identificación 2x1 Cm (1 UND). Mano de obra: Auxiliar De Instalaciones 1 (0.63 hh), Oficial Instalaciones (0.63 hh).  Etapa de obra: 6. Instalaciones.</t>
  </si>
  <si>
    <t>1.22.33 · PATCH CORD 5 M Cat 6A   |   Unidad: Metro lineal (ML)   |   Precio: $ 88.611,96</t>
  </si>
  <si>
    <t>Precio por ML. Materiales: Patch Cord 5m Categoria 6a (1.25 UND), Cuadrilla Instal. Internas (0.03 hc).  Etapa de obra: 6. Instalaciones.</t>
  </si>
  <si>
    <t>PATCH CORD 5M CATEGORIA 6A</t>
  </si>
  <si>
    <t>1.22.34 · CABLE UTP CAT 6A TENDIDO   |   Unidad: Metro lineal (ML)   |   Precio: $ 4.323,47</t>
  </si>
  <si>
    <t>Precio por ML. Materiales: Amarre De Longitud 280 Mm, Ancho 4.6mm. (1 UND), Cable Utp Categoría 6a (1 ML), Cuadrilla Instal. Internas (0.06 hc).  Etapa de obra: 6. Instalaciones.</t>
  </si>
  <si>
    <t>CABLE UTP CATEGORÍA 6A</t>
  </si>
  <si>
    <t>1.22.35 · PATCH PANEL 48 PUERTOS   |   Unidad: Unidad (UND)   |   Precio: $ 1.287.988,67</t>
  </si>
  <si>
    <t>Precio por UND. Materiales: Patch Panel 48 Puertos Cat 6a (1 UND), Cuadrilla Instal. Internas (6 hc).  Etapa de obra: 6. Instalaciones.</t>
  </si>
  <si>
    <t>PATCH PANEL 48 PUERTOS CAT 6A</t>
  </si>
  <si>
    <t>Capítulo 1.23 · FACHADAS Y REVESTIMIENTOS</t>
  </si>
  <si>
    <t>1 actividades. Cada tabla lista los insumos de una actividad por unidad de obra.</t>
  </si>
  <si>
    <t>1.23.01 · CORTASOL CELOSCREEN PERFORADO PASO 120   |   Unidad: Metro lineal (ML)   |   Precio: $ 101.793,27</t>
  </si>
  <si>
    <t>Precio por ML. Materiales: Tornillo Autoperforante (6 UND), Panel Celoscreen Alz.perforado (1 ML), Portapanel Celoscreen Paso 120 (0.4 ML), Mano De Obra Bb (0.3 hc).  Etapa de obra: 9. Exteriores.</t>
  </si>
  <si>
    <t>PANEL CELOSCREEN ALZ.PERFORADO</t>
  </si>
  <si>
    <t>PORTAPANEL CELOSCREEN PASO 120</t>
  </si>
  <si>
    <t>Capítulo 2.01 · TUBERIA PVC - ACUEDUCTO</t>
  </si>
  <si>
    <t>53 actividades. Cada tabla lista los insumos de una actividad por unidad de obra.</t>
  </si>
  <si>
    <t>2.01.01 · BOMBEO AGUAS NIVEL FREATICO Y ESCORRENTIA CON MOTOBOMBA D=3"   |   Unidad: Hora (hr)   |   Precio: $ 9.776,59</t>
  </si>
  <si>
    <t>Precio por hr. Mano de obra: Auxiliar De Obra 2 (0.02 hh). Equipo: Motobomba 3`` (1 hr).  Etapa de obra: 2. Excavaciones.</t>
  </si>
  <si>
    <t>MOTOBOMBA 3``</t>
  </si>
  <si>
    <t>2.01.02 · ENTIBADOS EN MADERA TIPO 1 PARA EXCAVACIONES 1 A 7 USOS   |   Unidad: Metro cuadrado (M2)   |   Precio: $ 33.242,33</t>
  </si>
  <si>
    <t>Precio por M2. Materiales: Viga Ordinario 0.2 X 0.1 X 0.4 (0.14 UND), Madera Rolliza D=0.15 M (0.04 ML), Planchón Ordinario 3 M (1 ML), Puntilla Con Y Sin Cabeza 2 (0.04 lb). Mano de obra: Auxiliar De Obra 2 (0.3 hh), Oficial Obra 1 (0.3 hh). Equipo: Herrramienta Y Equipo Menor (5 %).  Etapa de obra: 2. Excavaciones.</t>
  </si>
  <si>
    <t>VIGA ORDINARIO 0.2 X 0.1 X 0.4</t>
  </si>
  <si>
    <t>MADERA ROLLIZA D=0.15 M</t>
  </si>
  <si>
    <t>2.01.03 · ENTIBADOS EN MADERA TIPO 2 PARA EXCAVACIONES 1 A 7 USOS   |   Unidad: Metro cuadrado (M2)   |   Precio: $ 58.828,84</t>
  </si>
  <si>
    <t>Precio por M2. Materiales: Viga Ordinario 0.2 X 0.1 X 0.4 (0.14 UND), Madera Rolliza D=0.15 M (0.09 ML), Planchón Ordinario 3 M (1.65 ML), Puntilla Con Y Sin Cabeza 2 (0.09 lb). Mano de obra: Auxiliar De Obra 2 (0.73 hh), Oficial Obra 1 (0.73 hh). Equipo: Herrramienta Y Equipo Menor (5 %).  Etapa de obra: 2. Excavaciones.</t>
  </si>
  <si>
    <t>2.01.04 · LOCALIZACION Y REPLANTEO LOTES Y ESTRUCTURAS DE ACUEDUCTO ( CARTERAS Y PLANOS)   |   Unidad: Metro cuadrado (M2)   |   Precio: $ 6.308,88</t>
  </si>
  <si>
    <t>Precio por M2. Materiales: Madera Durmiente Ord 4*4 (0.26 ML), Puntilla Con Y Sin Cabeza 1 (0.04 lb). Mano de obra: Auxiliar De Obra 2 (0.1 hh), Comision Topografica (0.06 hh), Oficial Obra 1 (0.1 hh). Equipo: Herrramienta Y Equipo Menor (1.6 %).  Etapa de obra: 1. Preliminares.</t>
  </si>
  <si>
    <t>2.01.05 · LOCALIZACION Y REPLANTEO PARA RED DE ACUEDUCTO (INCLUYE CARTERAS Y PLANOS)   |   Unidad: Metro lineal (ML)   |   Precio: $ 800,60</t>
  </si>
  <si>
    <t>Precio por ML. Materiales: Madera Durmiente Ord 4*4 (0.15 ML), Pintura Esmalte Sintetico Tipo I (0.01 gl), Puntilla Con Y Sin Cabeza 1 (0.02 lb). Mano de obra: Comision Topografica (0 hh). Equipo: Herrramienta Y Equipo Menor (10 %).  Etapa de obra: 1. Preliminares.</t>
  </si>
  <si>
    <t>2.01.06 · RELLENO ARENA DE PEÑA COMPACTADO CON PLANCHA VIBRADORA   |   Unidad: Metro cúbico (M3)   |   Precio: $ 114.144,14</t>
  </si>
  <si>
    <t>Precio por M3. Materiales: Arena De Peña (1.3 M3). Mano de obra: Auxiliar De Obra 2 (0.7 hh), Oficial Obra 1 (0.35 hh). Equipo: Irrigador (0.05 hr), Vibrocompactador Rana (0.13 dd), Herrramienta Y Equipo Menor (5 %).  Etapa de obra: 6. Instalaciones.</t>
  </si>
  <si>
    <t>IRRIGADOR</t>
  </si>
  <si>
    <t>2.01.07 · RELLENO ARENA DE RIO COMPACTADO CON PLANCHA VIBRADORA   |   Unidad: Metro cúbico (M3)   |   Precio: $ 140.961,93</t>
  </si>
  <si>
    <t>Precio por M3. Materiales: Arena Lavada De Río (1.1 M3). Mano de obra: Auxiliar De Obra 2 (0.7 hh), Oficial Obra 1 (0.35 hh). Equipo: Vibrocompactador Rana (0.04 dd), Herrramienta Y Equipo Menor (5 %).  Etapa de obra: 6. Instalaciones.</t>
  </si>
  <si>
    <t>2.01.08 · RELLENO BASE GRANULAR COMPACTADO CON PLANCHA VIBRADORA   |   Unidad: Metro cúbico (M3)   |   Precio: $ 98.606,72</t>
  </si>
  <si>
    <t>Precio por M3. Materiales: Material De Base Granular (1.3 M3). Mano de obra: Auxiliar De Obra 2 (0.5 hh), Oficial Obra 1 (0.5 hh). Equipo: Carrotanque (0.07 hr), Vibrocompactador Rana (0.5 hr), Herrramienta Y Equipo Menor (5 %).  Etapa de obra: 6. Instalaciones.</t>
  </si>
  <si>
    <t>MATERIAL DE BASE GRANULAR (Invías)</t>
  </si>
  <si>
    <t>2.01.09 · RELLENO CON MATERIAL SELECCIONADO PROVENIENTE DE EXCAVACIÓN COMPACTADO CON PLANCHA VIBRADORA   |   Unidad: Metro cúbico (M3)   |   Precio: $ 27.067,35</t>
  </si>
  <si>
    <t>Precio por M3. Mano de obra: Auxiliar De Obra 1 (0.2 jr), Oficial Obra 2 (0.07 jr). Equipo: Plaqueta Vibratoria (0.07 hr), Herrramienta Y Equipo Menor (1.5 %).  Etapa de obra: 2. Excavaciones.</t>
  </si>
  <si>
    <t>PLAQUETA VIBRATORIA</t>
  </si>
  <si>
    <t>2.01.10 · RELLENO GRAVILLA COMPACTADO CON PLANCHA VIBRADORA   |   Unidad: Metro cúbico (M3)   |   Precio: $ 129.592,46</t>
  </si>
  <si>
    <t>Precio por M3. Materiales: Gravilla De Trituradora (1.2 M3). Mano de obra: Auxiliar De Obra 2 (0.6 hh), Oficial Obra 1 (0.6 hh). Equipo: Vibrocompactador Rana (0.32 hr), Herrramienta Y Equipo Menor (5 %).  Etapa de obra: 6. Instalaciones.</t>
  </si>
  <si>
    <t>2.01.11 · RELLENO SUBBASE GRANULAR COMPACTADO CON PLANCHA VIBRADORA   |   Unidad: Metro cúbico (M3)   |   Precio: $ 79.455,30</t>
  </si>
  <si>
    <t>Precio por M3. Materiales: Material De Sub-Base Granular No. 4 Sbg-4 (1.3 M3). Mano de obra: Auxiliar De Obra 2 (0.5 hh), Oficial Obra 1 (0.5 hh). Equipo: Carrotanque (0.03 hr), Motoniveladora Potencia Minima 120 Hp Y Max 215 Hp (0.03 hr), Vibrocompactador Rana (0.5 hr), Herrramienta Y Equipo Menor (5 %).  Etapa de obra: 6. Instalaciones.</t>
  </si>
  <si>
    <t>MATERIAL DE SUB-BASE GRANULAR No. 4 SBG-4</t>
  </si>
  <si>
    <t>2.01.12 · SUMINISTRO E INSTALACIÓN DE TUBERÍA BIAXIAL D=3" RDE 46 PR 160 PSI   |   Unidad: Metro lineal (ML)   |   Precio: $ 27.667,97</t>
  </si>
  <si>
    <t>Precio por ML. Materiales: Tubería Pvc Presion Biaxial 3`` Rde- 46 Pr 160 Psi Union Platino (1.05 ML), Lubricante Tub Pvc/500gr (0.03 UND). Mano de obra: Auxiliar De Instalaciones 1 (0.25 hh), Oficial Instalaciones (0.25 hh). Equipo: Herrramienta Y Equipo Menor (3.5 %).  Etapa de obra: 6. Instalaciones.</t>
  </si>
  <si>
    <t>TUBERÍA PVC PRESION BIAXIAL 3`` RDE- 46 PR 160 PSI UNION PLATINO</t>
  </si>
  <si>
    <t>LUBRICANTE TUB PVC/500GR</t>
  </si>
  <si>
    <t>2.01.13 · SUMINISTRO E INSTALACIÓN DE TUBERÍA BIAXIAL D=4" RDE 46 PR 160 PSI   |   Unidad: Metro lineal (ML)   |   Precio: $ 39.673,67</t>
  </si>
  <si>
    <t>Precio por ML. Materiales: Tubería Pvc Presion Biaxial 4`` Rde- 46 Pr 160 Psi Union Platino (1.05 ML), Lubricante Tub Pvc/500gr (0.03 UND). Mano de obra: Auxiliar De Instalaciones 1 (0.25 hh), Oficial Instalaciones (0.25 hh). Equipo: Herrramienta Y Equipo Menor (3.5 %).  Etapa de obra: 6. Instalaciones.</t>
  </si>
  <si>
    <t>TUBERÍA PVC PRESION BIAXIAL 4`` RDE- 46 PR 160 PSI UNION PLATINO</t>
  </si>
  <si>
    <t>2.01.14 · SUMINISTRO E INSTALACIÓN DE TUBERÍA BIAXIAL D=6" RDE 46 PR 160 PSI   |   Unidad: Metro lineal (ML)   |   Precio: $ 78.008,12</t>
  </si>
  <si>
    <t>Precio por ML. Materiales: Tubería Pvc Presion Biaxial 6`` Rde- 46 Pr 160 Psi Union Platino (1.05 ML), Lubricante Tub Pvc/500gr (0.03 UND). Mano de obra: Auxiliar De Instalaciones 1 (0.25 hh), Oficial Instalaciones (0.25 hh). Equipo: Herrramienta Y Equipo Menor (3.5 %).  Etapa de obra: 6. Instalaciones.</t>
  </si>
  <si>
    <t>TUBERÍA PVC PRESION BIAXIAL 6`` RDE- 46 PR 160 PSI UNION PLATINO</t>
  </si>
  <si>
    <t>2.01.15 · SUMINISTRO E INSTALACIÓN TUBERÍA PVC D = 3/4" RDE 21 E.L   |   Unidad: Metro lineal (ML)   |   Precio: $ 6.376,62</t>
  </si>
  <si>
    <t>Precio por ML. Materiales: Union Pvc 3/4`` (1 UND), Tubería Pvc 3/4" Rde 21 (1.05 ML), Limpiador 1/4 Pvc (0 gl), Soldadura Liquida Pvc 1/4`` (0 gl). Mano de obra: Auxiliar De Obra 1 (0.01 jr), Oficial Obra 2 (0.01 jr). Equipo: Herrramienta Y Equipo Menor (3.5 %).  Etapa de obra: 6. Instalaciones.</t>
  </si>
  <si>
    <t>TUBERÍA PVC 3/4" RDE 21</t>
  </si>
  <si>
    <t>2.01.16 · SUMINISTRO E INSTALACIÓN TUBERÍA PVC PRESIÓN D = ½" RDE 13.5   |   Unidad: Metro lineal (ML)   |   Precio: $ 3.939,15</t>
  </si>
  <si>
    <t>Precio por ML. Materiales: Union De 1/2`` (1 UND), Tubería Pvc 1/2" Rde 13.5 (1.05 ML), Limpiador 1/4 Pvc (0 gl), Soldadura Liquida Pvc 1/4`` (0 gl). Mano de obra: Auxiliar De Obra 1 (0 jr), Oficial Obra 2 (0 jr). Equipo: Herrramienta Y Equipo Menor (3.5 %).  Etapa de obra: 6. Instalaciones.</t>
  </si>
  <si>
    <t>UNION DE 1/2``</t>
  </si>
  <si>
    <t>TUBERÍA PVC 1/2" RDE 13.5</t>
  </si>
  <si>
    <t>2.01.17 · SUMINISTRO E INSTALACIÓN TUBERÍA PVC PRESIÓN D = ½" RDE 9   |   Unidad: Metro lineal (ML)   |   Precio: $ 5.246,14</t>
  </si>
  <si>
    <t>Precio por ML. Materiales: Tubería Pvc-P 1/2`` Rde9 (1.05 ML), Union De 1/2`` (1 UND), Limpiador 1/4 Pvc (0 gl), Soldadura Liquida Pvc 1/4`` (0 gl). Mano de obra: Auxiliar De Obra 1 (0 jr), Oficial Obra 2 (0 jr). Equipo: Herrramienta Y Equipo Menor (3.5 %).  Etapa de obra: 6. Instalaciones.</t>
  </si>
  <si>
    <t>2.01.18 · SUMINISTRO E INSTALACIÓN TUBERÍA PVC PRESIÓN D = 1 1/2" RDE 21 E.L   |   Unidad: Metro lineal (ML)   |   Precio: $ 17.064,34</t>
  </si>
  <si>
    <t>Precio por ML. Materiales: Union Pvc 1 1/2`` (1 UND), Tubería Pvc 1 1/2" Rde 21 (1.05 ML), Limpiador 1/4 Pvc (0.01 gl), Soldadura Liquida Pvc 1/4`` (0.01 gl). Mano de obra: Auxiliar De Obra 1 (0.02 jr), Oficial Obra 2 (0.02 jr). Equipo: Herrramienta Y Equipo Menor (3.5 %).  Etapa de obra: 6. Instalaciones.</t>
  </si>
  <si>
    <t>UNION PVC 1 1/2``</t>
  </si>
  <si>
    <t>TUBERÍA PVC 1 1/2" RDE 21</t>
  </si>
  <si>
    <t>2.01.19 · SUMINISTRO E INSTALACIÓN TUBERÍA PVC PRESIÓN D = 1 1/4" RDE 21 E.L   |   Unidad: Metro lineal (ML)   |   Precio: $ 13.583,38</t>
  </si>
  <si>
    <t>Precio por ML. Materiales: Union Pvc 1 1/4`` (1 UND), Tubería Pvc 1 1/4" Rde 21 (1 ML), Limpiador 1/4 Pvc (0.01 gl), Soldadura Liquida Pvc 1/4`` (0.01 gl). Mano de obra: Auxiliar De Obra 1 (0.02 jr), Oficial Obra 2 (0.02 jr). Equipo: Herrramienta Y Equipo Menor (3.5 %).  Etapa de obra: 6. Instalaciones.</t>
  </si>
  <si>
    <t>UNION PVC 1 1/4``</t>
  </si>
  <si>
    <t>TUBERÍA PVC 1 1/4" RDE 21</t>
  </si>
  <si>
    <t>2.01.20 · SUMINISTRO E INSTALACIÓN TUBERÍA PVC PRESIÓN D = 1" RDE 13.5   |   Unidad: Metro lineal (ML)   |   Precio: $ 10.580,63</t>
  </si>
  <si>
    <t>Precio por ML. Materiales: Tubería Pvc 1`` Rde13.5 (1 ML), Union Pvc 1`` (1 UND), Limpiador 1/4 Pvc (0 gl), Soldadura Liquida Pvc 1/4`` (0 gl). Mano de obra: Auxiliar De Obra 1 (0.01 jr), Oficial Obra 2 (0.01 jr). Equipo: Herrramienta Y Equipo Menor (3.5 %).  Etapa de obra: 6. Instalaciones.</t>
  </si>
  <si>
    <t>2.01.21 · SUMINISTRO E INSTALACIÓN TUBERÍA PVC PRESIÓN D = 1" RDE 21 E.L   |   Unidad: Metro lineal (ML)   |   Precio: $ 12.021,25</t>
  </si>
  <si>
    <t>Precio por ML. Materiales: Tubería Pvc-P 1`` Rde 21 (1 ML), Tubería Pavco Rde 21 De 1" (1 ML), Limpiador 1/4 Pvc (0 gl), Soldadura Liquida Pvc 1/4`` (0 gl). Mano de obra: Auxiliar De Obra 1 (0.01 jr), Oficial Obra 2 (0.01 jr). Equipo: Herrramienta Y Equipo Menor (3.5 %).  Etapa de obra: 6. Instalaciones.</t>
  </si>
  <si>
    <t>TUBERÍA PVC-P 1`` RDE 21</t>
  </si>
  <si>
    <t>TUBERÍA PAVCO RDE 21 DE 1"</t>
  </si>
  <si>
    <t>2.01.22 · SUMINISTRO E INSTALACIÓN TUBERÍA PVC PRESIÓN D = 2" RDE 21 E.L   |   Unidad: Metro lineal (ML)   |   Precio: $ 24.083,36</t>
  </si>
  <si>
    <t>Precio por ML. Materiales: Tubería Pvc-P 2`` Rde21 (1 ML), Union Pvc 2`` (1 UND), Limpiador 1/4 Pvc (0.01 gl), Soldadura Liquida Pvc 1/4`` (0.01 gl). Mano de obra: Auxiliar De Obra 1 (0.02 jr), Oficial Obra 2 (0.02 jr). Equipo: Herrramienta Y Equipo Menor (3.5 %).  Etapa de obra: 6. Instalaciones.</t>
  </si>
  <si>
    <t>2.01.23 · SUMINISTRO E INSTALACIÓN TUBERÍA PVC PRESIÓN D = 3/4" RDE 11   |   Unidad: Metro lineal (ML)   |   Precio: $ 7.323,97</t>
  </si>
  <si>
    <t>Precio por ML. Materiales: Tubería Pvc-P 3/4`` Rde11 (1 ML), Union Pvc 3/4`` (0.17 UND), Limpiador 1/4 Pvc (0 gl), Soldadura Liquida Pvc 1/4`` (0 gl). Mano de obra: Auxiliar De Obra 2 (0.08 hh), Oficial Obra 1 (0.08 hh). Equipo: Herrramienta Y Equipo Menor (3.5 %).  Etapa de obra: 6. Instalaciones.</t>
  </si>
  <si>
    <t>2.01.24 · SUMINISTRO E INSTALACIÓN TUBERÍA PVC. D = 10" RDE 21 UNIÓN MECANICA   |   Unidad: Metro lineal (ML)   |   Precio: $ 231.573,58</t>
  </si>
  <si>
    <t>Precio por ML. Materiales: Tubería Pvc 10" Rde 21 Union Platino (1.05 ML), Lubricante Tub Pvc/500gr (0.01 UND). Mano de obra: Auxiliar De Obra 1 (0.03 jr), Oficial Obra 2 (0.03 jr). Equipo: Herrramienta Y Equipo Menor (3.5 %).  Etapa de obra: 6. Instalaciones.</t>
  </si>
  <si>
    <t>TUBERÍA PVC 10" RDE 21 UNION PLATINO</t>
  </si>
  <si>
    <t>2.01.25 · SUMINISTRO E INSTALACIÓN TUBERÍA PVC. D = 10" RDE 26 UNIÓN MECANICA   |   Unidad: Metro lineal (ML)   |   Precio: $ 194.742,37</t>
  </si>
  <si>
    <t>Precio por ML. Materiales: Tubería Pvc 10" Rde 26 Union Platino (1.05 ML), Lubricante Tub Pvc/500gr (0.01 UND). Mano de obra: Auxiliar De Obra 1 (0.03 jr), Oficial Obra 2 (0.03 jr). Equipo: Herrramienta Y Equipo Menor (3.5 %).  Etapa de obra: 6. Instalaciones.</t>
  </si>
  <si>
    <t>TUBERÍA PVC 10" RDE 26 UNION PLATINO</t>
  </si>
  <si>
    <t>2.01.26 · SUMINISTRO E INSTALACIÓN TUBERÍA PVC. D = 2 1/2" RDE 26 UNIÓN MECANICA   |   Unidad: Metro lineal (ML)   |   Precio: $ 14.981,34</t>
  </si>
  <si>
    <t>Precio por ML. Materiales: Tubería Pvc 2 1/2" Rde 26 Union Platino (1.05 ML), Lubricante Tub Pvc/500gr (0.01 UND). Mano de obra: Auxiliar De Obra 1 (0.01 jr), Oficial Obra 2 (0.01 jr). Equipo: Herrramienta Y Equipo Menor (3.5 %).  Etapa de obra: 6. Instalaciones.</t>
  </si>
  <si>
    <t>TUBERÍA PVC 2 1/2" RDE 26 UNION PLATINO</t>
  </si>
  <si>
    <t>2.01.27 · SUMINISTRO E INSTALACIÓN TUBERÍA PVC. D = 2" RDE 26 UNIÓN MECANICA   |   Unidad: Metro lineal (ML)   |   Precio: $ 10.462,07</t>
  </si>
  <si>
    <t>Precio por ML. Materiales: Tubería Pvc 2" Rde 26 Union Platino (1.05 ML), Lubricante Tub Pvc/500gr (0 UND). Mano de obra: Auxiliar De Obra 1 (0.01 jr), Oficial Obra 2 (0.01 jr). Equipo: Herrramienta Y Equipo Menor (3.5 %).  Etapa de obra: 6. Instalaciones.</t>
  </si>
  <si>
    <t>TUBERÍA PVC 2" RDE 26 UNION PLATINO</t>
  </si>
  <si>
    <t>2.01.28 · SUMINISTRO E INSTALACIÓN TUBERÍA PVC. D = 2½" RDE 21 UNIÓN MECANICA   |   Unidad: Metro lineal (ML)   |   Precio: $ 17.728,79</t>
  </si>
  <si>
    <t>Precio por ML. Materiales: Tubería Pvc 2 1/2" Rde 21 Union Platino (1 ML), Limpiador 1/4 Pvc (0.01 gl), Soldadura Liquida Pvc 1/4`` (0.01 gl). Mano de obra: Auxiliar De Obra 1 (0.01 jr), Oficial Obra 2 (0.01 jr). Equipo: Herrramienta Y Equipo Menor (3.5 %).  Etapa de obra: 6. Instalaciones.</t>
  </si>
  <si>
    <t>TUBERÍA PVC 2 1/2" RDE 21 UNION PLATINO</t>
  </si>
  <si>
    <t>2.01.29 · SUMINISTRO E INSTALACIÓN TUBERÍA PVC. D = 3" RDE 21 UNIÓN MECANICA   |   Unidad: Metro lineal (ML)   |   Precio: $ 42.770,42</t>
  </si>
  <si>
    <t>Precio por ML. Materiales: Tubería Presion 3`` Rde- 21 Union Platino (1.05 ML), Limpiador 1/4 Pvc (0.17 gl), Soldadura Liquida Pvc 1/4`` (0.17 gl). Mano de obra: Auxiliar De Obra 1 (0.01 jr), Oficial Obra 2 (0.01 jr). Equipo: Herrramienta Y Equipo Menor (3.5 %).  Etapa de obra: 6. Instalaciones.</t>
  </si>
  <si>
    <t>TUBERÍA PRESION 3`` RDE- 21 UNION PLATINO</t>
  </si>
  <si>
    <t>2.01.30 · SUMINISTRO E INSTALACIÓN TUBERÍA PVC. D = 3" RDE 26 UNIÓN MECANICA   |   Unidad: Metro lineal (ML)   |   Precio: $ 20.900,90</t>
  </si>
  <si>
    <t>Precio por ML. Materiales: Tubería Pvc 3" Rde 26 Union Platino (1.05 ML), Lubricante Tub Pvc/500gr (0 UND). Mano de obra: Auxiliar De Obra 1 (0.01 jr), Oficial Obra 2 (0.01 jr). Equipo: Herrramienta Y Equipo Menor (3.5 %).  Etapa de obra: 6. Instalaciones.</t>
  </si>
  <si>
    <t>TUBERÍA PVC 3" RDE 26 UNION PLATINO</t>
  </si>
  <si>
    <t>2.01.31 · SUMINISTRO E INSTALACIÓN TUBERÍA PVC. D = 3" RDE 32.5 UNIÓN MECANICA   |   Unidad: Metro lineal (ML)   |   Precio: $ 17.491,55</t>
  </si>
  <si>
    <t>Precio por ML. Materiales: Tubería Pvc 3" Rde 32.5 Union Platino (1.05 ML), Lubricante Tub Pvc/500gr (0 UND). Mano de obra: Auxiliar De Obra 1 (0.01 jr), Oficial Obra 2 (0.01 jr). Equipo: Herrramienta Y Equipo Menor (3.5 %).  Etapa de obra: 6. Instalaciones.</t>
  </si>
  <si>
    <t>TUBERÍA PVC 3" RDE 32.5 UNION PLATINO</t>
  </si>
  <si>
    <t>2.01.32 · SUMINISTRO E INSTALACIÓN TUBERÍA PVC. D = 4" RDE 21 UNIÓN MECANICA   |   Unidad: Metro lineal (ML)   |   Precio: $ 40.104,28</t>
  </si>
  <si>
    <t>Precio por ML. Materiales: Tubería Presion 4`` Rde- 21 Union Platino (1.05 ML), Lubricante Tub Pvc/500gr (0 UND). Mano de obra: Auxiliar De Obra 1 (0.01 jr), Oficial Obra 2 (0.01 jr). Equipo: Herrramienta Y Equipo Menor (3.5 %).  Etapa de obra: 6. Instalaciones.</t>
  </si>
  <si>
    <t>TUBERÍA PRESION 4`` RDE- 21 UNION PLATINO</t>
  </si>
  <si>
    <t>2.01.33 · SUMINISTRO E INSTALACIÓN TUBERÍA PVC. D = 4" RDE 26 UNIÓN MECANICA   |   Unidad: Metro lineal (ML)   |   Precio: $ 33.690,88</t>
  </si>
  <si>
    <t>Precio por ML. Materiales: Tubería Pvc 4" Rde 26 Union Platino (1.05 ML), Lubricante Tub Pvc/500gr (0 UND). Mano de obra: Auxiliar De Obra 1 (0.01 jr), Oficial Obra 2 (0.01 jr). Equipo: Herrramienta Y Equipo Menor (3.5 %).  Etapa de obra: 6. Instalaciones.</t>
  </si>
  <si>
    <t>TUBERÍA PVC 4" RDE 26 UNION PLATINO</t>
  </si>
  <si>
    <t>2.01.34 · SUMINISTRO E INSTALACIÓN TUBERÍA PVC. D = 4" RDE 32.5 UNIÓN MECANICA   |   Unidad: Metro lineal (ML)   |   Precio: $ 26.758,63</t>
  </si>
  <si>
    <t>Precio por ML. Materiales: Tubería Pvc 4" Rde 32.5 Union Platino (1 ML), Lubricante Tub Pvc/500gr (0 UND). Mano de obra: Auxiliar De Obra 1 (0.01 jr), Oficial Obra 2 (0.01 jr). Equipo: Herrramienta Y Equipo Menor (3.5 %).  Etapa de obra: 6. Instalaciones.</t>
  </si>
  <si>
    <t>TUBERÍA PVC 4" RDE 32.5 UNION PLATINO</t>
  </si>
  <si>
    <t>2.01.35 · SUMINISTRO E INSTALACIÓN TUBERÍA PVC. D = 6" RDE 21 UNIÓN MECANICA   |   Unidad: Metro lineal (ML)   |   Precio: $ 88.180,94</t>
  </si>
  <si>
    <t>Precio por ML. Materiales: Tubería Presion 6`` Rde- 21 Union Platino (1.05 ML), Lubricante Tub Pvc/500gr (0 UND). Mano de obra: Auxiliar De Obra 1 (0.02 jr), Oficial Obra 2 (0.02 jr). Equipo: Herrramienta Y Equipo Menor (3.5 %).  Etapa de obra: 6. Instalaciones.</t>
  </si>
  <si>
    <t>TUBERÍA PRESION 6`` RDE- 21 UNION PLATINO</t>
  </si>
  <si>
    <t>2.01.36 · SUMINISTRO E INSTALACIÓN TUBERÍA PVC. D = 6" RDE 26 UNIÓN MECANICA   |   Unidad: Metro lineal (ML)   |   Precio: $ 72.849,89</t>
  </si>
  <si>
    <t>Precio por ML. Materiales: Tubería Pvc 6" Rde 26 Union Platino (1.05 ML), Lubricante Tub Pvc/500gr (0 UND). Mano de obra: Auxiliar De Obra 1 (0.02 jr), Oficial Obra 2 (0.02 jr). Equipo: Herrramienta Y Equipo Menor (3.5 %).  Etapa de obra: 6. Instalaciones.</t>
  </si>
  <si>
    <t>TUBERÍA PVC 6" RDE 26 UNION PLATINO</t>
  </si>
  <si>
    <t>2.01.37 · SUMINISTRO E INSTALACIÓN TUBERÍA PVC. D = 6" RDE 32.5 UNIÓN MECANICA   |   Unidad: Metro lineal (ML)   |   Precio: $ 60.068,24</t>
  </si>
  <si>
    <t>Precio por ML. Materiales: Tubería Pvc 6" Rde 32.5 Union Platino (1.05 ML), Lubricante Tub Pvc/500gr (0 UND), Tubería Pvc 8" Rde 21 Union Platino (1.05 ML), Lubricante Tub Pvc/500gr (0.01 UND). Mano de obra: Auxiliar De Obra 1 (0.02 jr), Oficial Obra 2 (0.02 jr). Equipo: Herrramienta Y Equipo Menor (3.5 %).  Etapa de obra: 6. Instalaciones.</t>
  </si>
  <si>
    <t>TUBERÍA PVC 6" RDE 32.5 UNION PLATINO</t>
  </si>
  <si>
    <t>TUBERÍA PVC 8" RDE 21 UNION PLATINO</t>
  </si>
  <si>
    <t>2.01.39 · SUMINISTRO E INSTALACIÓN TUBERÍA PVC. D = 8" RDE 26 UNIÓN MECANICA   |   Unidad: Metro lineal (ML)   |   Precio: $ 121.542,41</t>
  </si>
  <si>
    <t>Precio por ML. Materiales: Tubería Pvc 8" Rde 26 Union Platino (1.05 ML), Lubricante Tub Pvc/500gr (0.01 UND). Mano de obra: Auxiliar De Obra 1 (0.02 jr), Oficial Obra 2 (0.02 jr). Equipo: Herrramienta Y Equipo Menor (3.5 %).  Etapa de obra: 6. Instalaciones.</t>
  </si>
  <si>
    <t>TUBERÍA PVC 8" RDE 26 UNION PLATINO</t>
  </si>
  <si>
    <t>2.01.40 · SUMINISTRO E INSTALACIÓN TUBERÍA PVC. D = 8" RDE 32.5 UNIÓN MECANICA   |   Unidad: Metro lineal (ML)   |   Precio: $ 99.829,46</t>
  </si>
  <si>
    <t>Precio por ML. Materiales: Tubería Pvc 8" Rde 32.5 Union Platino (1.05 ML), Lubricante Tub Pvc/500gr (0.01 UND). Mano de obra: Auxiliar De Obra 1 (0.02 jr), Oficial Obra 2 (0.02 jr). Equipo: Herrramienta Y Equipo Menor (3.5 %).  Etapa de obra: 6. Instalaciones.</t>
  </si>
  <si>
    <t>TUBERÍA PVC 8" RDE 32.5 UNION PLATINO</t>
  </si>
  <si>
    <t>2.01.41 · SUMINISTRO E INSTALACION TUBERIA PVC D=12" RDE 21 UNION MECANICA   |   Unidad: Metro lineal (ML)   |   Precio: $ 318.941,27</t>
  </si>
  <si>
    <t>Precio por ML. Materiales: Tubería Presion 12`` Rde- 21 Union Platino (1.05 ML), Lubricante Tub Pvc/500gr (0.01 UND). Mano de obra: Auxiliar De Instalaciones 1 (0.22 hh), Oficial Instalaciones (0.02 hh). Equipo: Herrramienta Y Equipo Menor (3.5 %).  Etapa de obra: 6. Instalaciones.</t>
  </si>
  <si>
    <t>TUBERÍA PRESION 12`` RDE- 21 UNION PLATINO</t>
  </si>
  <si>
    <t>2.01.42 · SUMINISTRO E INSTALACION TUBERIA PVC D=16" RDE 21 UNION MECANICA   |   Unidad: Metro lineal (ML)   |   Precio: $ 520.969,32</t>
  </si>
  <si>
    <t>Precio por ML. Materiales: Tubería Presion 16`` Rde- 21 Union Platino (1.05 ML), Lubricante Tub Pvc/500gr (0.02 UND). Mano de obra: Auxiliar De Instalaciones 1 (0.22 hh), Oficial Instalaciones (0.22 hh). Equipo: Herrramienta Y Equipo Menor (3.5 %).  Etapa de obra: 6. Instalaciones.</t>
  </si>
  <si>
    <t>TUBERÍA PRESION 16`` RDE- 21 UNION PLATINO</t>
  </si>
  <si>
    <t>2.01.43 · SUMINISTRO E INSTALACION TUBERIA PVC D=2" RDE 21 UNION MECANICA   |   Unidad: Metro lineal (ML)   |   Precio: $ 16.369,26</t>
  </si>
  <si>
    <t>Precio por ML. Materiales: Tubería Presion 2`` Rde- 21 Union Platino (1.05 ML), Lubricante Tub Pvc/500gr (0.03 UND). Mano de obra: Auxiliar De Instalaciones 1 (0.18 hh), Oficial Instalaciones (0.18 hh). Equipo: Herrramienta Y Equipo Menor (3.5 %).  Etapa de obra: 6. Instalaciones.</t>
  </si>
  <si>
    <t>TUBERÍA PRESION 2`` RDE- 21 UNION PLATINO</t>
  </si>
  <si>
    <t>2.01.44 · SUMINISTRO E INSTALACION TUBERIA PVC D=3" RDE 11 UNION MECANICA   |   Unidad: Metro lineal (ML)   |   Precio: $ 62.547,10</t>
  </si>
  <si>
    <t>Precio por ML. Materiales: Tubería Presion 3`` Rde- 11 Union Platino (1.05 ML), Lubricante Tub Pvc/500gr (0 UND). Mano de obra: Auxiliar De Instalaciones 1 (0.05 hh), Oficial Instalaciones (0.05 hh). Equipo: Herrramienta Y Equipo Menor (3.5 %).  Etapa de obra: 6. Instalaciones.</t>
  </si>
  <si>
    <t>TUBERÍA PRESION 3`` RDE- 11 UNION PLATINO</t>
  </si>
  <si>
    <t>2.01.45 · SUMINISTRO E INSTALACION TUBERIA PVC D=3" RDE 13.5 UNION MECANICA   |   Unidad: Metro lineal (ML)   |   Precio: $ 45.202,69</t>
  </si>
  <si>
    <t>Precio por ML. Materiales: Tubería Presion 3`` Rde- 13.5 Union Platino (1.05 ML), Lubricante Tub Pvc/500gr (0 UND). Mano de obra: Auxiliar De Instalaciones 1 (0.05 hh), Oficial Obra 1 (0.05 hh). Equipo: Herrramienta Y Equipo Menor (3.5 %).  Etapa de obra: 6. Instalaciones.</t>
  </si>
  <si>
    <t>TUBERÍA PRESION 3`` RDE- 13.5 UNION PLATINO</t>
  </si>
  <si>
    <t>2.01.46 · SUMINISTRO E INSTALACION TUBERIA PVC D=3" RDE 9 UNION MECANICA   |   Unidad: Metro lineal (ML)   |   Precio: $ 30.840,50</t>
  </si>
  <si>
    <t>Precio por ML. Materiales: Tubería Presion 3`` Rde- 21 Union Platino (1.05 ML), Limpiador 1/4 Pvc (0.02 gl), Soldadura Liquida Pvc 1/4`` (0.02 gl). Mano de obra: Auxiliar De Instalaciones 1 (0.2 hh), Oficial Instalaciones (0.2 hh). Equipo: Herrramienta Y Equipo Menor (3.5 %).  Etapa de obra: 6. Instalaciones.</t>
  </si>
  <si>
    <t>2.01.47 · SUMINISTRO E INSTALACION TUBERIA PVC D=4" RDE 11 UNION MECANICA   |   Unidad: Metro lineal (ML)   |   Precio: $ 101.380,23</t>
  </si>
  <si>
    <t>Precio por ML. Materiales: Tubería Presion 4`` Rde- 11 Union Platino (1.05 ML), Lubricante Tub Pvc/500gr (0 UND). Mano de obra: Auxiliar De Instalaciones 1 (0.05 hh), Oficial Instalaciones (0.05 hh). Equipo: Herrramienta Y Equipo Menor (3.5 %).  Etapa de obra: 6. Instalaciones.</t>
  </si>
  <si>
    <t>TUBERÍA PRESION 4`` RDE- 11 UNION PLATINO</t>
  </si>
  <si>
    <t>2.01.48 · SUMINISTRO E INSTALACION TUBERIA PVC D=4" RDE 13.5 UNION MECANICA   |   Unidad: Metro lineal (ML)   |   Precio: $ 71.613,78</t>
  </si>
  <si>
    <t>Precio por ML. Materiales: Tubería Presion 4`` Rde- 13.5 Union Platino (1.05 ML), Lubricante Tub Pvc/500gr (0 UND). Mano de obra: Auxiliar De Instalaciones 1 (0.05 hh), Oficial Instalaciones (0.05 hh). Equipo: Herrramienta Y Equipo Menor (3.5 %).  Etapa de obra: 6. Instalaciones.</t>
  </si>
  <si>
    <t>TUBERÍA PRESION 4`` RDE- 13.5 UNION PLATINO</t>
  </si>
  <si>
    <t>2.01.49 · SUMINISTRO E INSTALACION TUBERIA PVC D=4" RDE 9 UNION MECANICA   |   Unidad: Metro lineal (ML)   |   Precio: $ 62.361,18</t>
  </si>
  <si>
    <t>Precio por ML. Materiales: Tubería Presion 4`` Rde- 21 Union Platino (1.05 ML), Limpiador 1/4 Pvc (0.03 gl), Soldadura Liquida Pvc 1/4`` (0.03 gl). Mano de obra: Auxiliar De Instalaciones 1 (0.75 hh), Oficial Instalaciones (0.75 hh). Equipo: Herrramienta Y Equipo Menor (3.5 %).  Etapa de obra: 6. Instalaciones.</t>
  </si>
  <si>
    <t>2.01.50 · SUMINISTRO E INSTALACION TUBERIA PVC D=6" RDE 11 UNION MECANICA   |   Unidad: Metro lineal (ML)   |   Precio: $ 225.603,68</t>
  </si>
  <si>
    <t>Precio por ML. Materiales: Tubería Presion 6`` Rde- 11 Union Platino (1.05 ML), Lubricante Tub Pvc/500gr (0 UND). Mano de obra: Auxiliar De Instalaciones 1 (0.13 hh), Oficial Instalaciones (0.13 hh). Equipo: Herrramienta Y Equipo Menor (3.5 %).  Etapa de obra: 6. Instalaciones.</t>
  </si>
  <si>
    <t>TUBERÍA PRESION 6`` RDE- 11 UNION PLATINO</t>
  </si>
  <si>
    <t>2.01.51 · SUMINISTRO E INSTALACION TUBERIA PVC D=6" RDE 13.5 UNION MECANICA   |   Unidad: Metro lineal (ML)   |   Precio: $ 173.889,08</t>
  </si>
  <si>
    <t>Precio por ML. Materiales: Tubería Presion 6`` Rde- 13.5 Union Platino (1.05 ML), Lubricante Tub Pvc/500gr (0 UND). Mano de obra: Auxiliar De Instalaciones 1 (0.13 hh), Oficial Instalaciones (0.13 hh). Equipo: Herrramienta Y Equipo Menor (3.5 %).  Etapa de obra: 6. Instalaciones.</t>
  </si>
  <si>
    <t>TUBERÍA PRESION 6`` RDE- 13.5 UNION PLATINO</t>
  </si>
  <si>
    <t>2.01.52 · SUMINISTRO E INSTALACION TUBERIA PVC D=6" RDE 9 UNION MECANICA   |   Unidad: Metro lineal (ML)   |   Precio: $ 264.971,33</t>
  </si>
  <si>
    <t>Precio por ML. Materiales: Tubería Presion 6`` Rde- 9 Union Platino (1.05 ML), Lubricante Tub Pvc/500gr (0 UND). Mano de obra: Auxiliar De Instalaciones 1 (0.13 hh), Oficial Instalaciones (0.13 hh). Equipo: Herrramienta Y Equipo Menor (3.5 %).  Etapa de obra: 6. Instalaciones.</t>
  </si>
  <si>
    <t>TUBERÍA PRESION 6`` RDE- 9 UNION PLATINO</t>
  </si>
  <si>
    <t>2.01.53 · SUMINISTRO E INSTALACION TUBERIA PVC D=8" RDE 11 UNION MECANICA   |   Unidad: Metro lineal (ML)   |   Precio: $ 367.885,84</t>
  </si>
  <si>
    <t>Precio por ML. Materiales: Tubería Presion 8`` Rde- 11 Union Platino (1.05 ML), Lubricante Tub Pvc/500gr (0.01 UND). Mano de obra: Auxiliar De Instalaciones 1 (0.13 hh), Oficial Instalaciones (0.13 hh). Equipo: Herrramienta Y Equipo Menor (3.5 %).  Etapa de obra: 6. Instalaciones.</t>
  </si>
  <si>
    <t>TUBERÍA PRESION 8`` RDE- 11 UNION PLATINO</t>
  </si>
  <si>
    <t>2.01.54 · SUMINISTRO E INSTALACION TUBERIA PVC D=8" RDE 13.5 UNION MECANICA   |   Unidad: Metro lineal (ML)   |   Precio: $ 292.113,65</t>
  </si>
  <si>
    <t>Precio por ML. Materiales: Tubería Presion 8`` Rde- 13.5 Union Platino (1.05 ML), Lubricante Tub Pvc/500gr (0.01 UND). Mano de obra: Auxiliar De Instalaciones 1 (0.13 hh), Oficial Instalaciones (0.13 hh). Equipo: Herrramienta Y Equipo Menor (3.5 %).  Etapa de obra: 6. Instalaciones.</t>
  </si>
  <si>
    <t>TUBERÍA PRESION 8`` RDE- 13.5 UNION PLATINO</t>
  </si>
  <si>
    <t>Capítulo 2.02 · TUBERÍA POLIETILENO PE 100 -</t>
  </si>
  <si>
    <t>10 actividades. Cada tabla lista los insumos de una actividad por unidad de obra.</t>
  </si>
  <si>
    <t>2.02.01 · SUMINISTRO E INSTALACIÓN TUBERÍA PN 10 DIAMETRO 110 mm   |   Unidad: Metro lineal (ML)   |   Precio: $ 46.850,10</t>
  </si>
  <si>
    <t>Precio por ML. Materiales: Tubería Polietileno Pe 100 Pn 10 Rde 17 Diametro 110 Mm (1.05 ML). Mano de obra: Auxiliar De Instalaciones 1 (0.3 hh), Oficial Instalaciones (0.3 hh). Equipo: Termofucionador Tuberia Polivinilica (0 dd), Herrramienta Y Equipo Menor (5 %).  Etapa de obra: 6. Instalaciones.</t>
  </si>
  <si>
    <t>TUBERÍA POLIETILENO PE 100 PN 10 RDE 17 DIAMETRO 110 mm (4``)</t>
  </si>
  <si>
    <t>TERMOFUCIONADOR TUBERIA POLIVINILICA</t>
  </si>
  <si>
    <t>2.02.02 · SUMINISTRO E INSTALACIÓN TUBERÍA PN 10 DIAMETRO 160 mm   |   Unidad: Metro lineal (ML)   |   Precio: $ 90.483,57</t>
  </si>
  <si>
    <t>Precio por ML. Materiales: Tubería Polietileno Pe 100 Pn 10 Rde 17 Diametro 160 Mm (1.05 ML). Mano de obra: Auxiliar De Instalaciones 1 (0.38 hh), Oficial Instalaciones (0.38 hh). Equipo: Termofucionador Tuberia Polivinilica (0.01 dd), Herrramienta Y Equipo Menor (5 %).  Etapa de obra: 6. Instalaciones.</t>
  </si>
  <si>
    <t>TUBERÍA POLIETILENO PE 100 PN 10 RDE 17 DIAMETRO 160 mm (6``)</t>
  </si>
  <si>
    <t>2.02.03 · SUMINISTRO E INSTALACIÓN TUBERÍA PN 10 DIAMETRO 200 mm   |   Unidad: Metro lineal (ML)   |   Precio: $ 139.890,66</t>
  </si>
  <si>
    <t>Precio por ML. Materiales: Tubería Polietileno Pe 100 Pn 10 Rde 17 Diametro 200 Mm (1.05 ML). Mano de obra: Auxiliar De Instalaciones 1 (0.6 hh), Oficial Instalaciones (0.6 hh). Equipo: Termofucionador Tuberia Polivinilica (0.01 dd), Herrramienta Y Equipo Menor (5 %).  Etapa de obra: 6. Instalaciones.</t>
  </si>
  <si>
    <t>TUBERÍA POLIETILENO PE 100 PN 10 RDE 17 DIAMETRO 200 mm (8``)</t>
  </si>
  <si>
    <t>2.02.04 · SUMINISTRO E INSTALACIÓN TUBERÍA PN 10 DIAMETRO 63 mm   |   Unidad: Metro lineal (ML)   |   Precio: $ 19.364,14</t>
  </si>
  <si>
    <t>Precio por ML. Materiales: Tubería Polietileno Pe 100 Pn 10 Rde 17 Diametro 63 Mm (1.05 ML). Mano de obra: Auxiliar De Instalaciones 1 (0.2 hh), Oficial Instalaciones (0.2 hh). Equipo: Termofucionador Tuberia Polivinilica (0 dd), Herrramienta Y Equipo Menor (5 %).  Etapa de obra: 6. Instalaciones.</t>
  </si>
  <si>
    <t>TUBERÍA POLIETILENO PE 100 PN 10 RDE 17 DIAMETRO 63 mm (2 1/2``)</t>
  </si>
  <si>
    <t>2.02.05 · SUMINISTRO E INSTALACIÓN TUBERÍA PN 10 DIAMETRO 90 mm   |   Unidad: Metro lineal (ML)   |   Precio: $ 32.156,32</t>
  </si>
  <si>
    <t>Precio por ML. Materiales: Tubería Polietileno Pe 100 Pn 10 Rde 17 Diametro 90 Mm (1.05 ML). Mano de obra: Auxiliar De Instalaciones 1 (0.2 hh), Oficial Instalaciones (0.2 hh). Equipo: Termofucionador Tuberia Polivinilica (0 dd), Herrramienta Y Equipo Menor (5 %).  Etapa de obra: 6. Instalaciones.</t>
  </si>
  <si>
    <t>TUBERÍA POLIETILENO PE 100 PN 10 RDE 17 DIAMETRO 90 mm (3``)</t>
  </si>
  <si>
    <t>2.02.06 · SUMINISTRO E INSTALACIÓN TUBERÍA PN 16 DIAMETRO 110 mm   |   Unidad: Metro lineal (ML)   |   Precio: $ 61.175,31</t>
  </si>
  <si>
    <t>Precio por ML. Materiales: Tubería Polietileno Pe 100 Pn 16 Rde 11 Diametro 110 Mm (1.05 ML). Mano de obra: Auxiliar De Instalaciones 1 (0.35 hh), Oficial Instalaciones (0.3 hh). Equipo: Termofucionador Tuberia Polivinilica (0 dd), Herrramienta Y Equipo Menor (5 %).  Etapa de obra: 6. Instalaciones.</t>
  </si>
  <si>
    <t>TUBERÍA POLIETILENO PE 100 PN 16 RDE 11 DIAMETRO 110 mm (4``)</t>
  </si>
  <si>
    <t>2.02.07 · SUMINISTRO E INSTALACIÓN TUBERÍA PN 16 DIAMETRO 160 mm   |   Unidad: Metro lineal (ML)   |   Precio: $ 128.190,12</t>
  </si>
  <si>
    <t>Precio por ML. Materiales: Tubería Polietileno Pe 100 Pn 16 Rde 11 Diametro 160 Mm (1.05 ML). Mano de obra: Auxiliar De Instalaciones 1 (0.38 hh), Oficial Instalaciones (0.38 hh). Equipo: Termofucionador Tuberia Polivinilica (0.01 dd), Herrramienta Y Equipo Menor (5 %).  Etapa de obra: 6. Instalaciones.</t>
  </si>
  <si>
    <t>TUBERÍA POLIETILENO PE 100 PN 16 RDE 11 DIAMETRO 160 mm (6``)</t>
  </si>
  <si>
    <t>2.02.08 · SUMINISTRO E INSTALACIÓN TUBERÍA PN 16 DIAMETRO 200 mm   |   Unidad: Metro lineal (ML)   |   Precio: $ 204.193,71</t>
  </si>
  <si>
    <t>Precio por ML. Materiales: Tubería Polietileno Pe 100 Pn 16 Rde 11 Diametro 200 Mm (1.05 ML). Mano de obra: Auxiliar De Instalaciones 1 (0.6 hh), Oficial Instalaciones (0.6 hh). Equipo: Termofucionador Tuberia Polivinilica (0.01 dd), Herrramienta Y Equipo Menor (5 %).  Etapa de obra: 6. Instalaciones.</t>
  </si>
  <si>
    <t>TUBERÍA POLIETILENO PE 100 PN 16 RDE 11 DIAMETRO 200 mm (8``)</t>
  </si>
  <si>
    <t>2.02.09 · SUMINISTRO E INSTALACIÓN TUBERÍA PN 16 DIAMETRO 63 mm   |   Unidad: Metro lineal (ML)   |   Precio: $ 25.086,64</t>
  </si>
  <si>
    <t>Precio por ML. Materiales: Tubería Polietileno Pe 100 Pn 16 Rde 11 Diametro 63 Mm (1.05 ML). Mano de obra: Auxiliar De Instalaciones 1 (0.2 hh), Oficial Instalaciones (0.2 hh). Equipo: Termofucionador Tuberia Polivinilica (0 dd), Herrramienta Y Equipo Menor (5 %).  Etapa de obra: 6. Instalaciones.</t>
  </si>
  <si>
    <t>TUBERÍA POLIETILENO PE 100 PN 16 RDE 11 DIAMETRO 63 mm (2 1/2``)</t>
  </si>
  <si>
    <t>2.02.10 · SUMINISTRO E INSTALACIÓN TUBERÍA PN 16 DIAMETRO 90 mm   |   Unidad: Metro lineal (ML)   |   Precio: $ 40.881,82</t>
  </si>
  <si>
    <t>Precio por ML. Materiales: Tubería Polietileno Pe 100 Pn 16 Rde 11 Diametro 90 Mm (1.05 ML). Mano de obra: Auxiliar De Instalaciones 1 (0.2 hh), Oficial Instalaciones (0.2 hh). Equipo: Termofucionador Tuberia Polivinilica (0 dd), Herrramienta Y Equipo Menor (5 %).  Etapa de obra: 6. Instalaciones.</t>
  </si>
  <si>
    <t>TUBERÍA POLIETILENO PE 100 PN 16 RDE 11 DIAMETRO 90 mm (3``)</t>
  </si>
  <si>
    <t>Capítulo 2.03 · TUBERIA HG- ACUEDUCTO</t>
  </si>
  <si>
    <t>2.03.01 · SUMINISTRO E INSTALACIÓN DE TUBERÍA H.G. D=1 1/2"   |   Unidad: Metro lineal (ML)   |   Precio: $ 39.515,16</t>
  </si>
  <si>
    <t>Precio por ML. Materiales: Tubería H.g. 1½`` (1.05 ML), Unión H.g. 1½`` (0.17 UND). Mano de obra: Auxiliar De Instalaciones 1 (0.32 hh), Oficial Instalaciones (0.32 hh). Equipo: Herrramienta Y Equipo Menor (5 %).  Etapa de obra: 6. Instalaciones.</t>
  </si>
  <si>
    <t>TUBERÍA H.G. 1½``</t>
  </si>
  <si>
    <t>UNIÓN H.G. 1½``</t>
  </si>
  <si>
    <t>2.03.02 · SUMINISTRO E INSTALACIÓN DE TUBERÍA H.G. D=2 1/2"   |   Unidad: Metro lineal (ML)   |   Precio: $ 95.351,76</t>
  </si>
  <si>
    <t>Precio por ML. Materiales: Tubería H.g. 2½`` (1.05 ML), Unión H.g. 2½`` (0.17 UND). Mano de obra: Auxiliar De Instalaciones 1 (0.72 hh), Oficial Instalaciones (0.72 hh). Equipo: Herrramienta Y Equipo Menor (5 %).  Etapa de obra: 6. Instalaciones.</t>
  </si>
  <si>
    <t>TUBERÍA H.G. 2½``</t>
  </si>
  <si>
    <t>UNIÓN H.G. 2½``</t>
  </si>
  <si>
    <t>2.03.03 · SUMNSTRO E INSTALACIÓN DE TUBERÍA H.G. D=2"   |   Unidad: Metro lineal (ML)   |   Precio: $ 54.011,17</t>
  </si>
  <si>
    <t>Precio por ML. Materiales: Tubería H.g. 2`` (1.05 ML), Unión H.g. 2`` (0.17 UND). Mano de obra: Auxiliar De Instalaciones 1 (0.7 hh), Oficial Instalaciones (0.7 hh). Equipo: Herrramienta Y Equipo Menor (5 %).  Etapa de obra: 6. Instalaciones.</t>
  </si>
  <si>
    <t>TUBERÍA H.G. 2``</t>
  </si>
  <si>
    <t>UNIÓN H.G. 2``</t>
  </si>
  <si>
    <t>2.03.04 · SUMINISTRO E INSTALACIÓN DE TUBERÍA H.G. D=3"   |   Unidad: Metro lineal (ML)   |   Precio: $ 85.680,99</t>
  </si>
  <si>
    <t>Precio por ML. Materiales: Tubería H.g. 3`` (1.05 ML), Unión H.g. 3`` (0.17 UND). Mano de obra: Auxiliar De Instalaciones 1 (0.8 hh), Oficial Instalaciones (0.8 hh). Equipo: Herrramienta Y Equipo Menor (5 %).  Etapa de obra: 6. Instalaciones.</t>
  </si>
  <si>
    <t>TUBERÍA H.G. 3``</t>
  </si>
  <si>
    <t>UNIÓN H.G. 3``</t>
  </si>
  <si>
    <t>2.03.05 · SUMINISTRO E INSTALACIÓN DE TUBERÍA H.G. D=4"   |   Unidad: Metro lineal (ML)   |   Precio: $ 99.040,64</t>
  </si>
  <si>
    <t>Precio por ML. Materiales: Tubería H.g. 4`` (1.05 ML), Unión H.g. 4`` (0.17 UND). Mano de obra: Auxiliar De Instalaciones 1 (1 hh), Oficial Instalaciones (1 hh). Equipo: Herrramienta Y Equipo Menor (5 %).  Etapa de obra: 6. Instalaciones.</t>
  </si>
  <si>
    <t>TUBERÍA H.G. 4``</t>
  </si>
  <si>
    <t>UNIÓN H.G. 4``</t>
  </si>
  <si>
    <t>2.03.06 · SUMINISTRO E INSTALACIÓN DE TUBERÍA H.G. D=6"   |   Unidad: Metro lineal (ML)   |   Precio: $ 600.827,38</t>
  </si>
  <si>
    <t>Precio por ML. Materiales: Tubería H.g. 6`` (1.05 ML), Unión H.g. 6`` (0.17 UND). Mano de obra: Auxiliar De Instalaciones 1 (0.75 hh), Oficial Instalaciones (0.75 hh). Equipo: Herrramienta Y Equipo Menor (5 %).  Etapa de obra: 6. Instalaciones.</t>
  </si>
  <si>
    <t>TUBERÍA H.G. 6``</t>
  </si>
  <si>
    <t>UNIÓN H.G. 6``</t>
  </si>
  <si>
    <t>Capítulo 2.04 · ACCESORIOS- ACUEDUCTO</t>
  </si>
  <si>
    <t>97 actividades. Cada tabla lista los insumos de una actividad por unidad de obra.</t>
  </si>
  <si>
    <t>2.04.01 · ARENA PARA LECHO FILTRANTE (CANTO RODADO, % SILICE &gt;99, CE = (0.7 - 0.9), % SOLUBILIDAD HCI &lt; 4%, COEFICIENTE UNIF. = (2 - 3.5)).   |   Unidad: Unidad (UND)   |   Precio: $ 597.572,40</t>
  </si>
  <si>
    <t>Precio por UND. Materiales: Arena Para Lecho Filtrante , % Solubilidad Hcl £ 4%, Coeficiente Unif. = (1.05 M3). Mano de obra: Auxiliar De Obra 1 (0.3 jr), Oficial Obra 2 (0.1 jr). Equipo: Herrramienta Y Equipo Menor (3.5 %).  Etapa de obra: 6. Instalaciones.</t>
  </si>
  <si>
    <t>ARENA PARA LECHO FILTRANTE (ARENA DE SILICE, %SILICE &gt; 99, CE= (0.7 - 0.9), % SOLUBILIDAD HCL £ 4%, COEFICIENTE UNIF. = (2 - 3.5)</t>
  </si>
  <si>
    <t>2.04.02 · CODO PVC DE 90° PRESIÓN SOLDAR DIÁMETRO 1/2"   |   Unidad: Unidad (UND)   |   Precio: $ 1.167,89</t>
  </si>
  <si>
    <t>Precio por UND. Materiales: Codo 90° Presión 1/2" (1 UND), Limpiador 1/4 Pvc (0 gl), Soldadura Liquida Pvc 1/4`` (0 gl). Mano de obra: Auxiliar De Instalaciones 1 (0.01 hh), Oficial Instalaciones (0.01 hh). Equipo: Herrramienta Y Equipo Menor (3.5 %).  Etapa de obra: 6. Instalaciones.</t>
  </si>
  <si>
    <t>2.04.03 · CODO PVC DE 90° PRESIÓN SOLDAR DIÁMETRO 3/4"   |   Unidad: Unidad (UND)   |   Precio: $ 1.323,29</t>
  </si>
  <si>
    <t>Precio por UND. Materiales: Codo 90° Presión 3/4" (1 UND), Limpiador 1/4 Pvc (0 gl), Soldadura Liquida Pvc 1/4`` (0 gl). Mano de obra: Auxiliar De Instalaciones 1 (0.01 hh), Oficial Instalaciones (0.01 hh). Equipo: Herrramienta Y Equipo Menor (3.5 %).  Etapa de obra: 6. Instalaciones.</t>
  </si>
  <si>
    <t>2.04.04 · CODO PVC GRAN RADIO 11 1/4° RDE 21 D=10"   |   Unidad: Unidad (UND)   |   Precio: $ 753.947,96</t>
  </si>
  <si>
    <t>Precio por UND. Materiales: Codo Pvc Gran Radio 11 1/4° Rde 21 D = 10" (1 UND), Limpiador 1/4 Pvc (0.04 gl), Soldadura Liquida Pvc 1/4`` (0.04 gl). Mano de obra: Auxiliar De Instalaciones 1 (0.4 hh), Oficial Instalaciones (0.4 hh). Equipo: Herrramienta Y Equipo Menor (3.5 %).  Etapa de obra: 6. Instalaciones.</t>
  </si>
  <si>
    <t>CODO PVC GRAN RADIO 11 1/4° RDE 21 D = 10"</t>
  </si>
  <si>
    <t>2.04.05 · CODO PVC GRAN RADIO 11 1/4° RDE 21 D=12"   |   Unidad: Unidad (UND)   |   Precio: $ 1.272.989,78</t>
  </si>
  <si>
    <t>Precio por UND. Materiales: Codo Pvc Gran Radio 11 1/4° Rde 21 D = 12" (1 UND), Limpiador 1/4 Pvc (0.06 gl), Soldadura Liquida Pvc 1/4`` (0.06 gl). Mano de obra: Auxiliar De Instalaciones 1 (0.25 hh), Oficial Instalaciones (0.25 hh). Equipo: Herrramienta Y Equipo Menor (3.5 %).  Etapa de obra: 6. Instalaciones.</t>
  </si>
  <si>
    <t>CODO PVC GRAN RADIO 11 1/4° RDE 21 D = 12"</t>
  </si>
  <si>
    <t>2.04.06 · CODO PVC GRAN RADIO 11 1/4° RDE 21 D=4"   |   Unidad: Unidad (UND)   |   Precio: $ 83.199,02</t>
  </si>
  <si>
    <t>Precio por UND. Materiales: Codo Pvc Gran Radio 11 1/4° Rde 21 D = 4 `` (1 UND), Lubricante Tub Pvc/500gr (0.02 UND). Mano de obra: Auxiliar De Instalaciones 1 (0.25 hh), Oficial Instalaciones (0.25 hh). Equipo: Herrramienta Y Equipo Menor (3.5 %).  Etapa de obra: 6. Instalaciones.</t>
  </si>
  <si>
    <t>CODO PVC GRAN RADIO 11 1/4° RDE 21 D = 4 ``</t>
  </si>
  <si>
    <t>2.04.07 · CODO PVC GRAN RADIO 11 1/4° RDE 21 D=6"   |   Unidad: Unidad (UND)   |   Precio: $ 180.007,35</t>
  </si>
  <si>
    <t>Precio por UND. Materiales: Codo Pvc Gran Radio 11 1/4° Rde 21 D = 6 `` (1 UND), Lubricante Tub Pvc/500gr (0.02 UND). Mano de obra: Auxiliar De Instalaciones 1 (0.25 hh), Oficial Instalaciones (0.25 hh). Equipo: Herrramienta Y Equipo Menor (3.5 %).  Etapa de obra: 6. Instalaciones.</t>
  </si>
  <si>
    <t>CODO PVC GRAN RADIO 11 1/4° RDE 21 D = 6 ``</t>
  </si>
  <si>
    <t>2.04.08 · CODO PVC GRAN RADIO 11 1/4° RDE 21 D=8"   |   Unidad: Unidad (UND)   |   Precio: $ 359.412,02</t>
  </si>
  <si>
    <t>Precio por UND. Materiales: Codo Pvc Gran Radio 11 1/4° Rde 21 D = 8 `` (1 UND), Lubricante Tub Pvc/500gr (0.02 UND). Mano de obra: Auxiliar De Instalaciones 1 (0.25 hh), Oficial Instalaciones (0.25 hh). Equipo: Herrramienta Y Equipo Menor (3.5 %).  Etapa de obra: 6. Instalaciones.</t>
  </si>
  <si>
    <t>CODO PVC GRAN RADIO 11 1/4° RDE 21 D = 8 ``</t>
  </si>
  <si>
    <t>2.04.09 · CODO PVC GRAN RADIO 22 1/2° RDE 21 D=10"   |   Unidad: Unidad (UND)   |   Precio: $ 927.754,02</t>
  </si>
  <si>
    <t>Precio por UND. Materiales: Codo Pvc Gran Radio 22 1/2° Rde 21 D = 10 `` (1 UND), Lubricante Tub Pvc/500gr (0.02 UND). Mano de obra: Auxiliar De Instalaciones 1 (0.25 hh), Oficial Instalaciones (0.25 hh).  Etapa de obra: 6. Instalaciones.</t>
  </si>
  <si>
    <t>CODO PVC GRAN RADIO 22 1/2° RDE 21 D = 10 ``</t>
  </si>
  <si>
    <t>2.04.10 · CODO PVC GRAN RADIO 22 1/2° RDE 21 D=12"   |   Unidad: Unidad (UND)   |   Precio: $ 1.267.160,52</t>
  </si>
  <si>
    <t>Precio por UND. Materiales: Codo Pvc Gran Radio 22 1/2° Rde 21 D = 12 `` (1 UND), Lubricante Tub Pvc/500gr (0.02 UND). Mano de obra: Auxiliar De Instalaciones 1 (0.25 hh), Oficial Instalaciones (0.25 hh). Equipo: Herrramienta Y Equipo Menor (3.5 %).  Etapa de obra: 6. Instalaciones.</t>
  </si>
  <si>
    <t>CODO PVC GRAN RADIO 22 1/2° RDE 21 D = 12 ``</t>
  </si>
  <si>
    <t>2.04.11 · CODO PVC GRAN RADIO 22 1/2° RDE 21 D=2"   |   Unidad: Unidad (UND)   |   Precio: $ 33.190,02</t>
  </si>
  <si>
    <t>Precio por UND. Materiales: Codo Pvc Gran Radio 22 1/2° Rde 21 D = 2`` (1 UND), Lubricante Tub Pvc/500gr (0.02 UND). Mano de obra: Auxiliar De Instalaciones 1 (0.25 hh), Oficial Instalaciones (0.25 hh). Equipo: Herrramienta Y Equipo Menor (3.5 %).  Etapa de obra: 6. Instalaciones.</t>
  </si>
  <si>
    <t>CODO PVC GRAN RADIO 22 1/2° RDE 21 D = 2``</t>
  </si>
  <si>
    <t>2.04.12 · CODO PVC GRAN RADIO 22 1/2° RDE 21 D=3"   |   Unidad: Unidad (UND)   |   Precio: $ 51.179,02</t>
  </si>
  <si>
    <t>Precio por UND. Materiales: Codo Pvc Gran Radio 22 1/2° Rde 21 D = 3 `` (1 UND), Lubricante Tub Pvc/500gr (0.02 UND). Mano de obra: Auxiliar De Instalaciones 1 (0.25 hh), Oficial Instalaciones (0.25 hh). Equipo: Herrramienta Y Equipo Menor (3.5 %).  Etapa de obra: 6. Instalaciones.</t>
  </si>
  <si>
    <t>CODO PVC GRAN RADIO 22 1/2° RDE 21 D = 3 ``</t>
  </si>
  <si>
    <t>2.04.13 · CODO PVC GRAN RADIO 22 1/2° RDE 21 D=4"   |   Unidad: Unidad (UND)   |   Precio: $ 85.920,68</t>
  </si>
  <si>
    <t>Precio por UND. Materiales: Codo Pvc Gran Radio 22 1/2° Rde 21 D = 4 `` (1 UND), Lubricante Tub Pvc/500gr (0.02 UND). Mano de obra: Auxiliar De Instalaciones 1 (0.25 hh), Oficial Instalaciones (0.25 hh). Equipo: Herrramienta Y Equipo Menor (3.5 %).  Etapa de obra: 6. Instalaciones.</t>
  </si>
  <si>
    <t>CODO PVC GRAN RADIO 22 1/2° RDE 21 D = 4 ``</t>
  </si>
  <si>
    <t>2.04.14 · CODO PVC GRAN RADIO 22 1/2° RDE 21 D=6"   |   Unidad: Unidad (UND)   |   Precio: $ 204.145,02</t>
  </si>
  <si>
    <t>Precio por UND. Materiales: Codo Pvc Gran Radio 22 1/2° Rde 21 D = 6`` (1 UND), Lubricante Tub Pvc/500gr (0.02 UND). Mano de obra: Auxiliar De Instalaciones 1 (0.25 hh), Oficial Instalaciones (0.25 hh). Equipo: Herrramienta Y Equipo Menor (3.5 %).  Etapa de obra: 6. Instalaciones.</t>
  </si>
  <si>
    <t>CODO PVC GRAN RADIO 22 1/2° RDE 21 D = 6``</t>
  </si>
  <si>
    <t>2.04.15 · CODO PVC GRAN RADIO 22 1/2° RDE 21 D=8"   |   Unidad: Unidad (UND)   |   Precio: $ 415.105,02</t>
  </si>
  <si>
    <t>Precio por UND. Materiales: Codo Pvc Gran Radio 22 1/2° Rde 21 D = 8 `` (1 UND), Lubricante Tub Pvc/500gr (0.02 UND). Mano de obra: Auxiliar De Instalaciones 1 (0.25 hh), Oficial Instalaciones (0.25 hh). Equipo: Herrramienta Y Equipo Menor (3.5 %).  Etapa de obra: 6. Instalaciones.</t>
  </si>
  <si>
    <t>CODO PVC GRAN RADIO 22 1/2° RDE 21 D = 8 ``</t>
  </si>
  <si>
    <t>2.04.16 · CODO PVC GRAN RADIO 45° RDE 21 D=10"   |   Unidad: Unidad (UND)   |   Precio: $ 1.156.439,52</t>
  </si>
  <si>
    <t>Precio por UND. Materiales: Codo Pvc Gran Radio 45° Rde 21 D = 10 `` (1 UND), Lubricante Tub Pvc/500gr (0.02 UND). Mano de obra: Auxiliar De Instalaciones 1 (0.25 hh), Oficial Instalaciones (0.25 hh). Equipo: Herrramienta Y Equipo Menor (3.5 %).  Etapa de obra: 6. Instalaciones.</t>
  </si>
  <si>
    <t>CODO PVC GRAN RADIO 45° RDE 21 D = 10 ``</t>
  </si>
  <si>
    <t>2.04.17 · CODO PVC GRAN RADIO 45° RDE 21 D=12"   |   Unidad: Unidad (UND)   |   Precio: $ 1.588.850,02</t>
  </si>
  <si>
    <t>Precio por UND. Materiales: Codo Pvc Gran Radio 45° Rde 21 D = 12 `` (1 UND), Lubricante Tub Pvc/500gr (0.02 UND). Mano de obra: Auxiliar De Instalaciones 1 (0.25 hh), Oficial Instalaciones (0.25 hh). Equipo: Herrramienta Y Equipo Menor (3.5 %).  Etapa de obra: 6. Instalaciones.</t>
  </si>
  <si>
    <t>CODO PVC GRAN RADIO 45° RDE 21 D = 12 ``</t>
  </si>
  <si>
    <t>2.04.18 · CODO PVC GRAN RADIO 45° RDE 21 D=2 1/2"   |   Unidad: Unidad (UND)   |   Precio: $ 36.412,02</t>
  </si>
  <si>
    <t>Precio por UND. Materiales: Codo Pvc Gran Radio 45° Rde 21 D = 2 1/2 `` (1 UND), Lubricante Tub Pvc/500gr (0.02 UND). Mano de obra: Auxiliar De Instalaciones 1 (0.25 hh), Oficial Instalaciones (0.25 hh). Equipo: Herrramienta Y Equipo Menor (3.5 %).  Etapa de obra: 6. Instalaciones.</t>
  </si>
  <si>
    <t>CODO PVC GRAN RADIO 45° RDE 21 D = 2 1/2 ``</t>
  </si>
  <si>
    <t>2.04.19 · CODO PVC GRAN RADIO 45° RDE 21 D=2"   |   Unidad: Unidad (UND)   |   Precio: $ 33.970,02</t>
  </si>
  <si>
    <t>Precio por UND. Materiales: Codo Pvc Gran Radio 45° Rde 21 D = 2`` (1 UND), Lubricante Tub Pvc/500gr (0.02 UND). Mano de obra: Auxiliar De Instalaciones 1 (0.25 hh), Oficial Instalaciones (0.25 hh). Equipo: Herrramienta Y Equipo Menor (3.5 %).  Etapa de obra: 6. Instalaciones.</t>
  </si>
  <si>
    <t>CODO PVC GRAN RADIO 45° RDE 21 D = 2``</t>
  </si>
  <si>
    <t>2.04.20 · CODO PVC GRAN RADIO 45° RDE 21 D=3"   |   Unidad: Unidad (UND)   |   Precio: $ 52.081,02</t>
  </si>
  <si>
    <t>Precio por UND. Materiales: Codo Pvc Gran Radio 45° Rde 21 D = 3 `` (1 UND), Lubricante Tub Pvc/500gr (0.02 UND). Mano de obra: Auxiliar De Instalaciones 1 (0.25 hh), Oficial Instalaciones (0.25 hh). Equipo: Herrramienta Y Equipo Menor (3.5 %).  Etapa de obra: 6. Instalaciones.</t>
  </si>
  <si>
    <t>CODO PVC GRAN RADIO 45° RDE 21 D = 3 ``</t>
  </si>
  <si>
    <t>2.04.21 · CODO PVC GRAN RADIO 45° RDE 21 D=4"   |   Unidad: Unidad (UND)   |   Precio: $ 125.849,02</t>
  </si>
  <si>
    <t>Precio por UND. Materiales: Codo Pvc Gran Radio 45° Rde 21 D = 4 `` (1 UND), Lubricante Tub Pvc/500gr (0.02 UND). Mano de obra: Auxiliar De Instalaciones 1 (0.25 hh), Oficial Instalaciones (0.25 hh). Equipo: Herrramienta Y Equipo Menor (3.5 %).  Etapa de obra: 6. Instalaciones.</t>
  </si>
  <si>
    <t>CODO PVC GRAN RADIO 45° RDE 21 D = 4 ``</t>
  </si>
  <si>
    <t>2.04.22 · CODO PVC GRAN RADIO 45° RDE 21 D=6"   |   Unidad: Unidad (UND)   |   Precio: $ 254.406,02</t>
  </si>
  <si>
    <t>Precio por UND. Materiales: Codo Pvc Gran Radio 45° Rde 21 D = 6 `` (1 UND), Lubricante Tub Pvc/500gr (0.02 UND). Mano de obra: Auxiliar De Instalaciones 1 (0.25 hh), Oficial Instalaciones (0.25 hh). Equipo: Herrramienta Y Equipo Menor (3.5 %).  Etapa de obra: 6. Instalaciones.</t>
  </si>
  <si>
    <t>CODO PVC GRAN RADIO 45° RDE 21 D = 6 ``</t>
  </si>
  <si>
    <t>2.04.23 · CODO PVC GRAN RADIO 45° RDE 21 D=8"   |   Unidad: Unidad (UND)   |   Precio: $ 541.150,02</t>
  </si>
  <si>
    <t>Precio por UND. Materiales: Codo Pvc Gran Radio 45° Rde 21 D = 8 `` (1 UND), Lubricante Tub Pvc/500gr (0.02 UND). Mano de obra: Auxiliar De Instalaciones 1 (0.25 hh), Oficial Instalaciones (0.25 hh). Equipo: Herrramienta Y Equipo Menor (3.5 %).  Etapa de obra: 6. Instalaciones.</t>
  </si>
  <si>
    <t>CODO PVC GRAN RADIO 45° RDE 21 D = 8 ``</t>
  </si>
  <si>
    <t>2.04.24 · CODO PVC GRAN RADIO 6° D = 10"   |   Unidad: Unidad (UND)   |   Precio: $ 468.147,02</t>
  </si>
  <si>
    <t>Precio por UND. Materiales: Codo Pvc Gran Radio 6° D = 10 `` (1 UND), Lubricante Tub Pvc/500gr (0.02 UND). Mano de obra: Auxiliar De Instalaciones 1 (0.25 hh), Oficial Instalaciones (0.25 hh). Equipo: Herrramienta Y Equipo Menor (3.5 %).  Etapa de obra: 6. Instalaciones.</t>
  </si>
  <si>
    <t>CODO PVC GRAN RADIO 6° D = 10 ``</t>
  </si>
  <si>
    <t>2.04.25 · CODO PVC GRAN RADIO 6° D = 12"   |   Unidad: Unidad (UND)   |   Precio: $ 619.298,02</t>
  </si>
  <si>
    <t>Precio por UND. Materiales: Codo Pvc Gran Radio 6° D = 12 `` (1 UND), Lubricante Tub Pvc/500gr (0.02 UND). Mano de obra: Auxiliar De Instalaciones 1 (0.25 hh), Oficial Instalaciones (0.25 hh). Equipo: Herrramienta Y Equipo Menor (3.5 %).  Etapa de obra: 6. Instalaciones.</t>
  </si>
  <si>
    <t>CODO PVC GRAN RADIO 6° D = 12 ``</t>
  </si>
  <si>
    <t>2.04.26 · CODO PVC GRAN RADIO 6° D = 8"   |   Unidad: Unidad (UND)   |   Precio: $ 225.687,52</t>
  </si>
  <si>
    <t>Precio por UND. Materiales: Codo Pvc Gran Radio 6° D = 8 `` (1 UND), Lubricante Tub Pvc/500gr (0.02 UND). Mano de obra: Auxiliar De Instalaciones 1 (0.25 hh), Oficial Instalaciones (0.25 hh). Equipo: Herrramienta Y Equipo Menor (3.5 %).  Etapa de obra: 6. Instalaciones.</t>
  </si>
  <si>
    <t>CODO PVC GRAN RADIO 6° D = 8 ``</t>
  </si>
  <si>
    <t>2.04.27 · CODO PVC GRAN RADIO 90° RDE 21 D=10"   |   Unidad: Unidad (UND)   |   Precio: $ 1.763.835,52</t>
  </si>
  <si>
    <t>Precio por UND. Materiales: Codo Pvc Gran Radio 90° Rde 21 D = 10 `` (1 UND), Lubricante Tub Pvc/500gr (0.02 UND). Mano de obra: Auxiliar De Instalaciones 1 (0.25 hh), Oficial Instalaciones (0.25 hh). Equipo: Herrramienta Y Equipo Menor (3.5 %).  Etapa de obra: 6. Instalaciones.</t>
  </si>
  <si>
    <t>CODO PVC GRAN RADIO 90° RDE 21 D = 10 ``</t>
  </si>
  <si>
    <t>2.04.28 · CODO PVC GRAN RADIO 90° RDE 21 D=12"   |   Unidad: Unidad (UND)   |   Precio: $ 2.349.935,02</t>
  </si>
  <si>
    <t>Precio por UND. Materiales: Codo Pvc Gran Radio 90° Rde 21 D = 12 `` (1 UND), Lubricante Tub Pvc/500gr (0.02 UND). Mano de obra: Auxiliar De Instalaciones 1 (0.25 hh), Oficial Instalaciones (0.25 hh). Equipo: Herrramienta Y Equipo Menor (3.5 %).  Etapa de obra: 6. Instalaciones.</t>
  </si>
  <si>
    <t>CODO PVC GRAN RADIO 90° RDE 21 D = 12 ``</t>
  </si>
  <si>
    <t>2.04.29 · CODO PVC GRAN RADIO 90° RDE 21 D=2 1/2"   |   Unidad: Unidad (UND)   |   Precio: $ 43.914,02</t>
  </si>
  <si>
    <t>Precio por UND. Materiales: Codo Pvc Gran Radio 90° Rde 21 D = 2 1/2 `` (1 UND), Lubricante Tub Pvc/500gr (0.02 UND). Mano de obra: Auxiliar De Instalaciones 1 (0.25 hh), Oficial Instalaciones (0.25 hh). Equipo: Herrramienta Y Equipo Menor (3.5 %).  Etapa de obra: 6. Instalaciones.</t>
  </si>
  <si>
    <t>CODO PVC GRAN RADIO 90° RDE 21 D = 2 1/2 ``</t>
  </si>
  <si>
    <t>2.04.30 · CODO PVC GRAN RADIO 90° RDE 21 D=2"   |   Unidad: Unidad (UND)   |   Precio: $ 38.359,69</t>
  </si>
  <si>
    <t>Precio por UND. Materiales: Codo Pvc Gran Radio 90° Rde 21 D = 2`` (1 UND), Lubricante Tub Pvc/500gr (0.02 UND). Mano de obra: Auxiliar De Instalaciones 1 (0.25 hh), Oficial Instalaciones (0.25 hh). Equipo: Herrramienta Y Equipo Menor (3.5 %).  Etapa de obra: 6. Instalaciones.</t>
  </si>
  <si>
    <t>CODO PVC GRAN RADIO 90° RDE 21 D = 2``</t>
  </si>
  <si>
    <t>2.04.31 · CODO PVC GRAN RADIO 90° RDE 21 D=3"   |   Unidad: Unidad (UND)   |   Precio: $ 75.718,68</t>
  </si>
  <si>
    <t>Precio por UND. Materiales: Codo Pvc Gran Radio 90° Rde 21 D = 3 `` (1 UND), Lubricante Tub Pvc/500gr (0.02 UND). Mano de obra: Auxiliar De Instalaciones 1 (0.25 hh), Oficial Instalaciones (0.25 hh). Equipo: Herrramienta Y Equipo Menor (3.5 %).  Etapa de obra: 6. Instalaciones.</t>
  </si>
  <si>
    <t>CODO PVC GRAN RADIO 90° RDE 21 D = 3 ``</t>
  </si>
  <si>
    <t>2.04.32 · CODO PVC GRAN RADIO 90° RDE 21 D=4"   |   Unidad: Unidad (UND)   |   Precio: $ 140.853,39</t>
  </si>
  <si>
    <t>Precio por UND. Materiales: Codo Pvc Gran Radio 90° Rde 21 D = 4 `` (1 UND), Limpiador 1/4 Pvc (0.03 gl), Soldadura Liquida Pvc 1/4`` (0.03 gl). Mano de obra: Auxiliar De Instalaciones 1 (0.4 hh), Oficial Instalaciones (0.4 hh). Equipo: Herrramienta Y Equipo Menor (3.5 %).  Etapa de obra: 6. Instalaciones.</t>
  </si>
  <si>
    <t>CODO PVC GRAN RADIO 90° RDE 21 D = 4 ``</t>
  </si>
  <si>
    <t>2.04.33 · CODO PVC GRAN RADIO 90° RDE 21 D=6"   |   Unidad: Unidad (UND)   |   Precio: $ 354.592,46</t>
  </si>
  <si>
    <t>Precio por UND. Materiales: Codo Pvc Gran Radio 90° Rde 21 D = 6 `` (1 UND), Limpiador 1/4 Pvc (0.04 gl), Soldadura Liquida Pvc 1/4`` (0.04 gl). Mano de obra: Auxiliar De Instalaciones 1 (0.4 hh), Oficial Instalaciones (0.4 hh). Equipo: Herrramienta Y Equipo Menor (3.5 %).  Etapa de obra: 6. Instalaciones.</t>
  </si>
  <si>
    <t>CODO PVC GRAN RADIO 90° RDE 21 D = 6 ``</t>
  </si>
  <si>
    <t>2.04.34 · CODO PVC GRAN RADIO 90° RDE 21 D=8"   |   Unidad: Unidad (UND)   |   Precio: $ 841.136,78</t>
  </si>
  <si>
    <t>Precio por UND. Materiales: Codo Pvc Gran Radio 90° Rde 21 D = 8 `` (1.02 UND), Limpiador 1/4 Pvc (0.06 gl), Soldadura Liquida Pvc 1/4`` (0.06 gl). Mano de obra: Auxiliar De Instalaciones 1 (0.4 hh), Oficial Instalaciones (0.4 hh). Equipo: Herrramienta Y Equipo Menor (3.5 %).  Etapa de obra: 6. Instalaciones.</t>
  </si>
  <si>
    <t>CODO PVC GRAN RADIO 90° RDE 21 D = 8 ``</t>
  </si>
  <si>
    <t>2.04.35 · CODO PVC RADIO CORTO 90° D = 3"   |   Unidad: Unidad (UND)   |   Precio: $ 126.562,92</t>
  </si>
  <si>
    <t>Precio por UND. Materiales: Codo Pvc Radio Corto 90° D = 3`` (1 UND), Lubricante Tub Pvc/500gr (0.03 UND). Mano de obra: Auxiliar De Instalaciones 1 (0.15 hh), Oficial Instalaciones (0.15 hh). Equipo: Herrramienta Y Equipo Menor (3.5 %).  Etapa de obra: 6. Instalaciones.</t>
  </si>
  <si>
    <t>CODO PVC RADIO CORTO 90° D = 3``</t>
  </si>
  <si>
    <t>2.04.36 · CODO PVC RADIO CORTO 90° D = 4"   |   Unidad: Unidad (UND)   |   Precio: $ 214.736,02</t>
  </si>
  <si>
    <t>Precio por UND. Materiales: Codo Pvc Radio Corto 90° D = 4`` (1 UND), Lubricante Tub Pvc/500gr (0.02 UND). Mano de obra: Auxiliar De Instalaciones 1 (0.25 hh), Oficial Instalaciones (0.25 hh). Equipo: Herrramienta Y Equipo Menor (3.5 %).  Etapa de obra: 6. Instalaciones.</t>
  </si>
  <si>
    <t>CODO PVC RADIO CORTO 90° D = 4``</t>
  </si>
  <si>
    <t>2.04.37 · CODO PVC RADIO CORTO 90° D = 6"   |   Unidad: Unidad (UND)   |   Precio: $ 389.300,63</t>
  </si>
  <si>
    <t>Precio por UND. Materiales: Codo Pvc Radio Corto 90° D = 6`` (1 UND), Lubricante Tub Pvc/500gr (0.02 UND). Mano de obra: Auxiliar De Instalaciones 1 (0.25 hh), Oficial Instalaciones (0.25 hh). Equipo: Herrramienta Y Equipo Menor (3.5 %).  Etapa de obra: 6. Instalaciones.</t>
  </si>
  <si>
    <t>CODO PVC RADIO CORTO 90° D = 6``</t>
  </si>
  <si>
    <t>2.04.38 · CODO PVC RADIO CORTO 90° D = 8"   |   Unidad: Unidad (UND)   |   Precio: $ 751.944,02</t>
  </si>
  <si>
    <t>Precio por UND. Materiales: Codo Pvc Radio Corto 90° D = 8`` (1 UND), Lubricante Tub Pvc/500gr (0.02 UND). Mano de obra: Auxiliar De Instalaciones 1 (0.25 hh), Oficial Instalaciones (0.25 hh). Equipo: Herrramienta Y Equipo Menor (3.5 %).  Etapa de obra: 6. Instalaciones.</t>
  </si>
  <si>
    <t>CODO PVC RADIO CORTO 90° D = 8``</t>
  </si>
  <si>
    <t>2.04.39 · COLLAR PVC DE DERIVACIÓN DE 2 1/2 " * 1/2"   |   Unidad: Unidad (UND)   |   Precio: $ 14.183,62</t>
  </si>
  <si>
    <t>Precio por UND. Materiales: Collar De Derivacion De 2 1/2* 1/2`` (1 UND). Mano de obra: Auxiliar De Instalaciones 1 (0.17 hh), Oficial Instalaciones (0.17 hh). Equipo: Herrramienta Y Equipo Menor (5 %).  Etapa de obra: 6. Instalaciones.</t>
  </si>
  <si>
    <t>COLLAR DE DERIVACION DE 2 1/2* 1/2``</t>
  </si>
  <si>
    <t>2.04.40 · COLLAR PVC DE DERIVACIÓN DE 2 1/2"*3/4"   |   Unidad: Unidad (UND)   |   Precio: $ 13.782,31</t>
  </si>
  <si>
    <t>Precio por UND. Materiales: Collar De Derivacion De 2 1/2* 3/4`` (1 UND). Mano de obra: Auxiliar De Instalaciones 1 (0.17 hh), Oficial Instalaciones (0.17 hh). Equipo: Herrramienta Y Equipo Menor (5 %).  Etapa de obra: 6. Instalaciones.</t>
  </si>
  <si>
    <t>COLLAR DE DERIVACION DE 2 1/2* 3/4``</t>
  </si>
  <si>
    <t>2.04.41 · COLLAR PVC DE DERIVACIÓN DE 2"*1/2"   |   Unidad: Unidad (UND)   |   Precio: $ 15.027,82</t>
  </si>
  <si>
    <t>Precio por UND. Materiales: Collar De Derivacion De 2 * 1/2`` (1 UND). Mano de obra: Auxiliar De Instalaciones 1 (0.17 hh), Oficial Instalaciones (0.17 hh). Equipo: Herrramienta Y Equipo Menor (5 %).  Etapa de obra: 6. Instalaciones.</t>
  </si>
  <si>
    <t>2.04.42 · COLLAR PVC DE DERIVACIÓN DE 2"*3/4"   |   Unidad: Unidad (UND)   |   Precio: $ 12.510,82</t>
  </si>
  <si>
    <t>Precio por UND. Materiales: Collar De Derivacion De 2 * 3/4`` (1 UND). Mano de obra: Auxiliar De Instalaciones 1 (0.17 hh), Oficial Instalaciones (0.17 hh). Equipo: Herrramienta Y Equipo Menor (5 %).  Etapa de obra: 6. Instalaciones.</t>
  </si>
  <si>
    <t>2.04.43 · COLLAR PVC DE DERIVACIÓN DE 3"*1/2"   |   Unidad: Unidad (UND)   |   Precio: $ 18.142,49</t>
  </si>
  <si>
    <t>Precio por UND. Materiales: Collar De Derivacion De 3* 1/2`` (1 UND). Mano de obra: Auxiliar De Instalaciones 1 (0.17 hh), Oficial Instalaciones (0.17 hh). Equipo: Herrramienta Y Equipo Menor (5 %).  Etapa de obra: 6. Instalaciones.</t>
  </si>
  <si>
    <t>2.04.44 · COLLAR PVC DE DERIVACIÓN DE 3"*3/4"   |   Unidad: Unidad (UND)   |   Precio: $ 21.394,48</t>
  </si>
  <si>
    <t>Precio por UND. Materiales: Collar De Derivacion De 3* 3/4`` (1 UND). Mano de obra: Auxiliar De Instalaciones 1 (0.17 hh), Oficial Instalaciones (0.17 hh). Equipo: Herrramienta Y Equipo Menor (5 %).  Etapa de obra: 6. Instalaciones.</t>
  </si>
  <si>
    <t>2.04.45 · COLLAR PVC DE DERIVACIÓN DE 4"*1/2"   |   Unidad: Unidad (UND)   |   Precio: $ 21.652,82</t>
  </si>
  <si>
    <t>Precio por UND. Materiales: Collar De Derivacion De 4* 1/2`` (1 UND). Mano de obra: Auxiliar De Instalaciones 1 (0.17 hh), Oficial Instalaciones (0.17 hh). Equipo: Herrramienta Y Equipo Menor (5 %).  Etapa de obra: 6. Instalaciones.</t>
  </si>
  <si>
    <t>COLLAR DE DERIVACION DE 4* 1/2``</t>
  </si>
  <si>
    <t>2.04.46 · COLLAR PVC DE DERIVACIÓN DE 4"*3/4"   |   Unidad: Unidad (UND)   |   Precio: $ 21.977,82</t>
  </si>
  <si>
    <t>Precio por UND. Materiales: Collar De Derivacion De 4* 3/4`` (1 UND). Mano de obra: Auxiliar De Instalaciones 1 (0.17 hh), Oficial Instalaciones (0.17 hh). Equipo: Herrramienta Y Equipo Menor (5 %).  Etapa de obra: 6. Instalaciones.</t>
  </si>
  <si>
    <t>COLLAR DE DERIVACION DE 4* 3/4``</t>
  </si>
  <si>
    <t>2.04.47 · COLLAR PVC DE DERIVACIÓN DE 6"*1/2"   |   Unidad: Unidad (UND)   |   Precio: $ 26.452,82</t>
  </si>
  <si>
    <t>Precio por UND. Materiales: Collar De Derivacion De 6* 1/2`` (1 UND). Mano de obra: Auxiliar De Instalaciones 1 (0.17 hh), Oficial Instalaciones (0.17 hh). Equipo: Herrramienta Y Equipo Menor (5 %).  Etapa de obra: 6. Instalaciones.</t>
  </si>
  <si>
    <t>COLLAR DE DERIVACION DE 6* 1/2``</t>
  </si>
  <si>
    <t>2.04.48 · COLLAR PVC DE DERIVACIÓN DE 6"*3/4"   |   Unidad: Unidad (UND)   |   Precio: $ 24.740,82</t>
  </si>
  <si>
    <t>Precio por UND. Materiales: Collar De Derivacion De 6* 3/4`` (1 UND). Mano de obra: Auxiliar De Instalaciones 1 (0.17 hh), Oficial Instalaciones (0.17 hh). Equipo: Herrramienta Y Equipo Menor (5 %).  Etapa de obra: 6. Instalaciones.</t>
  </si>
  <si>
    <t>COLLAR DE DERIVACION DE 6* 3/4``</t>
  </si>
  <si>
    <t>2.04.49 · COLLAR PVC DE DERIVACIÓN DE 8" * 1"   |   Unidad: Unidad (UND)   |   Precio: $ 57.109,82</t>
  </si>
  <si>
    <t>Precio por UND. Materiales: Collar De Derivacion De 8* 1`` (1 UND). Mano de obra: Auxiliar De Instalaciones 1 (0.17 hh), Oficial Instalaciones (0.17 hh). Equipo: Herrramienta Y Equipo Menor (5 %).  Etapa de obra: 6. Instalaciones.</t>
  </si>
  <si>
    <t>COLLAR DE DERIVACION DE 8* 1``</t>
  </si>
  <si>
    <t>2.04.50 · CONEXIONES DOMICILIARIAS PVC 1/2", INCLUYE CAJA Y MEDIDOR   |   Unidad: Unidad (UND)   |   Precio: $ 309.563,22</t>
  </si>
  <si>
    <t>Precio por UND. Materiales: Accesorios (1 UND), Tubería Pf + Uad ½`` (3 ML), Caja Y Tapa En H.f. Marcada (1 UND), Collar De Derivación 3 X ½`` (1 UND) y 3 más. Mano de obra: Auxiliar De Obra 1 (0.17 jr), Oficial Obra 2 (0.15 jr). Equipo: Herrramienta Y Equipo Menor (7 %).  Etapa de obra: 6. Instalaciones.</t>
  </si>
  <si>
    <t>ACCESORIOS (ADAPTADORES, RACOR Y TUERCA)</t>
  </si>
  <si>
    <t>TUBERÍA PF + UAD ½``</t>
  </si>
  <si>
    <t>CAJA Y TAPA EN H.F. MARCADA</t>
  </si>
  <si>
    <t>COLLAR DE DERIVACIÓN 3 X ½``</t>
  </si>
  <si>
    <t>MEDIDOR TIPO VOLUMÉTRICO</t>
  </si>
  <si>
    <t>REGISTRO DE CORTE Y REGISTRO DE INCORPORACIÓN</t>
  </si>
  <si>
    <t>2.04.51 · GRAVAS PARA LECHO FILTRANTE ( 16- 25 MM) DE CANTO RODADO.   |   Unidad: Metro cúbico (M3)   |   Precio: $ 575.354,41</t>
  </si>
  <si>
    <t>Precio por M3. Materiales: Gravas Para Lecho Filtrante  De Silice (1.05 M3). Mano de obra: Auxiliar De Obra 1 (0.3 jr), Oficial Obra 2 (0.1 jr). Equipo: Herrramienta Y Equipo Menor (5 %).  Etapa de obra: 6. Instalaciones.</t>
  </si>
  <si>
    <t>GRAVAS PARA LECHO FILTRANTE (DIF. DIÁMETRO) DE SILICE</t>
  </si>
  <si>
    <t>2.04.52 · GRAVAS PARA LECHO FILTRANTE ( 3- 5 MM) DE CANTO RODADO.   |   Unidad: Metro cúbico (M3)   |   Precio: $ 575.354,41</t>
  </si>
  <si>
    <t>2.04.53 · GRAVAS PARA LECHO FILTRANTE ( 6- 15 MM) DE CANTO RODADO.   |   Unidad: Metro cúbico (M3)   |   Precio: $ 575.354,41</t>
  </si>
  <si>
    <t>2.04.54 · GRAVAS PARA LECHO FILTRANTE (1.3 - 4.5 MM) DE CANTO RODADO.   |   Unidad: Metro cúbico (M3)   |   Precio: $ 575.354,41</t>
  </si>
  <si>
    <t>2.04.55 · PUNTO ACOMETIDA 1/2"   |   Unidad: Unidad (UND)   |   Precio: $ 91.836,76</t>
  </si>
  <si>
    <t>Precio por UND. Materiales: Tubería Pvc 1/2" Rde 13.5 (6 ML), Cinta Teflon 10 M 1/2" (3 rl), Codo 90° Presión 1/2" (4 UND), Limpiador 1/4 Pvc (0.04 gl) y 1 más. Mano de obra: Auxiliar De Instalaciones 1 (3.5 hh), Oficial Instalaciones (1.75 hh). Equipo: Herrramienta Y Equipo Menor (5 %).  Etapa de obra: 6. Instalaciones.</t>
  </si>
  <si>
    <t>2.04.56 · PUNTO HIDRAULICO 1/2"   |   Unidad: Unidad (UND)   |   Precio: $ 83.501,04</t>
  </si>
  <si>
    <t>Precio por UND. Materiales: Tubería Pvc 1/2" Rde 13.5 (3 ML), Cinta Teflon 10 M 1/2" (3 rl), Codo 90° Pvc-P 1/2" (4 UND), Limpiador 1/4 Pvc (0.04 gl) y 1 más. Mano de obra: Auxiliar De Instalaciones 1 (3.5 hh), Oficial Instalaciones (1.75 hh). Equipo: Herrramienta Y Equipo Menor (5 %).  Etapa de obra: 6. Instalaciones.</t>
  </si>
  <si>
    <t>2.04.57 · PUNTO HIDRAULICO 3/4"   |   Unidad: Unidad (UND)   |   Precio: $ 100.978,36</t>
  </si>
  <si>
    <t>Precio por UND. Materiales: Tubería Pvc 3/4" Rde 11 (5 ML), Cinta Teflon 10 M 1/2" (3 rl), Codo 90° Presión 3/4" (4 UND), Limpiador 1/4 Pvc (0.04 gl) y 1 más. Mano de obra: Auxiliar De Instalaciones 1 (3.5 hh), Oficial Instalaciones (1.75 hh). Equipo: Herrramienta Y Equipo Menor (5 %).  Etapa de obra: 6. Instalaciones.</t>
  </si>
  <si>
    <t>TUBERÍA PVC 3/4" RDE 11</t>
  </si>
  <si>
    <t>2.04.58 · SUMINISTRO E INSTALACIÓN CAJAS PARA VÁLVULAS TIPO CHOROTE EN H.F.   |   Unidad: Unidad (UND)   |   Precio: $ 161.532,39</t>
  </si>
  <si>
    <t>Precio por UND. Materiales: Cajas Para Válvulas Tipo Chorote En H.f. (1 UND). Mano de obra: Auxiliar De Obra 1 (0.13 jr), Oficial Obra 2 (0.13 jr). Equipo: Herrramienta Y Equipo Menor (5 %).  Etapa de obra: 6. Instalaciones.</t>
  </si>
  <si>
    <t>CAJAS PARA VÁLVULAS TIPO CHOROTE EN H.F.</t>
  </si>
  <si>
    <t>2.04.59 · SUMINISTRO E INSTALACIÓN HIDRANTE TIPO MILLAN D = 3" BRIDA   |   Unidad: Unidad (UND)   |   Precio: $ 2.371.654,05</t>
  </si>
  <si>
    <t>Precio por UND. Materiales: Hidrante Tipo Millan 3``, Extremo Brida (1 UND). Mano de obra: Auxiliar De Obra 1 (1 jr), Oficial Obra 2 (1 jr). Equipo: Herrramienta Y Equipo Menor (10 %).  Etapa de obra: 6. Instalaciones.</t>
  </si>
  <si>
    <t>HIDRANTE TIPO MILLAN 3``, EXTREMO BRIDA</t>
  </si>
  <si>
    <t>2.04.60 · SUMINISTRO E INSTALACIÓN HIDRANTE TIPO MILLAN D = 3" E.L   |   Unidad: Unidad (UND)   |   Precio: $ 2.111.961,05</t>
  </si>
  <si>
    <t>Precio por UND. Materiales: Hidrante Tipo Millan 3``, Extremo Liso (1 UND). Mano de obra: Auxiliar De Obra 1 (1 jr), Oficial Obra 2 (1 jr). Equipo: Herrramienta Y Equipo Menor (10 %).  Etapa de obra: 6. Instalaciones.</t>
  </si>
  <si>
    <t>HIDRANTE TIPO MILLAN 3``, EXTREMO LISO</t>
  </si>
  <si>
    <t>2.04.61 · SUMINISTRO E INSTALACIÓN HIDRANTE TIPO MILLAN D = 4" BRIDA   |   Unidad: Unidad (UND)   |   Precio: $ 3.429.081,05</t>
  </si>
  <si>
    <t>Precio por UND. Materiales: Hidrante Tipo Millan 4``, Extremo Brida (1 UND). Mano de obra: Auxiliar De Obra 1 (1 jr), Oficial Obra 2 (1 jr). Equipo: Herrramienta Y Equipo Menor (10 %).  Etapa de obra: 6. Instalaciones.</t>
  </si>
  <si>
    <t>HIDRANTE TIPO MILLAN 4``, EXTREMO BRIDA</t>
  </si>
  <si>
    <t>2.04.62 · SUMINISTRO E INSTALACIÓN HIDRANTE TIPO MILLAN D = 4" E.L   |   Unidad: Unidad (UND)   |   Precio: $ 2.922.954,07</t>
  </si>
  <si>
    <t>Precio por UND. Materiales: Hidrante Tipo Millan 4``, Extremo Liso (1 UND). Mano de obra: Auxiliar De Obra 1 (1.1 jr), Oficial Obra 2 (1 jr). Equipo: Herrramienta Y Equipo Menor (10 %).  Etapa de obra: 6. Instalaciones.</t>
  </si>
  <si>
    <t>HIDRANTE TIPO MILLAN 4``, EXTREMO LISO</t>
  </si>
  <si>
    <t>2.04.63 · SUMINISTRO E INSTALACIÓN HIDRANTE TIPO MILLAN D = 6" BRIDA   |   Unidad: Unidad (UND)   |   Precio: $ 4.424.228,05</t>
  </si>
  <si>
    <t>Precio por UND. Materiales: Hidrante Tipo Millan 6``, Extremo Brida (1 UND). Mano de obra: Auxiliar De Obra 1 (1 jr), Oficial Obra 2 (1 jr). Equipo: Herrramienta Y Equipo Menor (10 %).  Etapa de obra: 6. Instalaciones.</t>
  </si>
  <si>
    <t>HIDRANTE TIPO MILLAN 6``, EXTREMO BRIDA</t>
  </si>
  <si>
    <t>2.04.64 · SUMINISTRO E INSTALACIÓN HIDRANTE TIPO MILLAN D = 6" E.L   |   Unidad: Unidad (UND)   |   Precio: $ 4.424.388,05</t>
  </si>
  <si>
    <t>Precio por UND. Materiales: Hidrante Tipo Millan 6``, Extremo Liso (1 UND). Mano de obra: Auxiliar De Obra 1 (1 jr), Oficial Obra 2 (1 jr). Equipo: Herrramienta Y Equipo Menor (10 %).  Etapa de obra: 6. Instalaciones.</t>
  </si>
  <si>
    <t>HIDRANTE TIPO MILLAN 6``, EXTREMO LISO</t>
  </si>
  <si>
    <t>2.04.65 · SUMINISTRO E INSTALACIÓN REGISTRO DE BOLA D = 1 1/2" TIPO LIVIANO   |   Unidad: Unidad (UND)   |   Precio: $ 80.388,23</t>
  </si>
  <si>
    <t>Precio por UND. Materiales: Limpiador Y Soldadura (1 glb), Registro De Bola 1½``, Tipo Liviano (1 UND). Mano de obra: Auxiliar De Obra 1 (0.1 jr), Oficial Obra 2 (0.1 jr). Equipo: Herrramienta Y Equipo Menor (6.6 %).  Etapa de obra: 6. Instalaciones.</t>
  </si>
  <si>
    <t>REGISTRO DE BOLA 1½``, TIPO LIVIANO</t>
  </si>
  <si>
    <t>2.04.66 · SUMINISTRO E INSTALACIÓN REGISTRO DE BOLA D = 1/2" TIPO LIVIANO   |   Unidad: Unidad (UND)   |   Precio: $ 16.223,76</t>
  </si>
  <si>
    <t>Precio por UND. Materiales: Limpiador 1/4 Pvc (0 gl), Registro De Bola ½``, Tipo Liviano (1 UND), Soldadura Liquida Pvc 1/4`` (0 gl). Mano de obra: Auxiliar De Obra 1 (0.04 jr), Oficial Obra 2 (0.04 jr). Equipo: Herrramienta Y Equipo Menor (6.6 %).  Etapa de obra: 6. Instalaciones.</t>
  </si>
  <si>
    <t>REGISTRO DE BOLA ½``, TIPO LIVIANO</t>
  </si>
  <si>
    <t>2.04.67 · SUMINISTRO E INSTALACIÓN REGISTRO DE BOLA D = 2 1/2" TIPO PESADO   |   Unidad: Unidad (UND)   |   Precio: $ 207.745,42</t>
  </si>
  <si>
    <t>Precio por UND. Materiales: Limpiador Y Soldadura (1 glb), Registro De Bola 2½``, Tipo Pesado (1 UND). Mano de obra: Auxiliar De Obra 1 (0.2 jr), Oficial Obra 2 (0.1 jr). Equipo: Herrramienta Y Equipo Menor (6.6 %).  Etapa de obra: 6. Instalaciones.</t>
  </si>
  <si>
    <t>REGISTRO DE BOLA 2½``, TIPO PESADO</t>
  </si>
  <si>
    <t>2.04.68 · SUMINISTRO E INSTALACIÓN REGISTRO DE BOLA D = 2" TIPO PESADO   |   Unidad: Unidad (UND)   |   Precio: $ 127.277,42</t>
  </si>
  <si>
    <t>Precio por UND. Materiales: Limpiador Y Soldadura (1 glb), Registro De Bola 2``, Tipo Pesado (1 UND). Mano de obra: Auxiliar De Obra 1 (0.2 jr), Oficial Obra 2 (0.1 jr). Equipo: Herrramienta Y Equipo Menor (6.6 %).  Etapa de obra: 6. Instalaciones.</t>
  </si>
  <si>
    <t>REGISTRO DE BOLA 2``, TIPO PESADO</t>
  </si>
  <si>
    <t>2.04.69 · SUMINISTRO E INSTALACIÓN REGISTRO DE BOLA D = 3/4" TIPO LIVIANO   |   Unidad: Unidad (UND)   |   Precio: $ 20.536,14</t>
  </si>
  <si>
    <t>Precio por UND. Materiales: Limpiador 1/4 Pvc (0 gl), Registro De Bola 3/4``, Tipo Liviano (1 UND), Soldadura Liquida Pvc 1/4`` (0 gl). Mano de obra: Auxiliar De Obra 1 (0.05 jr), Oficial Obra 2 (0.05 jr). Equipo: Herrramienta Y Equipo Menor (6.6 %).  Etapa de obra: 6. Instalaciones.</t>
  </si>
  <si>
    <t>REGISTRO DE BOLA 3/4``, TIPO LIVIANO</t>
  </si>
  <si>
    <t>2.04.70 · SUMINISTRO E INSTALACIÓN REGISTRO DE BOLA D = 4" TIPO PESADO   |   Unidad: Unidad (UND)   |   Precio: $ 340.295,42</t>
  </si>
  <si>
    <t>Precio por UND. Materiales: Limpiador Y Soldadura (1 glb), Registro De Bola 4``, Tipo Pesado (1 UND). Mano de obra: Auxiliar De Obra 1 (0.2 jr), Oficial Obra 2 (0.1 jr). Equipo: Herrramienta Y Equipo Menor (6.6 %).  Etapa de obra: 6. Instalaciones.</t>
  </si>
  <si>
    <t>REGISTRO DE BOLA 4``, TIPO PESADO</t>
  </si>
  <si>
    <t>2.04.71 · SUMINISTRO E INSTALACIÓN REGISTRO DE BOLA D =2" TIPO LIVIANO   |   Unidad: Unidad (UND)   |   Precio: $ 115.092,84</t>
  </si>
  <si>
    <t>Precio por UND. Materiales: Limpiador Y Soldadura (1 glb), Registro De Bola 2``, Tipo Liviano (1 UND). Mano de obra: Auxiliar De Obra 1 (0.4 jr), Oficial Obra 2 (0.2 jr). Equipo: Herrramienta Y Equipo Menor (6.6 %).  Etapa de obra: 6. Instalaciones.</t>
  </si>
  <si>
    <t>REGISTRO DE BOLA 2``, TIPO LIVIANO</t>
  </si>
  <si>
    <t>2.04.72 · SUMINISTRO E INSTALACION TEE PRESION PVC D=1"   |   Unidad: Unidad (UND)   |   Precio: $ 3.907,33</t>
  </si>
  <si>
    <t>Precio por UND. Materiales: Tee Pvc Presion 1`` (1 UND), Limpiador 1/4 Pvc (0 gl), Soldadura Liquida Pvc 1/4`` (0 gl). Mano de obra: Auxiliar De Instalaciones 1 (0.05 hh), Oficial Instalaciones (0.05 hh). Equipo: Herrramienta Y Equipo Menor (10 %).  Etapa de obra: 6. Instalaciones.</t>
  </si>
  <si>
    <t>2.04.73 · SUMINISTRO E INSTALACION TEE PRESION PVC D=1 1/4"   |   Unidad: Unidad (UND)   |   Precio: $ 7.731,41</t>
  </si>
  <si>
    <t>Precio por UND. Materiales: Tee Pvc Presion 1 1/4`` (1 UND), Limpiador 1/4 Pvc (0 gl), Soldadura Liquida Pvc 1/4`` (0 gl). Mano de obra: Auxiliar De Instalaciones 1 (0.06 hh), Oficial Instalaciones (0.06 hh). Equipo: Herrramienta Y Equipo Menor (5 %).  Etapa de obra: 6. Instalaciones.</t>
  </si>
  <si>
    <t>TEE PVC PRESION 1 1/4``</t>
  </si>
  <si>
    <t>2.04.74 · SUMINISTRO E INSTALACION TEE PRESION PVC D=1 1/2"   |   Unidad: Unidad (UND)   |   Precio: $ 10.462,49</t>
  </si>
  <si>
    <t>Precio por UND. Materiales: Tee Pvc Presion 1 1/2`` (1 UND), Limpiador 1/4 Pvc (0.01 gl), Soldadura Liquida Pvc 1/4`` (0.01 gl). Mano de obra: Auxiliar De Instalaciones 1 (0.1 hh), Oficial Instalaciones (0.1 hh). Equipo: Herrramienta Y Equipo Menor (11 %).  Etapa de obra: 6. Instalaciones.</t>
  </si>
  <si>
    <t>TEE PVC PRESION 1 1/2``</t>
  </si>
  <si>
    <t>2.04.75 · SUMINISTRO E INSTALACION TEE PRESION PVC D=1/2"   |   Unidad: Unidad (UND)   |   Precio: $ 1.156,71</t>
  </si>
  <si>
    <t>Precio por UND. Materiales: Tee Pvc Presion 1/2`` (1 UND), Limpiador 1/4 Pvc (0 gl), Soldadura Liquida Pvc 1/4`` (0 gl). Mano de obra: Auxiliar De Instalaciones 1 (0.01 hh), Oficial Instalaciones (0.01 hh). Equipo: Herrramienta Y Equipo Menor (5 %).  Etapa de obra: 6. Instalaciones.</t>
  </si>
  <si>
    <t>2.04.76 · SUMINISTRO E INSTALACION TEE PRESION PVC D=2"   |   Unidad: Unidad (UND)   |   Precio: $ 14.993,07</t>
  </si>
  <si>
    <t>Precio por UND. Materiales: Tee Pvc Presion 2`` (1 UND), Limpiador 1/4 Pvc (0 gl), Soldadura Liquida Pvc 1/4`` (0 gl). Mano de obra: Auxiliar De Instalaciones 1 (0.05 hh), Oficial Instalaciones (0.05 hh). Equipo: Herrramienta Y Equipo Menor (10 %).  Etapa de obra: 6. Instalaciones.</t>
  </si>
  <si>
    <t>2.04.77 · SUMINISTRO E INSTALACION TEE PRESION PVC D=3"   |   Unidad: Unidad (UND)   |   Precio: $ 54.451,43</t>
  </si>
  <si>
    <t>Precio por UND. Materiales: Tee Pvc Presion 3`` (1 UND), Limpiador 1/4 Pvc (0 gl), Soldadura Liquida Pvc 1/4`` (0 gl). Mano de obra: Auxiliar De Instalaciones 1 (0.08 hh), Oficial Instalaciones (0.08 hh). Equipo: Herrramienta Y Equipo Menor (10 %).  Etapa de obra: 6. Instalaciones.</t>
  </si>
  <si>
    <t>TEE PVC PRESION 3``</t>
  </si>
  <si>
    <t>2.04.78 · SUMINISTRO E INSTALACION TEE PRESION PVC D=3/4"   |   Unidad: Unidad (UND)   |   Precio: $ 2.912,41</t>
  </si>
  <si>
    <t>Precio por UND. Materiales: Tee Pvc Presion 3/4`` (1 UND), Limpiador 1/4 Pvc (0 gl), Soldadura Liquida Pvc 1/4`` (0 gl). Mano de obra: Auxiliar De Instalaciones 1 (0.06 hh), Oficial Instalaciones (0.06 hh). Equipo: Herrramienta Y Equipo Menor (5 %).  Etapa de obra: 6. Instalaciones.</t>
  </si>
  <si>
    <t>2.04.79 · SUMINISTRO E INSTALACION TEE PRESION PVC D=4"   |   Unidad: Unidad (UND)   |   Precio: $ 116.865,66</t>
  </si>
  <si>
    <t>Precio por UND. Materiales: Tee Pvc Presion 4`` (1 UND), Limpiador 1/4 Pvc (0 gl), Soldadura Liquida Pvc 1/4`` (0 gl). Mano de obra: Auxiliar De Instalaciones 1 (0.1 hh), Oficial Instalaciones (0.1 hh). Equipo: Herrramienta Y Equipo Menor (10 %).  Etapa de obra: 6. Instalaciones.</t>
  </si>
  <si>
    <t>TEE PVC PRESION 4``</t>
  </si>
  <si>
    <t>2.04.80 · SUMINISTRO E INSTALACION TEE PRESION PVC REDUCCION D=1" x 1/2"   |   Unidad: Unidad (UND)   |   Precio: $ 4.774,55</t>
  </si>
  <si>
    <t>Precio por UND. Materiales: Tee Pvc Presion Reducida 1`` X 1/2`` (1 UND), Limpiador 1/4 Pvc (0 gl), Soldadura Liquida Pvc 1/4`` (0 gl). Mano de obra: Auxiliar De Instalaciones 1 (0.05 hh), Oficial Instalaciones (0.05 hh). Equipo: Herrramienta Y Equipo Menor (5 %).  Etapa de obra: 6. Instalaciones.</t>
  </si>
  <si>
    <t>TEE PVC PRESION REDUCIDA 1`` x 1/2``</t>
  </si>
  <si>
    <t>2.04.81 · SUMINISTRO E INSTALACION TEE PRESION PVC REDUCCION D=1" x 3/4"   |   Unidad: Unidad (UND)   |   Precio: $ 4.781,84</t>
  </si>
  <si>
    <t>Precio por UND. Materiales: Tee Pvc Presion Reducida 1`` X 3/4`` (1 UND), Limpiador 1/4 Pvc (0 gl), Soldadura Liquida Pvc 1/4`` (0 gl). Mano de obra: Auxiliar De Instalaciones 1 (0.03 hh), Oficial Instalaciones (0.03 hh). Equipo: Herrramienta Y Equipo Menor (10 %).  Etapa de obra: 6. Instalaciones.</t>
  </si>
  <si>
    <t>TEE PVC PRESION REDUCIDA 1`` x 3/4``</t>
  </si>
  <si>
    <t>2.04.82 · SUMINISTRO E INSTALACION TEE PRESION PVC REDUCCION D=3/4" x 1/2"   |   Unidad: Unidad (UND)   |   Precio: $ 3.099,10</t>
  </si>
  <si>
    <t>Precio por UND. Materiales: Tee Pvc Presion Reducida 3/4`` X 1/2`` (1 UND), Limpiador 1/4 Pvc (0 gl), Soldadura Liquida Pvc 1/4`` (0 gl). Mano de obra: Auxiliar De Instalaciones 1 (0.03 hh), Oficial Instalaciones (0.03 hh). Equipo: Herrramienta Y Equipo Menor (10 %).  Etapa de obra: 6. Instalaciones.</t>
  </si>
  <si>
    <t>TEE PVC PRESION REDUCIDA 3/4`` x 1/2``</t>
  </si>
  <si>
    <t>2.04.83 · SUMINISTRO E INSTALACION TEE PVC UM D= 3"x2"x2 1/2"   |   Unidad: Unidad (UND)   |   Precio: $ 77.036,27</t>
  </si>
  <si>
    <t>Precio por UND. Materiales: Tee Pvc Presion Union Platino 3`` X 2`` X 2 1/2`` (1 UND), Lubricante Tub Pvc/500gr (0.05 UND). Mano de obra: Auxiliar De Instalaciones 1 (0.15 hh), Oficial Instalaciones (0.15 hh). Equipo: Herrramienta Y Equipo Menor (10 %).  Etapa de obra: 6. Instalaciones.</t>
  </si>
  <si>
    <t>TEE PVC PRESION UNION PLATINO 3`` x 2`` x 2 1/2``</t>
  </si>
  <si>
    <t>2.04.84 · SUMINISTRO E INSTALACION TEE PVC UM D= 3"x2"x2"   |   Unidad: Unidad (UND)   |   Precio: $ 72.267,27</t>
  </si>
  <si>
    <t>Precio por UND. Materiales: Tee Pvc Presion Union Platino 3`` X 2`` X 2`` (1 UND), Lubricante Tub Pvc/500gr (0.05 UND). Mano de obra: Auxiliar De Instalaciones 1 (0.15 hh), Oficial Instalaciones (0.15 hh). Equipo: Herrramienta Y Equipo Menor (10 %).  Etapa de obra: 6. Instalaciones.</t>
  </si>
  <si>
    <t>TEE PVC PRESION UNION PLATINO 3`` x 2`` x 2``</t>
  </si>
  <si>
    <t>2.04.85 · SUMINISTRO E INSTALACION TEE PVC UM D= 3"x2"x3"   |   Unidad: Unidad (UND)   |   Precio: $ 81.208,27</t>
  </si>
  <si>
    <t>Precio por UND. Materiales: Tee Pvc Presion Union Platino 3`` X 2`` X 3`` (1 UND), Lubricante Tub Pvc/500gr (0.05 UND). Mano de obra: Auxiliar De Instalaciones 1 (0.15 hh), Oficial Instalaciones (0.15 hh). Equipo: Herrramienta Y Equipo Menor (10 %).  Etapa de obra: 6. Instalaciones.</t>
  </si>
  <si>
    <t>TEE PVC PRESION UNION PLATINO 3`` x 2`` x 3``</t>
  </si>
  <si>
    <t>2.04.86 · SUMINISTRO E INSTALACION TEE PVC UM D= 4"x2"x3"   |   Unidad: Unidad (UND)   |   Precio: $ 120.709,77</t>
  </si>
  <si>
    <t>Precio por UND. Materiales: Tee Pvc Presion Union Platino 4`` X 2`` X 3`` (1 UND), Lubricante Tub Pvc/500gr (0.06 UND). Mano de obra: Auxiliar De Instalaciones 1 (0.15 hh), Oficial Instalaciones (0.15 hh). Equipo: Herrramienta Y Equipo Menor (10 %).  Etapa de obra: 6. Instalaciones.</t>
  </si>
  <si>
    <t>TEE PVC PRESION UNION PLATINO 4`` x 2`` x 3``</t>
  </si>
  <si>
    <t>2.04.87 · SUMINISTRO E INSTALACION TEE PVC UM D= 4"x2"x4"   |   Unidad: Unidad (UND)   |   Precio: $ 128.264,77</t>
  </si>
  <si>
    <t>Precio por UND. Materiales: Tee Pvc Presion Union Platino 4`` X 2`` X 4`` (1 UND), Lubricante Tub Pvc/500gr (0.06 UND). Mano de obra: Auxiliar De Instalaciones 1 (0.15 hh), Oficial Instalaciones (0.15 hh). Equipo: Herrramienta Y Equipo Menor (10 %).  Etapa de obra: 6. Instalaciones.</t>
  </si>
  <si>
    <t>TEE PVC PRESION UNION PLATINO 4`` x 2`` x 4``</t>
  </si>
  <si>
    <t>2.04.88 · SUMINISTRO E INSTALACION TEE PVC UM D=2 1/2"x2"x2"   |   Unidad: Unidad (UND)   |   Precio: $ 64.271,27</t>
  </si>
  <si>
    <t>Precio por UND. Materiales: Tee Pvc Presion Union Platino 2 1/2`` X 2`` X 2`` (1 UND), Lubricante Tub Pvc/500gr (0.05 UND). Mano de obra: Auxiliar De Instalaciones 1 (0.15 hh), Oficial Instalaciones (0.15 hh). Equipo: Herrramienta Y Equipo Menor (10 %).  Etapa de obra: 6. Instalaciones.</t>
  </si>
  <si>
    <t>TEE PVC PRESION UNION PLATINO 2 1/2`` x 2`` x 2``</t>
  </si>
  <si>
    <t>2.04.89 · SUMINISTRO E INSTALACION TEE PVC UM D=2"x2"x2"   |   Unidad: Unidad (UND)   |   Precio: $ 44.701,77</t>
  </si>
  <si>
    <t>Precio por UND. Materiales: Tee Pvc Presion Union Platino 2`` X 2`` X 2`` (1 UND), Lubricante Tub Pvc/500gr (0.06 UND). Mano de obra: Auxiliar De Instalaciones 1 (0.15 hh), Oficial Instalaciones (0.15 hh). Equipo: Herrramienta Y Equipo Menor (10 %).  Etapa de obra: 6. Instalaciones.</t>
  </si>
  <si>
    <t>TEE PVC PRESION UNION PLATINO 2`` x 2`` x 2``</t>
  </si>
  <si>
    <t>2.04.90 · UNION PVC MECANICA D = 2 1/2"   |   Unidad: Unidad (UND)   |   Precio: $ 40.856,14</t>
  </si>
  <si>
    <t>Precio por UND. Materiales: Union Platino D = 2 1/2`` (1 UND), Lubricante Tub Pvc/500gr (0.01 UND). Mano de obra: Auxiliar De Instalaciones 1 (0.4 hh), Oficial Instalaciones (0.4 hh). Equipo: Herrramienta Y Equipo Menor (8 %).  Etapa de obra: 6. Instalaciones.</t>
  </si>
  <si>
    <t>UNION PLATINO D = 2 1/2``</t>
  </si>
  <si>
    <t>2.04.91 · UNION PVC MECANICA D = 2"   |   Unidad: Unidad (UND)   |   Precio: $ 35.084,02</t>
  </si>
  <si>
    <t>Precio por UND. Materiales: Union Platino D = 2 `` (1 UND), Lubricante Tub Pvc/500gr (0.01 UND). Mano de obra: Auxiliar De Instalaciones 1 (0.4 hh), Oficial Instalaciones (0.4 hh). Equipo: Herrramienta Y Equipo Menor (5 %).  Etapa de obra: 6. Instalaciones.</t>
  </si>
  <si>
    <t>UNION PLATINO D = 2 ``</t>
  </si>
  <si>
    <t>2.04.92 · UNION PVC MECANICA D = 10"   |   Unidad: Unidad (UND)   |   Precio: $ 510.992,41</t>
  </si>
  <si>
    <t>Precio por UND. Materiales: Union Platino D = 10`` (1 UND), Lubricante Tub Pvc/500gr (0.01 UND). Mano de obra: Auxiliar De Instalaciones 1 (0.5 hh), Oficial Instalaciones (0.5 hh). Equipo: Herrramienta Y Equipo Menor (10 %).  Etapa de obra: 6. Instalaciones.</t>
  </si>
  <si>
    <t>UNION PLATINO D = 10``</t>
  </si>
  <si>
    <t>2.04.93 · UNION PVC MECANICA D = 12"   |   Unidad: Unidad (UND)   |   Precio: $ 855.601,41</t>
  </si>
  <si>
    <t>Precio por UND. Materiales: Union Platino D = 12`` (1 UND), Lubricante Tub Pvc/500gr (0.01 UND). Mano de obra: Auxiliar De Instalaciones 1 (0.5 hh), Oficial Instalaciones (0.5 hh). Equipo: Herrramienta Y Equipo Menor (10 %).  Etapa de obra: 6. Instalaciones.</t>
  </si>
  <si>
    <t>UNION PLATINO D = 12``</t>
  </si>
  <si>
    <t>2.04.94 · UNION PVC MECANICA D = 3"   |   Unidad: Unidad (UND)   |   Precio: $ 54.754,41</t>
  </si>
  <si>
    <t>Precio por UND. Materiales: Union Platino D = 3`` (1 UND), Lubricante Tub Pvc/500gr (0.01 UND). Mano de obra: Auxiliar De Instalaciones 1 (0.5 hh), Oficial Instalaciones (0.5 hh). Equipo: Herrramienta Y Equipo Menor (10 %).  Etapa de obra: 6. Instalaciones.</t>
  </si>
  <si>
    <t>UNION PLATINO D = 3``</t>
  </si>
  <si>
    <t>2.04.95 · UNION PVC MECANICA D = 4"   |   Unidad: Unidad (UND)   |   Precio: $ 81.492,41</t>
  </si>
  <si>
    <t>Precio por UND. Materiales: Union Platino D = 4`` (1 UND), Lubricante Tub Pvc/500gr (0.01 UND). Mano de obra: Auxiliar De Instalaciones 1 (0.5 hh), Oficial Instalaciones (0.5 hh). Equipo: Herrramienta Y Equipo Menor (10 %).  Etapa de obra: 6. Instalaciones.</t>
  </si>
  <si>
    <t>UNION PLATINO D = 4``</t>
  </si>
  <si>
    <t>2.04.96 · UNION PVC MECANICA D = 6"   |   Unidad: Unidad (UND)   |   Precio: $ 169.612,41</t>
  </si>
  <si>
    <t>Precio por UND. Materiales: Union Platino D = 6`` (1 UND), Lubricante Tub Pvc/500gr (0.01 UND). Mano de obra: Auxiliar De Instalaciones 1 (0.5 hh), Oficial Instalaciones (0.5 hh). Equipo: Herrramienta Y Equipo Menor (10 %).  Etapa de obra: 6. Instalaciones.</t>
  </si>
  <si>
    <t>UNION PLATINO D = 6``</t>
  </si>
  <si>
    <t>2.04.97 · UNION PVC MECANICA D = 8"   |   Unidad: Unidad (UND)   |   Precio: $ 299.197,41</t>
  </si>
  <si>
    <t>Precio por UND. Materiales: Union Platino D = 8`` (1 UND), Lubricante Tub Pvc/500gr (0.01 UND). Mano de obra: Auxiliar De Instalaciones 1 (0.5 hh), Oficial Instalaciones (0.5 hh). Equipo: Herrramienta Y Equipo Menor (10 %).  Etapa de obra: 6. Instalaciones.</t>
  </si>
  <si>
    <t>UNION PLATINO D = 8``</t>
  </si>
  <si>
    <t>Capítulo 2.05 · TUBERIA SANITARIA PVC - ALCANTARILLADO Y DESAGÜE</t>
  </si>
  <si>
    <t>75 actividades. Cada tabla lista los insumos de una actividad por unidad de obra.</t>
  </si>
  <si>
    <t>2.05.01 · ARO - TAPA EN HF - TIPO LIVIANO   |   Unidad: Unidad (UND)   |   Precio: $ 215.000,00</t>
  </si>
  <si>
    <t>Precio por UND. Materiales: Aro - Tapa En Hf - Tipo Liviano (1 UND).  Etapa de obra: 6. Instalaciones.</t>
  </si>
  <si>
    <t>2.05.02 · BASE Y CAÑUELA, CONCRETO 17.5 MPa - (2500 PSI)   |   Unidad: Metro cúbico (M3)   |   Precio: $ 622.647,86</t>
  </si>
  <si>
    <t>Precio por M3. Materiales: Concreto 1:2:4 17.5 Mpa (1 M3). Mano de obra: Auxiliar De Obra 2 (7 hh), Oficial Obra 1 (7 hh). Equipo: Herrramienta Y Equipo Menor (0.3 %).  Etapa de obra: 6. Instalaciones.</t>
  </si>
  <si>
    <t>2.05.03 · POZO DE INSPECCIÓN, DIAMETRO INTERIOR 1.0m H &lt;1.0m   |   Unidad: Unidad (UND)   |   Precio: $ 1.124.303,43</t>
  </si>
  <si>
    <t>Precio por UND. Materiales: Suministro E Instalacion De Concreto Simple De 17.5 Mpa  Para Elevaciones (0.26 M3), Aro - Tapa En Hf - Tipo Liviano (1 UND), Mampostería Ladrillo Tolete Comun E=0.25 M (3.1 M2), Pasos Uña De Gato D=5/8" (3 UND). Mano de obra: Auxiliar De Obra 1 (1.33 jr), Oficial Obra 2 (1.33 jr). Equipo: Herrramienta Y Equipo Menor (6.8 %).  Etapa de obra: 6. Instalaciones.</t>
  </si>
  <si>
    <t>2.05.04 · POZO DE INSPECCIÓN, DIÁMETRO INTERIOR 1.2 M , 2.0 &lt; H &lt; 2.5   |   Unidad: Unidad (UND)   |   Precio: $ 2.312.167,88</t>
  </si>
  <si>
    <t>Precio por UND. Materiales: Aro - Tapa En Hf - Tipo Liviano (1 UND), Mampostería Ladrillo Tolete Comun E=0.25 M (9.5 M2), Pasos Uña De Gato D=5/8" (5 UND), Suministro E Instalacion De Concreto Simple De 17.5 Mpa  Para Bases (0.35 M3). Mano de obra: Auxiliar De Obra 1 (2.5 jr), Oficial Obra 2 (2.5 jr). Equipo: Herrramienta Y Equipo Menor (6.8 %).  Etapa de obra: 6. Instalaciones.</t>
  </si>
  <si>
    <t>2.05.05 · POZO DE INSPECCIÓN, DIÁMETRO INTERIOR 1.2 M, 1.50 &lt; H &lt; 2.00   |   Unidad: Unidad (UND)   |   Precio: $ 1.772.055,49</t>
  </si>
  <si>
    <t>Precio por UND. Materiales: Aro - Tapa En Hf - Tipo Liviano (1 UND), Mampostería Ladrillo Tolete Comun E=0.25 M (5.7 M2), Pasos Uña De Gato D=5/8" (5 UND), Suministro E Instalacion De Concreto Simple De 17.5 Mpa  Para Bases (0.35 M3). Mano de obra: Auxiliar De Obra 1 (2.5 jr), Oficial Obra 2 (2.5 jr). Equipo: Herrramienta Y Equipo Menor (6.8 %).  Etapa de obra: 6. Instalaciones.</t>
  </si>
  <si>
    <t>2.05.06 · POZO DE INSPECCIÓN, DIAMETRO INTERIOR 1.2m, 1.0&lt; H &lt;1.5m   |   Unidad: Unidad (UND)   |   Precio: $ 1.179.515,21</t>
  </si>
  <si>
    <t>Precio por UND. Materiales: Aro - Tapa En Hf - Tipo Liviano (1 UND), Mampostería Ladrillo Tolete Comun E=0.25 M (3.1 M2), Pasos Uña De Gato D=5/8" (3 UND), Suministro E Instalacion De Concreto Simple De 17.5 Mpa  Para Bases (0.35 M3). Mano de obra: Auxiliar De Obra 1 (1.5 jr), Oficial Obra 2 (1.5 jr). Equipo: Herrramienta Y Equipo Menor (6.8 %).  Etapa de obra: 6. Instalaciones.</t>
  </si>
  <si>
    <t>2.05.07 · POZO DE INSPECCIÓN, DIÁMETRO INTERIOR 1.5 M, 2.5 &lt; H &lt; 3.5   |   Unidad: Unidad (UND)   |   Precio: $ 3.538.488,86</t>
  </si>
  <si>
    <t>Precio por UND. Materiales: Suministro E Instalacion De Concreto Simple De 17.5 Mpa  Para Elevaciones (0.5 M3), Aro - Tapa En Hf - Tipo Liviano (1 UND), Mampostería Ladrillo Tolete Comun E=0.25 M (16.9 M2), Pasos Uña De Gato D=5/8" (11 UND). Mano de obra: Auxiliar De Obra 1 (2.5 jr), Oficial Obra 2 (2.5 jr). Equipo: Herrramienta Y Equipo Menor (6.6 %).  Etapa de obra: 6. Instalaciones.</t>
  </si>
  <si>
    <t>2.05.08 · PUNTO DE DESAGUES D=2"   |   Unidad: Unidad (UND)   |   Precio: $ 44.109,63</t>
  </si>
  <si>
    <t>Precio por UND. Materiales: Codo Pvc 90° 2" Sanit (2 UND), Codo Pvc 45° 2" Sanit (2 UND), Tubería Pvc 2" Sanit (1.2 ML), Limpiador 1/4 Pvc (0.1 gl) y 1 más. Mano de obra: Auxiliar De Instalaciones 1 (0.4 hh), Oficial Instalaciones (0.4 hh). Equipo: Herrramienta Y Equipo Menor (5 %).  Etapa de obra: 6. Instalaciones.</t>
  </si>
  <si>
    <t>CODO PVC 90° 2" SANIT</t>
  </si>
  <si>
    <t>CODO PVC 45° 2" SANIT</t>
  </si>
  <si>
    <t>TUBERÍA PVC 2" SANIT</t>
  </si>
  <si>
    <t>2.05.09 · PUNTO DE DESAGUES PVC 3" Y 4"   |   Unidad: Unidad (UND)   |   Precio: $ 88.036,72</t>
  </si>
  <si>
    <t>Precio por UND. Materiales: Tubería Pvc 3`` Sanit (1 ML), Tubería Pvc 4`` Sanit (0.5 ML), Codo C X C 90° Pvc-S 3" (3 UND), Codo Pvc 90° 4" Sanit (2 UND) y 2 más. Mano de obra: Auxiliar De Instalaciones 1 (0.4 hh), Oficial Instalaciones (0.4 hh). Equipo: Herrramienta Y Equipo Menor (5 %).  Etapa de obra: 6. Instalaciones.</t>
  </si>
  <si>
    <t>2.05.10 · SUMINISTRO E INSTALACION ADAPTADOR DE LIMPIEZA PVC SANITARIA D=2"   |   Unidad: Unidad (UND)   |   Precio: $ 7.282,53</t>
  </si>
  <si>
    <t>Precio por UND. Materiales: Adaptador De Limpieza Pvc Sanitario 2" (1 UND), Limpiador 1/4 Pvc (0 gl), Soldadura Liquida Pvc 1/4`` (0 gl). Mano de obra: Auxiliar De Instalaciones 1 (0.02 hh), Oficial Instalaciones (0.02 hh). Equipo: Herrramienta Y Equipo Menor (3.4 %).  Etapa de obra: 6. Instalaciones.</t>
  </si>
  <si>
    <t>ADAPTADOR DE LIMPIEZA PVC SANITARIO 2"</t>
  </si>
  <si>
    <t>2.05.11 · SUMINISTRO E INSTALACION ADAPTADOR DE LIMPIEZA PVC SANITARIA D=3"   |   Unidad: Unidad (UND)   |   Precio: $ 15.961,38</t>
  </si>
  <si>
    <t>Precio por UND. Materiales: Adaptador De Limpieza Pvc Sanitario 3" (1 UND), Limpiador 1/4 Pvc (0.02 gl), Soldadura Liquida Pvc 1/4`` (0.02 gl). Mano de obra: Auxiliar De Instalaciones 1 (0.02 hh), Oficial Instalaciones (0.02 hh). Equipo: Herrramienta Y Equipo Menor (3.4 %).  Etapa de obra: 6. Instalaciones.</t>
  </si>
  <si>
    <t>ADAPTADOR DE LIMPIEZA PVC SANITARIO 3"</t>
  </si>
  <si>
    <t>2.05.12 · SUMINISTRO E INSTALACION ADAPTADOR DE LIMPIEZA PVC SANITARIA D=4"   |   Unidad: Unidad (UND)   |   Precio: $ 23.397,02</t>
  </si>
  <si>
    <t>Precio por UND. Materiales: Adaptador De Limpieza Pvc Sanitario 4" (1 UND), Limpiador 1/4 Pvc (0.03 gl), Soldadura Liquida Pvc 1/4`` (0.03 gl). Mano de obra: Auxiliar De Instalaciones 1 (0.02 hh), Oficial Instalaciones (0.02 hh). Equipo: Herrramienta Y Equipo Menor (3.4 %).  Etapa de obra: 6. Instalaciones.</t>
  </si>
  <si>
    <t>ADAPTADOR DE LIMPIEZA PVC SANITARIO 4"</t>
  </si>
  <si>
    <t>2.05.13 · SUMINISTRO E INSTALACION ADAPTADOR DE LIMPIEZA PVC SANITARIA D=6"   |   Unidad: Unidad (UND)   |   Precio: $ 58.744,97</t>
  </si>
  <si>
    <t>Precio por UND. Materiales: Adaptador De Limpieza Pvc Sanitario 6`` (1 UND), Limpiador 1/4 Pvc (0.04 gl), Soldadura Liquida Pvc 1/4`` (0.04 gl). Mano de obra: Auxiliar De Instalaciones 1 (0.05 hh), Oficial Instalaciones (0.05 hh). Equipo: Herrramienta Y Equipo Menor (3.4 %).  Etapa de obra: 6. Instalaciones.</t>
  </si>
  <si>
    <t>ADAPTADOR DE LIMPIEZA PVC SANITARIO 6``</t>
  </si>
  <si>
    <t>2.05.14 · SUMINISTRO E INSTALACIÓN CAMARA DE INSPECCIÓN 1000mm 90° POLIETILENO DN=200mm   |   Unidad: Unidad (UND)   |   Precio: $ 2.287.544,75</t>
  </si>
  <si>
    <t>Precio por UND. Materiales: Base Camara De Inspección 1000mm 90° Polietileno Dn=200mm (1 UND). Mano de obra: Auxiliar De Instalaciones 1 (3 hh), Oficial Instalaciones (1.5 hh). Equipo: Herrramienta Y Equipo Menor (10 %).  Etapa de obra: 6. Instalaciones.</t>
  </si>
  <si>
    <t>BASE CAMARA DE INSPECCIÓN 1000mm 90° POLIETILENO DN=200mm</t>
  </si>
  <si>
    <t>2.05.15 · SUMINISTRO E INSTALACIÓN CAMARA DE INSPECCIÓN 1000mm 90° POLIETILENO DN=250mm   |   Unidad: Unidad (UND)   |   Precio: $ 2.429.108,75</t>
  </si>
  <si>
    <t>Precio por UND. Materiales: Base Camara De Inspección 1000mm 90° Polietileno Dn=250mm (1 UND). Mano de obra: Auxiliar De Instalaciones 1 (3 hh), Oficial Instalaciones (1.5 hh). Equipo: Herrramienta Y Equipo Menor (10 %).  Etapa de obra: 6. Instalaciones.</t>
  </si>
  <si>
    <t>BASE CAMARA DE INSPECCIÓN 1000mm 90° POLIETILENO DN=250mm</t>
  </si>
  <si>
    <t>2.05.16 · SUMINISTRO E INSTALACIÓN CAMARA DE INSPECCIÓN 1000mm 90° POLIETILENO DN=315mm   |   Unidad: Unidad (UND)   |   Precio: $ 2.507.635,75</t>
  </si>
  <si>
    <t>Precio por UND. Materiales: Base Camara De Inspección 1000mm 90° Polietileno Dn=315mm (1 UND). Mano de obra: Auxiliar De Instalaciones 1 (3 hh), Oficial Instalaciones (1.5 hh). Equipo: Herrramienta Y Equipo Menor (10 %).  Etapa de obra: 6. Instalaciones.</t>
  </si>
  <si>
    <t>BASE CAMARA DE INSPECCIÓN 1000mm 90° POLIETILENO DN=315mm</t>
  </si>
  <si>
    <t>2.05.17 · SUMINISTRO E INSTALACIÓN CAMARA DE INSPECCIÓN 1000mm BASE RECTA POLIETILENO DN=200mm   |   Unidad: Unidad (UND)   |   Precio: $ 2.286.780,75</t>
  </si>
  <si>
    <t>Precio por UND. Materiales: Base Camara De Inspeccion 1000mm Recta Polietileno Dn=200mm (1 UND). Mano de obra: Auxiliar De Instalaciones 1 (3 hh), Oficial Instalaciones (1.5 hh). Equipo: Herrramienta Y Equipo Menor (10 %).  Etapa de obra: 6. Instalaciones.</t>
  </si>
  <si>
    <t>BASE CAMARA DE INSPECCION 1000mm RECTA POLIETILENO DN=200mm</t>
  </si>
  <si>
    <t>2.05.18 · SUMINISTRO E INSTALACIÓN CAMARA DE INSPECCIÓN 1000mm BASE RECTA POLIETILENO DN=250mm   |   Unidad: Unidad (UND)   |   Precio: $ 2.380.576,75</t>
  </si>
  <si>
    <t>Precio por UND. Materiales: Base Camara De Inspeccion 1000mm Recta Polietileno Dn=250mm (1 UND). Mano de obra: Auxiliar De Instalaciones 1 (3 hh), Oficial Instalaciones (1.5 hh). Equipo: Herrramienta Y Equipo Menor (10 %).  Etapa de obra: 6. Instalaciones.</t>
  </si>
  <si>
    <t>BASE CAMARA DE INSPECCION 1000mm RECTA POLIETILENO DN=250mm</t>
  </si>
  <si>
    <t>2.05.19 · SUMINISTRO E INSTALACIÓN CAMARA DE INSPECCIÓN 1000mm BASE RECTA POLIETILENO DN=315mm   |   Unidad: Unidad (UND)   |   Precio: $ 2.506.576,75</t>
  </si>
  <si>
    <t>Precio por UND. Materiales: Base Camara De Inspeccion 1000mm Recta Polietileno Dn=315mm (1 UND). Mano de obra: Auxiliar De Instalaciones 1 (3 hh), Oficial Instalaciones (1.5 hh). Equipo: Herrramienta Y Equipo Menor (10 %).  Etapa de obra: 6. Instalaciones.</t>
  </si>
  <si>
    <t>BASE CAMARA DE INSPECCION 1000mm RECTA POLIETILENO DN=315mm</t>
  </si>
  <si>
    <t>2.05.20 · SUMINISTRO E INSTALACIÓN CAMARA DE INSPECCIÓN 1000mm DOBLE TEE POLIETILENO DN=200mm   |   Unidad: Unidad (UND)   |   Precio: $ 2.622.435,75</t>
  </si>
  <si>
    <t>Precio por UND. Materiales: Base Camara De Inspección 1000mm Doble Tee Polietileno Dn=200mm (1 UND). Mano de obra: Auxiliar De Instalaciones 1 (3 hh), Oficial Instalaciones (1.5 hh). Equipo: Herrramienta Y Equipo Menor (10 %).  Etapa de obra: 6. Instalaciones.</t>
  </si>
  <si>
    <t>BASE CAMARA DE INSPECCIÓN 1000mm DOBLE TEE POLIETILENO DN=200mm</t>
  </si>
  <si>
    <t>2.05.21 · SUMINISTRO E INSTALACIÓN CAMARA DE INSPECCIÓN 1000mm DOBLE TEE POLIETILENO DN=250mm   |   Unidad: Unidad (UND)   |   Precio: $ 2.907.445,75</t>
  </si>
  <si>
    <t>Precio por UND. Materiales: Base Camara De Inspección 1000mm Doble Tee Polietileno Dn=250mm (1 UND). Mano de obra: Auxiliar De Instalaciones 1 (3 hh), Oficial Instalaciones (1.5 hh). Equipo: Herrramienta Y Equipo Menor (10 %).  Etapa de obra: 6. Instalaciones.</t>
  </si>
  <si>
    <t>BASE CAMARA DE INSPECCIÓN 1000mm DOBLE TEE POLIETILENO DN=250mm</t>
  </si>
  <si>
    <t>2.05.22 · SUMINISTRO E INSTALACIÓN CAMARA DE INSPECCIÓN 1000mm DOBLE TEE POLIETILENO DN=315mm   |   Unidad: Unidad (UND)   |   Precio: $ 3.062.020,75</t>
  </si>
  <si>
    <t>Precio por UND. Materiales: Base Camara De Inspección 1000mm Doble Tee Polietileno Dn=315mm (1 UND). Mano de obra: Auxiliar De Instalaciones 1 (3 hh), Oficial Instalaciones (1.5 hh). Equipo: Herrramienta Y Equipo Menor (10 %).  Etapa de obra: 6. Instalaciones.</t>
  </si>
  <si>
    <t>BASE CAMARA DE INSPECCIÓN 1000mm DOBLE TEE POLIETILENO DN=315mm</t>
  </si>
  <si>
    <t>2.05.23 · SUMINISTRO E INSTALACIÓN CAMARA DE INSPECCIÓN 1000mm INICIAL POLIETILENO DN=200mm   |   Unidad: Unidad (UND)   |   Precio: $ 2.165.874,75</t>
  </si>
  <si>
    <t>Precio por UND. Materiales: Base Camara De Inspeccion 1000mm Inicial Polietileno Dn=200mm (1 UND). Mano de obra: Auxiliar De Instalaciones 1 (3 hh), Oficial Instalaciones (1.5 hh). Equipo: Herrramienta Y Equipo Menor (10 %).  Etapa de obra: 6. Instalaciones.</t>
  </si>
  <si>
    <t>BASE CAMARA DE INsPECCION 1000mm INICIAL POLIETILENO DN=200mm</t>
  </si>
  <si>
    <t>2.05.24 · SUMINISTRO E INSTALACIÓN CAMARA DE INSPECCIÓN 1000mm INICIAL POLIETILENO DN=250mm   |   Unidad: Unidad (UND)   |   Precio: $ 2.190.428,75</t>
  </si>
  <si>
    <t>Precio por UND. Materiales: Base Camara De Inspeccion 1000mm Inicial Polietileno Dn=250mm (1 UND). Mano de obra: Auxiliar De Instalaciones 1 (3 hh), Oficial Instalaciones (1.5 hh). Equipo: Herrramienta Y Equipo Menor (10 %).  Etapa de obra: 6. Instalaciones.</t>
  </si>
  <si>
    <t>BASE CAMARA DE INsPECCION 1000mm INICIAL POLIETILENO DN=250mm</t>
  </si>
  <si>
    <t>2.05.25 · SUMINISTRO E INSTALACIÓN CAMARA DE INSPECCIÓN 1000mm INICIAL POLIETILENO DN=315mm   |   Unidad: Unidad (UND)   |   Precio: $ 2.247.626,75</t>
  </si>
  <si>
    <t>Precio por UND. Materiales: Base Camara De Inspeccion 1000mm Inicial Polietileno Dn=315mm (1 UND). Mano de obra: Auxiliar De Instalaciones 1 (3 hh), Oficial Instalaciones (1.5 hh). Equipo: Herrramienta Y Equipo Menor (10 %).  Etapa de obra: 6. Instalaciones.</t>
  </si>
  <si>
    <t>BASE CAMARA DE INSPECCION 1000mm INICIAL POLIETILENO DN=315mm</t>
  </si>
  <si>
    <t>2.05.26 · SUMINISTRO E INSTALACIÓN CAMARA DE INSPECCIÓN 1000mm TEE POLIETILENO DN=200mm   |   Unidad: Unidad (UND)   |   Precio: $ 2.505.701,75</t>
  </si>
  <si>
    <t>Precio por UND. Materiales: Base Camara De Inspección 1000mm Tee Polietileno Dn=200mm (1 UND). Mano de obra: Auxiliar De Instalaciones 1 (3 hh), Oficial Instalaciones (1.5 hh). Equipo: Herrramienta Y Equipo Menor (10 %).  Etapa de obra: 6. Instalaciones.</t>
  </si>
  <si>
    <t>BASE CAMARA DE INSPECCIÓN 1000mm TEE POLIETILENO DN=200mm</t>
  </si>
  <si>
    <t>2.05.27 · SUMINISTRO E INSTALACIÓN CAMARA DE INSPECCIÓN 1000mm TEE POLIETILENO DN=250mm   |   Unidad: Unidad (UND)   |   Precio: $ 2.740.491,75</t>
  </si>
  <si>
    <t>Precio por UND. Materiales: Base Camara De Inspección 1000mm Tee Polietileno Dn=250mm (1 UND). Mano de obra: Auxiliar De Instalaciones 1 (3 hh), Oficial Instalaciones (1.5 hh). Equipo: Herrramienta Y Equipo Menor (10 %).  Etapa de obra: 6. Instalaciones.</t>
  </si>
  <si>
    <t>BASE CAMARA DE INSPECCIÓN 1000mm TEE POLIETILENO DN=250mm</t>
  </si>
  <si>
    <t>2.05.28 · SUMINISTRO E INSTALACIÓN CAMARA DE INSPECCIÓN 1000mm TEE POLIETILENO DN=315mm   |   Unidad: Unidad (UND)   |   Precio: $ 2.868.249,75</t>
  </si>
  <si>
    <t>Precio por UND. Materiales: Base Camara De Inspección 1000mm Tee Polietileno Dn=315mm (1 UND). Mano de obra: Auxiliar De Instalaciones 1 (3 hh), Oficial Instalaciones (1.5 hh). Equipo: Herrramienta Y Equipo Menor (10 %).  Etapa de obra: 6. Instalaciones.</t>
  </si>
  <si>
    <t>BASE CAMARA DE INSPECCIÓN 1000mm TEE POLIETILENO DN=315mm</t>
  </si>
  <si>
    <t>2.05.29 · SUMINISTRO E INSTALACIÓN CAMARA DE INSPECCIÓN 1000mm TEE POLIETILENO DN=315mm   |   Unidad: Unidad (UND)   |   Precio: $ 2.868.249,75</t>
  </si>
  <si>
    <t>2.05.30 · SUMINISTRO E INSTALACION CODO PVC SANITARIO D=10"   |   Unidad: Unidad (UND)   |   Precio: $ 546.141,41</t>
  </si>
  <si>
    <t>Precio por UND. Materiales: Codo Pvc 90° 1/4`` C X C Sanitario D=10`` (1 UND), Limpiador 1/4 Pvc (0 gl), Soldadura Liquida Pvc 1/4`` (0 gl). Mano de obra: Auxiliar De Instalaciones 1 (0.05 hh), Oficial Instalaciones (0.05 hh). Equipo: Herrramienta Y Equipo Menor (3.4 %).  Etapa de obra: 6. Instalaciones.</t>
  </si>
  <si>
    <t>CODO PVC 90° 1/4`` C X C SANITARIO D=10``</t>
  </si>
  <si>
    <t>2.05.31 · SUMINISTRO E INSTALACION CODO PVC SANITARIO D=2"   |   Unidad: Unidad (UND)   |   Precio: $ 4.866,41</t>
  </si>
  <si>
    <t>Precio por UND. Materiales: Codo Pvc 90° 1/4`` C X C Sanitario D=2`` (1 UND), Limpiador 1/4 Pvc (0 gl), Soldadura Liquida Pvc 1/4`` (0 gl). Mano de obra: Auxiliar De Instalaciones 1 (0.05 hh), Oficial Instalaciones (0.05 hh). Equipo: Herrramienta Y Equipo Menor (3.4 %).  Etapa de obra: 6. Instalaciones.</t>
  </si>
  <si>
    <t>CODO PVC 90° 1/4`` C X C SANITARIO D=2``</t>
  </si>
  <si>
    <t>2.05.32 · SUMINISTRO E INSTALACION CODO PVC SANITARIO D=3"   |   Unidad: Unidad (UND)   |   Precio: $ 8.890,91</t>
  </si>
  <si>
    <t>Precio por UND. Materiales: Codo Pvc 90° 1/4`` C X C Sanitario D=3`` (1 UND), Limpiador 1/4 Pvc (0 gl), Soldadura Liquida Pvc 1/4`` (0 gl). Mano de obra: Auxiliar De Instalaciones 1 (0.05 hh), Oficial Instalaciones (0.05 hh). Equipo: Herrramienta Y Equipo Menor (3.4 %).  Etapa de obra: 6. Instalaciones.</t>
  </si>
  <si>
    <t>CODO PVC 90° 1/4`` C X C SANITARIO D=3``</t>
  </si>
  <si>
    <t>2.05.33 · SUMINISTRO E INSTALACION CODO PVC SANITARIO D=4"   |   Unidad: Unidad (UND)   |   Precio: $ 14.008,41</t>
  </si>
  <si>
    <t>Precio por UND. Materiales: Codo Pvc 90° 1/4`` C X C Sanitario D=4`` (1 UND), Limpiador 1/4 Pvc (0 gl), Soldadura Liquida Pvc 1/4`` (0 gl). Mano de obra: Auxiliar De Instalaciones 1 (0.05 hh), Oficial Instalaciones (0.05 hh). Equipo: Herrramienta Y Equipo Menor (3.4 %).  Etapa de obra: 6. Instalaciones.</t>
  </si>
  <si>
    <t>CODO PVC 90° 1/4`` C X C SANITARIO D=4``</t>
  </si>
  <si>
    <t>2.05.34 · SUMINISTRO E INSTALACION CODO PVC SANITARIO D=6"   |   Unidad: Unidad (UND)   |   Precio: $ 112.823,17</t>
  </si>
  <si>
    <t>Precio por UND. Materiales: Codo Pvc 90° 1/4`` C X C Sanitario D=6`` (1 UND), Limpiador 1/4 Pvc (0.04 gl), Soldadura Liquida Pvc 1/4`` (0.04 gl). Mano de obra: Auxiliar De Instalaciones 1 (0.16 hh), Oficial Instalaciones (0.16 hh). Equipo: Herrramienta Y Equipo Menor (3.4 %).  Etapa de obra: 6. Instalaciones.</t>
  </si>
  <si>
    <t>CODO PVC 90° 1/4`` C X C SANITARIO D=6``</t>
  </si>
  <si>
    <t>2.05.35 · SUMINISTRO E INSTALACION CODO PVC SANITARIO D=8"   |   Unidad: Unidad (UND)   |   Precio: $ 181.936,41</t>
  </si>
  <si>
    <t>Precio por UND. Materiales: Codo Pvc 90° 1/4`` C X C Sanitario D=8`` (1 UND), Limpiador 1/4 Pvc (0 gl), Soldadura Liquida Pvc 1/4`` (0 gl). Mano de obra: Auxiliar De Instalaciones 1 (0.05 hh), Oficial Instalaciones (0.05 hh). Equipo: Herrramienta Y Equipo Menor (3.4 %).  Etapa de obra: 6. Instalaciones.</t>
  </si>
  <si>
    <t>CODO PVC 90° 1/4`` C X C SANITARIO D=8``</t>
  </si>
  <si>
    <t>2.05.36 · SUMINISTRO E INSTALACIÓN ELEVADOR CÁMARA 1000mm CONCÉNTRICO   |   Unidad: Unidad (UND)   |   Precio: $ 839.647,58</t>
  </si>
  <si>
    <t>Precio por UND. Materiales: Cono Camara 1000 Concentrico (1 UND), Lubricante Tub Pvc/500gr (0.8 UND). Mano de obra: Auxiliar De Instalaciones 1 (1 hh), Oficial Instalaciones (0.5 hh). Equipo: Herrramienta Y Equipo Menor (10 %).  Etapa de obra: 6. Instalaciones.</t>
  </si>
  <si>
    <t>CONO CAMARA 1000 CONCENTRICO</t>
  </si>
  <si>
    <t>2.05.37 · SUMINISTRO E INSTALACIÓN ELEVADOR CÁMARA 1000mm EXCÉNTRICO   |   Unidad: Unidad (UND)   |   Precio: $ 858.998,58</t>
  </si>
  <si>
    <t>Precio por UND. Materiales: Cono Camara 1000 Excentrico (1 UND), Lubricante Tub Pvc/500gr (0.8 UND). Mano de obra: Auxiliar De Instalaciones 1 (1 hh), Oficial Instalaciones (0.5 hh). Equipo: Herrramienta Y Equipo Menor (10 %).  Etapa de obra: 6. Instalaciones.</t>
  </si>
  <si>
    <t>CONO CAMARA 1000 EXCENTRICO</t>
  </si>
  <si>
    <t>2.05.38 · SUMINISTRO E INSTALACIÓN ELEVADOR CÁMARA 1000mm X 1000mm   |   Unidad: Unidad (UND)   |   Precio: $ 1.180.297,75</t>
  </si>
  <si>
    <t>Precio por UND. Materiales: Elevador Cámara De Inspeccion 1000mm X 1000 Mm (1 UND), Lubricante Tub Pvc/500gr (0.8 UND). Mano de obra: Auxiliar De Instalaciones 1 (3 hh), Oficial Instalaciones (1.5 hh). Equipo: Herrramienta Y Equipo Menor (10 %).  Etapa de obra: 6. Instalaciones.</t>
  </si>
  <si>
    <t>ELEVADOR CÁMARA DE INSPECCION 1000mm X 1000 mm</t>
  </si>
  <si>
    <t>2.05.39 · SUMINISTRO E INSTALACIÓN ELEVADOR CÁMARA 1000mm X 1250mm   |   Unidad: Unidad (UND)   |   Precio: $ 1.352.318,75</t>
  </si>
  <si>
    <t>Precio por UND. Materiales: Elevador Cámara De Inspeccion 1000mm X 1250 Mm (1 UND), Lubricante Tub Pvc/500gr (0.8 UND). Mano de obra: Auxiliar De Instalaciones 1 (3 hh), Oficial Instalaciones (1.5 hh). Equipo: Herrramienta Y Equipo Menor (10 %).  Etapa de obra: 6. Instalaciones.</t>
  </si>
  <si>
    <t>ELEVADOR CÁMARA DE INSPECCION 1000mm X 1250 mm</t>
  </si>
  <si>
    <t>2.05.40 · SUMINISTRO E INSTALACIÓN ELEVADOR CÁMARA 1000mm X 1500mm   |   Unidad: Unidad (UND)   |   Precio: $ 1.504.331,75</t>
  </si>
  <si>
    <t>Precio por UND. Materiales: Elevador Cámara De Inspeccion 1000mm X 1500 Mm (1 UND), Lubricante Tub Pvc/500gr (0.8 UND). Mano de obra: Auxiliar De Instalaciones 1 (3 hh), Oficial Instalaciones (1.5 hh). Equipo: Herrramienta Y Equipo Menor (10 %).  Etapa de obra: 6. Instalaciones.</t>
  </si>
  <si>
    <t>ELEVADOR CÁMARA DE INSPECCION 1000mm X 1500 mm</t>
  </si>
  <si>
    <t>2.05.41 · SUMINISTRO E INSTALACIÓN ELEVADOR CÁMARA 1000mm X 1750mm   |   Unidad: Unidad (UND)   |   Precio: $ 1.689.516,75</t>
  </si>
  <si>
    <t>Precio por UND. Materiales: Elevador Cámara De Inspeccion 1000mm X 1750 Mm (1 UND), Lubricante Tub Pvc/500gr (0.8 UND). Mano de obra: Auxiliar De Instalaciones 1 (3 hh), Oficial Instalaciones (1.5 hh). Equipo: Herrramienta Y Equipo Menor (10 %).  Etapa de obra: 6. Instalaciones.</t>
  </si>
  <si>
    <t>ELEVADOR CÁMARA DE INSPECCION 1000mm X 1750 mm</t>
  </si>
  <si>
    <t>2.05.42 · SUMINISTRO E INSTALACIÓN ELEVADOR CÁMARA 1000mm X 2000mm   |   Unidad: Unidad (UND)   |   Precio: $ 1.841.553,75</t>
  </si>
  <si>
    <t>Precio por UND. Materiales: Elevador Cámara De Inspeccion 1000mm X 2000 Mm (1 UND), Lubricante Tub Pvc/500gr (0.8 UND). Mano de obra: Auxiliar De Instalaciones 1 (3 hh), Oficial Instalaciones (1.5 hh). Equipo: Herrramienta Y Equipo Menor (10 %).  Etapa de obra: 6. Instalaciones.</t>
  </si>
  <si>
    <t>ELEVADOR CÁMARA DE INSPECCION 1000mm X 2000 mm</t>
  </si>
  <si>
    <t>2.05.43 · SUMINISTRO E INSTALACIÓN ELEVADOR CÁMARA 1000mm X 2500mm   |   Unidad: Unidad (UND)   |   Precio: $ 2.136.044,75</t>
  </si>
  <si>
    <t>Precio por UND. Materiales: Elevador Cámara De Inspeccion 1000mm X 2500 Mm (1 UND), Lubricante Tub Pvc/500gr (0.8 UND). Mano de obra: Auxiliar De Instalaciones 1 (3 hh), Oficial Instalaciones (1.5 hh). Equipo: Herrramienta Y Equipo Menor (10 %).  Etapa de obra: 6. Instalaciones.</t>
  </si>
  <si>
    <t>ELEVADOR CÁMARA DE INSPECCION 1000mm X 2500 mm</t>
  </si>
  <si>
    <t>2.05.44 · SUMINISTRO E INSTALACIÓN ELEVADOR CÁMARA 1000mm X 3000mm   |   Unidad: Unidad (UND)   |   Precio: $ 2.516.379,75</t>
  </si>
  <si>
    <t>Precio por UND. Materiales: Elevador Cámara De Inspeccion 1000mm X 3000 Mm (1 UND), Lubricante Tub Pvc/500gr (0.8 UND). Mano de obra: Auxiliar De Instalaciones 1 (3 hh), Oficial Instalaciones (1.5 hh). Equipo: Herrramienta Y Equipo Menor (10 %).  Etapa de obra: 6. Instalaciones.</t>
  </si>
  <si>
    <t>ELEVADOR CÁMARA DE INSPECCION 1000mm X 3000 mm</t>
  </si>
  <si>
    <t>2.05.45 · SUMINISTRO E INSTALACIÓN ELEVADOR CÁMARA 1000mm X 3250mm   |   Unidad: Unidad (UND)   |   Precio: $ 2.668.412,75</t>
  </si>
  <si>
    <t>Precio por UND. Materiales: Elevador Cámara De Inspeccion 1000mm X 3250 Mm (1 UND), Lubricante Tub Pvc/500gr (0.8 UND). Mano de obra: Auxiliar De Instalaciones 1 (3 hh), Oficial Instalaciones (1.5 hh). Equipo: Herrramienta Y Equipo Menor (10 %).  Etapa de obra: 6. Instalaciones.</t>
  </si>
  <si>
    <t>ELEVADOR CÁMARA DE INSPECCION 1000mm X 3250 mm</t>
  </si>
  <si>
    <t>2.05.46 · SUMINISTRO E INSTALACIÓN ELEVADOR CÁMARA 1000mm X 3500mm   |   Unidad: Unidad (UND)   |   Precio: $ 3.020.140,75</t>
  </si>
  <si>
    <t>Precio por UND. Materiales: Elevador Cámara De Inspeccion 1000mm X 3500 Mm (1 UND), Lubricante Tub Pvc/500gr (0.8 UND). Mano de obra: Auxiliar De Instalaciones 1 (3 hh), Oficial Instalaciones (1.5 hh). Equipo: Herrramienta Y Equipo Menor (10 %).  Etapa de obra: 6. Instalaciones.</t>
  </si>
  <si>
    <t>ELEVADOR CÁMARA DE INSPECCION 1000mm X 3500 mm</t>
  </si>
  <si>
    <t>2.05.47 · SUMINISTRO E INSTALACIÓN ELEVADOR CÁMARA 1000mm X 3750mm   |   Unidad: Unidad (UND)   |   Precio: $ 3.172.161,75</t>
  </si>
  <si>
    <t>Precio por UND. Materiales: Elevador Cámara De Inspeccion 1000mm X 3750 Mm (1 UND), Lubricante Tub Pvc/500gr (0.8 UND). Mano de obra: Auxiliar De Instalaciones 1 (3 hh), Oficial Instalaciones (1.5 hh). Equipo: Herrramienta Y Equipo Menor (10 %).  Etapa de obra: 6. Instalaciones.</t>
  </si>
  <si>
    <t>ELEVADOR CÁMARA DE INSPECCION 1000mm X 3750 mm</t>
  </si>
  <si>
    <t>2.05.48 · SUMINISTRO E INSTALACIÓN ELEVADOR CÁMARA 1000mm X 400 mm   |   Unidad: Unidad (UND)   |   Precio: $ 766.294,75</t>
  </si>
  <si>
    <t>Precio por UND. Materiales: Elevador Cámara De Inspeccion 1000mm X 400 Mm (1 UND), Lubricante Tub Pvc/500gr (0.8 UND). Mano de obra: Auxiliar De Instalaciones 1 (3 hh), Oficial Instalaciones (1.5 hh). Equipo: Herrramienta Y Equipo Menor (10 %).  Etapa de obra: 6. Instalaciones.</t>
  </si>
  <si>
    <t>ELEVADOR CÁMARA DE INSPECCION 1000mm X 400 mm</t>
  </si>
  <si>
    <t>2.05.49 · SUMINISTRO E INSTALACIÓN ELEVADOR CÁMARA 1000mm X 750 mm   |   Unidad: Unidad (UND)   |   Precio: $ 1.005.486,75</t>
  </si>
  <si>
    <t>Precio por UND. Materiales: Elevador Cámara De Inspeccion 1000mm X 750 Mm (1 UND), Lubricante Tub Pvc/500gr (0.8 UND). Mano de obra: Auxiliar De Instalaciones 1 (3 hh), Oficial Instalaciones (1.5 hh). Equipo: Herrramienta Y Equipo Menor (10 %).  Etapa de obra: 6. Instalaciones.</t>
  </si>
  <si>
    <t>ELEVADOR CÁMARA DE INSPECCION 1000mm X 750 mm</t>
  </si>
  <si>
    <t>2.05.50 · SUMINISTRO E INSTALACION TEE SANITARIA D= 4"   |   Unidad: Unidad (UND)   |   Precio: $ 23.089,66</t>
  </si>
  <si>
    <t>Precio por UND. Materiales: Tee Sanitaria Pvc D=4" (1 UND), Limpiador 1/4 Pvc (0.03 gl), Soldadura Liquida Pvc 1/4`` (0.03 gl). Mano de obra: Auxiliar De Instalaciones 1 (0.15 hh), Oficial Instalaciones (0.15 hh). Equipo: Herrramienta Y Equipo Menor (7 %).  Etapa de obra: 6. Instalaciones.</t>
  </si>
  <si>
    <t>TEE SANITARIA PVC D=4"</t>
  </si>
  <si>
    <t>2.05.51 · SUMINISTRO E INSTALACIÓN TRAMO ESCALERA CÁMARA 10000mm X 500mm   |   Unidad: Unidad (UND)   |   Precio: $ 392.348,73</t>
  </si>
  <si>
    <t>Precio por UND. Materiales: Tornillo Inoxidable 5/16`` X 2`` 8 Und (1 UND), Escalera Camara De Inspeccion 1000 X 500 Mm (1 UND). Mano de obra: Auxiliar De Instalaciones 1 (0.6 hh), Oficial Instalaciones (0.6 hh). Equipo: Taladro (0.6 hr), Herrramienta Y Equipo Menor (10 %).  Etapa de obra: 6. Instalaciones.</t>
  </si>
  <si>
    <t>TORNILLO INOXIDABLE 5/16`` X 2`` 8 UND</t>
  </si>
  <si>
    <t>ESCALERA CAMARA DE INSPECCION 1000 X 500 mm</t>
  </si>
  <si>
    <t>2.05.52 · SUMINISTRO E INSTALACIÓN TUBERÍA DE ALCANTARILLADO PVC D= 6"   |   Unidad: Metro lineal (ML)   |   Precio: $ 52.659,53</t>
  </si>
  <si>
    <t>Precio por ML. Materiales: Tubería Novafort 6" (1.03 ML), Union Novafort 6" (0.17 UND), Limpiador 1/4 Pvc (0.04 gl), Soldadura Liquida Pvc 1/4`` (0.04 gl). Mano de obra: Auxiliar De Obra 1 (0.05 jr), Comision Topografica (0.01 hh), Oficial Obra 2 (0.05 jr). Equipo: Herrramienta Y Equipo Menor (7.1 %).  Etapa de obra: 6. Instalaciones.</t>
  </si>
  <si>
    <t>2.05.53 · SUMINISTRO E INSTALACIÓN TUBERÍA DE ALCANTARILLADO PVC D=10"   |   Unidad: Metro lineal (ML)   |   Precio: $ 116.678,20</t>
  </si>
  <si>
    <t>Precio por ML. Materiales: Tubería Novafort 10" (1.03 ML), Union Novafort 10" (0.17 UND), Limpiador Y Soldadura (1.5 glb). Mano de obra: Auxiliar De Obra 1 (0.1 jr), Comision Topografica (0.02 hh), Oficial Obra 2 (0.1 jr). Equipo: Herrramienta Y Equipo Menor (7.1 %).  Etapa de obra: 6. Instalaciones.</t>
  </si>
  <si>
    <t>TUBERÍA NOVAFORT 10" (250 MM)</t>
  </si>
  <si>
    <t>UNION NOVAFORT 10" (250 MM)</t>
  </si>
  <si>
    <t>2.05.54 · SUMINISTRO E INSTALACIÓN TUBERÍA DE ALCANTARILLADO PVC D=12"   |   Unidad: Metro lineal (ML)   |   Precio: $ 167.900,70</t>
  </si>
  <si>
    <t>Precio por ML. Materiales: Tubería Novafort 12" (1.03 ML), Union Novafort 12" (0.17 UND), Limpiador 1/4 Pvc (0.06 gl), Soldadura Liquida Pvc 1/4`` (0.06 gl). Mano de obra: Auxiliar De Obra 1 (0.11 jr), Comision Topografica (0.02 hh), Oficial Obra 2 (0.11 jr). Equipo: Herrramienta Y Equipo Menor (7.1 %).  Etapa de obra: 6. Instalaciones.</t>
  </si>
  <si>
    <t>TUBERÍA NOVAFORT 12" (315 MM)</t>
  </si>
  <si>
    <t>UNION NOVAFORT 12" (315 MM)</t>
  </si>
  <si>
    <t>2.05.55 · SUMINISTRO E INSTALACIÓN TUBERÍA DE ALCANTARILLADO PVC D=14"   |   Unidad: Metro lineal (ML)   |   Precio: $ 198.009,20</t>
  </si>
  <si>
    <t>Precio por ML. Materiales: Tubería Novafort 14" (1.03 ML), Union Novafort 14" (0.17 UND), Limpiador Y Soldadura (1.5 glb). Mano de obra: Auxiliar De Obra 1 (0.11 jr), Comision Topografica (0.02 hh), Oficial Obra 2 (0.11 jr). Equipo: Herrramienta Y Equipo Menor (7.1 %).  Etapa de obra: 6. Instalaciones.</t>
  </si>
  <si>
    <t>TUBERÍA NOVAFORT 14" (355 MM)</t>
  </si>
  <si>
    <t>UNION NOVAFORT 14" (355 MM)</t>
  </si>
  <si>
    <t>2.05.56 · SUMINISTRO E INSTALACIÓN TUBERÍA DE ALCANTARILLADO PVC D=16"   |   Unidad: Metro lineal (ML)   |   Precio: $ 256.135,44</t>
  </si>
  <si>
    <t>Precio por ML. Materiales: Tubería Novafort 16" (1.03 ML), Union Novafort 16" (0.17 UND), Limpiador Y Soldadura (1.5 glb). Mano de obra: Auxiliar De Obra 1 (0.13 jr), Comision Topografica (0.01 hh), Oficial Obra 2 (0.13 jr). Equipo: Herrramienta Y Equipo Menor (7.1 %).  Etapa de obra: 6. Instalaciones.</t>
  </si>
  <si>
    <t>TUBERÍA NOVAFORT 16" (400 MM)</t>
  </si>
  <si>
    <t>UNION NOVAFORT 16" (400 MM)</t>
  </si>
  <si>
    <t>2.05.57 · SUMINISTRO E INSTALACIÓN TUBERÍA DE ALCANTARILLADO PVC D=18"   |   Unidad: Metro lineal (ML)   |   Precio: $ 315.599,02</t>
  </si>
  <si>
    <t>Precio por ML. Materiales: Tubería Novafort 18" (1.05 ML), Union Novafort 18" (0.17 UND), Limpiador Y Soldadura (1.5 glb). Mano de obra: Auxiliar De Obra 1 (0.13 jr), Comision Topografica (0.01 hh), Oficial Obra 2 (0.13 jr). Equipo: Herrramienta Y Equipo Menor (7.1 %).  Etapa de obra: 6. Instalaciones.</t>
  </si>
  <si>
    <t>TUBERÍA NOVAFORT 18" (450 MM)</t>
  </si>
  <si>
    <t>UNION NOVAFORT 18" (450 MM)</t>
  </si>
  <si>
    <t>2.05.58 · SUMINISTRO E INSTALACIÓN TUBERÍA DE ALCANTARILLADO PVC D=4"   |   Unidad: Metro lineal (ML)   |   Precio: $ 28.446,36</t>
  </si>
  <si>
    <t>Precio por ML. Materiales: Tubería Novafort 4" (1.03 ML), Union Novafort 4" (0.17 undi), Limpiador Y Soldadura (1.1 glb). Mano de obra: Auxiliar De Obra 1 (0.04 jr), Comision Topografica (0.01 hh), Oficial Obra 2 (0.04 jr). Equipo: Herrramienta Y Equipo Menor (7.1 %).  Etapa de obra: 6. Instalaciones.</t>
  </si>
  <si>
    <t>2.05.59 · SUMINISTRO E INSTALACIÓN TUBERÍA DE ALCANTARILLADO PVC D=8"   |   Unidad: Metro lineal (ML)   |   Precio: $ 70.714,01</t>
  </si>
  <si>
    <t>Precio por ML. Materiales: Tubería Novafort 8" (1.03 ML), Union Novafort 8" (0.17 UND), Limpiador 1/4 Pvc (0.07 gl), Soldadura Liquida Pvc 1/4`` (0.07 gl). Mano de obra: Auxiliar De Obra 1 (0.05 jr), Comision Topografica (0.01 hh), Oficial Obra 2 (0.05 jr). Equipo: Herrramienta Y Equipo Menor (7.1 %).  Etapa de obra: 6. Instalaciones.</t>
  </si>
  <si>
    <t>TUBERÍA NOVAFORT 8" (200 MM)</t>
  </si>
  <si>
    <t>UNION NOVAFORT 8" (200 MM)</t>
  </si>
  <si>
    <t>2.05.60 · SUMINISTRO E INSTALACIÓN TUBERÍA DE ALCANTARILLADO PVC NOVALOC D= 24"   |   Unidad: Metro lineal (ML)   |   Precio: $ 449.969,00</t>
  </si>
  <si>
    <t>Precio por ML. Materiales: Tubería Novaloc Pvc 24`` (1 ML), Lubricante Tub Pvc/500gr (0.05 UND). Mano de obra: Auxiliar De Obra 2 (0.6 hh), Auxiliar De Instalaciones 1 (0.6 hh), Oficial Instalaciones (0.6 hh). Equipo: Herrramienta Y Equipo Menor (7.1 %).  Etapa de obra: 6. Instalaciones.</t>
  </si>
  <si>
    <t>TUBERÍA NOVALOC PVC 24`` (INC. UNI0N)</t>
  </si>
  <si>
    <t>2.05.61 · SUMINISTRO E INSTALACIÓN TUBERÍA DE ALCANTARILLADO PVC NOVALOC D= 36"   |   Unidad: Metro lineal (ML)   |   Precio: $ 1.171.904,00</t>
  </si>
  <si>
    <t>Precio por ML. Materiales: Tubería Novaloc Pvc 36`` (1 ML), Lubricante Tub Pvc/500gr (0.05 UND). Mano de obra: Auxiliar De Obra 2 (0.6 hh), Auxiliar De Instalaciones 1 (0.6 hh), Oficial Instalaciones (0.6 hh). Equipo: Herrramienta Y Equipo Menor (7.1 %).  Etapa de obra: 6. Instalaciones.</t>
  </si>
  <si>
    <t>TUBERÍA NOVALOC PVC 36`` (INC. UNI0N)</t>
  </si>
  <si>
    <t>2.05.62 · SUMINISTRO E INSTALACIÓN TUBERÍA DE ALCANTARILLADO PVC NOVALOC D= 42"   |   Unidad: Metro lineal (ML)   |   Precio: $ 1.832.004,00</t>
  </si>
  <si>
    <t>Precio por ML. Materiales: Tubería Novaloc Pvc 42`` (1 ML), Lubricante Tub Pvc/500gr (0.05 UND). Mano de obra: Auxiliar De Obra 2 (0.6 hh), Auxiliar De Instalaciones 1 (0.6 hh), Oficial Instalaciones (0.6 hh). Equipo: Herrramienta Y Equipo Menor (7.1 %).  Etapa de obra: 6. Instalaciones.</t>
  </si>
  <si>
    <t>TUBERÍA NOVALOC PVC 42`` (INC. UNI0N)</t>
  </si>
  <si>
    <t>2.05.63 · SUMINISTRO E INSTALACIÓN TUBERÍA DE ALCANTARILLADO PVC W - RETEN 4"   |   Unidad: Metro lineal (ML)   |   Precio: $ 38.682,09</t>
  </si>
  <si>
    <t>Precio por ML. Materiales: Union Pvc W - Reten 4`` (0.17 UND), Tubería Pvc Alcantarillado W - Reten 4" (1.03 ML), Limpiador 1/4 Pvc (0.01 gl), Soldadura Liquida Pvc 1/4`` (0.01 gl). Mano de obra: Auxiliar De Obra 1 (0.05 jr), Comision Topografica (0.02 hh), Oficial Obra 2 (0.05 jr). Equipo: Herrramienta Y Equipo Menor (7.1 %).  Etapa de obra: 6. Instalaciones.</t>
  </si>
  <si>
    <t>UNION PVC W - RETEN 4``</t>
  </si>
  <si>
    <t>TUBERÍA PVC ALCANTARILLADO W - RETEN 4"</t>
  </si>
  <si>
    <t>2.05.64 · SUMINISTRO E INSTALACIÓN TUBERÍA DE ALCANTARILLADO PVC W - RETEN 6"   |   Unidad: Metro lineal (ML)   |   Precio: $ 68.466,89</t>
  </si>
  <si>
    <t>Precio por ML. Materiales: Union Pvc W - Reten 6`` (0.17 UND), Tubería Pvc Alcantarillado W - Reten 6" (1.03 ML), Limpiador Y Soldadura (1 glb). Mano de obra: Auxiliar De Obra 1 (0.05 jr), Comision Topografica (0.02 hh), Oficial Obra 2 (0.05 jr). Equipo: Herrramienta Y Equipo Menor (7.1 %).  Etapa de obra: 6. Instalaciones.</t>
  </si>
  <si>
    <t>UNION PVC W - RETEN 6``</t>
  </si>
  <si>
    <t>TUBERÍA PVC ALCANTARILLADO W - RETEN 6"</t>
  </si>
  <si>
    <t>2.05.65 · SUMINISTRO E INSTALACIÓN TUBERÍA DE ALCANTARILLADO PVC W - RETEN 8"   |   Unidad: Metro lineal (ML)   |   Precio: $ 115.425,48</t>
  </si>
  <si>
    <t>Precio por ML. Materiales: Unionpvc W - Reten 8`` (0.17 UND), Tubería Pvc Alcantarillado W - Reten 8" (1.03 ML), Limpiador Y Soldadura (1 glb). Mano de obra: Auxiliar De Obra 1 (0.05 jr), Comision Topografica (0.01 hh), Oficial Obra 2 (0.03 jr). Equipo: Herrramienta Y Equipo Menor (7.1 %).  Etapa de obra: 6. Instalaciones.</t>
  </si>
  <si>
    <t>UNIONPVC W - RETEN 8``</t>
  </si>
  <si>
    <t>TUBERÍA PVC ALCANTARILLADO W - RETEN 8"</t>
  </si>
  <si>
    <t>2.05.66 · SUMINISTRO E INSTALACION YEE SANITARIA REDUCIDA PVC D=4" x 2"   |   Unidad: Unidad (UND)   |   Precio: $ 24.468,02</t>
  </si>
  <si>
    <t>Precio por UND. Materiales: Yee Reducida 4"x 2" (1 UND), Limpiador 1/4 Pvc (0.03 gl), Soldadura Liquida Pvc 1/4`` (0.03 gl). Mano de obra: Auxiliar De Instalaciones 1 (0.02 hh), Oficial Instalaciones (0.02 hh). Equipo: Herrramienta Y Equipo Menor (3.4 %).  Etapa de obra: 6. Instalaciones.</t>
  </si>
  <si>
    <t>YEE REDUCIDA 4"x 2"</t>
  </si>
  <si>
    <t>2.05.67 · SUMINISTRO E INSTALACION YEE PVC SANITARIA D=2"   |   Unidad: Unidad (UND)   |   Precio: $ 8.823,41</t>
  </si>
  <si>
    <t>Precio por UND. Materiales: Yee Pvc Sanitaria D=2`` (1 UND), Limpiador 1/4 Pvc (0 gl), Soldadura Liquida Pvc 1/4`` (0 gl). Mano de obra: Auxiliar De Instalaciones 1 (0.05 hh), Oficial Instalaciones (0.05 hh). Equipo: Herrramienta Y Equipo Menor (3.4 %).  Etapa de obra: 6. Instalaciones.</t>
  </si>
  <si>
    <t>YEE PVC SANITARIA D=2``</t>
  </si>
  <si>
    <t>2.05.68 · SUMINISTRO E INSTALACION YEE PVC SANITARIA D=3"   |   Unidad: Unidad (UND)   |   Precio: $ 16.818,88</t>
  </si>
  <si>
    <t>Precio por UND. Materiales: Yee Pvc Sanitaria D=3`` (1 UND), Limpiador 1/4 Pvc (0.01 gl), Soldadura Liquida Pvc 1/4`` (0.01 gl). Mano de obra: Auxiliar De Instalaciones 1 (0.04 hh), Oficial Instalaciones (0.04 hh). Equipo: Herrramienta Y Equipo Menor (3.4 %).  Etapa de obra: 6. Instalaciones.</t>
  </si>
  <si>
    <t>YEE PVC SANITARIA D=3``</t>
  </si>
  <si>
    <t>2.05.69 · SUMINISTRO E INSTALACION YEE PVC SANITARIA D=4"   |   Unidad: Unidad (UND)   |   Precio: $ 27.920,18</t>
  </si>
  <si>
    <t>Precio por UND. Materiales: Yee Pvc Sanitaria D=4`` (1 UND), Limpiador 1/4 Pvc (0.02 gl), Soldadura Liquida Pvc 1/4`` (0.02 gl). Mano de obra: Auxiliar De Instalaciones 1 (0.04 hh), Oficial Instalaciones (0.04 hh). Equipo: Herrramienta Y Equipo Menor (3.4 %).  Etapa de obra: 6. Instalaciones.</t>
  </si>
  <si>
    <t>YEE PVC SANITARIA D=4``</t>
  </si>
  <si>
    <t>2.05.70 · SUMINISTRO E INSTALACION YEE PVC SANITARIA D=6"   |   Unidad: Unidad (UND)   |   Precio: $ 132.163,68</t>
  </si>
  <si>
    <t>Precio por UND. Materiales: Yee Pvc Sanitaria D=6`` (1 UND), Limpiador 1/4 Pvc (0.12 gl), Soldadura Liquida Pvc 1/4`` (0.12 gl). Mano de obra: Auxiliar De Instalaciones 1 (0.04 hh), Oficial Instalaciones (0.04 hh). Equipo: Herrramienta Y Equipo Menor (3.4 %).  Etapa de obra: 6. Instalaciones.</t>
  </si>
  <si>
    <t>YEE PVC SANITARIA D=6``</t>
  </si>
  <si>
    <t>2.05.71 · UNIÓN PVC SANITARIA D=2"   |   Unidad: Unidad (UND)   |   Precio: $ 4.319,17</t>
  </si>
  <si>
    <t>Precio por UND. Materiales: Unión Pvc Sanitaria D = 2`` (1 UND), Limpiador 1/4 Pvc (0.01 gl), Soldadura Liquida Pvc 1/4`` (0.01 gl). Mano de obra: Auxiliar De Instalaciones 1 (0.02 hh), Oficial Instalaciones (0.02 hh). Equipo: Herrramienta Y Equipo Menor (3.4 %).  Etapa de obra: 6. Instalaciones.</t>
  </si>
  <si>
    <t>2.05.72 · UNIÓN PVC SANITARIA D=3"   |   Unidad: Unidad (UND)   |   Precio: $ 5.778,38</t>
  </si>
  <si>
    <t>Precio por UND. Materiales: Unión Pvc Sanitaria D = 3`` (1 UND), Limpiador 1/4 Pvc (0.02 gl), Soldadura Liquida Pvc 1/4`` (0.02 gl). Mano de obra: Auxiliar De Instalaciones 1 (0.02 hh), Oficial Instalaciones (0.02 hh). Equipo: Herrramienta Y Equipo Menor (3.4 %).  Etapa de obra: 6. Instalaciones.</t>
  </si>
  <si>
    <t>UNIÓN PVC SANITARIA D = 3``</t>
  </si>
  <si>
    <t>2.05.73 · UNIÓN PVC SANITARIA D=4"   |   Unidad: Unidad (UND)   |   Precio: $ 9.532,86</t>
  </si>
  <si>
    <t>Precio por UND. Materiales: Union Pvc Sanitaria D=4`` (1 UND), Limpiador 1/4 Pvc (0.02 gl), Soldadura Liquida Pvc 1/4`` (0.02 gl). Mano de obra: Auxiliar De Instalaciones 1 (0.02 hh), Oficial Instalaciones (0.02 hh). Equipo: Herrramienta Y Equipo Menor (3.4 %).  Etapa de obra: 6. Instalaciones.</t>
  </si>
  <si>
    <t>2.05.74 · UNIÓN PVC SANITARIA D=6"   |   Unidad: Unidad (UND)   |   Precio: $ 35.868,09</t>
  </si>
  <si>
    <t>Precio por UND. Materiales: Union Pvc Sanitaria D=6`` (1 UND), Limpiador 1/4 Pvc (0.04 gl), Soldadura Liquida Pvc 1/4`` (0.04 gl). Mano de obra: Auxiliar De Instalaciones 1 (0.02 hh), Oficial Instalaciones (0.02 hh). Equipo: Herrramienta Y Equipo Menor (3.4 %).  Etapa de obra: 6. Instalaciones.</t>
  </si>
  <si>
    <t>UNION PVC SANITARIA D=6``</t>
  </si>
  <si>
    <t>2.05.75 · UNIÓN PVC SANITARIA D=8"   |   Unidad: Unidad (UND)   |   Precio: $ 98.424,53</t>
  </si>
  <si>
    <t>Precio por UND. Materiales: Unión Pvc Sanitaria D = 8`` (1 UND), Limpiador 1/4 Pvc (0 gl), Soldadura Liquida Pvc 1/4`` (0 gl). Mano de obra: Auxiliar De Instalaciones 1 (0.02 hh), Oficial Instalaciones (0.02 hh). Equipo: Herrramienta Y Equipo Menor (3.4 %).  Etapa de obra: 6. Instalaciones.</t>
  </si>
  <si>
    <t>UNIÓN PVC SANITARIA D = 8``</t>
  </si>
  <si>
    <t>Capítulo 2.06 · OTRAS OBRAS - ALCANTARILALDO Y DESAGÜES</t>
  </si>
  <si>
    <t>28 actividades. Cada tabla lista los insumos de una actividad por unidad de obra.</t>
  </si>
  <si>
    <t>2.06.01 · CAMARA DE CAIDA 10" X 8"   |   Unidad: Unidad (UND)   |   Precio: $ 1.040.862,74</t>
  </si>
  <si>
    <t>Precio por UND. Materiales: Mortero 1:3 Impermeabilizado (0.05 M3), Tubería Novafort 8" (2 ML), Codo Novafort 8" (1 UND), Tee Novafort 10" X 8" (1 UND) y 3 más. Mano de obra: Auxiliar De Obra 1 (0.75 jr), Oficial Obra 2 (0.7 jr). Equipo: Herrramienta Y Equipo Menor (6.7 %).  Etapa de obra: 6. Instalaciones.</t>
  </si>
  <si>
    <t>CODO NOVAFORT 8" (200 MM)</t>
  </si>
  <si>
    <t>TEE NOVAFORT 10" x 8" (250 MM x 200 MM)</t>
  </si>
  <si>
    <t>2.06.02 · CAMARA DE CAIDA 12" X 8"   |   Unidad: Unidad (UND)   |   Precio: $ 1.323.152,25</t>
  </si>
  <si>
    <t>Precio por UND. Materiales: Mortero 1:3 Impermeabilizado (0.04 M3), Tubería Novafort 8" (2 ML), Codo Novafort 8" (1 UND), Tee Novafort 12" X 8" (1 UND) y 3 más. Mano de obra: Auxiliar De Obra 1 (1 jr), Oficial Obra 2 (1 jr). Equipo: Herrramienta Y Equipo Menor (6.7 %).  Etapa de obra: 6. Instalaciones.</t>
  </si>
  <si>
    <t>TEE NOVAFORT 12" x 8" (315 MM x 200 MM)</t>
  </si>
  <si>
    <t>2.06.03 · CAMPO DE INFILTRACION POZO SEPTICO PLASTICO ANAEROBICO DE 1000LTS TUBERIA DRENAJE D=4"   |   Unidad: Metro lineal (ML)   |   Precio: $ 86.594,32</t>
  </si>
  <si>
    <t>Precio por ML. Materiales: Tuberia P:v:c Saniatria De ¢ 4`` (1.05 ML), Geotextil No Tejido (0.85 M2), Gravilla ¾, ½ (0.18 M3), Limpiador Y Soldadura (0.17 glb). Mano de obra: Auxiliar De Obra 1 (0.13 jr), Oficial Obra 2 (0.13 jr). Equipo: Herrramienta Y Equipo Menor (6.7 %).  Etapa de obra: 6. Instalaciones.</t>
  </si>
  <si>
    <t>TUBERIA P:V:C SANIATRIA DE ¢ 4``</t>
  </si>
  <si>
    <t>GEOTEXTIL NO TEJIDO</t>
  </si>
  <si>
    <t>2.06.04 · CONEXIÓN DOMICILIARIA ALCANTARILLADO. INC. TUBERIA Y ACCESORIOS DE CONEXION TUBERIA   |   Unidad: Unidad (UND)   |   Precio: $ 359.721,13</t>
  </si>
  <si>
    <t>Precio por UND. Materiales: Arena Lavada De Río (0.03 M3), Tubería Novafort 6" (3 ML), Union Novafort 6" (1 UND), Kit Silla Yee 8" X6" (1 UND) y 1 más. Mano de obra: Auxiliar De Obra 1 (0.57 jr), Oficial Obra 2 (0.57 jr). Equipo: Herrramienta Y Equipo Menor (7 %).  Etapa de obra: 6. Instalaciones.</t>
  </si>
  <si>
    <t>KIT SILLA YEE 8" x6" ( 200MM x 160 MM)</t>
  </si>
  <si>
    <t>2.06.05 · CUBIERTA Y ACCESO   |   Unidad: Unidad (UND)   |   Precio: $ 475.124,33</t>
  </si>
  <si>
    <t>Precio por UND. Materiales: Arena Lavada Y/O Trituradora (0.17 M3), Aro Y Tapa Pozos Insp En Hf (1 UND), Cemento Gris (56 kg), Cuadrilla Obra Of + 2 Auxiliar (6 hc).  Etapa de obra: 6. Instalaciones.</t>
  </si>
  <si>
    <t>ARENA LAVADA Y/O TRITURADORA</t>
  </si>
  <si>
    <t>ARO Y TAPA POZOS INSP EN HF</t>
  </si>
  <si>
    <t>CUADRILLA OBRA OF + 2 AUXILIAR</t>
  </si>
  <si>
    <t>2.06.06 · DEMOLICION CAMARAS 2.5&lt;h&lt;3.0m   |   Unidad: Unidad (UND)   |   Precio: $ 232.185,80</t>
  </si>
  <si>
    <t>Precio por UND. Mano de obra: Auxiliar De Obra 2 (4 hh). Equipo: Compresor De 2 Martillos (2 hr), Herrramienta Y Equipo Menor (3 %).  Etapa de obra: 6. Instalaciones.</t>
  </si>
  <si>
    <t>2.06.07 · DEMOLICION POZOS DE INSPECCION   |   Unidad: Unidad (UND)   |   Precio: $ 36.975,08</t>
  </si>
  <si>
    <t>Precio por UND. Mano de obra: Auxiliar De Obra 2 (0.4 hh), Oficial Obra 1 (0.4 hh). Equipo: Retroexcavadora Jd-510 O Similar (0.25 hr), Herrramienta Y Equipo Menor (3 %).  Etapa de obra: 6. Instalaciones.</t>
  </si>
  <si>
    <t>2.06.08 · PASOS UÑA DE GATO D=5/8"   |   Unidad: Unidad (UND)   |   Precio: $ 6.597,32</t>
  </si>
  <si>
    <t>Precio por UND. Materiales: Varilla 5/8`` (1.47 kg), Cepillo Metálico De 1/2" Agujeros 9/16" A 5/8" (0 UND), Dispersador Md 2500 (0 UND), Epoxico Re - 500 Hilti (0.02 UND). Mano de obra: Auxiliar De Obra 2 (0.02 hh), Oficial Obra 1 (0.02 hh). Equipo: Taladro (0.02 hr), Herrramienta Y Equipo Menor (10 %).  Etapa de obra: 6. Instalaciones.</t>
  </si>
  <si>
    <t>CEPILLO METÁLICO DE 1/2" AGUJEROS 9/16" A 5/8" (HILTI)</t>
  </si>
  <si>
    <t>DISPERSADOR MD 2500 (HILTI)</t>
  </si>
  <si>
    <t>EPOXICO RE - 500 HILTI</t>
  </si>
  <si>
    <t>2.06.09 · PLACA DE FONDO O BASE DE POZO DE INSPECCION DIAMETRO=1.70 M   |   Unidad: Unidad (UND)   |   Precio: $ 626.772,01</t>
  </si>
  <si>
    <t>Precio por UND. Materiales: Arena Lavada Y/O Trituradora (0.56 M3), Acero De Refuerzo Pdr-60 (80.64 kg), Cemento Gris (224 kg), Gravilla Fina 1/2 Bogotá (0.56 M3) y 1 más.  Etapa de obra: 6. Instalaciones.</t>
  </si>
  <si>
    <t>ACERO DE REFUERZO PDR-60</t>
  </si>
  <si>
    <t>GRAVILLA FINA 1/2 BOGOTÁ</t>
  </si>
  <si>
    <t>2.06.10 · PLACA DE FONDO O BASE DE POZO DE INSPECCION DIAMETRO=1.96 M   |   Unidad: Unidad (UND)   |   Precio: $ 739.367,46</t>
  </si>
  <si>
    <t>Precio por UND. Materiales: Arena Lavada Y/O Trituradora (0.67 M3), Acero De Refuerzo Pdr-60 (92.96 kg), Cemento Gris (257.6 kg), Gravilla Fina 1/2 Bogotá (0.67 M3) y 1 más.  Etapa de obra: 6. Instalaciones.</t>
  </si>
  <si>
    <t>2.06.11 · POZO DE INSPECCION D= 1.20 MH &gt;1,50 M   |   Unidad: Unidad (UND)   |   Precio: $ 985.039,79</t>
  </si>
  <si>
    <t>Precio por UND. Materiales: Aro Y Tapa Pozos Insp En Hf (1 UND), Acero De Refuerzo Pdr-60 (8 kg), Pañete Impermeabilizado 1:3 (3.8 M2), Mampostería Ladrillo Tolete Comun E = 0.25 M (5.7 M2) y 1 más.  Etapa de obra: 6. Instalaciones.</t>
  </si>
  <si>
    <t>MAMPOSTERÍA LADRILLO TOLETE COMUN E = 0.25 M (T.C.)</t>
  </si>
  <si>
    <t>2.06.12 · POZO DE INSPECCION D= 1.20 MH 1,00 1,50 M   |   Unidad: Unidad (UND)   |   Precio: $ 985.039,79</t>
  </si>
  <si>
    <t>2.06.13 · POZO DE INSPECCION D=1.20 M   |   Unidad: Unidad (UND)   |   Precio: $ 1.749.548,76</t>
  </si>
  <si>
    <t>Precio por UND. Materiales: Aro Y Tapa Pozos Insp En Hf (1 UND), Acero De Refuerzo Pdr-60 (12 kg), Concreto 1:2:4 17.5 Mpa (0.35 M3), Mampostería Ladrillo Tolete Comun E=0.25 M (7.4 M2) y 2 más.  Etapa de obra: 6. Instalaciones.</t>
  </si>
  <si>
    <t>2.06.14 · POZO DE INSPECCION D=1.20 MH 1.50 , 2.00M   |   Unidad: Unidad (UND)   |   Precio: $ 1.749.548,76</t>
  </si>
  <si>
    <t>2.06.15 · POZO DE INSPECCION D=1.20 MH 2.50 M   |   Unidad: Unidad (UND)   |   Precio: $ 2.207.873,71</t>
  </si>
  <si>
    <t>Precio por UND. Materiales: Aro Y Tapa Pozos Insp En Hf (1 UND), Acero De Refuerzo Pdr-60 (16 kg), Concreto 1:2:4 17.5 Mpa (0.5 M3), Mampostería Ladrillo Tolete Comun E=0.25 M (9.5 M2) y 2 más.  Etapa de obra: 6. Instalaciones.</t>
  </si>
  <si>
    <t>2.06.16 · POZO DE INSPECCION D=1.50 M, H 3.50 M   |   Unidad: Unidad (UND)   |   Precio: $ 3.391.049,35</t>
  </si>
  <si>
    <t>Precio por UND. Materiales: Aro Y Tapa Pozos Insp En Hf (1 UND), Acero De Refuerzo Pdr-60 (20 kg), Concreto 1:2:4 17.5 Mpa (0.6 M3), Mampostería Ladrillo Tolete Comun E=0.25 M (16.9 M2) y 2 más.  Etapa de obra: 6. Instalaciones.</t>
  </si>
  <si>
    <t>2.06.17 · POZO DE INSPECCION D=1.95 PLACA DE FONDO   |   Unidad: Unidad (UND)   |   Precio: $ 812.766,39</t>
  </si>
  <si>
    <t>Precio por UND. Materiales: Concreto Clase D 21 Mpa (0.85 M3), Concreto 1:3:5 14 Mpa (0.15 M3), Hierro Fig G-60 1/2 (80.8 kg), Cuadrilla Obra Of + Auxiliar (4 hc).  Etapa de obra: 6. Instalaciones.</t>
  </si>
  <si>
    <t>2.06.18 · RETIRO DE TUBERÍA EXISTENTE EN CONCRETO 16"   |   Unidad: Metro lineal (ML)   |   Precio: $ 19.978,21</t>
  </si>
  <si>
    <t>Precio por ML. Mano de obra: Auxiliar De Obra 2 (1.8 hh). Equipo: Retroexcavadora Jd-510 O Similar (0.03 hr), Herrramienta Y Equipo Menor (3 %).  Etapa de obra: 6. Instalaciones.</t>
  </si>
  <si>
    <t>2.06.19 · RETIRO DE TUBERÍA EXISTENTE EN CONCRETO 8" A 12"   |   Unidad: Metro lineal (ML)   |   Precio: $ 9.308,45</t>
  </si>
  <si>
    <t>Precio por ML. Mano de obra: Auxiliar De Obra 2 (1 hh). Equipo: Herrramienta Y Equipo Menor (3 %).  Etapa de obra: 6. Instalaciones.</t>
  </si>
  <si>
    <t>2.06.20 · RETIRO DE TUBERÍA EXISTENTE EN GRESS 6" A 10"   |   Unidad: Metro lineal (ML)   |   Precio: $ 7.446,76</t>
  </si>
  <si>
    <t>Precio por ML. Mano de obra: Auxiliar De Obra 2 (0.8 hh). Equipo: Herrramienta Y Equipo Menor (3 %).  Etapa de obra: 6. Instalaciones.</t>
  </si>
  <si>
    <t>2.06.21 · SUMIDERO EN LADRILLO SL 100   |   Unidad: Unidad (UND)   |   Precio: $ 818.195,97</t>
  </si>
  <si>
    <t>Precio por UND. Materiales: Mortero 1:3 Impermeabilizado (0.1 M3), Concreto 1:3:5 14 Mpa (0.24 M3), Muro Tolete Comun E= 0.12 M Para Sumideros (4.48 M2), Rejilla Y Marco Hta 0,7 X 0,3 (1 UND) y 1 más.  Etapa de obra: 6. Instalaciones.</t>
  </si>
  <si>
    <t>REJILLA Y MARCO HTA 0,7 X 0,3</t>
  </si>
  <si>
    <t>2.06.22 · SUMIDERO EN LADRILLO SL 250   |   Unidad: Unidad (UND)   |   Precio: $ 1.328.256,06</t>
  </si>
  <si>
    <t>Precio por UND. Materiales: Mortero 1:3 Impermeabilizado (0.17 M3), Concreto 1:3:5 14 Mpa (0.65 M3), Muro Tolete Comun E= 0.12 M Para Sumideros (7.35 M2), Rejilla Y Marco Hta 0,7 X 0,3 (1 UND) y 1 más.  Etapa de obra: 6. Instalaciones.</t>
  </si>
  <si>
    <t>2.06.23 · SUMIDERO LATERAL SL - 100 H=1.25M (FUNDIDO EN SITIO, CONCRETO HECHO EN OBRA. INCL. SUMINI, FORMA, REF Y CONST. INCL. TAPA)   |   Unidad: Unidad (UND)   |   Precio: $ 2.136.892,80</t>
  </si>
  <si>
    <t>Precio por UND. Materiales: Acero 60000 Psi (137.69 kg), Concreto Clase D 21 Mpa (1.95 M3), Madera Repisa 3 M (2.7 ML), Madera Tabla Burra (5.94 ML) y 3 más. Mano de obra: Auxiliar De Obra 2 (36 hh), Oficial Obra 1 (12 hh). Equipo: Formaleta (19.16 dd).  Etapa de obra: 6. Instalaciones.</t>
  </si>
  <si>
    <t>2.06.24 · SUMIDERO LATERAL SL - 150 H=1.25M (FUNDIDO EN SITIO, CONCRETO HECHO EN OBRA. INCL. SUMINI, FORMA, REF Y CONST. INCL. TAPA)   |   Unidad: Unidad (UND)   |   Precio: $ 2.434.404,11</t>
  </si>
  <si>
    <t>Precio por UND. Materiales: Acero 60000 Psi (175.23 kg), Concreto Clase D 21 Mpa (2.72 M3), Madera Repisa 3 M (2.72 ML), Madera Tabla Burra (6 ML) y 3 más. Mano de obra: Auxiliar De Obra 2 (19.6 hh), Oficial Obra 1 (9.8 hh). Equipo: Formaleta (19.34 dd).  Etapa de obra: 6. Instalaciones.</t>
  </si>
  <si>
    <t>2.06.25 · SUMIDERO LATERAL SL - 200 H=1.25M (FUNDIDO EN SITIO, CONCRETO HECHO EN OBRA. INCL. SUMINI, FORMA, REF Y CONST. INCL. TAPA)   |   Unidad: Unidad (UND)   |   Precio: $ 3.093.386,09</t>
  </si>
  <si>
    <t>Precio por UND. Materiales: Acero 60000 Psi (266 kg), Concreto Clase D 21 Mpa (3.36 M3), Madera Repisa 3 M (2.72 ML), Madera Tabla Burra (6 ML) y 3 más. Mano de obra: Auxiliar De Obra 2 (24.6 hh), Oficial Obra 1 (12.3 hh). Equipo: Formaleta (19.34 dd).  Etapa de obra: 6. Instalaciones.</t>
  </si>
  <si>
    <t>2.06.26 · SUMIDERO TRANSVERSAL ST-1, H=1.9M (FUNDIDO EN SITIO, CONCRETO HECHO EN OBRA, INC. SUMINISTRO, FORM, REF Y CONST,   |   Unidad: Unidad (UND)   |   Precio: $ 1.368.827,72</t>
  </si>
  <si>
    <t>Precio por UND. Materiales: Concreto Clase D 21 Mpa (1.45 M3), Acero De Refuerzo No. 3 , F`y=37000 Psi (33.9 kg), Acero De Refuerzo No. 4 , F`y=60000 Psi (13 kg), Acero De Refuerzo No. 5 , F`y=60000 Psi (61 kg) y 2 más. Mano de obra: Auxiliar De Obra 2 (2.5 hh), Oficial Obra 1 (2.5 hh). Equipo: Formaleta Paral Corto-Camilla Met. 0.73x0.4m (2.43 mes), Herrramienta Y Equipo Menor (0.7 %).  Etapa de obra: 6. Instalaciones.</t>
  </si>
  <si>
    <t>ACERO DE REFUERZO No. 3 (3/8"), F`y=37000 PSI</t>
  </si>
  <si>
    <t>ACERO DE REFUERZO No. 4 (1/2"), F`y=60000 PSI</t>
  </si>
  <si>
    <t>ACERO DE REFUERZO No. 5 (5/8"), F`y=60000 PSI</t>
  </si>
  <si>
    <t>REJILLA SUMIDERO LATERAL 83.50 X 45</t>
  </si>
  <si>
    <t>FORMALETA PARAL CORTO-CAMILLA MET. 0.73x0.4m (M2)</t>
  </si>
  <si>
    <t>2.06.27 · SUMIDERO TRANSVERSAL ST-2, H=1.77M (FUNDIDO EN SITIO, CONCRETO HECHO EN OBRA, INC. SUMINISTRO, FORM, REF Y CONST, INC.   |   Unidad: Unidad (UND)   |   Precio: $ 1.068.272,29</t>
  </si>
  <si>
    <t>Precio por UND. Materiales: Concreto Clase D 21 Mpa (1.03 M3), Acero De Refuerzo No. 3 , F`y=37000 Psi (32.5 kg), Acero De Refuerzo No. 4 , F`y=60000 Psi (37 kg), Acero De Refuerzo No. 5 , F`y=60000 Psi (3.5 kg) y 2 más. Mano de obra: Auxiliar De Obra 2 (2.5 hh), Oficial Obra 1 (2.5 hh). Equipo: Formaleta Paral Corto-Camilla Met. 0.73x0.4m (2.43 mes), Herrramienta Y Equipo Menor (0.7 %).  Etapa de obra: 6. Instalaciones.</t>
  </si>
  <si>
    <t>2.06.28 · SUMINISTRO E INSTALACIÓN DE POZO SEPTICO PLASTICO ANAEROBICO DE 1000LTS   |   Unidad: Unidad (UND)   |   Precio: $ 3.230.569,11</t>
  </si>
  <si>
    <t>Precio por UND. Materiales: Trampa Grasas (1 UND), Tuberia P:v:c Saniatria De ¢ 4`` (2 ML), Codo Pvc 90° 4" Sanit (1 UND), Filtro Anaerobico 1000 Lts Con Accesorios (1 UND) y 3 más. Mano de obra: Auxiliar De Obra 1 (1 jr), Oficial Obra 2 (0.5 jr). Equipo: Herrramienta Y Equipo Menor (6.7 %).  Etapa de obra: 6. Instalaciones.</t>
  </si>
  <si>
    <t>TRAMPA GRASAS</t>
  </si>
  <si>
    <t>FILTRO ANAEROBICO 1000 LTS CON ACCESORIOS</t>
  </si>
  <si>
    <t>POZO SEPTICO COMPLETO 1000 LTS</t>
  </si>
  <si>
    <t>Capítulo 2.07 · OTRAS OBRAS - CONCRETOS Y OTROS</t>
  </si>
  <si>
    <t>2.07.01 · CONCRETO SIMPLE DE 21 MPa - (3000 PSI) IMPERMEABILIZADO PARA MUROS   |   Unidad: Metro cúbico (M3)   |   Precio: $ 829.316,18</t>
  </si>
  <si>
    <t>Precio por M3. Materiales: Concreto De 21 Mpa -  Impermeabilizado (1.05 M3), Madera Repisa 3 M (2.93 ML), Madera Tabla Burra (6.46 ML), Madera Vara De Clavo (3.81 ML) y 1 más. Mano de obra: Auxiliar De Obra 1 (1.5 jr), Oficial Obra 2 (0.3 jr). Equipo: Formaleta (4 dd), Vibrador De Concreto (2.22 hr), Herrramienta Y Equipo Menor (3.4 %).  Etapa de obra: 3. Cimentación.</t>
  </si>
  <si>
    <t>2.07.02 · CONCRETO SIMPLE DE 21 MPa - (3000 PSI) IMPERMEABILIZADO PARA PLACAS PISOS   |   Unidad: Metro cúbico (M3)   |   Precio: $ 791.993,78</t>
  </si>
  <si>
    <t>Precio por M3. Materiales: Concreto De 21 Mpa -  Impermeabilizado (1.05 M3), Madera Repisa 3 M (1.87 ML), Madera Tabla Burra (4.11 ML), Madera Vara De Clavo (2.43 ML) y 1 más. Mano de obra: Auxiliar De Obra 1 (1.5 jr), Oficial Obra 2 (0.3 jr). Equipo: Formaleta (3 dd), Vibrador De Concreto (1.67 hr), Herrramienta Y Equipo Menor (3.4 %).  Etapa de obra: 3. Cimentación.</t>
  </si>
  <si>
    <t>2.07.03 · CONCRETO SIMPLE DE 21 MPa - (3000 PSI) IMPERMEABILIZADO PARA TAPAS   |   Unidad: Metro cúbico (M3)   |   Precio: $ 696.819,82</t>
  </si>
  <si>
    <t>Precio por M3. Materiales: Concreto De 21 Mpa -  Impermeabilizado (1.05 M3). Mano de obra: Auxiliar De Obra 1 (1 jr), Oficial Obra 2 (0.3 jr). Equipo: Formaleta (2 dd), Vibrador De Concreto (2.22 hr), Herrramienta Y Equipo Menor (3.4 %).  Etapa de obra: 3. Cimentación.</t>
  </si>
  <si>
    <t>2.07.04 · CONCRETO SIMPLE DE 28 MPa - (4000 PSI) IMPERMEABILIZADO PARA MUROS   |   Unidad: Metro cúbico (M3)   |   Precio: $ 905.972,51</t>
  </si>
  <si>
    <t>Precio por M3. Materiales: Concreto Simple De 28 Mpa -  Impermeabilizado (1.05 M3), Madera Repisa 3 M (2.93 ML), Madera Tabla Burra (6.46 ML), Madera Vara De Clavo (3.81 ML) y 1 más. Mano de obra: Auxiliar De Obra 1 (1.5 jr), Oficial Obra 2 (0.3 jr). Equipo: Formaleta (4 dd), Vibrador De Concreto (2.22 hr), Herrramienta Y Equipo Menor (3.4 %).  Etapa de obra: 3. Cimentación.</t>
  </si>
  <si>
    <t>2.07.05 · CONCRETO SIMPLE DE 28 MPa - (4000 PSI) IMPERMEABILIZADO PARA PLACAS PISOS   |   Unidad: Metro cúbico (M3)   |   Precio: $ 868.631,36</t>
  </si>
  <si>
    <t>Precio por M3. Materiales: Concreto Simple De 28 Mpa -  Impermeabilizado (1.05 M3), Madera Repisa 3 M (1.87 ML), Madera Tabla Burra (4.11 ML), Madera Vara De Clavo (2.43 ML) y 1 más. Mano de obra: Auxiliar De Obra 1 (1.5 jr), Oficial Obra 2 (0.3 jr). Equipo: Formaleta (3 dd), Vibrador De Concreto (1.67 hr), Herrramienta Y Equipo Menor (3.4 %).  Etapa de obra: 3. Cimentación.</t>
  </si>
  <si>
    <t>2.07.06 · CONCRETO SIMPLE DE 28 MPa - (4000 PSI) IMPERMEABILIZADO PARA TAPAS   |   Unidad: Metro cúbico (M3)   |   Precio: $ 773.457,40</t>
  </si>
  <si>
    <t>Precio por M3. Materiales: Concreto Simple De 28 Mpa -  Impermeabilizado (1.05 M3). Mano de obra: Auxiliar De Obra 1 (1 jr), Oficial Obra 2 (0.3 jr). Equipo: Formaleta (2 dd), Vibrador De Concreto (2.22 hr), Herrramienta Y Equipo Menor (3.4 %).  Etapa de obra: 3. Cimentación.</t>
  </si>
  <si>
    <t>2.07.07 · CORTE DE PAVIMENTO FLEXIBLE PARA ZANJAS DE ACUEDUCTO, ALCANTARILLADO Y GAS   |   Unidad: Metro cúbico (M3)   |   Precio: $ 218.757,86</t>
  </si>
  <si>
    <t>Precio por M3. Materiales: Disco Diamantado Asfalto-Concreto 350mm (0.15 UND). Mano de obra: Auxiliar De Obra 1 (0.4 jr), Oficial Obra 2 (0.4 jr), Operador (0.4 jr). Equipo: Compresor (0.67 hr), Cortadora Para Reparcheo (1 hr), Martillo Neumatico 60 Lb (0.67 hr), Herrramienta Y Equipo Menor (6.7 %).  Etapa de obra: 3. Cimentación.</t>
  </si>
  <si>
    <t>DISCO DIAMANTADO ASFALTO-CONCRETO 350mm</t>
  </si>
  <si>
    <t>OPERADOR</t>
  </si>
  <si>
    <t>CORTADORA PARA REPARCHEO</t>
  </si>
  <si>
    <t>MARTILLO NEUMATICO 60 LB</t>
  </si>
  <si>
    <t>2.07.08 · CORTE DE PAVIMENTO RÍGIDO PARA ZANJAS DE ACUEDUCTO, ALCANTARILLADO Y GAS   |   Unidad: Metro cúbico (M3)   |   Precio: $ 233.258,27</t>
  </si>
  <si>
    <t>Precio por M3. Materiales: Disco Diamantado Asfalto-Concreto 350mm (0.25 UND). Mano de obra: Auxiliar De Obra 1 (0.4 jr), Oficial Obra 2 (0.4 jr), Operador (0.4 jr). Equipo: Compresor (0.67 hr), Cortadora Para Reparcheo (1 hr), Martillo Neumatico 60 Lb (0.07 hr), Herrramienta Y Equipo Menor (6.7 %).  Etapa de obra: 3. Cimentación.</t>
  </si>
  <si>
    <t>2.07.09 · SUMINISTRO E INSTALACION DE CONCRETO SIMPLE DE 21 MPA (3000) PARA   |   Unidad: Metro cuadrado (M2)   |   Precio: $ 193.256,36</t>
  </si>
  <si>
    <t>Precio por M2. Materiales: Concreto Clase D 21 Mpa (0.15 M3), Formaleta Para Base Para Concretos (3 gl). Mano de obra: Vibrador De Concreto (0.15 hr), Auxiliar De Obra 1 (1 jr), Oficial Obra 2 (0.25 jr). Equipo: Herrramienta Y Equipo Menor (1.6 %).  Etapa de obra: 3. Cimentación.</t>
  </si>
  <si>
    <t>FORMALETA PARA BASE PARA CONCRETOS</t>
  </si>
  <si>
    <t>2.07.10 · TRANSPORTE DE CARGA MULAR HASTA 4 KM   |   Unidad: Carga (Carga)   |   Precio: $ 87.601,37</t>
  </si>
  <si>
    <t>Precio por Carga. Mano de obra: Auxiliar De Obra 1 (0.45 jr). Equipo: Herrramienta Y Equipo Menor (5 %). Transporte: Animal De Carga (1 vj).  Etapa de obra: 3. Cimentación.</t>
  </si>
  <si>
    <t>ANIMAL DE CARGA</t>
  </si>
  <si>
    <t>vj</t>
  </si>
  <si>
    <t>Capítulo 2.08 · ACCESORIOS DE CONTROL DE PRESION Y CAUDAL</t>
  </si>
  <si>
    <t>2.08.01 · SUMINISTRO E INSTALACIÓN VÁLVULA CHEQUE H.F D = 2" EXTREMO LISO   |   Unidad: Unidad (UND)   |   Precio: $ 439.466,38</t>
  </si>
  <si>
    <t>Precio por UND. Materiales: Válvula De Cheque H.f. 2``, Extremo Liso (1 UND). Mano de obra: Auxiliar De Instalaciones 1 (3 hh), Oficial Instalaciones (3 hh). Equipo: Herrramienta Y Equipo Menor (6.6 %).  Etapa de obra: 6. Instalaciones.</t>
  </si>
  <si>
    <t>VÁLVULA DE CHEQUE H.F. 2``, EXTREMO LISO</t>
  </si>
  <si>
    <t>2.08.02 · SUMINISTRO E INSTALACIÓN VÁLVULA CHEQUE H.F D = 3" EXTREMO LISO   |   Unidad: Unidad (UND)   |   Precio: $ 596.065,38</t>
  </si>
  <si>
    <t>Precio por UND. Materiales: Válvula De Cheque H.f. 3``, Extremo Liso (1 UND). Mano de obra: Auxiliar De Instalaciones 1 (3 hh), Oficial Instalaciones (3 hh). Equipo: Herrramienta Y Equipo Menor (6.6 %).  Etapa de obra: 6. Instalaciones.</t>
  </si>
  <si>
    <t>VÁLVULA DE CHEQUE H.F. 3``, EXTREMO LISO</t>
  </si>
  <si>
    <t>2.08.03 · SUMINISTRO E INSTALACIÓN VÁLVULA CHEQUE H.F D = 6" EXTREMO LISO   |   Unidad: Unidad (UND)   |   Precio: $ 1.317.140,38</t>
  </si>
  <si>
    <t>Precio por UND. Materiales: Válvula De Cheque H.f. 6``, Extremo Liso (1 UND). Mano de obra: Auxiliar De Instalaciones 1 (3 hh), Oficial Instalaciones (3 hh). Equipo: Herrramienta Y Equipo Menor (6.6 %).  Etapa de obra: 6. Instalaciones.</t>
  </si>
  <si>
    <t>VÁLVULA DE CHEQUE H.F. 6``, EXTREMO LISO</t>
  </si>
  <si>
    <t>2.08.04 · SUMINISTRO E INSTALACIÓN VÁLVULA COMPUERTA H.F. D = 2" EXTREMO BRIDA SELLO ELASTICO, 250 PSI.   |   Unidad: Unidad (UND)   |   Precio: $ 483.943,03</t>
  </si>
  <si>
    <t>Precio por UND. Materiales: Válvula H.f. 2``, Extremo Brida, Tipo Beta, 250 Psi (1 UND), Limpiador 1/4 Pvc (0 gl), Soldadura Liquida Pvc 1/4`` (0 gl). Mano de obra: Auxiliar De Obra 1 (0.38 jr), Oficial Obra 2 (0.38 jr). Equipo: Herrramienta Y Equipo Menor (6.7 %).  Etapa de obra: 6. Instalaciones.</t>
  </si>
  <si>
    <t>VÁLVULA H.F. 2``, EXTREMO BRIDA, TIPO BETA, 250 PSI</t>
  </si>
  <si>
    <t>2.08.05 · SUMINISTRO E INSTALACIÓN VÁLVULA COMPUERTA H.F. D = 2" EXTREMO LISO SELLO ELASTICO, 250 PSI.   |   Unidad: Unidad (UND)   |   Precio: $ 431.855,03</t>
  </si>
  <si>
    <t>Precio por UND. Materiales: Válvula H.f. 2``, Extremo Liso, Tipo Beta, 250 Psi (1 UND), Limpiador 1/4 Pvc (0 gl), Soldadura Liquida Pvc 1/4`` (0 gl), Válvula H.f. 3``, Extremo Brida, Tipo Beta, 250 Psi (1 UND) y 4 más. Mano de obra: Auxiliar De Obra 1 (0.38 jr), Oficial Obra 2 (0.38 jr), Válvula H.f. 4``, Extremo Brida, Tipo Beta, 250 Psi (1 UND), Limpiador 1/4 Pvc (0.01 gl) y 1 más. Equipo: Herrramienta Y Equipo Menor (6.7 %).  Etapa de obra: 6. Instalaciones.</t>
  </si>
  <si>
    <t>VÁLVULA H.F. 2``, EXTREMO LISO, TIPO BETA, 250 PSI</t>
  </si>
  <si>
    <t>VÁLVULA H.F. 3``, EXTREMO BRIDA, TIPO BETA, 250 PSI</t>
  </si>
  <si>
    <t>VÁLVULA H.F. 3``, EXTREMO LISO, TIPO BETA, 250 PSI</t>
  </si>
  <si>
    <t>VÁLVULA H.F. 4``, EXTREMO LISO, TIPO BETA, 250 PSI</t>
  </si>
  <si>
    <t>VÁLVULA H.F. 4``, EXTREMO BRIDA, TIPO BETA, 250 PSI</t>
  </si>
  <si>
    <t>2.08.10 · SUMINISTRO E INSTALACIÓN VÁLVULA COMPUERTA H.F. D = 6" EXTREMO BRIDA SELLO ELASTICO, 250 PSI.   |   Unidad: Unidad (UND)   |   Precio: $ 1.475.783,73</t>
  </si>
  <si>
    <t>Precio por UND. Materiales: Válvula H.f. 6``, Extremo Brida, Tipo Beta, 250 Psi (1 UND), Limpiador 1/4 Pvc (0.01 gl), Soldadura Liquida Pvc 1/4`` (0.01 gl). Mano de obra: Auxiliar De Obra 1 (0.38 jr), Oficial Obra 2 (0.38 jr). Equipo: Herrramienta Y Equipo Menor (6.7 %).  Etapa de obra: 6. Instalaciones.</t>
  </si>
  <si>
    <t>VÁLVULA H.F. 6``, EXTREMO BRIDA, TIPO BETA, 250 PSI</t>
  </si>
  <si>
    <t>2.08.11 · SUMINISTRO E INSTALACIÓN VÁLVULA COMPUERTA H.F. D = 6" EXTREMO LISO SELLO ELASTICO, 250 PSI.   |   Unidad: Unidad (UND)   |   Precio: $ 1.350.958,73</t>
  </si>
  <si>
    <t>Precio por UND. Materiales: Válvula H.f. 6``, Extremo Liso, Tipo Beta, 250 Psi (1 UND), Limpiador 1/4 Pvc (0.01 gl), Soldadura Liquida Pvc 1/4`` (0.01 gl). Mano de obra: Auxiliar De Obra 1 (0.38 jr), Oficial Obra 2 (0.38 jr). Equipo: Herrramienta Y Equipo Menor (6.7 %).  Etapa de obra: 6. Instalaciones.</t>
  </si>
  <si>
    <t>VÁLVULA H.F. 6``, EXTREMO LISO, TIPO BETA, 250 PSI</t>
  </si>
  <si>
    <t>2.08.12 · SUMINISTRO E INSTALACIÓN VÁLVULA COMPUERTA H.F. D = 8" EXTREMO BRIDA SELLO ELASTICO, 250 PSI.   |   Unidad: Unidad (UND)   |   Precio: $ 2.115.060,94</t>
  </si>
  <si>
    <t>Precio por UND. Materiales: Válvula H.f. 8``, Extremo Brida, Tipo Beta, 250 Psi (1 UND), Limpiador 1/4 Pvc (0.01 gl), Soldadura Liquida Pvc 1/4`` (0.01 gl). Mano de obra: Auxiliar De Obra 1 (0.38 jr), Oficial Obra 2 (0.38 jr). Equipo: Herrramienta Y Equipo Menor (6.7 %).  Etapa de obra: 6. Instalaciones.</t>
  </si>
  <si>
    <t>VÁLVULA H.F. 8``, EXTREMO BRIDA, TIPO BETA, 250 PSI</t>
  </si>
  <si>
    <t>2.08.13 · SUMINISTRO E INSTALACIÓN VÁLVULA COMPUERTA H.F. D =8" EXTREMO LISO SELLO ELASTICO, 250 PSI.   |   Unidad: Unidad (UND)   |   Precio: $ 1.950.199,94</t>
  </si>
  <si>
    <t>Precio por UND. Materiales: Válvula H.f. 8``, Extremo Liso, Tipo Beta, 250 Psi (1 UND), Limpiador 1/4 Pvc (0.01 gl), Soldadura Liquida Pvc 1/4`` (0.01 gl). Mano de obra: Auxiliar De Obra 1 (0.38 jr), Oficial Obra 2 (0.38 jr). Equipo: Herrramienta Y Equipo Menor (6.7 %).  Etapa de obra: 6. Instalaciones.</t>
  </si>
  <si>
    <t>VÁLVULA H.F. 8``, EXTREMO LISO, TIPO BETA, 250 PSI</t>
  </si>
  <si>
    <t>2.08.14 · SUMINISTRO E INSTALACIÓN VÁLVULA DE CHEQUE H.F. D = 2" E. BRIDA   |   Unidad: Unidad (UND)   |   Precio: $ 544.478,89</t>
  </si>
  <si>
    <t>Precio por UND. Materiales: Válvula De Cheque H.f. 2``, Extremo Brida (1 UND), Limpiador 1/4 Pvc (0 gl), Soldadura Liquida Pvc 1/4`` (0 gl). Mano de obra: Auxiliar De Obra 1 (0.85 jr), Oficial Obra 2 (0.8 jr). Equipo: Herrramienta Y Equipo Menor (6.6 %).  Etapa de obra: 6. Instalaciones.</t>
  </si>
  <si>
    <t>VÁLVULA DE CHEQUE H.F. 2``, EXTREMO BRIDA</t>
  </si>
  <si>
    <t>2.08.15 · SUMINISTRO E INSTALACIÓN VÁLVULA DE CHEQUE H.F. D = 3" E. BRIDA   |   Unidad: Unidad (UND)   |   Precio: $ 798.544,02</t>
  </si>
  <si>
    <t>Precio por UND. Materiales: Válvula De Cheque H.f. 3``, Extremo Brida (1 UND), Limpiador 1/4 Pvc (0 gl), Soldadura Liquida Pvc 1/4`` (0 gl). Mano de obra: Auxiliar De Obra 1 (0.85 jr), Oficial Obra 2 (0.8 jr). Equipo: Herrramienta Y Equipo Menor (9.9 %).  Etapa de obra: 6. Instalaciones.</t>
  </si>
  <si>
    <t>VÁLVULA DE CHEQUE H.F. 3``, EXTREMO BRIDA</t>
  </si>
  <si>
    <t>2.08.16 · SUMINISTRO E INSTALACIÓN VÁLVULA DE CHEQUE H.F. D = 4" E. BRIDA   |   Unidad: Unidad (UND)   |   Precio: $ 966.971,28</t>
  </si>
  <si>
    <t>Precio por UND. Materiales: Válvula De Cheque H.f. 4``, Extremo Brida (1 UND), Limpiador 1/4 Pvc (0.01 gl), Soldadura Liquida Pvc 1/4`` (0.01 gl). Mano de obra: Auxiliar De Obra 1 (0.85 jr), Oficial Obra 2 (0.8 jr). Equipo: Herrramienta Y Equipo Menor (9.9 %).  Etapa de obra: 6. Instalaciones.</t>
  </si>
  <si>
    <t>VÁLVULA DE CHEQUE H.F. 4``, EXTREMO BRIDA</t>
  </si>
  <si>
    <t>2.08.17 · SUMINISTRO E INSTALACIÓN VÁLVULA DE CHEQUE H.F. D =6" E. BRIDA   |   Unidad: Unidad (UND)   |   Precio: $ 1.573.864,42</t>
  </si>
  <si>
    <t>Precio por UND. Materiales: Válvula De Cheque H.f. 6``, Extremo Brida (1 UND), Limpiador 1/4 Pvc (0.01 gl), Soldadura Liquida Pvc 1/4`` (0.01 gl). Mano de obra: Auxiliar De Obra 1 (0.85 jr), Oficial Obra 2 (0.8 jr). Equipo: Herrramienta Y Equipo Menor (9.9 %).  Etapa de obra: 6. Instalaciones.</t>
  </si>
  <si>
    <t>VÁLVULA DE CHEQUE H.F. 6``, EXTREMO BRIDA</t>
  </si>
  <si>
    <t>2.08.18 · SUMINISTRO E INSTALACIÓN VÁLVULA DE CONTROL PARA AGUA (PRESIÓN Y CAUDAL) D=2"   |   Unidad: Unidad (UND)   |   Precio: $ 296.146,38</t>
  </si>
  <si>
    <t>Precio por UND. Materiales: Válvula Flotadora Hkpf Completa  2`` (1 UND). Mano de obra: Auxiliar De Instalaciones 1 (0.4 hh), Oficial Instalaciones (0.4 hh). Equipo: Herrramienta Y Equipo Menor (6.6 %).  Etapa de obra: 6. Instalaciones.</t>
  </si>
  <si>
    <t>VÁLVULA FLOTADORA HKPF COMPLETA (BOLA PLASTICA) 2``</t>
  </si>
  <si>
    <t>2.08.19 · SUMINISTRO E INSTALACIÓN VÁLVULA DE CONTROL PARA AGUA (PRESIÓN Y CAUDAL) D=3"   |   Unidad: Unidad (UND)   |   Precio: $ 2.624.302,46</t>
  </si>
  <si>
    <t>Precio por UND. Materiales: Válvula Flotador Hierro Control Piloto Hkzp 3`` (1 UND). Mano de obra: Auxiliar De Instalaciones 1 (1 hh), Oficial Instalaciones (1 hh). Equipo: Herrramienta Y Equipo Menor (6.6 %).  Etapa de obra: 6. Instalaciones.</t>
  </si>
  <si>
    <t>VÁLVULA FLOTADOR HIERRO CONTROL PILOTO HKZP 3``</t>
  </si>
  <si>
    <t>2.08.20 · SUMINISTRO E INSTALACIÓN VÁLVULA DE CONTROL PARA AGUA (PRESIÓN Y CAUDAL) D=4"   |   Unidad: Unidad (UND)   |   Precio: $ 3.432.529,38</t>
  </si>
  <si>
    <t>Precio por UND. Materiales: Válvula Flotador Hierro Control Piloto Hkzp 4`` (1 UND). Mano de obra: Auxiliar De Instalaciones 1 (0.4 hh), Oficial Instalaciones (0.4 hh). Equipo: Herrramienta Y Equipo Menor (6.6 %).  Etapa de obra: 6. Instalaciones.</t>
  </si>
  <si>
    <t>VÁLVULA FLOTADOR HIERRO CONTROL PILOTO HKZP 4``</t>
  </si>
  <si>
    <t>2.08.21 · SUMINISTRO E INSTALACIÓN VÁLVULA DE CONTROL PARA AGUA (PRESIÓN Y CAUDAL) D=6"   |   Unidad: Unidad (UND)   |   Precio: $ 5.886.832,08</t>
  </si>
  <si>
    <t>Precio por UND. Materiales: Válvula Flotador Hierro Control Piloto Hkzp 6`` (1 UND). Mano de obra: Auxiliar De Instalaciones 1 (0.6 hh), Oficial Instalaciones (0.6 hh). Equipo: Herrramienta Y Equipo Menor (6.6 %).  Etapa de obra: 6. Instalaciones.</t>
  </si>
  <si>
    <t>VÁLVULA FLOTADOR HIERRO CONTROL PILOTO HKZP 6``</t>
  </si>
  <si>
    <t>2.08.22 · SUMINISTRO E INSTALACIÓN VALVULA DE PIE, D= 4" CANASTILLA DE BRONCE HBVP, CUERPO Y CANASTILLA EN HF, ROSCA NPT SELLO DE CAUCHO, TUERCA Y RESORTE EN AI, PRESION DE W 150 PSI   |   Unidad: Unidad (UND)   |   Precio: $ 879.164,46</t>
  </si>
  <si>
    <t>Precio por UND. Materiales: Válvula De Pie Canasta En Bronce D = 4`` (1 UND). Mano de obra: Auxiliar De Instalaciones 1 (1 hh), Oficial Instalaciones (1 hh). Equipo: Herrramienta Y Equipo Menor (6.6 %).  Etapa de obra: 6. Instalaciones.</t>
  </si>
  <si>
    <t>VÁLVULA DE PIE CANASTA EN BRONCE D = 4``</t>
  </si>
  <si>
    <t>2.08.23 · SUMINISTRO E INSTALACIÓN VÁLVULA MARIPOSA D=2 1/2"   |   Unidad: Unidad (UND)   |   Precio: $ 251.995,51</t>
  </si>
  <si>
    <t>Precio por UND. Materiales: Valvula De Mariposa Tipo Wafer D = 2 1/2`` (1 UND). Mano de obra: Auxiliar De Instalaciones 1 (2 hh), Oficial Instalaciones (2 hh). Equipo: Pulidora (0.1 dd), Herrramienta Y Equipo Menor (6.6 %).  Etapa de obra: 6. Instalaciones.</t>
  </si>
  <si>
    <t>VALVULA DE MARIPOSA TIPO WAFER D = 2 1/2``</t>
  </si>
  <si>
    <t>2.08.24 · SUMINISTRO E INSTALACIÓN VÁLVULA MARIPOSA D=3"   |   Unidad: Unidad (UND)   |   Precio: $ 369.282,51</t>
  </si>
  <si>
    <t>Precio por UND. Materiales: Valvula De Mariposa Tipo Wafer D = 3`` (1 UND). Mano de obra: Auxiliar De Instalaciones 1 (2 hh), Oficial Instalaciones (2 hh). Equipo: Pulidora (0.1 dd), Herrramienta Y Equipo Menor (6.6 %).  Etapa de obra: 6. Instalaciones.</t>
  </si>
  <si>
    <t>VALVULA DE MARIPOSA TIPO WAFER D = 3``</t>
  </si>
  <si>
    <t>2.08.25 · SUMINISTRO E INSTALACIÓN VÁLVULA MARIPOSA D=4"   |   Unidad: Unidad (UND)   |   Precio: $ 433.925,51</t>
  </si>
  <si>
    <t>Precio por UND. Materiales: Valvula De Mariposa Tipo Wafer D = 4`` (1 UND). Mano de obra: Pulidora (0.1 dd), Auxiliar De Instalaciones 1 (2 hh), Oficial Instalaciones (2 hh). Equipo: Herrramienta Y Equipo Menor (6.6 %).  Etapa de obra: 6. Instalaciones.</t>
  </si>
  <si>
    <t>VALVULA DE MARIPOSA TIPO WAFER D = 4``</t>
  </si>
  <si>
    <t>2.08.26 · SUMINISTRO E INSTALACIÓN VÁLVULA MARIPOSA D=6"   |   Unidad: Unidad (UND)   |   Precio: $ 587.918,51</t>
  </si>
  <si>
    <t>Precio por UND. Materiales: Valvula De Mariposa Tipo Wafer D = 6`` (1 UND). Mano de obra: Auxiliar De Instalaciones 1 (2 hh), Oficial Instalaciones (2 hh). Equipo: Pulidora (0.1 dd), Herrramienta Y Equipo Menor (6.6 %).  Etapa de obra: 6. Instalaciones.</t>
  </si>
  <si>
    <t>VALVULA DE MARIPOSA TIPO WAFER D = 6``</t>
  </si>
  <si>
    <t>2.08.27 · SUMINISTRO E INSTALACIÓN VENTOSA DE DOBLE ACCIÓN D = ½" EN HIERRO DÚCTIL   |   Unidad: Unidad (UND)   |   Precio: $ 354.460,55</t>
  </si>
  <si>
    <t>Precio por UND. Materiales: Ventosa ½`` (1 UND). Mano de obra: Auxiliar De Obra 1 (0.25 jr), Oficial Obra 2 (0.25 jr). Equipo: Herrramienta Y Equipo Menor (6.6 %).  Etapa de obra: 6. Instalaciones.</t>
  </si>
  <si>
    <t>VENTOSA ½``</t>
  </si>
  <si>
    <t>2.08.28 · SUMINISTRO E INSTALACIÓN VENTOSA DE DOBLE ACCIÓN D =2" EN HIERRO DÚCTIL   |   Unidad: Unidad (UND)   |   Precio: $ 398.189,96</t>
  </si>
  <si>
    <t>Precio por UND. Materiales: Ventosa De Doble Acción 2`` 250 Psi. (1 UND). Mano de obra: Auxiliar De Obra 1 (0.25 jr), Oficial Obra 2 (0.25 jr). Equipo: Herrramienta Y Equipo Menor (6.6 %).  Etapa de obra: 6. Instalaciones.</t>
  </si>
  <si>
    <t>VENTOSA DE DOBLE ACCIÓN 2`` 250 PSI.</t>
  </si>
  <si>
    <t>2.08.29 · SUMINISTRO E INSTALCIÓN VÁLVULA DE PURGA D=1"   |   Unidad: Unidad (UND)   |   Precio: $ 93.030,29</t>
  </si>
  <si>
    <t>Precio por UND. Materiales: Válvula De Purga De Aire 1`` (1 UND), Limpiador 1/4 Pvc (0.02 gl), Soldadura Liquida Pvc 1/4`` (0.02 gl). Mano de obra: Auxiliar De Instalaciones 1 (1.6 hh), Oficial Instalaciones (1.6 hh). Equipo: Herrramienta Y Equipo Menor (6.6 %).  Etapa de obra: 6. Instalaciones.</t>
  </si>
  <si>
    <t>VÁLVULA DE PURGA DE AIRE 1``</t>
  </si>
  <si>
    <t>2.08.30 · SUMINISTRO E INSTALCIÓN VÁLVULA DE PURGA D=1/2"   |   Unidad: Unidad (UND)   |   Precio: $ 75.873,29</t>
  </si>
  <si>
    <t>Precio por UND. Materiales: Válvula De Purga De Aire 1/2`` (1 UND), Limpiador 1/4 Pvc (0.02 gl), Soldadura Liquida Pvc 1/4`` (0.02 gl). Mano de obra: Auxiliar De Instalaciones 1 (1.6 hh), Oficial Instalaciones (1.6 hh). Equipo: Herrramienta Y Equipo Menor (6.6 %).  Etapa de obra: 6. Instalaciones.</t>
  </si>
  <si>
    <t>VÁLVULA DE PURGA DE AIRE 1/2``</t>
  </si>
  <si>
    <t>2.08.31 · SUMINISTRO E INSTALCIÓN VÁLVULA DE PURGA D=2"   |   Unidad: Unidad (UND)   |   Precio: $ 150.535,29</t>
  </si>
  <si>
    <t>Precio por UND. Materiales: Válvula De Purga De Aire 2`` (1 UND), Limpiador 1/4 Pvc (0.02 gl), Soldadura Liquida Pvc 1/4`` (0.02 gl). Mano de obra: Auxiliar De Instalaciones 1 (1.6 hh), Oficial Instalaciones (1.6 hh). Equipo: Herrramienta Y Equipo Menor (6.6 %).  Etapa de obra: 6. Instalaciones.</t>
  </si>
  <si>
    <t>VÁLVULA DE PURGA DE AIRE 2``</t>
  </si>
  <si>
    <t>2.08.32 · SUMINISTRO E INSTALACIÓN VENTOSA DE DOBLE ACCIÓN D = 1"   |   Unidad: Unidad (UND)   |   Precio: $ 291.378,04</t>
  </si>
  <si>
    <t>Precio por UND. Materiales: Ventosa De Doble Acción 1`` 250 Psi. (1 UND). Mano de obra: Auxiliar De Instalaciones 1 (1.6 hh), Oficial Instalaciones (1.6 hh). Equipo: Herrramienta Y Equipo Menor (6.6 %).  Etapa de obra: 6. Instalaciones.</t>
  </si>
  <si>
    <t>VENTOSA DE DOBLE ACCIÓN 1`` 250 PSI.</t>
  </si>
  <si>
    <t>Capítulo 2.09 · REFORESTACION</t>
  </si>
  <si>
    <t>2.09.01 · AISLAMIENTO, DISTANCIAL ENTRE POSTES 2.5 MTS CON 4 HILOS DE ALAMBRE   |   Unidad: Kilómetro (km)   |   Precio: $ 7.937.726,25</t>
  </si>
  <si>
    <t>Precio por km. Materiales: Grapas (11 kg), Madera Rolliza D=0.15 M (33 ML), Postes De Madera H=1.5 (400 UND), Alambre De Puas N° 12.5 (412 kg). Mano de obra: Auxiliar De Obra 1 (7 jr), Oficial Obra 2 (7 jr). Equipo: Herrramienta Y Equipo Menor (8 %).  Etapa de obra: 9. Exteriores.</t>
  </si>
  <si>
    <t>2.09.02 · AISLAMIENTO PARA RESTAURACION PASIVA, DISTANCIA ENTRE POSTES 2.5 MTS CON 5 HILOS DE ALAMBRE, INCLUYE MANTENIMIENTO POR 3 AÑOS   |   Unidad: Kilómetro (km)   |   Precio: $ 9.357.146,57</t>
  </si>
  <si>
    <t>Precio por km. Materiales: Grapas (16 kg), Madera Rolliza D=0.15 M (40 ML), Postes De Madera H=1.5 (400 UND), Alambre De Puas N° 12.5 (335 kg). Mano de obra: Auxiliar De Obra 1 (15 jr), Oficial Obra 2 (15 jr). Equipo: Herrramienta Y Equipo Menor (12.5 %).  Etapa de obra: 9. Exteriores.</t>
  </si>
  <si>
    <t>2.09.03 · CONSTRUCCION DE JARDINES   |   Unidad: Metro cuadrado (M2)   |   Precio: $ 73.299,19</t>
  </si>
  <si>
    <t>Precio por M2. Materiales: Tierra Negra (0.1 M3), Pasto (1 M2), Plantas Ornamentales Varias (12 UND). Mano de obra: Auxiliar De Obra 2 (0.6 hh), Oficial Obra 1 (0.6 hh). Equipo: Herrramienta Y Equipo Menor (0.7 %).  Etapa de obra: 9. Exteriores.</t>
  </si>
  <si>
    <t>PLANTAS ORNAMENTALES VARIAS</t>
  </si>
  <si>
    <t>2.09.04 · ESTABLECIMIENTO DE SETOS   |   Unidad: Metro lineal (ML)   |   Precio: $ 17.965,14</t>
  </si>
  <si>
    <t>Precio por ML. Materiales: Tierra Abonada (0.05 M3), Seto Mediano Para Cerramiento Tipo ``eugenia`` H=1 - 2 M (2 UND). Mano de obra: Auxiliar De Obra 1 (0.05 jr). Equipo: Herrramienta Y Equipo Menor (5 %).  Etapa de obra: 9. Exteriores.</t>
  </si>
  <si>
    <t>TIERRA ABONADA</t>
  </si>
  <si>
    <t>SETO MEDIANO PARA CERRAMIENTO TIPO ``EUGENIA`` H=1 - 2 M</t>
  </si>
  <si>
    <t>2.09.05 · MANTENIMIENTO AÑO 2   |   Unidad: Hectárea (HA)   |   Precio: $ 2.537.911,23</t>
  </si>
  <si>
    <t>Precio por HA. Materiales: Plantulas +10% Repos (111 UND), Clorpirifos (2 Kg-Lt). Mano de obra: Auxiliar De Obra 1 (11.5 jr), Oficial Obra 2 (11.5 jr). Equipo: Herrramienta Y Equipo Menor (5.8 %).  Etapa de obra: 9. Exteriores.</t>
  </si>
  <si>
    <t>PLANTULAS +10% REPOS</t>
  </si>
  <si>
    <t>CLORPIRIFOS</t>
  </si>
  <si>
    <t>Kg-Lt</t>
  </si>
  <si>
    <t>2.09.06 · MANTENIMIENTO AÑO 3   |   Unidad: Hectárea (HA)   |   Precio: $ 2.537.911,23</t>
  </si>
  <si>
    <t>2.09.07 · MANTENIMIENTO DE PRADOS   |   Unidad: Metro cuadrado (M2)   |   Precio: $ 3.415,90</t>
  </si>
  <si>
    <t>Precio por M2. Mano de obra: Auxiliar De Obra 1 (0.04 jr), Oficial Obra 2 (0.01 jr). Equipo: Herrramienta Y Equipo Menor (8.4 %).  Etapa de obra: 9. Exteriores.</t>
  </si>
  <si>
    <t>2.09.08 · MANTENIMIENTO DE SETOS   |   Unidad: Metro lineal (ML)   |   Precio: $ 3.403,30</t>
  </si>
  <si>
    <t>Precio por ML. Mano de obra: Auxiliar De Obra 1 (0.04 jr), Oficial Obra 2 (0.01 jr). Equipo: Herrramienta Y Equipo Menor (8 %).  Etapa de obra: 9. Exteriores.</t>
  </si>
  <si>
    <t>2.09.09 · REFORESTACION INCLUYE ROCERÍA, TRAZADO, PLATEO, AHOYADO, RESPOSICION, LIMPIAS   |   Unidad: Hectárea (HA)   |   Precio: $ 5.165.401,80</t>
  </si>
  <si>
    <t>Precio por HA. Materiales: Plantulas +10% Repos (1222 UND), Terracal (77.8 kg), Boro Natural (11.1 kg), Hidroretenedor (3.3 kg) y 2 más. Mano de obra: Auxiliar De Obra 1 (15 jr), Oficial Obra 2 (15 jr). Equipo: Herrramienta Y Equipo Menor (7 %).  Etapa de obra: 9. Exteriores.</t>
  </si>
  <si>
    <t>TERRACAL</t>
  </si>
  <si>
    <t>BORO NATURAL</t>
  </si>
  <si>
    <t>HIDRORETENEDOR</t>
  </si>
  <si>
    <t>CALFOS</t>
  </si>
  <si>
    <t>Capítulo 3.01 · PRELIMINARES (VIAS)</t>
  </si>
  <si>
    <t>7 actividades. Cada tabla lista los insumos de una actividad por unidad de obra.</t>
  </si>
  <si>
    <t>3.01.01 · DESMONTE Y LIMPIEZA EN BOSQUE   |   Unidad: Hectárea (HA)   |   Precio: $ 1.833.596,02</t>
  </si>
  <si>
    <t>Precio por HA. Mano de obra: Auxiliar De Obra 1 (10 jr). Equipo: Retroexcavadora 320 O Similar (6.67 hr), Motosierra (6.67 hr), Herrramienta Y Equipo Menor (5 %).  Etapa de obra: 1. Preliminares.</t>
  </si>
  <si>
    <t>3.01.02 · DESMONTE Y LIMPIEZA EN BOSQUE INCLUYE ACARREO LIBRE HASTA 5 KM   |   Unidad: Hectárea (HA)   |   Precio: $ 2.470.736,02</t>
  </si>
  <si>
    <t>Precio por HA. Mano de obra: Auxiliar De Obra 1 (10 jr). Equipo: Retroexcavadora 320 O Similar (6.67 hr), Motosierra (6.67 hr), Herrramienta Y Equipo Menor (5 %). Transporte: Viaje Volqueta M3 (10 M3).  Etapa de obra: 1. Preliminares.</t>
  </si>
  <si>
    <t>3.01.03 · DESMONTE Y LIMPIEZA EN ZONA NO BOSCOSA   |   Unidad: Hectárea (HA)   |   Precio: $ 1.138.541,92</t>
  </si>
  <si>
    <t>Precio por HA. Mano de obra: Auxiliar De Obra 1 (14 jr). Equipo: Guadañadora (2.78 hr), Motosierra (9.71 hr), Herrramienta Y Equipo Menor (5 %).  Etapa de obra: 1. Preliminares.</t>
  </si>
  <si>
    <t>GUADAÑADORA</t>
  </si>
  <si>
    <t>3.01.04 · LOCALIZACION Y REPLANTEO TOPOGRAFICO   |   Unidad: Kilómetro (km)   |   Precio: $ 2.813.077,04</t>
  </si>
  <si>
    <t>Precio por km. Materiales: Pintura Y Estacas (1 glb). Mano de obra: Cadenero 1 (4 jr), Cadenero 2 (4 jr), Cadenero 3 (4 jr), Topografo (5 jr) y 1 más. Equipo: Equipo De Topografía (24 hr), Herrramienta Y Equipo Menor (5 %).  Etapa de obra: 1. Preliminares.</t>
  </si>
  <si>
    <t>PINTURA Y ESTACAS</t>
  </si>
  <si>
    <t>CADENERO 1</t>
  </si>
  <si>
    <t>CADENERO 2</t>
  </si>
  <si>
    <t>CADENERO 3</t>
  </si>
  <si>
    <t>TOPOGRAFO</t>
  </si>
  <si>
    <t>TROCHERO</t>
  </si>
  <si>
    <t>EQUIPO DE TOPOGRAFÍA (ESTACION,NIVEL Y ELEMENTOS)</t>
  </si>
  <si>
    <t>3.01.05 · DESMONTE Y TRASLADO DE ESTRUCTURAS METALICAS( INCLUYE CARGUE Y DESCARGUES)   |   Unidad: Kilogramo (kg)   |   Precio: $ 1.043,76</t>
  </si>
  <si>
    <t>Precio por kg. Mano de obra: Auxiliar De Obra 1 (0 jr), Oficial Obra 2 (0 jr), Transporte Estructura Metalica (1 kg-km). Equipo: Equipo De Oxicorte (0 dd), Grua Telescopica 50 Ton (0 hr), Herrramienta Y Equipo Menor (1 %).  Etapa de obra: 1. Preliminares.</t>
  </si>
  <si>
    <t>TRANSPORTE ESTRUCTURA METALICA</t>
  </si>
  <si>
    <t>kg-km</t>
  </si>
  <si>
    <t>EQUIPO DE OXICORTE</t>
  </si>
  <si>
    <t>GRUA TELESCOPICA 50 TON</t>
  </si>
  <si>
    <t>3.01.06 · REMOCION DE CERCA DE ALAMBRE   |   Unidad: Metro lineal (ML)   |   Precio: $ 3.795,76</t>
  </si>
  <si>
    <t>Precio por ML. Mano de obra: Auxiliar De Obra 1 (0.05 jr). Equipo: Herrramienta Y Equipo Menor (5 %).  Etapa de obra: 1. Preliminares.</t>
  </si>
  <si>
    <t>3.01.07 · REMOCION Y BLOQUEO DE ESPECIES VEGETALES DE DAP&gt;30 CMS Y ALTURA &gt;3 MTS   |   Unidad: Unidad (UND)   |   Precio: $ 273.856,14</t>
  </si>
  <si>
    <t>Precio por UND. Materiales: Tierra Abonada (2 M3), Costales De Fique O De Fibra (4 M2), Nutrientes (1 kg). Mano de obra: Auxiliar De Obra 1 (0.5 jr). Equipo: Cargador 950 O Similar (1 hr), Herrramienta Y Equipo Menor (6.7 %).  Etapa de obra: 1. Preliminares.</t>
  </si>
  <si>
    <t>COSTALES DE FIQUE O DE FIBRA</t>
  </si>
  <si>
    <t>NUTRIENTES (DAP, TRIPLE 15, UREA ETC) (UREA)</t>
  </si>
  <si>
    <t>Capítulo 3.02 · EXPLANACIONES</t>
  </si>
  <si>
    <t>3.02.01 · CONFORMACION DE BOTADERO O ESCOMBRERA   |   Unidad: Metro cúbico (M3)   |   Precio: $ 3.472,69</t>
  </si>
  <si>
    <t>Precio por M3. Mano de obra: Auxiliar De Obra 1 (0 jr). Equipo: Bulldozer Tipo D-6 O Similar (0.02 hr).  Etapa de obra: 2. Excavaciones.</t>
  </si>
  <si>
    <t>3.02.02 · EXCAVACION DE CORTES Y CANALES SIN CLASIFICAR INCLUYE ACARREO LIBRE DE 5 KM   |   Unidad: Metro cúbico (M3)   |   Precio: $ 14.301,40</t>
  </si>
  <si>
    <t>Precio por M3. Mano de obra: Auxiliar De Obra 1 (0.01 jr), Paleteros (0.01 jr). Equipo: Retroexcavadora 320 O Similar (0.08 hr), Herrramienta Y Equipo Menor (0.7 %). Transporte: Transporte De Material (1 M3).  Etapa de obra: 2. Excavaciones.</t>
  </si>
  <si>
    <t>3.02.03 · EXCAVACION DE CORTES, CANALES Y PRESTAMOS EN MATERIAL COMUN A MAQUINA INCLUYE CARGUE Y ACARREO LIBRE DE 5 KM   |   Unidad: Metro cúbico (M3)   |   Precio: $ 11.547,33</t>
  </si>
  <si>
    <t>Precio por M3. Equipo: Retroexcavadora 320 O Similar (0.03 hr). Transporte: Viaje Volqueta M3 (0.1 M3).  Etapa de obra: 2. Excavaciones.</t>
  </si>
  <si>
    <t>3.02.04 · EXCAVACION EN ROCA CON COMPRESOR Y DINAMITA   |   Unidad: Metro cúbico (M3)   |   Precio: $ 135.669,72</t>
  </si>
  <si>
    <t>Precio por M3. Materiales: Cordon Detonante 12 Grs/Metro (3 ML), Detonador Electronico Edev (1 UND), Indugel Plus Tipo B32x250 (2 kg). Mano de obra: Compresor (0.1 hr), Auxiliar De Obra 1 (0.5 jr), Machinero (0.1 jr). Equipo: Herrramienta Y Equipo Menor (3.3 %).  Etapa de obra: 2. Excavaciones.</t>
  </si>
  <si>
    <t>CORDON DETONANTE 12 GRS/METRO</t>
  </si>
  <si>
    <t>DETONADOR ELECTRONICO EDEV</t>
  </si>
  <si>
    <t>INDUGEL PLUS TIPO B32X250</t>
  </si>
  <si>
    <t>MACHINERO</t>
  </si>
  <si>
    <t>3.02.05 · EXCAVACION MECANICA EN ROCA DE LA EXPLANEACION, CANALES Y PRESTAMOS SIN EXPLOSIVOS   |   Unidad: Metro cúbico (M3)   |   Precio: $ 66.264,04</t>
  </si>
  <si>
    <t>Precio por M3. Mano de obra: Auxiliar De Obra 1 (0 jr), Paleteros (0 jr). Equipo: Retroexcavadora E200 O Similar Con Martillo Neumatico (0.15 hr), Retroexcavadora 320 O Similar (0.15 hr), Herrramienta Y Equipo Menor (1 %).  Etapa de obra: 2. Excavaciones.</t>
  </si>
  <si>
    <t>3.02.06 · EXCAVACIONES DE CORTES, CANALES Y PRESTAMOS EN ROCA A MAQUINA INCLUYE ACARREO LIBRE DE 5 KM CON EXPLOSIVOS (APERTURA Y/O AMPLIACION DE VIA)   |   Unidad: Metro cúbico (M3)   |   Precio: $ 71.811,01</t>
  </si>
  <si>
    <t>Precio por M3. Materiales: Cordon Detonante 12 Grs/Metro (3 ML), Indugel Plus Tipo B32x250 (1 kg). Mano de obra: Auxiliar De Obra 1 (0.1 jr), Machinero (0.1 jr). Equipo: Bulldozer Tipo D-6 O Similar (0.08 hr), Cargador 950 O Similar (0.07 hr), Compresor (0.08 hr), Herrramienta Y Equipo Menor (7.5 %). Transporte: Viaje Volqueta M3 (0.07 M3).  Etapa de obra: 2. Excavaciones.</t>
  </si>
  <si>
    <t>3.02.07 · EXCAVACIONES MECANICAS VARIAS EN MATERIAL COMUN SECO   |   Unidad: Metro cúbico (M3)   |   Precio: $ 13.438,38</t>
  </si>
  <si>
    <t>Precio por M3. Mano de obra: Auxiliar De Obra 1 (0 jr). Equipo: Retroexcavadora Jd-510 O Similar (0.04 hr), Herrramienta Y Equipo Menor (3.3 %). Transporte: Transporte De Material (6.5 M3-km).  Etapa de obra: 2. Excavaciones.</t>
  </si>
  <si>
    <t>3.02.08 · EXCAVACIONES MECANICAS VARIAS EN ROCA BAJO AGUA   |   Unidad: Metro cúbico (M3)   |   Precio: $ 140.354,52</t>
  </si>
  <si>
    <t>Precio por M3. Materiales: Carga Fulminante Fuerte + Clavo 5/16 B. Vel 1 (1 UND), Cordon Detonante 12 Grs/Metro (2 ML), Indugel Plus Tipo B32x250 (0.13 kg), Mecha Lenta (0.5 ML). Mano de obra: Auxiliar De Obra 1 (0.5 jr), Oficial Obra 2 (0.3 jr). Equipo: Compresor (0.4 hr), Motobomba (0.13 hr), Retroexcavadora 320 O Similar (0.01 hr), Herrramienta Y Equipo Menor (3.3 %). Transporte: Escolta Y Transporte (1 M3), Transporte De Material (7 M3-km).  Etapa de obra: 2. Excavaciones.</t>
  </si>
  <si>
    <t>MECHA LENTA</t>
  </si>
  <si>
    <t>MOTOBOMBA</t>
  </si>
  <si>
    <t>ESCOLTA Y TRANSPORTE (Una tarifa por cada m3 escoltado y transportado)</t>
  </si>
  <si>
    <t>3.02.09 · EXCAVACIONES MECANICAS VARIAS EN ROCA EN SECO   |   Unidad: Metro cúbico (M3)   |   Precio: $ 68.459,38</t>
  </si>
  <si>
    <t>Precio por M3. Materiales: Carga Fulminante Fuerte + Clavo 5/16 B. Vel 1 (1 UND), Cordon Detonante 12 Grs/Metro (4 ML), Indugel Plus Tipo B32x250 (0.4 kg), Mecha Lenta (1 ML). Mano de obra: Auxiliar De Obra 1 (0.17 jr), Oficial Obra 2 (0.04 jr). Equipo: Compresor (0.5 hr), Retroexcavadora Jd-510 O Similar (0.07 hr), Herrramienta Y Equipo Menor (5 %).  Etapa de obra: 2. Excavaciones.</t>
  </si>
  <si>
    <t>3.02.10 · PEDRAPLEN COMPACTO   |   Unidad: Metro cúbico (M3)   |   Precio: $ 88.793,55</t>
  </si>
  <si>
    <t>Precio por M3. Materiales: Piedra (1.3 M3). Mano de obra: Auxiliar De Obra 1 (0.01 jr), Oficial Obra 2 (0 jr). Equipo: Bulldozer Tipo D-6 O Similar (0.03 hr), Retroexcavadora Jd-510 O Similar (0.03 hr), Vibrocompactador Ca-15 O Similar (0.03 hr).  Etapa de obra: 2. Excavaciones.</t>
  </si>
  <si>
    <t>PIEDRA</t>
  </si>
  <si>
    <t>3.02.11 · PEDRAPLEN SUELTO   |   Unidad: Metro cúbico (M3)   |   Precio: $ 73.322,01</t>
  </si>
  <si>
    <t>Precio por M3. Materiales: Piedra (1.1 M3). Mano de obra: Auxiliar De Obra 1 (0 jr), Oficial Obra 2 (0 jr). Equipo: Bulldozer Tipo D-6 O Similar (0.03 hr), Retroexcavadora Jd-510 O Similar (0.03 hr).  Etapa de obra: 2. Excavaciones.</t>
  </si>
  <si>
    <t>3.02.12 · TERRAPLENES   |   Unidad: Metro cúbico (M3)   |   Precio: $ 15.083,65</t>
  </si>
  <si>
    <t>Precio por M3. Mano de obra: Auxiliar De Obra 1 (0 jr), Oficial Obra 2 (0 jr). Equipo: Carrotanque (0.03 hr), Motoniveladora Potencia Minima 120 Hp Y Max 215 Hp (0.03 hr), Retroexcavadora Jd-510 O Similar (0.03 hr), Vibrocompactador Ca-15 O Similar (0.03 hr).  Etapa de obra: 2. Excavaciones.</t>
  </si>
  <si>
    <t>Capítulo 3.03 · OBRAS DE DRENAJE, PROTECCION Y ESTRUCTURAS</t>
  </si>
  <si>
    <t>3.03.01 · COLCHOGAVIONES SEGUN NORMA INVIAS   |   Unidad: Metro cúbico (M3)   |   Precio: $ 213.984,31</t>
  </si>
  <si>
    <t>Precio por M3. Materiales: Cuarton 2" X 4" X 300 (2 ML), Malla Galvanizada Tipo A Cal. 12 2x0,5x1 (1 UND), Piedra Media Zonga (1.05 M3), Alambre Galvanizado C. 13 (0.5 kg). Mano de obra: Auxiliar De Obra 1 (0.2 jr), Oficial Obra 2 (0.2 jr). Equipo: Herrramienta Y Equipo Menor (6.7 %).  Etapa de obra: 9. Exteriores.</t>
  </si>
  <si>
    <t>ALAMBRE GALVANIZADO C. 13</t>
  </si>
  <si>
    <t>3.03.02 · CONSTRUCCION DE FILTROS A CUALQUIER PROFUNDIDAD, CON MATERIAL FILTRANTE SEGUN NORMA INVIAS, SIN EXCAVACION, INCLUYE GEOTEXTIL NT 2000   |   Unidad: Metro cúbico (M3)   |   Precio: $ 201.465,74</t>
  </si>
  <si>
    <t>Precio por M3. Materiales: Geotextil Nt 2000 (3.5 M2), Gravilla ¾, ½ (0.8 M3), Material Sellante Para Filtros. (0.1 M3), Rajón (0.4 M3). Mano de obra: Auxiliar De Obra 1 (0.75 jr), Oficial Obra 2 (0.25 jr). Equipo: Herrramienta Y Equipo Menor (3.3 %).  Etapa de obra: 9. Exteriores.</t>
  </si>
  <si>
    <t>GEOTEXTIL NT 2000</t>
  </si>
  <si>
    <t>MATERIAL SELLANTE PARA FILTROS.</t>
  </si>
  <si>
    <t>RAJÓN</t>
  </si>
  <si>
    <t>3.03.03 · CONSTRUCCIÓN DE MUROS EN GAVIONES, INCLUYE MALLA ESLABONADA TRIPLE TORSION CAL. 13   |   Unidad: Metro cúbico (M3)   |   Precio: $ 195.968,20</t>
  </si>
  <si>
    <t>Precio por M3. Materiales: Tabla Burra 3 M (5 ML), Cuarton 2`` X 4`` X 300 Otobo (0.4 UND), Malla Galvanizada Tipo A Cal. 13 2x1x1 (0.5 UND), Piedra Media Zonga (1.2 M3) y 2 más. Mano de obra: Auxiliar De Obra 2 (4.25 hh), Oficial Obra 1 (0.85 hh). Equipo: Herrramienta Y Equipo Menor (3 %).  Etapa de obra: 9. Exteriores.</t>
  </si>
  <si>
    <t>MALLA GALVANIZADA TIPO A CAL. 13 2X1X1</t>
  </si>
  <si>
    <t>3.03.04 · CONSTRUCCION MANUAL DE CUNETAS EN TIERRA   |   Unidad: Metro lineal (ML)   |   Precio: $ 3.846,37</t>
  </si>
  <si>
    <t>Precio por ML. Mano de obra: Auxiliar De Obra 1 (0.05 jr). Equipo: Herrramienta Y Equipo Menor (6.4 %).  Etapa de obra: 9. Exteriores.</t>
  </si>
  <si>
    <t>3.03.05 · CUNETAS REVESTIDAS EN CONCRETO DE 21 MPA ( 3000 PSI) SIN REFUERZO (INCLUYE SELLO DE JUNTAS)   |   Unidad: Metro cúbico (M3)   |   Precio: $ 575.964,03</t>
  </si>
  <si>
    <t>Precio por M3. Materiales: Alambre Negro No. 18 (0.1 kg), Concreto Clase D 21 Mpa (1.05 M3), Tabla Chapa (3 ML), Puntilla Con Y Sin Cabeza 2 (0.16 lb). Mano de obra: Auxiliar De Obra 1 (0.3 jr), Oficial Obra 2 (0.3 jr). Equipo: Herrramienta Y Equipo Menor (3.3 %).  Etapa de obra: 9. Exteriores.</t>
  </si>
  <si>
    <t>3.03.06 · DISIPADOR DE ENERGIA Y SEDIMENTADOR EN CONCRETO SIMPLE DE 21 MPA (3000 PSI), (NO INCLUYE REFUERZO)   |   Unidad: Metro cúbico (M3)   |   Precio: $ 630.977,26</t>
  </si>
  <si>
    <t>Precio por M3. Materiales: Concreto Clase D 21 Mpa (1 M3), Madera Repisa 3 M (0.59 ML), Madera Tabla Burra (1.31 ML), Madera Vara De Clavo (0.77 ML) y 1 más. Mano de obra: Auxiliar De Obra 1 (1 jr), Oficial Obra 2 (0.27 jr). Equipo: Formaleta (4.5 dd), Herrramienta Y Equipo Menor (6.7 %).  Etapa de obra: 9. Exteriores.</t>
  </si>
  <si>
    <t>3.03.07 · DISIPADOR DE ENERGIA Y SEDIMENTADOR EN GAVIONES, CON RECUBRIMIENTO EN MORTERO 1:3   |   Unidad: Metro cúbico (M3)   |   Precio: $ 280.288,42</t>
  </si>
  <si>
    <t>Precio por M3. Materiales: Mortero 1:3 (0.12 M3), Madera Repisa 3 M (2 ML), Madera Tabla Burra (4 ML), Madera Vara De Clavo (0.39 ML) y 4 más. Mano de obra: Auxiliar De Obra 1 (0.53 jr), Oficial Obra 2 (0.13 jr). Equipo: Formaleta (2.5 dd), Herrramienta Y Equipo Menor (6.7 %).  Etapa de obra: 9. Exteriores.</t>
  </si>
  <si>
    <t>3.03.08 · DRENAJES EN TUBERIA DE PVC 4`` PERFORADA INCLUYE GRAVILLA FINA   |   Unidad: Metro lineal (ML)   |   Precio: $ 34.412,89</t>
  </si>
  <si>
    <t>Precio por ML. Materiales: Tubería Drenaje Corrugada Pvc 100 Mm  Sin Filtro. Tramos De 5 M. Con Unión. (1 ML), Gravilla ¾, ½ (0.03 M3). Mano de obra: Auxiliar De Instalaciones 1 (0.3 hh), Oficial Instalaciones (0.3 hh). Equipo: Herrramienta Y Equipo Menor (5 %).  Etapa de obra: 9. Exteriores.</t>
  </si>
  <si>
    <t>TUBERÍA DRENAJE CORRUGADA PVC 100 mm ( 4``) Sin filtro. Tramos de 5 m. con unión.</t>
  </si>
  <si>
    <t>3.03.09 · DRENES HORIZONTALES TUBERIA PVC PERFORADA CON FILTRO 2"   |   Unidad: Metro lineal (ML)   |   Precio: $ 193.210,20</t>
  </si>
  <si>
    <t>Precio por ML. Materiales: Tubería Drenaje Pvc 2 " Perforado Con Filtro (1 ML). Mano de obra: Equipo De Perforacion Trackdrill (0.8 hr), Auxiliar De Instalaciones 1 (1.4 hh), Oficial Instalaciones (1 hh). Equipo: Herrramienta Y Equipo Menor (5 %).  Etapa de obra: 9. Exteriores.</t>
  </si>
  <si>
    <t>TUBERÍA DRENAJE PVC 2 " PERFORADO CON FILTRO</t>
  </si>
  <si>
    <t>EQUIPO DE PERFORACION TRACKDRILL</t>
  </si>
  <si>
    <t>3.03.10 · EXCAVACION MANUAL EN MATERIAL COMUN   |   Unidad: Metro cúbico (M3)   |   Precio: $ 48.843,35</t>
  </si>
  <si>
    <t>Precio por M3. Mano de obra: Auxiliar De Obra 1 (0.3 jr), Oficial Obra 2 (0.2 jr). Equipo: Herrramienta Y Equipo Menor (5 %).  Etapa de obra: 9. Exteriores.</t>
  </si>
  <si>
    <t>3.03.11 · EXCAVACION MANUAL EN MATERIAL CONGLOMERADO   |   Unidad: Metro cúbico (M3)   |   Precio: $ 69.401,45</t>
  </si>
  <si>
    <t>Precio por M3. Mano de obra: Auxiliar De Obra 1 (0.5 jr), Oficial Obra 2 (0.25 jr). Equipo: Herrramienta Y Equipo Menor (3.3 %).  Etapa de obra: 9. Exteriores.</t>
  </si>
  <si>
    <t>3.03.12 · MEJORAMIENTO DE PISO CON MATERIAL DE AFIRMADO COMPACTADO CON PLANCHA VIBRADORA, INCLUYE ACARREO LIBRE DE 5 KM.   |   Unidad: Metro cúbico (M3)   |   Precio: $ 82.433,28</t>
  </si>
  <si>
    <t>Precio por M3. Materiales: Material De Afirmado (1.3 M3), Agua (25 lt). Mano de obra: Auxiliar De Obra 1 (0.1 jr), Oficial Obra 2 (0.1 jr). Equipo: Cargador 950 O Similar (0.1 hr), Carrotanque (0.1 hr), Vibrocompactador Rana (0.33 hr), Herrramienta Y Equipo Menor (3.3 %).  Etapa de obra: 9. Exteriores.</t>
  </si>
  <si>
    <t>3.03.13 · MURO DE CONTENCION DE SUELO REFORZADO CON GEOTEXTIL (TIERRA ARMADA) incluye acarreo libre 5 km   |   Unidad: Metro cúbico (M3)   |   Precio: $ 163.193,80</t>
  </si>
  <si>
    <t>Precio por M3. Materiales: Geotextil Tejido Con Resistencia A La Rotura 45.2 Kn/M (6 M2), Material Seleccionado Para Relleno (1.3 M3), Agua (44 lt). Mano de obra: Carrotanque (0.13 hr), Formaleta (0.5 dd), Vibrocompactador Ca-15 O Similar (0.13 hr), Auxiliar De Obra 1 (0.04 jr) y 1 más. Equipo: Herrramienta Y Equipo Menor (2 %). Transporte: Transporte De Material (30 M3-km).  Etapa de obra: 9. Exteriores.</t>
  </si>
  <si>
    <t>GEOTEXTIL TEJIDO CON RESISTENCIA A LA ROTURA 45.2 KN/M</t>
  </si>
  <si>
    <t>MATERIAL SELECCIONADO PARA RELLENO</t>
  </si>
  <si>
    <t>3.03.14 · PLACA DE PROTECCION PARA TUBERIAS Y CANALES (INCLUYE ACERO DE   |   Unidad: Metro lineal (ML)   |   Precio: $ 200.065,92</t>
  </si>
  <si>
    <t>Precio por ML. Materiales: Concreto Clase D 21 Mpa (0.11 M3), Acero 60000 Psi (13 kg), Ladrillo Prensado Macizo Santafe (72 UND), Mortero 1:4 (0.03 M3) y 1 más.  Etapa de obra: 9. Exteriores.</t>
  </si>
  <si>
    <t>3.03.15 · RELLENO CON MATERIAL DE AFIRMADO COMPACTADO PLANCHA VIBRADORA   |   Unidad: Metro cúbico (M3)   |   Precio: $ 73.050,70</t>
  </si>
  <si>
    <t>Precio por M3. Materiales: Material De Afirmado (1.3 M3). Mano de obra: Auxiliar De Obra 1 (0.1 jr), Oficial Obra 2 (0.1 jr). Equipo: Cargador 950 O Similar (0.07 hr), Vibrocompactador Rana (0.18 hr), Herrramienta Y Equipo Menor (3.3 %). Transporte: Viaje Volqueta M3 (0.07 M3).  Etapa de obra: 9. Exteriores.</t>
  </si>
  <si>
    <t>3.03.16 · RELLENO CON MATERIAL SELECCIONADO PROVENIENTE DE EXCAVACION COMPACTADO CON PLANTA VIBRADORA   |   Unidad: Metro cúbico (M3)   |   Precio: $ 20.392,10</t>
  </si>
  <si>
    <t>Precio por M3. Mano de obra: Auxiliar De Obra 1 (0.15 jr), Oficial Obra 2 (0.05 jr). Equipo: Vibrocompactador Rana (0.33 hr), Herrramienta Y Equipo Menor (3.3 %).  Etapa de obra: 9. Exteriores.</t>
  </si>
  <si>
    <t>3.03.17 · SUELO CEMENTO RELACION 1:8   |   Unidad: Metro cúbico (M3)   |   Precio: $ 102.745,03</t>
  </si>
  <si>
    <t>Precio por M3. Materiales: Cemento Gris (97.5 kg). Mano de obra: Auxiliar De Obra 2 (0.2 hh), Oficial Obra 1 (0.2 hh). Equipo: Carrotanque (0.08 hr), Motoniveladora Potencia Minima 120 Hp Y Max 215 Hp (0.08 hr), Vibrocompactador Ca-15 O Similar (0.08 hr), Herrramienta Y Equipo Menor (4 %).  Etapa de obra: 9. Exteriores.</t>
  </si>
  <si>
    <t>3.03.18 · SUMINISTRO E INSTALACION DE CONCRETO SIMPLE DE 17.5 MPA (2500 PSI) PARA ELEVACIONES   |   Unidad: Metro cúbico (M3)   |   Precio: $ 650.668,16</t>
  </si>
  <si>
    <t>Precio por M3. Materiales: Concreto 1:2:4 17.5 Mpa (1.05 M3), Madera Repisa 3 M (1.97 ML), Madera Tabla Burra (4.34 ML), Madera Vara De Clavo (2.56 ML) y 1 más. Mano de obra: Auxiliar De Obra 1 (0.6 jr), Oficial Obra 2 (0.15 jr). Equipo: Formaleta (7 dd), Vibrador De Concreto (2 hr), Herrramienta Y Equipo Menor (1.7 %).  Etapa de obra: 9. Exteriores.</t>
  </si>
  <si>
    <t>3.03.19 · SUMINISTRO E INSTALACION DE CONCRETO CICLOPEO DE 17.5 MPA (2500) , 40% RAJON PARA BASES   |   Unidad: Metro cúbico (M3)   |   Precio: $ 445.682,27</t>
  </si>
  <si>
    <t>Precio por M3. Materiales: Concreto 1:2:4 17.5 Mpa (0.65 M3), Madera Repisa 3 M (0.42 ML), Madera Tabla Burra (0.93 ML), Madera Vara De Clavo (0.55 ML) y 2 más. Mano de obra: Auxiliar De Obra 1 (1 jr), Oficial Obra 2 (0.35 jr). Equipo: Herrramienta Y Equipo Menor (3.3 %).  Etapa de obra: 9. Exteriores.</t>
  </si>
  <si>
    <t>3.03.20 · SUMINISTRO E INSTALACION DE CONCRETO CICLOPEO DE 17.5 MPA (2500) , 40% RAJON PARA ELEVACIONES   |   Unidad: Metro cúbico (M3)   |   Precio: $ 678.724,96</t>
  </si>
  <si>
    <t>Precio por M3. Materiales: Concreto 1:2:4 17.5 Mpa (0.65 M3), Madera Repisa 3 M (1.47 ML), Madera Tabla Burra (3.23 ML), Madera Vara De Clavo (1.91 ML) y 2 más. Mano de obra: Formaleta (7 dd), Auxiliar De Obra 1 (2.5 jr), Oficial Obra 2 (0.75 jr). Equipo: Herrramienta Y Equipo Menor (3.3 %).  Etapa de obra: 9. Exteriores.</t>
  </si>
  <si>
    <t>3.03.21 · SUMINISTRO E INSTALACION DE CONCRETO CICLOPEO DE 17.5 MPA (2500) , 60% RAJON PARA PLACA HUELLAS   |   Unidad: Metro cúbico (M3)   |   Precio: $ 396.065,92</t>
  </si>
  <si>
    <t>Precio por M3. Materiales: Tablero O Plaqueta De 1.4mt X O.7mt (5 dd), Concreto 1:2:4 17.5 Mpa (0.45 M3), Madera Repisa 3 M (0.42 ML), Madera Tabla Burra (0.93 ML) y 3 más. Mano de obra: Auxiliar De Obra 1 (1.4 jr), Oficial Obra 2 (0.35 jr). Equipo: Herrramienta Y Equipo Menor (3.3 %).  Etapa de obra: 9. Exteriores.</t>
  </si>
  <si>
    <t>3.03.22 · SUMINISTRO E INSTALACION DE CONCRETO DE 14 MPA (2000 PSI) SOLADOS Y   |   Unidad: Metro cúbico (M3)   |   Precio: $ 441.026,22</t>
  </si>
  <si>
    <t>Precio por M3. Materiales: Concreto 1:3:5 14 Mpa (1 M3). Mano de obra: Auxiliar De Obra 1 (0.1 jr), Oficial Obra 2 (0.05 jr). Equipo: Herrramienta Y Equipo Menor (6.6 %).  Etapa de obra: 9. Exteriores.</t>
  </si>
  <si>
    <t>3.03.23 · SUMINISTRO E INSTALACION DE CONCRETO SIMPLE DE 17.5 MPA (2500) PARA BASES   |   Unidad: Metro cúbico (M3)   |   Precio: $ 541.179,04</t>
  </si>
  <si>
    <t>Precio por M3. Materiales: Concreto 1:2:4 17.5 Mpa (1.1 M3), Formaleta Para Base Para Concretos (3 gl). Mano de obra: Auxiliar De Obra 1 (0.2 jr), Oficial Obra 2 (0.05 jr). Equipo: Vibrador De Concreto (1 hr), Herrramienta Y Equipo Menor (1.6 %).  Etapa de obra: 9. Exteriores.</t>
  </si>
  <si>
    <t>3.03.24 · SUMINISTRO E INSTALACION DE CONCRETO SIMPLE DE 21 MPA (3000 PSI) PARA ELEVACIONES, H&lt;3.0 MTS   |   Unidad: Metro cúbico (M3)   |   Precio: $ 862.988,34</t>
  </si>
  <si>
    <t>Precio por M3. Materiales: Concreto Clase D 21 Mpa (1.1 M3), Madera Repisa 3 M (1.97 ML), Madera Tabla Burra (4.34 ML), Madera Vara De Clavo (2.56 ML) y 1 más. Mano de obra: Auxiliar De Obra 1 (1.7 jr), Oficial Obra 2 (0.44 jr). Equipo: Formaleta (14 dd), Vibrador De Concreto (2.5 hr), Herrramienta Y Equipo Menor (1.7 %).  Etapa de obra: 9. Exteriores.</t>
  </si>
  <si>
    <t>3.03.25 · SUMINISTRO E INSTALACION DE CONCRETO SIMPLE DE 21 MPA (3000 PSI) PARA ELEVACIONES, H&gt;3.0 MTS   |   Unidad: Metro cúbico (M3)   |   Precio: $ 965.487,40</t>
  </si>
  <si>
    <t>Precio por M3. Materiales: Concreto Clase D 21 Mpa (1.1 M3), Madera Repisa 3 M (3 ML), Madera Tabla Burra (6 ML), Madera Vara De Clavo (4 ML) y 1 más. Mano de obra: Auxiliar De Obra 1 (2 jr), Oficial Obra 2 (0.5 jr). Equipo: Formaleta (20 dd), Vibrador De Concreto (3.3 hr), Herrramienta Y Equipo Menor (5 %).  Etapa de obra: 9. Exteriores.</t>
  </si>
  <si>
    <t>3.03.26 · SUMINISTRO E INSTALACION DE CONCRETO SIMPLE DE 21 MPA (3000) PARA BASES   |   Unidad: Metro cúbico (M3)   |   Precio: $ 667.019,24</t>
  </si>
  <si>
    <t>Precio por M3. Materiales: Concreto Clase D 21 Mpa (1.1 M3), Formaleta Para Base Para Concretos (3 gl). Mano de obra: Vibrador De Concreto (2.5 hr), Auxiliar De Obra 1 (1 jr), Oficial Obra 2 (0.25 jr). Equipo: Herrramienta Y Equipo Menor (1.6 %).  Etapa de obra: 9. Exteriores.</t>
  </si>
  <si>
    <t>3.03.27 · SUMINISTRO E INSTALACION DE TUBERIA DE CONCRETO REFORZADO D=24", INCLUYE EMBOQUILLADA   |   Unidad: Metro lineal (ML)   |   Precio: $ 257.861,84</t>
  </si>
  <si>
    <t>Precio por ML. Materiales: Mortero 1:3 Impermeabilizado (0.02 M3), Tuberia Concreto Cl. I D=24`` (1 ML), Concreto Clase F 14 Mpa (0.05 M3). Mano de obra: Auxiliar De Obra 1 (0.25 jr), Oficial Obra 2 (0.25 jr). Equipo: Retroexcavadora Jd-510 O Similar (0.1 hr), Herrramienta Y Equipo Menor (5 %).  Etapa de obra: 9. Exteriores.</t>
  </si>
  <si>
    <t>TUBERIA CONCRETO CL. I D=24`` (60cm)</t>
  </si>
  <si>
    <t>3.03.28 · SUMINISTRO E INSTALACION DE TUBERIA DE CONCRETOREFORZADO D=36", INCLUYE EMBOQUILLADA   |   Unidad: Metro lineal (ML)   |   Precio: $ 457.585,30</t>
  </si>
  <si>
    <t>Precio por ML. Materiales: Mortero 1:3 Impermeabilizado (0.02 M3), Tuberia Concreto Cl I D=36`` (1 ML), Concreto Clase F 14 Mpa (0.1 M3). Mano de obra: Retroexcavadora Jd-510 O Similar (0.2 hr), Auxiliar De Obra 1 (0.25 jr), Oficial Obra 2 (0.25 jr). Equipo: Herrramienta Y Equipo Menor (5 %).  Etapa de obra: 9. Exteriores.</t>
  </si>
  <si>
    <t>TUBERIA CONCRETO CL I D=36`` (90cm)</t>
  </si>
  <si>
    <t>Capítulo 3.04 · AFIRMADO, SUBBASES Y BASES</t>
  </si>
  <si>
    <t>3.04.01 · SUMINISTRO, EXTENDIDA Y COMPATACION BASE ESTABILIZADA CON CEMENTO PORTLAND SEGUN DISEÑO   |   Unidad: Metro cúbico (M3)   |   Precio: $ 188.668,36</t>
  </si>
  <si>
    <t>Precio por M3. Materiales: Cemento Gris (110 kg), Material De Base Granular (1.3 M3). Mano de obra: Auxiliar De Obra 1 (0.1 jr), Oficial Obra 2 (0.01 jr). Equipo: Carrotanque (0.07 hr), Motoniveladora Potencia Minima 120 Hp Y Max 215 Hp (0.07 hr), Vibrocompactador Ca-15 O Similar (0.07 hr), Herrramienta Y Equipo Menor (5 %).  Etapa de obra: 9. Exteriores.</t>
  </si>
  <si>
    <t>3.04.02 · SUMINISTRO, EXTENDIDA Y COMPATACION BASE ESTABILIZADA CON EMULSION ASFALTICA TIPO CRL-1H, SEGUN DISEÑO   |   Unidad: Metro cúbico (M3)   |   Precio: $ 300.311,26</t>
  </si>
  <si>
    <t>Precio por M3. Materiales: Emulsion Crl-1h (75 lt), Material De Base Granular (1.3 M3). Mano de obra: Auxiliar De Obra 1 (0.08 jr), Oficial Obra 2 (0.04 jr). Equipo: Irrigador (0.07 hr), Motoniveladora Potencia Minima 120 Hp Y Max 215 Hp (0.07 hr), Vibrocompactador Ca-15 O Similar (0.07 hr).  Etapa de obra: 9. Exteriores.</t>
  </si>
  <si>
    <t>EMULSION CRL-1H</t>
  </si>
  <si>
    <t>3.04.03 · CUNETEO, PERFILADO Y COMPACTACION DE LA BANCA EXISTENTE. (TRABAJO PREVIO A PAVIMENTACION)   |   Unidad: Kilómetro (km)   |   Precio: $ 1.182.608,70</t>
  </si>
  <si>
    <t>Precio por km. Equipo: Carrotanque (5 hr), Motoniveladora Potencia Minima 120 Hp Y Max 215 Hp (2 hr), Vibrocompactador Ca-15 O Similar (5 hr).  Etapa de obra: 9. Exteriores.</t>
  </si>
  <si>
    <t>3.04.04 · SUMINISTRO, EXTENDIDA MATERIAL DE AFIRMADO, SIN COMPACTAR HASTA UN DIÁMETRO DE 2" Y UN ÍNDICE PLÁSTICO MENOR O IGUAL 9%, INCLUYE ACARREO LIBRE DE 5 KM (**)   |   Unidad: Metro cúbico (M3)   |   Precio: $ 54.776,80</t>
  </si>
  <si>
    <t>Precio por M3. Materiales: Material De Afirmado Norma Invias (1.1 M3). Mano de obra: Motoniveladora Potencia Minima 120 Hp Y Max 215 Hp (0.05 hr), Paleteros (0.01 jr). Transporte: Transporte De Material (5.5 M3-km).  Etapa de obra: 9. Exteriores.</t>
  </si>
  <si>
    <t>MATERIAL DE AFIRMADO NORMA INVIAS</t>
  </si>
  <si>
    <t>PALETEROS (2)</t>
  </si>
  <si>
    <t>3.04.05 · SUMINISTRO, EXTENDIDA Y COMPACTACIÓN DE MATERIAL PARA AFIRMADO HASTA UN DIÁMETRO DE 2" Y UN ÍNDICE PLÁSTICO MENOR O IGUAL 9% Y COMPACTO AL 95% PROCTOR, INCLUYE ACARREO LIBRE 5 KM (**)   |   Unidad: Metro cúbico (M3)   |   Precio: $ 74.810,75</t>
  </si>
  <si>
    <t>Precio por M3. Materiales: Material De Afirmado Norma Invias (1.3 M3). Mano de obra: Paleteros (0.01 jr). Equipo: Carrotanque (0.05 hr), Motoniveladora Potencia Minima 120 Hp Y Max 215 Hp (0.06 hr), Vibrocompactador Ca-15 O Similar (0.07 hr). Transporte: Transporte De Material (6.5 M3-km).  Etapa de obra: 9. Exteriores.</t>
  </si>
  <si>
    <t>3.04.06 · SUMINISTRO, EXTENDIDA Y COMPACTACION DE MATERIAL SELECCIONADO PARA BASE GRANULAR (INCLUYE ACARREO LIBRE DE 5KM) (**)   |   Unidad: Metro cúbico (M3)   |   Precio: $ 111.672,11</t>
  </si>
  <si>
    <t>Precio por M3. Materiales: Material De Base Granular (1.3 M3). Mano de obra: Auxiliar De Obra 1 (0.05 jr), Paleteros (0.01 jr). Transporte: Carrotanque (0.05 hr), Motoniveladora Potencia Minima 120 Hp Y Max 215 Hp (0.07 hr), Vibrocompactador Ca-15 O Similar (0.07 hr), Transporte M3/Km (6.5 M3-km).  Etapa de obra: 9. Exteriores.</t>
  </si>
  <si>
    <t>3.04.07 · SUMINISTRO, EXTENDIDA Y COMPACTACION DE MATERIAL SELECCIONADO PARA SUBBASE GRANULAR (INCLUYE ACARREO LIBRE DE 5KM) (**)   |   Unidad: Metro cúbico (M3)   |   Precio: $ 90.100,77</t>
  </si>
  <si>
    <t>Precio por M3. Materiales: Material De Sub-Base Granular No. 4 Sbg-4 (1.3 M3). Mano de obra: Auxiliar De Obra 1 (0.05 jr), Paleteros (0.01 jr). Equipo: Carrotanque (0.05 hr), Motoniveladora Potencia Minima 120 Hp Y Max 215 Hp (0.07 hr), Vibrocompactador Ca-15 O Similar (0.07 hr). Transporte: Transporte M3/Km (6.5 M3-km).  Etapa de obra: 9. Exteriores.</t>
  </si>
  <si>
    <t>Capítulo 3.05 · PAVIMENTO RIGIDO</t>
  </si>
  <si>
    <t>3.05.01 · CONCRETO PARA PAVIMENTO RIGIDO 24.5 MPa - (3500 PSI), INCLUYE JUNTA EN ASFALTO   |   Unidad: Metro cúbico (M3)   |   Precio: $ 706.218,57</t>
  </si>
  <si>
    <t>Precio por M3. Materiales: Asfalto 60/70+aditivo (7 kg), Concreto 1:2:2 24.5 Mpa (1.1 M3). Mano de obra: Auxiliar De Obra 1 (0.8 jr), Oficial Obra 2 (0.15 jr). Equipo: Formaleta Para Losas Pavimento Rigido (4 ML), Vibrador De Concreto (2.5 hr), Herrramienta Y Equipo Menor (1.3 %).  Etapa de obra: 9. Exteriores.</t>
  </si>
  <si>
    <t>ASFALTO 60/70+ADITIVO</t>
  </si>
  <si>
    <t>FORMALETA PARA LOSAS PAVIMENTO RIGIDO</t>
  </si>
  <si>
    <t>3.05.02 · CORTE DE PAVIMENTO EN CONCRETO HIDRAULICO (INCLUYE SELLADO)   |   Unidad: Metro lineal (ML)   |   Precio: $ 4.158,57</t>
  </si>
  <si>
    <t>Precio por ML. Materiales: Disco Diamantado Asfalto-Concreto 350mm (0.01 UND), Agua (5 lt). Mano de obra: Cortadora De Pavimento (0.09 hr), Auxiliar De Obra 1 (0.02 jr).  Etapa de obra: 9. Exteriores.</t>
  </si>
  <si>
    <t>CORTADORA DE PAVIMENTO</t>
  </si>
  <si>
    <t>3.05.03 · CONCRETO MR 3.6 MPA NORMAL, TAMAÑO MAXIMO AGREGADO 25MM, RESISTENCIA A 28 DIAS, ASENTAMIENTO 10CM +/- 2.5CM (MR 36 NORMAL)   |   Unidad: Metro cúbico (M3)   |   Precio: $ 686.042,13</t>
  </si>
  <si>
    <t>Precio por M3. Materiales: Concreto Mr 3.6 Mpa Normal, Tamaño Maximo Agregado 25mm, Resistencia A 28 Dias, Asentamiento 10cm +/- 2.5cm (1.05 M3), Sellasil Soporte 1/2", Soporte Base Para Sello De Juntas De Dilatación O Similar (4 ML), Vulkem 45 Ssl, Sellante Mococomponente De Poliuretano, Aduistcoo- Ndivaemlaannttaedo Saismfilailatro-Concreto (0.04 gl),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</si>
  <si>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SELLASIL SOPORTE 1/2", Soporte base para sello de juntas de dilatación o similar</t>
  </si>
  <si>
    <t>VULKEM 45 SSL, SELLANTE MOCOCOMPONENTE DE POLIURETANO, ADUISTCOO- NDIVAEMLAANNTTAEDO SAISMFILAILATRO-CONCRETO</t>
  </si>
  <si>
    <t>350mm</t>
  </si>
  <si>
    <t>3.05.04 · CONCRETO MR 3.9 MPA NORMAL, TAMAÑO MAXIMO AGREGADO 25MM, RESISTENCIA A 28 DIAS, ASENTAMIENTO 10CM +/- 2.5CM (MR 39 NORMAL)   |   Unidad: Metro cúbico (M3)   |   Precio: $ 704.784,63</t>
  </si>
  <si>
    <t>Precio por M3. Materiales: Sellasil Soporte 1/2", Soporte Base Para Sello De Juntas De Dilatación O Similar (4 ML), Vulkem 45 Ssl, Sellante Mococomponente De Poliuretano, Acuotnoc-Rneitvoelmarnt3e.9omspiamniloiarrmal,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</si>
  <si>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VULKEM 45 SSL, SELLANTE MOCOCOMPONENTE DE POLIURETANO, ACUOTNOC-RNEITVOELMARNT3E.9OMSPIAMNILOIARRMAL, TAMAÑO</t>
  </si>
  <si>
    <t>MAXIMO AGREGADO 25MM, RESISTENCIA A 28 DIAS, ASENTAMIENTO 10CM +/- 2.5CM (MR 3D9ISNCOORDMIALM)ANTADO ASFALTO-CONCRETO</t>
  </si>
  <si>
    <t>3.05.05 · CONCRETO MR 4.0 MPA NORMAL, TAMAÑO MAXIMO AGREGADO 25MM, RESISTENCIA A 28 DIAS, ASENTAMIENTO 10CM +/- 2.5CM (MR 40 NORMAL)   |   Unidad: Metro cúbico (M3)   |   Precio: $ 707.283,63</t>
  </si>
  <si>
    <t>Precio por M3. Materiales: Sellasil Soporte 1/2", Soporte Base Para Sello De Juntas De Dilatación O Similar (4 ML), Vulkem 45 Ssl, Sellante Mococomponente De Poliuretano, Acuotnoc-Rneitvoelmarnt4e.0omspiamniloiarrmal,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</si>
  <si>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VULKEM 45 SSL, SELLANTE MOCOCOMPONENTE DE POLIURETANO, ACUOTNOC-RNEITVOELMARNT4E.0OMSPIAMNILOIARRMAL, TAMAÑO</t>
  </si>
  <si>
    <t>MAXIMO AGREGADO 25MM, RESISTENCIA A 28 DIAS, ASENTAMIENTO 10CM +/- 2.5CM (MR 4D0ISNCOORDMIALM)ANTADO ASFALTO-CONCRETO</t>
  </si>
  <si>
    <t>3.05.06 · CONCRETO MR 4.1 MPA NORMAL, TAMAÑO MÁXIMO AGREGADO 25MM, RESISTENCIA A 28 DIAS, ASENTAMIENTO 10CM +/- 2.5CM (MR 41 NORMAL)   |   Unidad: Metro cúbico (M3)   |   Precio: $ 712.281,63</t>
  </si>
  <si>
    <t>Precio por M3. Materiales: Sellasil Soporte 1/2", Soporte Base Para Sello De Juntas De Dilatación O Similar (4 ML), Vulkem 45 Ssl, Sellante Mococomponente De Poliuretano, Acuotnoc-Rneitvoelmarnt4e.1omspiamniloiarrmal, Tamaño (0.04 gl), Máximo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</si>
  <si>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VULKEM 45 SSL, SELLANTE MOCOCOMPONENTE DE POLIURETANO, ACUOTNOC-RNEITVOELMARNT4E.1OMSPIAMNILOIARRMAL, TAMAÑO</t>
  </si>
  <si>
    <t>MÁXIMO AGREGADO 25MM, RESISTENCIA A 28 DIAS, ASENTAMIENTO 10CM +/- 2.5CM (MR 4D1ISNCOORDMIALM)ANTADO ASFALTO-CONCRETO</t>
  </si>
  <si>
    <t>3.05.07 · CONCRETO MR 4.2 MPA NORMAL, TAMAÑO MAXIMO AGREGADO 25MM, RESISTENCIA A 28 DIAS, ASENTAMIENTO 10CM +/- 2.5CM (MR 42 NORMAL)   |   Unidad: Metro cúbico (M3)   |   Precio: $ 721.028,13</t>
  </si>
  <si>
    <t>Precio por M3. Materiales: Sellasil Soporte 1/2", Soporte Base Para Sello De Juntas De Dilatación O Similar (4 ML), Vulkem 45 Ssl, Sellante Mococomponente De Poliuretano, Acuotnoc-Rneitvoelmarnt4e.2omspiamniloiarrmal,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</si>
  <si>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VULKEM 45 SSL, SELLANTE MOCOCOMPONENTE DE POLIURETANO, ACUOTNOC-RNEITVOELMARNT4E.2OMSPIAMNILOIARRMAL, TAMAÑO</t>
  </si>
  <si>
    <t>MAXIMO AGREGADO 25MM, RESISTENCIA A 28 DIAS, ASENTAMIENTO 10CM +/- 2.5CM (MR 4D2ISNCOORDMIALM)ANTADO ASFALTO-CONCRETO</t>
  </si>
  <si>
    <t>3.05.08 · CONCRETO MR 4.3 MPA NORMAL, TAMAÑO MAXIMO AGREGADO 25MM, RESISTENCIA A 28 DIAS, ASENTAMIENTO 10CM +/- 2.5CM (MR 43 NORMAL)   |   Unidad: Metro cúbico (M3)   |   Precio: $ 727.275,63</t>
  </si>
  <si>
    <t>Precio por M3. Materiales: Sellasil Soporte 1/2", Soporte Base Para Sello De Juntas De Dilatación O Similar (4 ML), Vulkem 45 Ssl, Sellante Mococomponente De Poliuretano, Acuotnoc-Rneitvoelmarnt4e.3omspiamniloiarrmal,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</si>
  <si>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VULKEM 45 SSL, SELLANTE MOCOCOMPONENTE DE POLIURETANO, ACUOTNOC-RNEITVOELMARNT4E.3OMSPIAMNILOIARRMAL, TAMAÑO</t>
  </si>
  <si>
    <t>MAXIMO AGREGADO 25MM, RESISTENCIA A 28 DIAS, ASENTAMIENTO 10CM +/- 2.5CM (MR 4D3ISNCOORDMIALM)ANTADO ASFALTO-CONCRETO</t>
  </si>
  <si>
    <t>3.05.09 · CONCRETO MR 4.5 MPA NORMAL, TAMAÑO MAXIMO AGREGADO 25MM, RESISTENCIA A 28 DIAS, ASENTAMIENTO 10CM +/- 2.5CM (MR 45 NORMAL)   |   Unidad: Metro cúbico (M3)   |   Precio: $ 739.770,63</t>
  </si>
  <si>
    <t>Precio por M3. Materiales: Sellasil Soporte 1/2", Soporte Base Para Sello De Juntas De Dilatación O Similar (4 ML), Vulkem 45 Ssl, Sellante Mococomponente De Poliuretano, Acuotnoc-Rneitvoelmarnt4e.5omspiamniloiarrmal,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</si>
  <si>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VULKEM 45 SSL, SELLANTE MOCOCOMPONENTE DE POLIURETANO, ACUOTNOC-RNEITVOELMARNT4E.5OMSPIAMNILOIARRMAL, TAMAÑO</t>
  </si>
  <si>
    <t>MAXIMO AGREGADO 25MM, RESISTENCIA A 28 DIAS, ASENTAMIENTO 10CM +/- 2.5CM (MR 4D5ISNCOORDMIALM)ANTADO ASFALTO-CONCRETO</t>
  </si>
  <si>
    <t>3.05.10 · CONCRETO MR 5.0 MPA NORMAL, TAMAÑO MAXIMO AGREGADO 25MM, RESISTENCIA A 28 DIAS, ASENTAMIENTO 10CM +/- 2.5CM (MR 50 NORMAL)   |   Unidad: Metro cúbico (M3)   |   Precio: $ 752.265,63</t>
  </si>
  <si>
    <t>Precio por M3. Materiales: Sellasil Soporte 1/2", Soporte Base Para Sello De Juntas De Dilatación O Similar (4 ML), Vulkem 45 Ssl, Sellante Mococomponente De Poliuretano, Acuotnoc-Rneitvoelmarnt5e.0omspiamniloiarrmal, Tamaño (0.04 gl), Maximo Agregado 25mm, Resistencia A 28 Dias, Asentamiento 10cm +/- 2.5cm Antado Asfalto-Concreto (1.05 M3), 350mm (0.03 UND). Mano de obra: Auxiliar De Obra 1 (0.8 jr), Oficial Obra 2 (0.3 jr). Equipo: Cortadora De Pavimento (0.34 hr), Formaleta Para Losas Pavimento Rigido (4 ML), Vibrador De Concreto (2.5 hr), Herrramienta Y Equipo Menor (1.3 %).  Etapa de obra: 9. Exteriores.</t>
  </si>
  <si>
    <t>VULKEM 45 SSL, SELLANTE MOCOCOMPONENTE DE POLIURETANO, ACUOTNOC-RNEITVOELMARNT5E.0OMSPIAMNILOIARRMAL, TAMAÑO</t>
  </si>
  <si>
    <t>MAXIMO AGREGADO 25MM, RESISTENCIA A 28 DIAS, ASENTAMIENTO 10CM +/- 2.5CM (MR 5D0ISNCOORDMIALM)ANTADO ASFALTO-CONCRETO</t>
  </si>
  <si>
    <t>Capítulo 3.06 · PAVIMENTACION FLEXIBLE</t>
  </si>
  <si>
    <t>3.06.01 · APERTURA MECANICA DE CAJA Y RETIRO DE SOBRANTES   |   Unidad: Metro cúbico (M3)   |   Precio: $ 85.029,43</t>
  </si>
  <si>
    <t>Precio por M3. Materiales: Transporte De Material Suelto (1.2 M3-km), Disco Diamantado Asfalto-Concreto 350mm (0.02 UND). Mano de obra: Auxiliar De Obra 1 (0.8 jr). Equipo: Bulldozer Tipo D-6 O Similar (0.05 hr), Cortadora Para Reparcheo (0.8 hr), Retroexcavadora Jd-510 O Similar (0.05 hr), Herrramienta Y Equipo Menor (3.3 %).  Etapa de obra: 9. Exteriores.</t>
  </si>
  <si>
    <t>3.06.02 · BARRIDO Y SOPLADO   |   Unidad: Metro cuadrado (M2)   |   Precio: $ 1.682,86</t>
  </si>
  <si>
    <t>Precio por M2. Mano de obra: Auxiliar De Obra 1 (0.01 jr). Equipo: Compresor (0.02 hr), Herrramienta Y Equipo Menor (3.3 %).  Etapa de obra: 9. Exteriores.</t>
  </si>
  <si>
    <t>3.06.03 · CONSTRUCCION DE CARPETA ASFALTICA EN CALIENTE, INCLUYE BARRIDO, SUMINISTRO Y COMPACTACION ( INCLUYE ACARREO LIBRE DE 5 KM) NORMA INVIAS (**)   |   Unidad: Metro cúbico (M3)   |   Precio: $ 582.852,45</t>
  </si>
  <si>
    <t>Precio por M3. Materiales: Mezcla Asfaltica Mdc-2 En Planta (1.26 M3). Mano de obra: Auxiliar De Obra 1 (0.35 jr), Oficial Obra 2 (0.06 jr), Paleteros (0.2 jr). Equipo: Cilindro Neumático Entre 6 Y 15 Ton Potencia Min 70 Hp. (0.1 hr), Terminadora De Asfalto Potencia 174 H.p (0.1 hr), Vibrocompactador Ca-15 O Similar (0.1 hr), Herrramienta Y Equipo Menor (5.03 %). Transporte: Transporte De Material Asfaltico (6.3 M3-km).  Etapa de obra: 9. Exteriores.</t>
  </si>
  <si>
    <t>MEZCLA ASFALTICA MDC-2 EN PLANTA</t>
  </si>
  <si>
    <t>CILINDRO NEUMÁTICO Entre 6 y 15 Ton potencia min 70 hp.</t>
  </si>
  <si>
    <t>TERMINADORA DE ASFALTO POTENCIA 174 H.P</t>
  </si>
  <si>
    <t>TRANSPORTE DE MATERIAL ASFALTICO</t>
  </si>
  <si>
    <t>3.06.04 · CONSTRUCCION TRATAMIENTO SUPERFICIAL DOBLESEGÚN NORMA INV.   |   Unidad: Metro cuadrado (M2)   |   Precio: $ 15.735,20</t>
  </si>
  <si>
    <t>Precio por M2. Materiales: Emulsión Crr-2 (3 lt), Gravilla ¾, ½ (0.04 M3). Mano de obra: Auxiliar De Obra 1 (0.01 jr), Oficial Obra 2 (0.01 jr). Equipo: Cilindro Neumático Entre 6 Y 15 Ton Potencia Min 70 Hp. (0.02 hr), Esparcidor De Gravilla (0.02 hr), Irrigador (0.02 hr), Herrramienta Y Equipo Menor (6.7 %).  Etapa de obra: 9. Exteriores.</t>
  </si>
  <si>
    <t>EMULSIÓN CRR-2</t>
  </si>
  <si>
    <t>ESPARCIDOR DE GRAVILLA</t>
  </si>
  <si>
    <t>3.06.05 · CONSTRUCCION TRATAMIENTO SUPERFICIAL SIMPLE SEGÚN NORMA INV.   |   Unidad: Metro cuadrado (M2)   |   Precio: $ 8.965,25</t>
  </si>
  <si>
    <t>Precio por M2. Materiales: Emulsión Crr-2 (1.5 lt), Gravilla ¾, ½ (0.03 M3). Mano de obra: Auxiliar De Obra 1 (0.01 jr), Oficial Obra 2 (0.01 jr). Equipo: Cilindro Neumático Entre 6 Y 15 Ton Potencia Min 70 Hp. (0.01 hr), Esparcidor De Gravilla (0.01 hr), Irrigador (0.01 hr), Herrramienta Y Equipo Menor (6.7 %).  Etapa de obra: 9. Exteriores.</t>
  </si>
  <si>
    <t>3.06.07 · FRESADO DE PAVIMENTO ASFALTICO EN ESPESOR DE 10 CM, INCLUYE ACARREO LIBRE DE 5 KM   |   Unidad: Metro cuadrado (M2)   |   Precio: $ 7.175,03</t>
  </si>
  <si>
    <t>Precio por M2. Mano de obra: Auxiliar De Obra 1 (0 jr), Paleteros (0 jr), Transporte M3/Km (0.65 M3-km). Equipo: Barredora Mecanica De Cepillo (0.01 hr), Cargador 950 O Similar (0.01 hr), Fresadora De Pavimento Potencia Min 250 Hp (0.01 hr).  Etapa de obra: 9. Exteriores.</t>
  </si>
  <si>
    <t>BARREDORA MECANICA DE CEPILLO</t>
  </si>
  <si>
    <t>FRESADORA DE PAVIMENTO Potencia min 250 hp</t>
  </si>
  <si>
    <t>3.06.08 · FRESADO DE PAVIMENTO ASFALTICO EN ESPESOR DE 5 CM, INCLUYE ACARREO LIBRE DE 5 KM   |   Unidad: Metro cuadrado (M2)   |   Precio: $ 4.510,76</t>
  </si>
  <si>
    <t>Precio por M2. Mano de obra: Auxiliar De Obra 1 (0 jr), Paleteros (0 jr), Transporte M3/Km (0.35 M3-km). Equipo: Barredora Mecanica De Cepillo (0.01 hr), Cargador 950 O Similar (0.01 hr), Fresadora De Pavimento Potencia Min 250 Hp (0.01 hr).  Etapa de obra: 9. Exteriores.</t>
  </si>
  <si>
    <t>3.06.09 · IMPRIMACIÓN CON EMULSIÓN ASFÁLTICA CRL-1H   |   Unidad: Metro cuadrado (M2)   |   Precio: $ 3.399,59</t>
  </si>
  <si>
    <t>Precio por M2. Materiales: Emulsion Crl-1h (1 lt). Mano de obra: Auxiliar De Obra 1 (0 jr), Oficial Obra 2 (0 jr). Equipo: Compresor (0 hr), Irrigador (0 hr), Herrramienta Y Equipo Menor (2 %).  Etapa de obra: 9. Exteriores.</t>
  </si>
  <si>
    <t>3.06.10 · REPOSICIÓN, EXTENDIDA Y COMPACTACION DE MATERIAL DE BASE GRANULAR PARA REPARCHEO ACARREO LIBRE 5 KM   |   Unidad: Metro cúbico (M3)   |   Precio: $ 104.037,30</t>
  </si>
  <si>
    <t>Precio por M3. Materiales: Material De Base Granular (1.3 M3), Agua (24 lt). Mano de obra: Auxiliar De Obra 1 (0.05 jr), Paleteros (0.01 jr). Equipo: Carrotanque (0.03 hr), Motoniveladora Potencia Minima 120 Hp Y Max 215 Hp (0.04 hr), Vibrocompactador Ca-15 O Similar (0.05 hr), Vibrocompactador Rana (0.1 hr). Transporte: Transporte M3/Km (6.5 M3-km).  Etapa de obra: 9. Exteriores.</t>
  </si>
  <si>
    <t>3.06.11 · RIEGO DE LIGA CON EMULSION ASFALTICA CRL-1H   |   Unidad: Metro cuadrado (M2)   |   Precio: $ 2.192,53</t>
  </si>
  <si>
    <t>Precio por M2. Materiales: Emulsion Asfaltica Crr-1 (0.5 lt). Mano de obra: Auxiliar De Obra 1 (0.01 jr). Equipo: Compresor (0.01 hr), Irrigador (0.01 hr), Herrramienta Y Equipo Menor (0.2 %).  Etapa de obra: 9. Exteriores.</t>
  </si>
  <si>
    <t>EMULSION ASFALTICA CRR-1</t>
  </si>
  <si>
    <t>3.06.12 · SELLO ARENA-ASFALTO CON EMULSION CRR-2   |   Unidad: Metro cuadrado (M2)   |   Precio: $ 4.668,73</t>
  </si>
  <si>
    <t>Precio por M2. Materiales: Arena Lavada Y/O Trituradora (0.01 M3), Emulsión Crr-2 (1.25 lt). Mano de obra: Auxiliar De Obra 1 (0 jr), Oficial Obra 2 (0 jr). Equipo: Distribuidor De Agregados Gravilladora (0.01 hr), Irrigador (0.01 hr), Vibrocompactador Ca-15 O Similar (0.01 hr), Herrramienta Y Equipo Menor (1 %).  Etapa de obra: 9. Exteriores.</t>
  </si>
  <si>
    <t>DISTRIBUIDOR DE AGREGADOS GRAVILLADORA</t>
  </si>
  <si>
    <t>3.06.13 · SUMINISTRO E INSTALACION DE ASFALTITA ESTABILIZADA Y HOMOGENIZADA CON GRAVILLA. ACARREO LIBRE 5 KM ( INCLUYE CAL VIVA O CEMENTO) SEGUN   |   Unidad: Metro cúbico (M3)   |   Precio: $ 347.036,97</t>
  </si>
  <si>
    <t>Precio por M3. Materiales: Asfaltita (1.35 M3). Mano de obra: Auxiliar De Obra 1 (0.33 jr), Oficial Obra 2 (0.03 jr). Equipo: Cilindro Metalico 8 Tn Tamdem (0.1 hr), Motoniveladora Potencia Minima 120 Hp Y Max 215 Hp (0.1 hr), Herrramienta Y Equipo Menor (3.3 %).  Etapa de obra: 9. Exteriores.</t>
  </si>
  <si>
    <t>ASFALTITA</t>
  </si>
  <si>
    <t>CILINDRO METALICO 8 TN TAMDEM</t>
  </si>
  <si>
    <t>3.06.14 · SUMINISTRO E INSTALACION DE SLURRY SEAL e= 0,4 cm.   |   Unidad: Metro cuadrado (M2)   |   Precio: $ 11.517,51</t>
  </si>
  <si>
    <t>Precio por M2. Materiales: Arena Lavada Y/O Triturada (0.01 M3), Emulsion Crl-1h (1.51 lt). Mano de obra: Auxiliar De Obra 1 (0.07 jr). Equipo: Camion Slurry (0.01 hr), Carrotanque (0.01 hr), Retroexcavadora Jd-510 O Similar (0.01 hr).  Etapa de obra: 9. Exteriores.</t>
  </si>
  <si>
    <t>ARENA LAVADA Y/O TRITURADA</t>
  </si>
  <si>
    <t>CAMION SLURRY</t>
  </si>
  <si>
    <t>3.06.15 · SUMINISTRO E INSTALACION DE SLURRY SEAL e= 0,6 cm.   |   Unidad: Metro cuadrado (M2)   |   Precio: $ 13.506,17</t>
  </si>
  <si>
    <t>Precio por M2. Materiales: Arena Lavada Y/O Triturada (0.01 M3), Emulsion Crl-1h (2.27 lt). Mano de obra: Auxiliar De Obra 1 (0.07 jr). Equipo: Camion Slurry (0.01 hr), Carrotanque (0.01 hr), Retroexcavadora Jd-510 O Similar (0.01 hr).  Etapa de obra: 9. Exteriores.</t>
  </si>
  <si>
    <t>3.06.16 · SUMINISTRO E INSTALACION DE SLURRY SEAL e= 0,9 cm.   |   Unidad: Metro cuadrado (M2)   |   Precio: $ 17.448,11</t>
  </si>
  <si>
    <t>Precio por M2. Materiales: Arena Lavada Y/O Triturada (0.01 M3), Emulsion Crl-1h (3.74 lt). Mano de obra: Auxiliar De Obra 1 (0.07 jr). Equipo: Camion Slurry (0.01 hr), Carrotanque (0.01 hr), Retroexcavadora Jd-510 O Similar (0.01 hr).  Etapa de obra: 9. Exteriores.</t>
  </si>
  <si>
    <t>3.06.17 · SUMINISTRO, INSTALACION Y COMPACTACION DE MEZCLA ASFALTICA PARA PARCHEO ( INCLUYE ACARREO LIBRE DE 5 KM) (**)   |   Unidad: Metro cúbico (M3)   |   Precio: $ 601.319,83</t>
  </si>
  <si>
    <t>Precio por M3. Materiales: Mezcla Asfaltica Mdc-2 En Planta (1.2 M3). Mano de obra: Auxiliar De Obra 1 (1 jr), Oficial Obra 2 (0.1 jr). Equipo: Cilindro Neumático Entre 6 Y 15 Ton Potencia Min 70 Hp. (0.1 hr), Terminadora De Asfalto Potencia 174 H.p (0.1 hr), Vibrocompactador Ca-15 O Similar (0.1 hr), Herrramienta Y Equipo Menor (3.3 %). Transporte: Transporte De Material (6 M3-km).  Etapa de obra: 9. Exteriores.</t>
  </si>
  <si>
    <t>Capítulo 3.07 · PAVIMENTO ARTICULADO VEHICULAR</t>
  </si>
  <si>
    <t>3 actividades. Cada tabla lista los insumos de una actividad por unidad de obra.</t>
  </si>
  <si>
    <t>3.07.01 · DILATACION ADOQUIN EN CONCRETO MONOCAPA COLOREADO 10*20*6 CMS (VEHICULAR)   |   Unidad: Metro lineal (ML)   |   Precio: $ 12.614,56</t>
  </si>
  <si>
    <t>Precio por ML. Materiales: Arena Fina Para Pavimento En Adoquin (0 M3), Adoquin Color (5 UND). Mano de obra: Auxiliar De Obra 1 (0.07 jr), Oficial Obra 2 (0.03 jr). Equipo: Herrramienta Y Equipo Menor (5 %).  Etapa de obra: 9. Exteriores.</t>
  </si>
  <si>
    <t>ADOQUIN COLOR (10*20*6)</t>
  </si>
  <si>
    <t>3.07.02 · PAVIMENTO EN ADOQUIN DE CONCRETO "HUESO DE PERRO" o "I" DIMENSIONES LONGITUD 50 - 250 MM ANCHO 50 - 80 MM - ESPESOR 80 - 100 MM (NORMA NTC 2017 - INVIAS) (VEHICULAR)   |   Unidad: Metro cuadrado (M2)   |   Precio: $ 74.286,93</t>
  </si>
  <si>
    <t>Precio por M2. Materiales: Arena Fina Para Pavimento En Adoquin (0.05 M3), Adoquin En Concreto Tipo 2 ``hueso De Perro`` O ``i`` (1.03 M2). Mano de obra: Auxiliar De Obra 1 (0.1 jr), Oficial Obra 2 (0.1 jr). Equipo: Vibrocompactador Rana (0.03 hr), Herrramienta Y Equipo Menor (6.7 %).  Etapa de obra: 9. Exteriores.</t>
  </si>
  <si>
    <t>ADOQUIN EN CONCRETO TIPO 2 ``HUESO DE PERRO`` o ``I``</t>
  </si>
  <si>
    <t>3.07.03 · PAVIMENTO EN ADOQUIN DE CONCRETO RECTANGULAR RECTO DIMENSIONES LONGITUD 50 - 250 MM ANCHO 50 - 80 MM - ESPESOR 80 - 100 MM ( NTC 2017 - INVIAS) (VEHICULAR)   |   Unidad: Metro cuadrado (M2)   |   Precio: $ 64.791,72</t>
  </si>
  <si>
    <t>Precio por M2. Materiales: Arena Fina Para Pavimento En Adoquin (0.05 M3), Adoquin En Concreto Tipo 1 ``rectangular Recto`` (1.03 M2). Mano de obra: Auxiliar De Obra 1 (0.16 jr), Oficial Obra 2 (0.16 jr). Equipo: Vibrocompactador Rana (0.03 hr), Herrramienta Y Equipo Menor (6.7 %).  Etapa de obra: 9. Exteriores.</t>
  </si>
  <si>
    <t>ADOQUIN EN CONCRETO TIPO 1 ``RECTANGULAR RECTO``</t>
  </si>
  <si>
    <t>Capítulo 3.08 · SARDINELES Y ANDENES</t>
  </si>
  <si>
    <t>3.08.01 · BOLARDO M 60 CONCRETO   |   Unidad: Unidad (UND)   |   Precio: $ 127.600,45</t>
  </si>
  <si>
    <t>Precio por UND. Materiales: Bolardo M-60 - Concreto (1 UND), Concreto (0.01 M3). Mano de obra: Auxiliar De Obra 2 (1.5 hh), Oficial Obra 1 (1.5 hh).  Etapa de obra: 9. Exteriores.</t>
  </si>
  <si>
    <t>BOLARDO M-60 - CONCRETO</t>
  </si>
  <si>
    <t>3.08.02 · BOLARDO M 63 ALTO/HIERRO   |   Unidad: Unidad (UND)   |   Precio: $ 208.912,43</t>
  </si>
  <si>
    <t>Precio por UND. Materiales: Concreto Clase D 21 Mpa (0.03 M3), Bolardo M-63 - Metálico (1 UND). Mano de obra: Auxiliar De Obra 2 (1 hh), Oficial Obra 1 (1 hh).  Etapa de obra: 9. Exteriores.</t>
  </si>
  <si>
    <t>BOLARDO M-63 - METÁLICO</t>
  </si>
  <si>
    <t>3.08.03 · BOLARDO M-61 BAJO/CONCRETO   |   Unidad: Unidad (UND)   |   Precio: $ 116.232,85</t>
  </si>
  <si>
    <t>Precio por UND. Materiales: Bolardo M-61 - Bajo - Concreto (1 UND), Concreto (0.01 M3). Mano de obra: Auxiliar De Obra 2 (1 hh), Oficial Obra 1 (1 hh).  Etapa de obra: 9. Exteriores.</t>
  </si>
  <si>
    <t>BOLARDO M-61 - BAJO - CONCRETO</t>
  </si>
  <si>
    <t>3.08.04 · BOLARDO M-62 BAJO/HIERRO   |   Unidad: Unidad (UND)   |   Precio: $ 239.289,42</t>
  </si>
  <si>
    <t>Precio por UND. Materiales: Bolardo M-62 - Bajo - Hierro (1 UND), Concreto (0.06 M3). Mano de obra: Auxiliar De Obra 2 (1.5 hh), Oficial Obra 1 (1.5 hh). Equipo: Camioneta D300 (0.2 hr).  Etapa de obra: 9. Exteriores.</t>
  </si>
  <si>
    <t>BOLARDO M-62 - BAJO - HIERRO</t>
  </si>
  <si>
    <t>3.08.05 · BORDE CONTENEDOR DE RAICES A- 70   |   Unidad: Metro lineal (ML)   |   Precio: $ 61.411,56</t>
  </si>
  <si>
    <t>Precio por ML. Materiales: Borde Contenedor De Raíces A-70 (1 ML), Mortero 1:4 (0.04 M3). Mano de obra: Auxiliar De Obra 2 (1 hh), Oficial Obra 1 (1 hh).  Etapa de obra: 9. Exteriores.</t>
  </si>
  <si>
    <t>3.08.06 · BORDE SEPARADOR VERDE A-170   |   Unidad: Metro lineal (ML)   |   Precio: $ 180.155,77</t>
  </si>
  <si>
    <t>Precio por ML. Materiales: Borde Separador Verde A-170 (1.25 UND), Mortero 1:4 (0.02 M3). Mano de obra: Auxiliar De Obra 2 (0.5 hh), Oficial Obra 1 (0.5 hh).  Etapa de obra: 9. Exteriores.</t>
  </si>
  <si>
    <t>3.08.07 · BORDE SEPARADOR VERDE A-170 incluye transporte   |   Unidad: Metro lineal (ML)   |   Precio: $ 185.031,66</t>
  </si>
  <si>
    <t>Precio por ML. Materiales: Borde Separador Verde A-170 (1.25 UND), Mortero 1:4 (0.02 M3). Mano de obra: Auxiliar De Obra 2 (0.5 hh), Oficial Obra 1 (0.5 hh). Equipo: Camioneta D300 (0.1 hr).  Etapa de obra: 9. Exteriores.</t>
  </si>
  <si>
    <t>3.08.08 · BORDILLO DE 8 X 15 CM FUNDIDO EN CONCRETO   |   Unidad: Metro lineal (ML)   |   Precio: $ 19.032,83</t>
  </si>
  <si>
    <t>Precio por ML. Materiales: Concreto 1:2:4 17.5 Mpa (0.01 M3). Mano de obra: Auxiliar De Obra 2 (0.55 hh), Oficial Obra 1 (0.55 hh). Equipo: Formaleta Sardinel (0.82 dd).  Etapa de obra: 9. Exteriores.</t>
  </si>
  <si>
    <t>3.08.09 · BORDILLO FUNDIDO EN SITIO 20 X 35 CM   |   Unidad: Metro lineal (ML)   |   Precio: $ 56.443,27</t>
  </si>
  <si>
    <t>Precio por ML. Materiales: Concreto 1:2:4 17.5 Mpa (0.08 M3). Mano de obra: Auxiliar De Obra 2 (0.79 hh), Oficial Obra 1 (0.79 hh). Equipo: Formaleta Sardinel (0.82 dd).  Etapa de obra: 9. Exteriores.</t>
  </si>
  <si>
    <t>3.08.10 · CAÑUELA PREFABRICADA TIPO A - A120   |   Unidad: Metro lineal (ML)   |   Precio: $ 53.161,19</t>
  </si>
  <si>
    <t>Precio por ML. Materiales: Mortero 1:6 (0.01 M3), Cañuela Prefabricada Ref. A-120 (1.25 UND). Mano de obra: Auxiliar De Obra 2 (0.75 hh), Oficial Obra 1 (0.75 hh).  Etapa de obra: 9. Exteriores.</t>
  </si>
  <si>
    <t>CAÑUELA PREFABRICADA REF. A-120</t>
  </si>
  <si>
    <t>3.08.11 · CONSTRUCCION DE ANDENES EN CONCRETO DE 17.5 MPa - (2500 PSI)   |   Unidad: Metro cúbico (M3)   |   Precio: $ 520.761,11</t>
  </si>
  <si>
    <t>Precio por M3. Materiales: Tabla Burra 3 M (0.3 ML), Concreto 1:2:4 17.5 Mpa (1.03 M3), Puntilla Con Y Sin Cabeza 1 (0.25 lb), Repisa Ordinaria 3 Mt (5 ML). Mano de obra: Auxiliar De Obra 1 (0.2 jr), Oficial Obra 2 (0.1 jr). Equipo: Herrramienta Y Equipo Menor (3.3 %).  Etapa de obra: 9. Exteriores.</t>
  </si>
  <si>
    <t>3.08.12 · CONSTRUCCION DE SARDINELES EN CONCRETO DE 17.5 MPa - (2500 PSI) H:40CM, E:20 CM   |   Unidad: Metro cúbico (M3)   |   Precio: $ 596.851,28</t>
  </si>
  <si>
    <t>Precio por M3. Materiales: Concreto 1:2:4 17.5 Mpa (1.03 M3). Mano de obra: Auxiliar De Obra 1 (1 jr), Oficial Obra 2 (0.25 jr). Equipo: Formaleta Para Sardineles (12.5 ML), Herrramienta Y Equipo Menor (3.3 %).  Etapa de obra: 9. Exteriores.</t>
  </si>
  <si>
    <t>FORMALETA PARA SARDINELES</t>
  </si>
  <si>
    <t>3.08.13 · LOSETA PREFABRICA A-20   |   Unidad: Metro cuadrado (M2)   |   Precio: $ 81.152,04</t>
  </si>
  <si>
    <t>Precio por M2. Materiales: Arena Fina (0.2 M3), Loseta Prefabricada A-20 (1 M2), Mortero 1:4 (0.03 M3). Mano de obra: Auxiliar De Obra 2 (0.6 hh), Oficial Obra 1 (0.6 hh).  Etapa de obra: 9. Exteriores.</t>
  </si>
  <si>
    <t>LOSETA PREFABRICADA A-20</t>
  </si>
  <si>
    <t>3.08.14 · LOSETA PREFABRICA A-40   |   Unidad: Metro cuadrado (M2)   |   Precio: $ 83.220,07</t>
  </si>
  <si>
    <t>Precio por M2. Materiales: Arena Lavada De Peña (0.04 M3), Loseta Prefabricada A-40 (1 M2), Mortero 1:4 (0.01 M3). Mano de obra: Auxiliar De Obra 2 (0.7 hh), Oficial Obra 1 (0.7 hh).  Etapa de obra: 9. Exteriores.</t>
  </si>
  <si>
    <t>LOSETA PREFABRICADA A-40</t>
  </si>
  <si>
    <t>3.08.15 · LOSETA PREFABRICA A-60   |   Unidad: Metro cuadrado (M2)   |   Precio: $ 61.073,88</t>
  </si>
  <si>
    <t>Precio por M2. Materiales: Arena Lavada De Peña (0.04 M3), Loseta Prefabricada A-60 (1 M2), Mortero 1:4 (0.01 M3). Mano de obra: Auxiliar De Obra 2 (0.6 hh), Oficial Obra 1 (0.6 hh).  Etapa de obra: 9. Exteriores.</t>
  </si>
  <si>
    <t>LOSETA PREFABRICADA A-60</t>
  </si>
  <si>
    <t>3.08.16 · LOSETA PREFABRICA A-50   |   Unidad: Metro cuadrado (M2)   |   Precio: $ 60.566,02</t>
  </si>
  <si>
    <t>Precio por M2. Materiales: Arena Lavada De Peña (0.04 M3), Loseta Prefabricada A-50 (1 M2), Mortero 1:4 (0.01 M3). Mano de obra: Auxiliar De Obra 2 (0.5 hh), Oficial Obra 1 (0.5 hh).  Etapa de obra: 9. Exteriores.</t>
  </si>
  <si>
    <t>LOSETA PREFABRICADA A-50</t>
  </si>
  <si>
    <t>3.08.17 · RAMPA B-5   |   Unidad: Unidad (UND)   |   Precio: $ 644.319,73</t>
  </si>
  <si>
    <t>Precio por UND. Materiales: Arena Fina (0.24 M3), Loseta Prefabricada A-50 (3.38 M2), Bordillo Prefabricado A-80 (5.8 ML), Mortero 1:4 (0.11 M3) y 3 más. Mano de obra: Auxiliar De Obra 2 (7 hh), Oficial Obra 1 (7 hh). Equipo: Vibrocompactador Rana (0.14 dd).  Etapa de obra: 9. Exteriores.</t>
  </si>
  <si>
    <t>PIEZA REMATE RAMPA A-105</t>
  </si>
  <si>
    <t>SARDINEL ESPECIAL RAMPA TIPO A A-100</t>
  </si>
  <si>
    <t>SARDINEL PREFABRICADO A-85</t>
  </si>
  <si>
    <t>3.08.18 · SUMINISTRO E INSTALACION DE BORDILLO PREFABRICADO A-80   |   Unidad: Metro lineal (ML)   |   Precio: $ 43.536,07</t>
  </si>
  <si>
    <t>Precio por ML. Materiales: Arena De Peña (0.06 M3), Bordillo Prefabricado A-80 (1 UND), Cemento Gris (6.5 kg), Agua (2 lt). Mano de obra: Auxiliar De Obra 2 (0.48 hh), Oficial Obra 1 (0.48 hh).  Etapa de obra: 9. Exteriores.</t>
  </si>
  <si>
    <t>3.08.19 · SUMINISTRO E INSTALACION DE SARDINEL PREFABRICADO A-10, INCLUYE MORTERO DE PEGA SEGUN NORMA NTC-4109   |   Unidad: Metro lineal (ML)   |   Precio: $ 51.795,77</t>
  </si>
  <si>
    <t>Precio por ML. Materiales: Mortero 1:3 (0.01 M3), Sardinel Prefabricado A-10 (1.25 ML). Mano de obra: Auxiliar De Obra 1 (0.08 jr), Oficial Obra 2 (0.02 jr). Equipo: Herrramienta Y Equipo Menor (3.3 %).  Etapa de obra: 9. Exteriores.</t>
  </si>
  <si>
    <t>SARDINEL PREFABRICADO A-10</t>
  </si>
  <si>
    <t>3.08.20 · SUMINISTRO E INSTALACIÓN LOSETA PODOTÁCTIL GUÍA (LÍNEAS) 40*40 CM   |   Unidad: Metro cuadrado (M2)   |   Precio: $ 72.638,52</t>
  </si>
  <si>
    <t>Precio por M2. Materiales: Arena Lavada De Peña (0.04 M3), Loseta Podotáctil Guía  40*40 Cm (1 M2), Mortero 1:4 (0.01 M3). Mano de obra: Auxiliar De Obra 2 (0.5 hh), Oficial Obra 1 (0.5 hh).  Etapa de obra: 9. Exteriores.</t>
  </si>
  <si>
    <t>LOSETA PODOTÁCTIL GUÍA (LÍNEAS) 40*40 CM</t>
  </si>
  <si>
    <t>3.08.21 · SUMINISTRO E INSTALACIÓN LOSETA PODOTÁCTIL ALERTA (PUNTOS) 40*40 CM   |   Unidad: Metro cuadrado (M2)   |   Precio: $ 75.763,52</t>
  </si>
  <si>
    <t>Precio por M2. Materiales: Arena Lavada De Peña (0.04 M3), Loseta Podotáctil Alerta  40*40 Cm (1 M2), Mortero 1:4 (0.01 M3). Mano de obra: Auxiliar De Obra 2 (0.5 hh), Oficial Obra 1 (0.5 hh).  Etapa de obra: 9. Exteriores.</t>
  </si>
  <si>
    <t>LOSETA PODOTÁCTIL ALERTA (PUNTOS) 40*40 CM</t>
  </si>
  <si>
    <t>Capítulo 3.09 · SEÑALIZACION Y DEMARCACION</t>
  </si>
  <si>
    <t>17 actividades. Cada tabla lista los insumos de una actividad por unidad de obra.</t>
  </si>
  <si>
    <t>3.09.01 · BORRADO DE LINEA DE 12 CMS SEGUN NORMA INVIAS   |   Unidad: Metro lineal (ML)   |   Precio: $ 3.074,77</t>
  </si>
  <si>
    <t>Precio por ML. Materiales: Cinta De Demarcacion Cal. 3 (0 UND), Pintura Demarcacion Tipo Trafico (0 gl). Mano de obra: Auxiliar De Pintura 1 (0.14 hh), Oficial Pintura (0.07 hh). Equipo: Herrramienta Y Equipo Menor (3 %).  Etapa de obra: 9. Exteriores.</t>
  </si>
  <si>
    <t>CINTA DE DEMARCACION Cal. 3 (ROLLO 500mx0.10m)</t>
  </si>
  <si>
    <t>PINTURA DEMARCACION TIPO TRAFICO</t>
  </si>
  <si>
    <t>3.09.02 · CAPTAFAROS   |   Unidad: Unidad (UND)   |   Precio: $ 18.763,41</t>
  </si>
  <si>
    <t>Precio por UND. Materiales: Captafaro (1 UND). Mano de obra: Auxiliar De Obra 2 (0.15 hh). Equipo: Alquiler De Camioneta D300 O Similar (0.05 hr).  Etapa de obra: 9. Exteriores.</t>
  </si>
  <si>
    <t>CAPTAFARO (en grado diamante)</t>
  </si>
  <si>
    <t>3.09.03 · ESTOPEROLES D=10 CM H=25 CMS   |   Unidad: Unidad (UND)   |   Precio: $ 6.539,39</t>
  </si>
  <si>
    <t>Precio por UND. Materiales: Cinta De Demarcacion Cal. 3 (0 UND), Estoperol D=10 Cm H=2.5 Cm (1 UND), Pegante Epoxico De Dos Componentes (0.06 UND). Mano de obra: Auxiliar De Pintura 1 (0.07 hh), Oficial Pintura (0.05 hh). Equipo: Herrramienta Y Equipo Menor (5 %).  Etapa de obra: 9. Exteriores.</t>
  </si>
  <si>
    <t>ESTOPEROL D=10 CM H=2.5 CM</t>
  </si>
  <si>
    <t>PEGANTE EPOXICO DE DOS COMPONENTES (para uso fijacion de señalizaciones viales)</t>
  </si>
  <si>
    <t>3.09.04 · MARCAS VIALES CON PINTURA DE TRAFICO SEGUN NORMA INVIAS Y DISEÑO (INCLUYE MICROESFERAS)   |   Unidad: Metro cuadrado (M2)   |   Precio: $ 51.709,50</t>
  </si>
  <si>
    <t>Precio por M2. Materiales: Marcas Viales Con Pintura De Trafico Acrilica Y Microesferas (1.05 M2). Mano de obra: Auxiliar De Pintura 1 (0.5 hh), Oficial Pintura (0.5 hh). Equipo: Camioneta D300 (0.1 hr), Herrramienta Y Equipo Menor (5 %).  Etapa de obra: 9. Exteriores.</t>
  </si>
  <si>
    <t>MARCAS VIALES CON PINTURA DE TRAFICO ACRILICA Y MICROESFERAS</t>
  </si>
  <si>
    <t>3.09.05 · SEÑALES DE TRANSITO 0.90*1.13 MTS (INFORMATIVAS) SEGUN NORMA INVIAS   |   Unidad: Unidad (UND)   |   Precio: $ 522.397,19</t>
  </si>
  <si>
    <t>Precio por UND. Materiales: Concreto 1:2:4 17.5 Mpa (0.07 M3), Señal Vertical Vial 0.90 * 1.13 M Informativa (1 UND). Mano de obra: Auxiliar De Obra 2 (2.8 hh), Oficial Obra 1 (1.2 hh). Equipo: Camioneta D300 (1 hr), Herrramienta Y Equipo Menor (5 %).  Etapa de obra: 9. Exteriores.</t>
  </si>
  <si>
    <t>SEÑAL VERTICAL VIAL 0.90 * 1.13 M INFORMATIVA</t>
  </si>
  <si>
    <t>3.09.06 · SEÑALES DE TRANSITO DIMENSIONES 60*75 CMS (DELINEADORES DE CURVA) SEGÚN NORMA INVIAS   |   Unidad: Unidad (UND)   |   Precio: $ 225.587,71</t>
  </si>
  <si>
    <t>Precio por UND. Materiales: Concreto 1:2:4 17.5 Mpa (0.01 M3), Señal Vertical Vial 60 * 75 Cm Preventiva (1 UND). Mano de obra: Auxiliar De Obra 2 (1.3 hh), Oficial Obra 1 (0.65 hh). Equipo: Herrramienta Y Equipo Menor (5 %).  Etapa de obra: 9. Exteriores.</t>
  </si>
  <si>
    <t>SEÑAL VERTICAL VIAL 60 * 75 CM PREVENTIVA</t>
  </si>
  <si>
    <t>3.09.07 · SUMINISTRO E INSTALACION DE DEFENSAS VIALES TRAMO RECTO DE 3.81 MTS, CAL. 12. 2 POSTES DE 1.50 mts. Y TERMINALES INCLUYENDO TORNILLERIA, CAPTA- FAROS EN LAMINA GALVANIZADA CAL. 22 EN CINTA REFLECTIVA GRAD. INGENIERIA SEGUN NORMA INVIAS   |   Unidad: Metro lineal (ML)   |   Precio: $ 188.559,22</t>
  </si>
  <si>
    <t>Precio por ML. Materiales: Amortiguador Defensa Metalica (0.2 UND), Terminales (0.26 UND), Captafaro (0.26 UND), Defensa Tramo Recto Efectivo 3.81 Mts. (1 ML) y 1 más. Mano de obra: Auxiliar De Obra 1 (0.08 jr), Oficial Obra 2 (0.02 jr). Equipo: Camion 350 (0.13 hr), Herrramienta Y Equipo Menor (5 %).  Etapa de obra: 9. Exteriores.</t>
  </si>
  <si>
    <t>AMORTIGUADOR DEFENSA METALICA</t>
  </si>
  <si>
    <t>TERMINALES</t>
  </si>
  <si>
    <t>DEFENSA TRAMO RECTO EFECTIVO 3.81 MTS.</t>
  </si>
  <si>
    <t>POSTES</t>
  </si>
  <si>
    <t>3.09.08 · SUMINISTRO E INSTALACION DE DELINEADORES DE CURVA HORIZONTAL DE TAMAÑO 40*50 cm. SEGUN NORMA INVIAS   |   Unidad: Unidad (UND)   |   Precio: $ 234.032,98</t>
  </si>
  <si>
    <t>Precio por UND. Materiales: Delineadores 140 Cm (1 UND). Mano de obra: Auxiliar De Obra 2 (1 hh), Oficial Obra 1 (1 hh). Equipo: Herrramienta Y Equipo Menor (5 %).  Etapa de obra: 9. Exteriores.</t>
  </si>
  <si>
    <t>DELINEADORES 140 CM</t>
  </si>
  <si>
    <t>3.09.09 · SUMINISTRO E INSTALACION DE POSTES DE REFERENCIA   |   Unidad: Unidad (UND)   |   Precio: $ 141.868,87</t>
  </si>
  <si>
    <t>Precio por UND. Materiales: Concreto 1:2:4 17.5 Mpa (0.06 M3), Poste De Referencia En Concreto Incluye Pintura (1 UND). Mano de obra: Auxiliar De Obra 1 (0.35 jr). Equipo: Herrramienta Y Equipo Menor (3.3 %).  Etapa de obra: 9. Exteriores.</t>
  </si>
  <si>
    <t>POSTE DE REFERENCIA EN CONCRETO INCLUYE PINTURA</t>
  </si>
  <si>
    <t>3.09.10 · SUMINISTRO E INSTALACION DE SEÑALES REGLAMENTARIAS 60 x 60 CM   |   Unidad: Unidad (UND)   |   Precio: $ 350.990,44</t>
  </si>
  <si>
    <t>Precio por UND. Materiales: Concreto 1:2:4 17.5 Mpa (0.01 M3), Cono Tráfico De 70 Cms (1 UND), Señal Reglamentaria (1 UND). Mano de obra: Auxiliar De Obra 2 (1 hh), Oficial Obra 1 (1 hh). Equipo: Herrramienta Y Equipo Menor (5 %).  Etapa de obra: 9. Exteriores.</t>
  </si>
  <si>
    <t>CONO TRÁFICO DE 70 CMS</t>
  </si>
  <si>
    <t>SEÑAL REGLAMENTARIA</t>
  </si>
  <si>
    <t>3.09.11 · SUMINISTRO E INSTALACION DE SEÑALES REGLAMENTARIAS 75 x 75 CM   |   Unidad: Unidad (UND)   |   Precio: $ 341.386,32</t>
  </si>
  <si>
    <t>Precio por UND. Materiales: Concreto 1:2:4 17.5 Mpa (0.01 M3), Cono Tráfico De 72 Cms (1 UND), Señal Reglamentaria (1 UND). Mano de obra: Auxiliar De Obra 2 (1 hh), Oficial Obra 1 (1 hh). Equipo: Herrramienta Y Equipo Menor (5 %).  Etapa de obra: 9. Exteriores.</t>
  </si>
  <si>
    <t>CONO TRÁFICO DE 72 CMS</t>
  </si>
  <si>
    <t>3.09.12 · SUMINISTRO E INSTALACION DE SEÑALES REGLAMENTARIAS 90 x 90 CM   |   Unidad: Unidad (UND)   |   Precio: $ 370.010,77</t>
  </si>
  <si>
    <t>Precio por UND. Materiales: Concreto 1:2:4 17.5 Mpa (0.01 M3), Cono Tráfico De 1 M (1 UND), Señal Reglamentaria (1 UND). Mano de obra: Auxiliar De Obra 2 (1 hh), Oficial Obra 1 (1 hh). Equipo: Herrramienta Y Equipo Menor (5 %).  Etapa de obra: 9. Exteriores.</t>
  </si>
  <si>
    <t>CONO TRÁFICO DE 1 M</t>
  </si>
  <si>
    <t>3.09.13 · SUMINISTRO E INSTALACION DE TACHAS REFLECTIVAS UNIDIRECCIONALES Y BIDIRECCIONALES   |   Unidad: Unidad (UND)   |   Precio: $ 8.040,18</t>
  </si>
  <si>
    <t>Precio por UND. Materiales: Tachas Reflectivas (1 UND), Resina Termoplastica (0.02 kg). Mano de obra: Auxiliar De Obra 2 (0.1 hh), Oficial Obra 1 (0.04 hh). Equipo: Camioneta D300 (0.01 hr), Maquina Termica (0.01 hr), Herrramienta Y Equipo Menor (1 %).  Etapa de obra: 9. Exteriores.</t>
  </si>
  <si>
    <t>TACHAS REFLECTIVAS</t>
  </si>
  <si>
    <t>RESINA TERMOPLASTICA</t>
  </si>
  <si>
    <t>MAQUINA TERMICA</t>
  </si>
  <si>
    <t>3.09.14 · SUMINISTRO E INSTALACION SEÑAL VIAL INFORMATIVA, TAMAÑO 2m x 50 cm con soporte en H SEGÚN NORMA INVIAS   |   Unidad: Unidad (UND)   |   Precio: $ 489.290,35</t>
  </si>
  <si>
    <t>Precio por UND. Materiales: Concreto 1:2:4 17.5 Mpa (0.03 M3), Señal Vial Informativo (1 UND). Mano de obra: Auxiliar De Obra 2 (1 hh), Oficial Obra 1 (1 hh). Equipo: Herrramienta Y Equipo Menor (5 %).  Etapa de obra: 9. Exteriores.</t>
  </si>
  <si>
    <t>SEÑAL VIAL INFORMATIVO</t>
  </si>
  <si>
    <t>3.09.15 · SUMINISTRO E INSTALACION SEÑAL VIAL PREVENTIVA, TAMAÑO 75*75 cm. SEGUN   |   Unidad: Unidad (UND)   |   Precio: $ 245.332,02</t>
  </si>
  <si>
    <t>Precio por UND. Materiales: Concreto 1:2:4 17.5 Mpa (0.03 M3), Señal Preventiva (1 UND). Mano de obra: Auxiliar De Obra 2 (1 hh), Oficial Obra 1 (1 hh). Equipo: Herrramienta Y Equipo Menor (5 %).  Etapa de obra: 9. Exteriores.</t>
  </si>
  <si>
    <t>SEÑAL PREVENTIVA</t>
  </si>
  <si>
    <t>3.09.16 · SUMINISTRO E INSTALACION SEÑAL VIAL REGLAMENTARIA, DIAMETRO 75 cm. SEGÚN NORMA INVIAS   |   Unidad: Unidad (UND)   |   Precio: $ 317.036,35</t>
  </si>
  <si>
    <t>Precio por UND. Materiales: Concreto 1:2:4 17.5 Mpa (0.03 M3), Señal Reglamentaria (1 UND). Mano de obra: Auxiliar De Obra 2 (1 hh), Oficial Obra 1 (1 hh). Equipo: Herrramienta Y Equipo Menor (5 %).  Etapa de obra: 9. Exteriores.</t>
  </si>
  <si>
    <t>3.09.17 · SUMINISTRO Y APLICACION DE PINTURA ACRILICA CON MICROESFERAS, LINEAS CONTINUAS Y DISCONTINUAS DE 12 CMS SEGUN NORMA INVIAS   |   Unidad: Metro lineal (ML)   |   Precio: $ 2.328,25</t>
  </si>
  <si>
    <t>Precio por ML. Materiales: Disolvente Thiner (0 gl), Esferas Reflectivas (0.05 kg), Pintura Acrilica Base Agua Para Demarcacion (0.02 gl). Mano de obra: Auxiliar De Obra 1 (0 jr), Oficial Obra 2 (0 jr). Equipo: Camioneta D300 (0 hr), Vehiculo Delineador (0 hr), Herrramienta Y Equipo Menor (5 %).  Etapa de obra: 9. Exteriores.</t>
  </si>
  <si>
    <t>ESFERAS REFLECTIVAS</t>
  </si>
  <si>
    <t>VEHICULO DELINEADOR</t>
  </si>
  <si>
    <t>Capítulo 3.10 · PUENTES</t>
  </si>
  <si>
    <t>3.10.01 · CONCRETO DE 21 MPa - (3000 P.S.I) PARA BARANDAS, INCLUYE REFUERZO , SEGUN INVIAS   |   Unidad: Metro cúbico (M3)   |   Precio: $ 1.749.674,79</t>
  </si>
  <si>
    <t>Precio por M3. Materiales: Alambre Negro No. 18 (2 kg), Acero 37000 Psi (83.52 kg), Acero 60000 Psi (85.02 kg), Concreto Clase D 21 Mpa (1.05 M3) y 3 más. Mano de obra: Auxiliar De Obra 1 (2 jr), Oficial Obra 2 (1 jr). Equipo: Vibrador De Concreto (0.3 hr), Herrramienta Y Equipo Menor (0.2 %).  Etapa de obra: 4. Estructura.</t>
  </si>
  <si>
    <t>3.10.02 · CONCRETO DE 28 MPa - (4000 PSI) PARA PLACAS Y VIGAS , LONGITUD MAYOR A   |   Unidad: Metro cúbico (M3)   |   Precio: $ 1.017.236,07</t>
  </si>
  <si>
    <t>Precio por M3. Materiales: Concreto Clase C 28 Mpa (1.05 M3), Formaleta Para Puentes De 14,1 A 21,0 Mts. (1 gl). Mano de obra: Auxiliar De Obra 1 (3.7 jr), Oficial Obra 2 (0.56 jr). Equipo: Vibrador De Concreto (1 hr), Herrramienta Y Equipo Menor (3.3 %).  Etapa de obra: 4. Estructura.</t>
  </si>
  <si>
    <t>FORMALETA PARA PUENTES DE 14,1 A 21,0 MTS.</t>
  </si>
  <si>
    <t>3.10.03 · CONCRETO DE 28 MPa - (4000 PSI) PARA PLACAS Y VIGAS , LONGITUD DE 0 A 7.0   |   Unidad: Metro cúbico (M3)   |   Precio: $ 890.417,74</t>
  </si>
  <si>
    <t>Precio por M3. Materiales: Concreto Clase C 28 Mpa (1.05 M3), Formaleta Para Puentes De 0 A 7,0 Mts. (1 gl). Mano de obra: Auxiliar De Obra 1 (2.8 jr), Oficial Obra 2 (0.42 jr). Equipo: Vibrador De Concreto (0.5 hr), Herrramienta Y Equipo Menor (3.3 %).  Etapa de obra: 4. Estructura.</t>
  </si>
  <si>
    <t>FORMALETA PARA PUENTES DE 0 A 7,0 MTS.</t>
  </si>
  <si>
    <t>3.10.04 · CONCRETO DE 28 MPa - (4000 PSI) PARA PLACAS Y VIGAS , LONGITUD DE 7,1 A 14.0 Mts.   |   Unidad: Metro cúbico (M3)   |   Precio: $ 983.390,23</t>
  </si>
  <si>
    <t>Precio por M3. Materiales: Concreto Clase C 28 Mpa (1.05 M3), Formaleta Para Puentes De 7,1 A 14,0 Mts. (1 gl). Mano de obra: Auxiliar De Obra 1 (3.8 jr), Oficial Obra 2 (0.5 jr). Equipo: Vibrador De Concreto (0.5 hr), Herrramienta Y Equipo Menor (3.3 %).  Etapa de obra: 4. Estructura.</t>
  </si>
  <si>
    <t>FORMALETA PARA PUENTES DE 7,1 A 14,0 MTS.</t>
  </si>
  <si>
    <t>3.10.05 · GUARDARUEDAS EN CONCRETO 28 MPA (4000 PSI) FUNDIDA EN SITIO, (NO INCLUYE REFUERZO)   |   Unidad: Metro cúbico (M3)   |   Precio: $ 695.107,88</t>
  </si>
  <si>
    <t>Precio por M3. Materiales: Concreto Clase C 28 Mpa (1.05 M3), Madera Repisa 3 M (1.47 ML), Madera Tabla Burra (3.23 ML), Madera Vara De Clavo (1.91 ML) y 1 más. Mano de obra: Auxiliar De Obra 1 (1 jr), Oficial Obra 1 (0.5 hh). Equipo: Herrramienta Y Equipo Menor (3.3 %).  Etapa de obra: 4. Estructura.</t>
  </si>
  <si>
    <t>3.10.06 · SELLADO DE JUNTAS EN PAVIMENTO DE CONCRETO HIDRAULICO (INCLUYE LIMPIEZA, SUMINISTRO E INSTALCION DE FONDO Y SELLANTE)   |   Unidad: Metro lineal (ML)   |   Precio: $ 12.119,25</t>
  </si>
  <si>
    <t>Precio por ML. Materiales: Backer-Rod (1 ML), Sikaflex Pro 3 Wf Tubo 600 Cc O Similar. (0.03 UND). Mano de obra: Auxiliar De Obra 2 (0.4 hh), Oficial Obra 1 (0.4 hh). Equipo: Herrramienta Y Equipo Menor (7 %).  Etapa de obra: 4. Estructura.</t>
  </si>
  <si>
    <t>BACKER-ROD (ESPUMA DE POLIETITELO)</t>
  </si>
  <si>
    <t>SIKAFLEX PRO 3 WF tubo 600 cc o Similar.</t>
  </si>
  <si>
    <t>3.10.07 · SUMINISTRO E INSTALACION DE BARANDAS EN TUBERÍA METÁLICA AGUA NEGRA D=2", C. 0.80, SOLDADO, SEGUN DISEÑO, INCLUYE ANTICORROSIVO Y   |   Unidad: Metro lineal (ML)   |   Precio: $ 331.577,11</t>
  </si>
  <si>
    <t>Precio por ML. Materiales: Tubo Metálio Agua Negra D= 2``, C. 0,80 (4 ML), Pintura Para Barandas Metálicas (1.5 glb), Soldadura Electrica (0.5 kg). Mano de obra: Auxiliar De Obra 1 (0.5 jr), Oficial Obra 2 (0.5 jr), Soldador 1 (0.5 jr). Equipo: Compresor De Pintura (0 dd), Equipo De Soldadura (0.5 hr), Herrramienta Y Equipo Menor (5 %).  Etapa de obra: 4. Estructura.</t>
  </si>
  <si>
    <t>PINTURA PARA BARANDAS METÁLICAS</t>
  </si>
  <si>
    <t>COMPRESOR DE PINTURA</t>
  </si>
  <si>
    <t>3.10.08 · SUMINISTRO E INSTALACION DE APOYOS DE NEOPRENO . DUREZA 75, E= 1/4"   |   Unidad: Metro cuadrado (M2)   |   Precio: $ 331.974,44</t>
  </si>
  <si>
    <t>Precio por M2. Materiales: Neopreno, Dureza 75, E= 1/4`` (1.1 M2). Mano de obra: Oficial Obra 2 (0.33 jr). Equipo: Herrramienta Y Equipo Menor (0.7 %).  Etapa de obra: 4. Estructura.</t>
  </si>
  <si>
    <t>NEOPRENO, DUREZA 75, E= 1/4``</t>
  </si>
  <si>
    <t>3.10.09 · SUMINISTRO E INSTALACION DE DESAGUES EN TUBERIA SANITARIA PVC D=3"   |   Unidad: Metro lineal (ML)   |   Precio: $ 25.601,82</t>
  </si>
  <si>
    <t>Precio por ML. Materiales: Tubería Sanitaria Pvc D= 3`` Para Desagues (1 ML), Limpiador 1/4 Pvc (0.02 gl), Soldadura Liquida Pvc 1/4`` (0.02 gl). Mano de obra: Auxiliar De Obra 1 (0.1 jr). Equipo: Herrramienta Y Equipo Menor (0.65 %).  Etapa de obra: 4. Estructura.</t>
  </si>
  <si>
    <t>TUBERÍA SANITARIA PVC D= 3`` PARA DESAGUES</t>
  </si>
  <si>
    <t>3.10.10 · SUMINISTRO E INSTALACION DE JUNTAS DE DILATACION EN ANGULO DE 3"x3"x3/8", INCLUYE HIERRO DE ANCLAJE, CINTA SIKA O-22   |   Unidad: Metro lineal (ML)   |   Precio: $ 432.582,97</t>
  </si>
  <si>
    <t>Precio por ML. Materiales: Angulo Estructural 3``x3``x3/8`` (2 ML), Suministro Figurado Y Armado De Acero De Refuerzo 60000 Psi 420 Mpa (4 kg), Cinta Flexible Para Sellos De Juntas Sika O-22 (1.05 ML), Platina De Acero 2-5/8``x2-5/8``x3/8`` (2 UND). Mano de obra: Auxiliar De Obra 1 (1 jr), Oficial Obra 2 (0.5 jr), Soldador 1 (0.5 jr). Equipo: Equipo De Soldadura (0.6 hr), Herrramienta Y Equipo Menor (3.3 %).  Etapa de obra: 4. Estructura.</t>
  </si>
  <si>
    <t>ANGULO ESTRUCTURAL 3``X3``X3/8``</t>
  </si>
  <si>
    <t>CINTA FLEXIBLE PARA SELLOS DE JUNTAS SIKA O-22</t>
  </si>
  <si>
    <t>PLATINA DE ACERO 2-5/8``X2-5/8``X3/8``</t>
  </si>
  <si>
    <t>3.10.11 · SUMINISTRO FIGURADO Y ARMADO DE ACERO DE REFUERZO 37000 PSI 240 MPA   |   Unidad: Kilogramo (kg)   |   Precio: $ 4.170,69</t>
  </si>
  <si>
    <t>Precio por kg. Materiales: Alambre Negro No. 18 (0.03 kg), Acero 37000 Psi (1.05 kg), Segueta (0.03 UND). Mano de obra: Auxiliar De Obra 2 (0.05 hh), Oficial Obra 1 (0.02 hh). Equipo: Herrramienta Y Equipo Menor (5 %).  Etapa de obra: 4. Estructura.</t>
  </si>
  <si>
    <t>3.10.12 · SUMINISTRO FIGURADO Y ARMADO DE ACERO DE REFUERZO 60000 PSI 420 MPA   |   Unidad: Kilogramo (kg)   |   Precio: $ 4.427,28</t>
  </si>
  <si>
    <t>Precio por kg. Materiales: Alambre Negro No. 18 (0.03 kg), Acero 60000 Psi (1.05 kg), Segueta (0.03 UND). Mano de obra: Auxiliar De Obra 2 (0.06 hh), Oficial Obra 1 (0.03 hh). Equipo: Herrramienta Y Equipo Menor (7.2 %).  Etapa de obra: 4. Estructura.</t>
  </si>
  <si>
    <t>Capítulo 3.11 · MANTENIMIENTO</t>
  </si>
  <si>
    <t>3.11.01 · CUNETEO Y PERFILADO DE LA BANCA EXISTENTE ( EN MANTENIMIENTO VIAL)   |   Unidad: Kilómetro (km)   |   Precio: $ 628.400,00</t>
  </si>
  <si>
    <t>Precio por km. Equipo: Motoniveladora Potencia Minima 120 Hp Y Max 215 Hp (4 hr).  Etapa de obra: 9. Exteriores.</t>
  </si>
  <si>
    <t>3.11.02 · ESCARIFICACION, MEZCLADO, CONFORMACION Y COMPACTACION DE SUBBASE Y/O BASE   |   Unidad: Kilómetro (km)   |   Precio: $ 6.086.507,61</t>
  </si>
  <si>
    <t>Precio por km. Mano de obra: Auxiliar De Obra 1 (1 jr). Equipo: Carrotanque (18.18 hr), Motoniveladora Potencia Minima 120 Hp Y Max 215 Hp (18.18 hr), Vibrocompactador Ca-15 O Similar (18.18 hr).  Etapa de obra: 9. Exteriores.</t>
  </si>
  <si>
    <t>3.11.03 · LIMPIEZA DE ALCANTARILLAS CON DIAMETRO MENOR O IGUAL A 36", INCLUYE RECTIFICACION DE DESCOLES CON RETIRO DE SOBRANTES Y OBSTACULOS ACARREO LIBRE DE 5 KM   |   Unidad: Unidad (UND)   |   Precio: $ 224.058,23</t>
  </si>
  <si>
    <t>Precio por UND. Mano de obra: Auxiliar De Obra 1 (3 jr). Equipo: Herrramienta Y Equipo Menor (3.3 %).  Etapa de obra: 9. Exteriores.</t>
  </si>
  <si>
    <t>3.11.04 · LIMPIEZA DE CUNETAS EN TIERRA CON RECTIFICACION DE SALIDAS Y DESCOLES, INCLUYE RETIRO DE SOBRANTES FUERADE LA ZONA DE LA VIA ( INCLUYE ACARREO LIBRE DE 5 KM)   |   Unidad: Metro lineal (ML)   |   Precio: $ 5.601,45</t>
  </si>
  <si>
    <t>Precio por ML. Mano de obra: Auxiliar De Obra 1 (0.08 jr). Equipo: Herrramienta Y Equipo Menor (3.3 %).  Etapa de obra: 9. Exteriores.</t>
  </si>
  <si>
    <t>3.11.05 · LIMPIEZA DE CUNETAS REVESTIDAS CON RECTIFICACION DE SALIDAS Y DESCOLES,INCLUYE RETIRO DE SOBRANTES FUERA DE LA ZONA DE VIA ( INCLUYE ACARREO LIBRE DE 5 KM)   |   Unidad: Metro lineal (ML)   |   Precio: $ 2.800,73</t>
  </si>
  <si>
    <t>Precio por ML. Mano de obra: Auxiliar De Obra 1 (0.04 jr). Equipo: Herrramienta Y Equipo Menor (3.3 %).  Etapa de obra: 9. Exteriores.</t>
  </si>
  <si>
    <t>3.11.06 · LIMPIEZA DE PONTONES Y BOX COULVERT, INCLUYE RECTIFICACION DE DESCOLES CON RETIRO DE SOBRANTES Y OBSTACULOS ACARREO LIBRE DE 5 KM   |   Unidad: Unidad (UN)   |   Precio: $ 263.604,50</t>
  </si>
  <si>
    <t>Precio por UN. Mano de obra: Auxiliar De Obra 1 (3.53 jr). Equipo: Herrramienta Y Equipo Menor (3.3 %).  Etapa de obra: 9. Exteriores.</t>
  </si>
  <si>
    <t>3.11.07 · ROCERIA A CADA LA LADO DE LA VIA Y/0 ZONAS NECESARIAS PARA BUENA VISIBILIDAD   |   Unidad: Hectárea (HA)   |   Precio: $ 485.725,59</t>
  </si>
  <si>
    <t>Precio por HA. Mano de obra: Auxiliar De Obra 1 (3.48 jr). Equipo: Guadañadora (26.67 hr), Herrramienta Y Equipo Menor (3.3 %). Transporte: Transporte De Material (25 M3-km).  Etapa de obra: 9. Exteriores.</t>
  </si>
  <si>
    <t>Capítulo 3.12 · TRANSPORTE</t>
  </si>
  <si>
    <t>3.12.01 · CARGUE Y TRANSPORTE DE MATERIALES SUELTOS, PRODUCTO DE SOBRANTES Y/O DERRUMBES (INCLUYE ACARREO LIBRE )   |   Unidad: Metro cúbico (M3)   |   Precio: $ 4.902,53</t>
  </si>
  <si>
    <t>Precio por M3. Equipo: Retroexcavadora Jd-510 O Similar (0.03 hr). Transporte: Transporte De Material (1 M3-km).  Etapa de obra: 1. Preliminares.</t>
  </si>
  <si>
    <t>3.12.02 · TRANSPORTE DE MATERIAL SUELTO   |   Unidad: Metro cúbico por kilómetro (M3-km)   |   Precio: $ 1.325,00</t>
  </si>
  <si>
    <t>Precio por M3-km. Transporte: Transporte De Material (1 M3-km).  Etapa de obra: 1. Preliminares.</t>
  </si>
  <si>
    <t>3.12.03 · TRANSPORTE DE MATERIAL DE AFIRMADO Y/O GRANULAR DESPUÉS DE 5 KM (INSTALADO Y COMPACTADO SEGÚN SECCIÓN DE DISEÑO).   |   Unidad: Metro cúbico por kilómetro (M3-km)   |   Precio: $ 1.656,25</t>
  </si>
  <si>
    <t>Precio por M3-km. Transporte: Transporte De Material (1.25 M3-km).  Etapa de obra: 1. Preliminares.</t>
  </si>
  <si>
    <t>3.12.04 · TRANSPORTE DE MATERIALES MEDIDOS EN BANCO PRODUCTO DE EXCAVACIONES DE CORTES, CANALES Y PRESTAMOS.   |   Unidad: Metro cúbico (M3)   |   Precio: $ 1.656,25</t>
  </si>
  <si>
    <t>Precio por M3. Transporte: Transporte De Material (1.25 M3-km).  Etapa de obra: 1. Preliminares.</t>
  </si>
  <si>
    <t>3.12.05 · TRANSPORTE DE MEZCLA ASFALTICA DESPUES DE 5 KM, (INSTALADO Y COMPACTADO SEGÚN SECCIÓN DE DISEÑO).   |   Unidad: Metro cúbico por kilómetro (M3-km)   |   Precio: $ 1.921,25</t>
  </si>
  <si>
    <t>Precio por M3-km. Transporte: Transporte De Material Asfaltico (1.25 M3-km).  Etapa de obra: 1. Preliminares.</t>
  </si>
  <si>
    <t>3.12.06 · TRANSPORTE ESTRUCTURA METALICA DISTANCIA HASTA 100 KM   |   Unidad: Kilogramo (kg)   |   Precio: $ 146,18</t>
  </si>
  <si>
    <t>Precio por kg. Transporte: Transporte Estructura Metalica (1 kg-km).  Etapa de obra: 1. Preliminares.</t>
  </si>
  <si>
    <t>Capítulo 3.13 · VARIOS</t>
  </si>
  <si>
    <t>60 actividades. Cada tabla lista los insumos de una actividad por unidad de obra.</t>
  </si>
  <si>
    <t>3.13.01 · ACERO DE PREESFUERZO   |   Unidad: Tonelada por metro (ton-m)   |   Precio: $ 2.244,25</t>
  </si>
  <si>
    <t>Precio por ton-m. Materiales: Alambre Negro No. 18 (0.02 kg), Anclajes O Cuñas Para Tensionamiento (0 UND), Toron De Tensionsmiento De 1/2`` (0.09 kg), Trompetas De 12 Torones (0 kg) y 2 más. Mano de obra: Auxiliar De Obra 1 (0 jr), Oficial Obra 2 (0 jr). Equipo: Bomba De Inyeccion (0 hr), Bomba Gato De Tensionamiento (0 hr), Gato Para Tensionamiento (0 hr), Herrramienta Y Equipo Menor (1.3 %).  Etapa de obra: 4. Estructura.</t>
  </si>
  <si>
    <t>ANCLAJES O CUÑAS PARA TENSIONAMIENTO</t>
  </si>
  <si>
    <t>TORON DE TENSIONSMIENTO DE 1/2``</t>
  </si>
  <si>
    <t>TROMPETAS DE 12 TORONES</t>
  </si>
  <si>
    <t>DUCTOS PARA TENSIONAMIENTO</t>
  </si>
  <si>
    <t>BOMBA DE INYECCION</t>
  </si>
  <si>
    <t>BOMBA GATO DE TENSIONAMIENTO</t>
  </si>
  <si>
    <t>GATO PARA TENSIONAMIENTO</t>
  </si>
  <si>
    <t>3.13.02 · ANCLAJE EN ROCA DE D=4" CON 3 TORONES DE 1/2" POSTENSADOS   |   Unidad: Tonelada por metro (ton-m)   |   Precio: $ 501.977,71</t>
  </si>
  <si>
    <t>Precio por ton-m. Materiales: Alambre Negro No. 18 (0.05 kg), Tapones Pvc Rde 21 De 1`` (0.1 UND), Toron De Tensionsmiento De 1/2`` (3 kg), Tubería Pavco Gas Pe 3`` Amarilla (0.55 ML) y 8 más. Mano de obra: Auxiliar De Obra 1 (0.29 jr). Equipo: Bomba De Inyeccion (0.08 hr), Bomba Gato De Tensionamiento (0.08 hr), Compresor 250 Pies 3 Con Martillo (1.25 hr), Equipo De Perforacion Trackdrill (1.25 hr) y 2 más.  Etapa de obra: 4. Estructura.</t>
  </si>
  <si>
    <t>TAPONES PVC RDE 21 DE 1``</t>
  </si>
  <si>
    <t>TUBERÍA PAVCO GAS PE 3`` AMARILLA</t>
  </si>
  <si>
    <t>UNIONES PVC RDE 21 DE 1``</t>
  </si>
  <si>
    <t>MANGUERA DE POLIETILENO DE 3``</t>
  </si>
  <si>
    <t>COMPRESOR 250 PIES 3 CON MARTILLO</t>
  </si>
  <si>
    <t>3.13.03 · BASE ACAMPANADA DE PILOTES INCLUYE REFUERZO SEGUN NORMA INVIAS   |   Unidad: Metro cúbico (M3)   |   Precio: $ 1.506.371,22</t>
  </si>
  <si>
    <t>Precio por M3. Materiales: Acero 60000 Psi (42 kg), Concreto Clase C 28 Mpa (1 M3), Fulminante (1 UND), Indugel Plus Tipo B32x250 (0.1 kg) y 1 más. Mano de obra: Auxiliar De Obra 1 (3.5 jr), Oficial Obra 2 (0.9 jr). Equipo: Compresor (6.25 hr), Motobomba (6.25 hr), Herrramienta Y Equipo Menor (5 %).  Etapa de obra: 4. Estructura.</t>
  </si>
  <si>
    <t>FULMINANTE</t>
  </si>
  <si>
    <t>3.13.04 · BOLSACRETO, INCLUYE SUMINISTRO E INSTALACION   |   Unidad: Metro cúbico (M3)   |   Precio: $ 522.652,68</t>
  </si>
  <si>
    <t>Precio por M3. Materiales: Concreto 1:2:4 17.5 Mpa (1 M3), Bolsacreto De 1m3 1401 (1 UND). Mano de obra: Auxiliar De Obra 1 (0.45 jr), Oficial Obra 2 (0.1 jr).  Etapa de obra: 4. Estructura.</t>
  </si>
  <si>
    <t>BOLSACRETO DE 1M3 1401</t>
  </si>
  <si>
    <t>3.13.05 · CAMISA PERMANENTE DE DIAMETRO INTERIOR 1 M EN CONCRETO CLASE D 21 MPA (3000 PSI) ESPESOR 0.20 m   |   Unidad: Metro lineal (ML)   |   Precio: $ 232.490,00</t>
  </si>
  <si>
    <t>Precio por ML. Materiales: Concreto Clase D 21 Mpa (0.36 M3). Mano de obra: Auxiliar De Obra 1 (0.38 jr), Oficial Obra 2 (0.13 jr). Equipo: Formaleta Para Camisa De Pilote (1 hr), Herrramienta Y Equipo Menor (5 %).  Etapa de obra: 4. Estructura.</t>
  </si>
  <si>
    <t>FORMALETA PARA CAMISA DE PILOTE</t>
  </si>
  <si>
    <t>3.13.06 · CERCA DE ALAMBRE DE PUAS CON POSTES DE CONCRETO PREFABRICADO 10 X 10 CM X 1.80 M 210 KG/CM2 5 LINEAS. DISTANCIA ENTRE POSTES 2 M   |   Unidad: Metro lineal (ML)   |   Precio: $ 37.549,85</t>
  </si>
  <si>
    <t>Precio por ML. Materiales: Alambre Negro No.18 (0.09 kg), Grapas (0.15 kg), Poste En Concreto Prefabricado 10 X 10 Cm X 1.80 M 210 Kg/Cm2 (0.5 UND), Alambre De Puas N° 12.5 (0.6 kg). Mano de obra: Auxiliar De Obra 2 (0.8 hh), Oficial Obra 1 (0.7 hh). Equipo: Herrramienta Y Equipo Menor (5 %).  Etapa de obra: 4. Estructura.</t>
  </si>
  <si>
    <t>POSTE EN CONCRETO PREFABRICADO 10 X 10 CM X 1.80 M 210 KG/CM2</t>
  </si>
  <si>
    <t>3.13.07 · CERCA DE ALAMBRE DE PUAS CON POSTES DE MADERA INMUNIZADA D= 9 - 10 CM H=1.50 M 5 LINEAS. DISTANCIA ENTRE POSTES 2 M   |   Unidad: Metro lineal (ML)   |   Precio: $ 31.266,08</t>
  </si>
  <si>
    <t>Precio por ML. Materiales: Grapas (0.05 kg), Poste Pino Patula [1.50m] D=9-10 Cm (0.5 UND), Alambre De Puas N° 12.5 (0.6 kg). Mano de obra: Auxiliar De Obra 2 (0.7 hh), Oficial Obra 1 (0.7 hh). Equipo: Herrramienta Y Equipo Menor (5 %).  Etapa de obra: 4. Estructura.</t>
  </si>
  <si>
    <t>3.13.08 · CERCA DE MALLA ESLABONADA H=1.80 M CALIBRE 10.5 BWG CON POSTES DE CONCRETO PREFABRICADO 10 X 10 CM X 1.80 M 210 KG/CM2 (3000 PSI)   |   Unidad: Metro lineal (ML)   |   Precio: $ 45.340,62</t>
  </si>
  <si>
    <t>Precio por ML. Materiales: Alambre Negro No.18 (0.18 kg), Malla Eslabonada Calibre 10.5 Bwg Hueco 60 Mm Rollo 1.80 X 20 Mts (0.03 rl), Poste En Concreto Prefabricado 10 X 10 Cm X 1.80 M 210 Kg/Cm2 (0.5 UND). Mano de obra: Auxiliar De Obra 2 (2.02 hh). Equipo: Herrramienta Y Equipo Menor (5 %).  Etapa de obra: 4. Estructura.</t>
  </si>
  <si>
    <t>MALLA ESLABONADA CALIBRE 10.5 BWG HUECO 60 MM ROLLO 1.80 X 20 MTS</t>
  </si>
  <si>
    <t>3.13.09 · CERRAMIENTO EN VARA ROLLIZA Y LONA H=1.50 M . DISTANCIA ENTRE POSTES 2 M   |   Unidad: Metro lineal (ML)   |   Precio: $ 41.795,16</t>
  </si>
  <si>
    <t>Precio por ML. Materiales: Tela Cerramiento Obra (1 ML), Madera Rolliza D=0.15 M (2 ML), Madera Vara De Clavo (0.5 ML), Puntilla Con Y Sin Cabeza 2 (0.03 lb). Mano de obra: Auxiliar De Obra 2 (0.6 hh), Oficial Obra 1 (0.3 hh). Equipo: Herrramienta Y Equipo Menor (5 %).  Etapa de obra: 4. Estructura.</t>
  </si>
  <si>
    <t>TELA CERRAMIENTO OBRA (VERDE)</t>
  </si>
  <si>
    <t>3.13.10 · CINTA SIKA PVC. V=0.10   |   Unidad: Metro lineal (ML)   |   Precio: $ 13.649,30</t>
  </si>
  <si>
    <t>Precio por ML. Materiales: Cinta Sika Pvc V= 0.10 (1 ML). Mano de obra: Auxiliar De Obra 1 (0.01 jr), Oficial Obra 2 (0.01 jr). Equipo: Herrramienta Y Equipo Menor (5 %).  Etapa de obra: 4. Estructura.</t>
  </si>
  <si>
    <t>CINTA SIKA PVC V= 0.10</t>
  </si>
  <si>
    <t>3.13.11 · CINTA SIKA PVC. V=0.15   |   Unidad: Metro lineal (ML)   |   Precio: $ 23.198,05</t>
  </si>
  <si>
    <t>Precio por ML. Materiales: Cinta Sika Pvc V= 0.15 (1 ML). Mano de obra: Auxiliar De Obra 1 (0.01 jr), Oficial Obra 2 (0.01 jr). Equipo: Herrramienta Y Equipo Menor (5 %).  Etapa de obra: 4. Estructura.</t>
  </si>
  <si>
    <t>CINTA SIKA PVC V= 0.15</t>
  </si>
  <si>
    <t>3.13.12 · CINTA SIKA PVC. V=0.22   |   Unidad: Metro lineal (ML)   |   Precio: $ 35.571,00</t>
  </si>
  <si>
    <t>Precio por ML. Materiales: Cinta Sika Pvc 0.22 (1 ML). Mano de obra: Auxiliar De Obra 1 (0.01 jr), Oficial Obra 2 (0.01 jr). Equipo: Herrramienta Y Equipo Menor (5 %).  Etapa de obra: 4. Estructura.</t>
  </si>
  <si>
    <t>CINTA SIKA PVC 0.22 (15 metros )</t>
  </si>
  <si>
    <t>3.13.13 · CONSTRUCCION JUNTAS ELASTOMERICAS DE 30 CMS DE ANCHO SEGUN INVIAS PRUEBA NORMA ASTM D-4014   |   Unidad: Metro lineal (ML)   |   Precio: $ 846.842,57</t>
  </si>
  <si>
    <t>Precio por ML. Materiales: Elastomero (40 kg), Gas (0.5 lb), Gravilla ¾, ½ (0.15 M3), Junta Sellante Gomaespuma (1 ML) y 2 más. Mano de obra: Auxiliar De Obra 1 (2.5 jr), Oficial Obra 2 (0.5 jr). Equipo: Calentador A Gas (0.5 hr), Fundidora (0.5 hr), Planta Electrica (2.8 hr), Plaqueta Vibratoria (0.5 hr) y 3 más.  Etapa de obra: 4. Estructura.</t>
  </si>
  <si>
    <t>ELASTOMERO</t>
  </si>
  <si>
    <t>GAS</t>
  </si>
  <si>
    <t>JUNTA SELLANTE GOMAESPUMA</t>
  </si>
  <si>
    <t>PLACA DE ACERO</t>
  </si>
  <si>
    <t>IMPRIMACIÓN CON EMULSIÓN ASFÁLTICA CRL- 1H</t>
  </si>
  <si>
    <t>CALENTADOR A GAS</t>
  </si>
  <si>
    <t>FUNDIDORA</t>
  </si>
  <si>
    <t>PLANTA ELECTRICA</t>
  </si>
  <si>
    <t>PLANTA DE MEZCLA Y SECADO</t>
  </si>
  <si>
    <t>3.13.14 · CORTE DE PAVIMENTO ASFÁLTICO   |   Unidad: Metro lineal (ML)   |   Precio: $ 4.215,74</t>
  </si>
  <si>
    <t>Precio por ML. Materiales: Disco Diamantado Asfalto-Concreto 350mm (0 UND), Agua (5 lt). Mano de obra: Auxiliar De Obra 1 (0.04 jr). Equipo: Cortadora De Pavimento (0.12 hr).  Etapa de obra: 4. Estructura.</t>
  </si>
  <si>
    <t>3.13.15 · DEMOLICION OBRAS EN CONCRETO REFORZADO, INCLUYE RETIRO DE SOBRANTES   |   Unidad: Metro cúbico (M3)   |   Precio: $ 368.860,20</t>
  </si>
  <si>
    <t>Precio por M3. Materiales: Transporte De Material Suelto (1.25 M3-km). Mano de obra: Auxiliar De Obra 1 (1.5 jr), Oficial Obra 2 (0.5 jr). Equipo: Compresor (3.03 hr), Pulidora (0.05 dd), Retroexcavadora Jd-510 O Similar (0.05 hr), Herrramienta Y Equipo Menor (0.03 %).  Etapa de obra: 4. Estructura.</t>
  </si>
  <si>
    <t>3.13.16 · DEMOLICION OBRAS EN CONCRETO SIMPLE, INCLUYE RETIRO DE SOBRANTES (ACARREO lIBRE 5 Km.)   |   Unidad: Metro cuadrado (M2)   |   Precio: $ 212.974,22</t>
  </si>
  <si>
    <t>Precio por M2. Materiales: Transporte De Material Suelto (5 M3-km). Mano de obra: Auxiliar De Obra 1 (1 jr), Oficial Obra 2 (0.66 jr), Auxiliar De Obra 2 (0.24 hh). Equipo: Compresor (0.66 hr), Retroexcavadora Jd-510 O Similar (0.03 hr), Herrramienta Y Equipo Menor (5 %), Compresor De 2 Martillos (0.12 hr) y 1 más. Transporte: Viaje Volqueta M3 (0.07 M3).  Etapa de obra: 4. Estructura.</t>
  </si>
  <si>
    <t>3.13.18 · DEMOLICION PISOS, ANDENES EN CONCRETO HASTA E= 12 CM INCLUYE RETIRO   |   Unidad: Metro cuadrado (M2)   |   Precio: $ 17.512,44</t>
  </si>
  <si>
    <t>Precio por M2. Mano de obra: Machinero (0.01 jr). Equipo: Compresor De 2 Martillos (0.06 hr), Herrramienta Y Equipo Menor (5 %). Transporte: Viaje Volqueta M3 (0.17 M3).  Etapa de obra: 4. Estructura.</t>
  </si>
  <si>
    <t>3.13.19 · DESMONTE Y REINSTALACION DE SEÑALES VIALES (INCLUYE DADO DE   |   Unidad: Unidad (UND)   |   Precio: $ 46.423,31</t>
  </si>
  <si>
    <t>Precio por UND. Materiales: Concreto 1:2:4 17.5 Mpa (0.01 M3). Mano de obra: Auxiliar De Obra 1 (0.25 jr), Oficial Obra 2 (0.17 jr). Equipo: Herrramienta Y Equipo Menor (7 %).  Etapa de obra: 4. Estructura.</t>
  </si>
  <si>
    <t>3.13.20 · EMPRADIZACION DE TALUDES CON BLOQUES DE CESPED SEGUN NORMA INVIAS   |   Unidad: Metro cuadrado (M2)   |   Precio: $ 17.748,23</t>
  </si>
  <si>
    <t>Precio por M2. Materiales: Tierra Abonada (0.2 M3), Cesped (1.03 M2), Estacas De Guadua (0.81 UND), Agua (25 lt). Mano de obra: Auxiliar De Obra 1 (0.06 jr). Equipo: Herrramienta Y Equipo Menor (5 %).  Etapa de obra: 4. Estructura.</t>
  </si>
  <si>
    <t>CESPED</t>
  </si>
  <si>
    <t>ESTACAS DE GUADUA (para empradización)</t>
  </si>
  <si>
    <t>3.13.21 · EMPRADIZACION DE TALUDES CON TIERRA ORGANICA Y SEMILLAS   |   Unidad: Metro cuadrado (M2)   |   Precio: $ 31.983,47</t>
  </si>
  <si>
    <t>Precio por M2. Materiales: Tierra Abonada (0.2 M3), Esterilla De Guadua (0.05 M2), Agua (25 lt), Semillas (2 UND). Mano de obra: Auxiliar De Obra 1 (0.27 jr). Equipo: Herrramienta Y Equipo Menor (5 %).  Etapa de obra: 4. Estructura.</t>
  </si>
  <si>
    <t>SEMILLAS</t>
  </si>
  <si>
    <t>3.13.22 · SUMINISTRO, TRANSPORTE, FABRICACIÓN, ENSAMBLAJE Y MONTAJE DE ESTRUCTURA METALICA   |   Unidad: Kilogramo (kg)   |   Precio: $ 17.935,72</t>
  </si>
  <si>
    <t>Precio por kg. Materiales: Acero Estruct. Astm A-36 (1.05 kg), Transporte Estructura Metalica Distancia Hasta 100 Km (1 kg), Fundente (0.01 kg), Gas Propano (0.01 kg) y 2 más. Mano de obra: Auxiliar De Obra 1 (0.02 jr), Inspector De Fabricacion Y Monetaje (0.01 jr), Oficial Obra 2 (0.01 jr), Soldador 1 (0.02 jr). Equipo: Diferencial 3 Ton (0.04 hr), Equipo De Oxicorte (0.04 dd), Equipo De Soldadura 400 (0.05 hr), Herrramienta Y Equipo Menor (5 %).  Etapa de obra: 4. Estructura.</t>
  </si>
  <si>
    <t>FUNDENTE</t>
  </si>
  <si>
    <t>GAS PROPANO</t>
  </si>
  <si>
    <t>OXIGENO INDUSTRIAL</t>
  </si>
  <si>
    <t>INSPECTOR DE FABRICACION Y MONETAJE</t>
  </si>
  <si>
    <t>DIFERENCIAL 3 TON</t>
  </si>
  <si>
    <t>3.13.23 · IMPRIMACION CON SIKADUR 32 O SIMILAR   |   Unidad: Metro cuadrado (M2)   |   Precio: $ 56.808,21</t>
  </si>
  <si>
    <t>Precio por M2. Materiales: Adherente Epoxico Sikadur 32 (0.5 kg). Mano de obra: Auxiliar De Obra 2 (0.8 hh). Equipo: Herrramienta Y Equipo Menor (8.61 %).  Etapa de obra: 4. Estructura.</t>
  </si>
  <si>
    <t>3.13.24 · MALLA ELECTROSOLDADA 0.15 X 0.15 M D= 4MM (INCLUYE SUMINISTRO FIJACION E INSTALACION)   |   Unidad: Kilogramo (kg)   |   Precio: $ 4.706,00</t>
  </si>
  <si>
    <t>Precio por kg. Materiales: Alambre Negro No. 18 (0.02 kg), Malla Electrosoldada S=150x150mm, ø=4x4mm (1 kg). Mano de obra: Auxiliar De Obra 2 (0.03 hh), Oficial Obra 1 (0.03 hh). Equipo: Herrramienta Y Equipo Menor (5 %).  Etapa de obra: 4. Estructura.</t>
  </si>
  <si>
    <t>MALLA ELECTROSOLDADA S=150x150mm, Ø=4x4mm</t>
  </si>
  <si>
    <t>3.13.25 · MALLA ELECTROSOLDADA 0.15 X 0.15 M D= 5MM (INCLUYE SUMINISTRO FIJACION E INSTALACION)   |   Unidad: Kilogramo (kg)   |   Precio: $ 4.825,37</t>
  </si>
  <si>
    <t>Precio por kg. Materiales: Alambre Negro No. 18 (0.02 kg), Malla Electrosoldada S=150x150mm, ø=5x5mm (1 kg). Mano de obra: Auxiliar De Obra 2 (0.03 hh), Oficial Obra 1 (0.03 hh). Equipo: Herrramienta Y Equipo Menor (5 %).  Etapa de obra: 4. Estructura.</t>
  </si>
  <si>
    <t>MALLA ELECTROSOLDADA S=150x150mm, Ø=5x5mm</t>
  </si>
  <si>
    <t>3.13.26 · MALLA ELECTROSOLDADA 0.15 X 0.15 M D= 6MM (INCLUYE SUMINISTRO FIJACION E INSTALACION)   |   Unidad: Kilogramo (kg)   |   Precio: $ 4.668,59</t>
  </si>
  <si>
    <t>Precio por kg. Materiales: Alambre Negro No. 18 (0.02 kg), Malla Electrosoldada S=150x150mm, ø=6x6mm (1 kg). Mano de obra: Auxiliar De Obra 2 (0.03 hh), Oficial Obra 1 (0.03 hh). Equipo: Herrramienta Y Equipo Menor (5 %).  Etapa de obra: 4. Estructura.</t>
  </si>
  <si>
    <t>MALLA ELECTROSOLDADA S=150x150mm, Ø=6x6mm</t>
  </si>
  <si>
    <t>3.13.27 · MALLA ELECTROSOLDADA 0.15 X 0.15 M D= 7MM (INCLUYE SUMINISTRO FIJACION E INSTALACION)   |   Unidad: Kilogramo (kg)   |   Precio: $ 4.671,59</t>
  </si>
  <si>
    <t>Precio por kg. Materiales: Alambre Negro No. 18 (0.02 kg), Malla Electrosoldada S=150x150mm, ø=7x7mm (1 kg). Mano de obra: Auxiliar De Obra 2 (0.03 hh), Oficial Obra 1 (0.03 hh). Equipo: Herrramienta Y Equipo Menor (5 %).  Etapa de obra: 4. Estructura.</t>
  </si>
  <si>
    <t>MALLA ELECTROSOLDADA S=150x150mm, Ø=7x7mm</t>
  </si>
  <si>
    <t>3.13.28 · MALLA ELECTROSOLDADA 0.15 X 0.15 M D= 8MM (INCLUYE SUMINISTRO FIJACION E INSTALACION)   |   Unidad: Kilogramo (kg)   |   Precio: $ 4.713,69</t>
  </si>
  <si>
    <t>Precio por kg. Materiales: Alambre Negro No. 18 (0.02 kg), Malla Electrosoldada S=150x150mm, ø=8x8mm (1 kg). Mano de obra: Auxiliar De Obra 2 (0.03 hh), Oficial Obra 1 (0.03 hh). Equipo: Herrramienta Y Equipo Menor (5 %).  Etapa de obra: 4. Estructura.</t>
  </si>
  <si>
    <t>MALLA ELECTROSOLDADA S=150x150mm, Ø=8x8mm</t>
  </si>
  <si>
    <t>3.13.29 · MALLA ELECTROSOLDADA 0.20X0.20 M D04 MM (INCLUYE SUMINISTRO, FIJACION E INSTALACION)   |   Unidad: Kilogramo (kg)   |   Precio: $ 4.578,43</t>
  </si>
  <si>
    <t>Precio por kg. Materiales: Alambre Negro No. 18 (0.03 kg), Malla Electrosoldada S=200x200mm, ø=4x4mm (1 kg). Mano de obra: Auxiliar De Obra 2 (0.03 hh), Oficial Obra 1 (0.03 hh). Equipo: Herrramienta Y Equipo Menor (5 %).  Etapa de obra: 4. Estructura.</t>
  </si>
  <si>
    <t>MALLA ELECTROSOLDADA S=200x200mm, Ø=4x4mm</t>
  </si>
  <si>
    <t>3.13.30 · MALLA ELECTROSOLDADA 0.25X0.25 M D04 MM (INCLUYE SUMINISTRO, FIJACION E INSTALACION)   |   Unidad: Kilogramo (kg)   |   Precio: $ 4.578,43</t>
  </si>
  <si>
    <t>3.13.31 · PILOTE D=40 CM CONCRETO 21MPa - (3000 PSI) NO INCLUYE REFUERZO (INCL. EXCAVACIÓN, CARGUE Y RETIRO DE SOBRANTES, MOVILIZACIÓN, MONTAJE Y   |   Unidad: Metro lineal (ML)   |   Precio: $ 317.027,35</t>
  </si>
  <si>
    <t>Precio por ML. Materiales: Concreto Clase D 21 Mpa (0.13 M3). Mano de obra: Auxiliar De Obra 1 (0.64 jr), Oficial Obra 2 (0.32 jr). Equipo: Piloteadora (0.4 hr), Herrramienta Y Equipo Menor (5 %). Transporte: Movilización, Montaje Y Desmontaje Piloteadora (1 ML), Transporte De Material (1.25 M3-km).  Etapa de obra: 4. Estructura.</t>
  </si>
  <si>
    <t>PILOTEADORA</t>
  </si>
  <si>
    <t>MOVILIZACIÓN, MONTAJE Y DESMONTAJE PILOTEADORA</t>
  </si>
  <si>
    <t>3.13.32 · PILOTE D=50 CM CONCRETO 21MPa - (3000 PSI) NO INCLUYE REFUERZO (INCL. EXCAVACIÓN, CARGUE Y RETIRO DE   |   Unidad: Metro lineal (ML)   |   Precio: $ 375.904,69</t>
  </si>
  <si>
    <t>Precio por ML. Materiales: Concreto Clase D 21 Mpa (0.21 M3). Mano de obra: Auxiliar De Obra 1 (0.67 jr), Oficial Obra 2 (0.35 jr). Equipo: Piloteadora (0.44 hr), Herrramienta Y Equipo Menor (5 %). Transporte: Movilización, Montaje Y Desmontaje Piloteadora (1 ML), Transporte De Material (1.28 M3-km).  Etapa de obra: 4. Estructura.</t>
  </si>
  <si>
    <t>3.13.33 · PILOTE D=60 CM CONCRETO 21MPa - (3000 PSI) NO INCLUYE REFUERZO (INCL. EXCAVACIÓN, CARGUE Y RETIRO DE SOBRANTES, MOVILIZACIÓN, MONTAJE Y   |   Unidad: Metro lineal (ML)   |   Precio: $ 463.566,20</t>
  </si>
  <si>
    <t>Precio por ML. Materiales: Concreto Clase D 21 Mpa (0.3 M3). Mano de obra: Auxiliar De Obra 1 (0.84 jr), Oficial Obra 2 (0.42 jr). Equipo: Piloteadora (0.5 hr), Herrramienta Y Equipo Menor (5 %). Transporte: Movilización, Montaje Y Desmontaje Piloteadora (1 ML), Transporte De Material (1.85 M3-km).  Etapa de obra: 4. Estructura.</t>
  </si>
  <si>
    <t>3.13.34 · PINTURA DE LA ESTRUCTURA METALICA   |   Unidad: Kilogramo (kg)   |   Precio: $ 2.981,73</t>
  </si>
  <si>
    <t>Precio por kg. Materiales: Anticorrosivo Premium - Tipo Pintuco Ref. 513 O Similar (0 gl), Pintura Esmalte Sintetico Tipo Ii (0.01 gl). Mano de obra: Auxiliar De Pintura 1 (0.02 hh), Oficial Pintura (0.02 hh). Equipo: Compresor De Pintura (0 dd), Andamio Tubular Normalizado, Tipo Multidireccional, De Acero Galvanizado En Caliente, Según Iso 9001. (0.08 dd), Herrramienta Y Equipo Menor (3.3 %).  Etapa de obra: 4. Estructura.</t>
  </si>
  <si>
    <t>ANTICORROSIVO Premium - Tipo Pintuco Ref. 513 o similar</t>
  </si>
  <si>
    <t>3.13.35 · PLANTACIÓN DE ARBOLES PAISAJISTICOS ALTURA MINIMA 1.20 MTS   |   Unidad: Unidad (UND)   |   Precio: $ 42.833,81</t>
  </si>
  <si>
    <t>Precio por UND. Materiales: Abono Para Frutales (0.43 kg), Tierra Abonada (0.1 M3), Arbol Paisajistico H= 1.20 Mts (1 UND), Agua (100 lt). Mano de obra: Auxiliar De Obra 1 (0.28 jr). Equipo: Herrramienta Y Equipo Menor (6.02 %).  Etapa de obra: 4. Estructura.</t>
  </si>
  <si>
    <t>ABONO PARA FRUTALES</t>
  </si>
  <si>
    <t>ARBOL PAISAJISTICO H= 1.20 MTS</t>
  </si>
  <si>
    <t>3.13.36 · RELLENO PARA REDES EN ARENA DE PEÑA (SUMINISTRO, EXTENDIDO, UMEDECIMIENTO Y COMPACTACION)   |   Unidad: Metro cúbico (M3)   |   Precio: $ 105.811,37</t>
  </si>
  <si>
    <t>Precio por M3. Materiales: Arena De Peña (1.3 M3). Mano de obra: Auxiliar De Obra 2 (0.8 hh), Oficial Obra 1 (0.4 hh). Equipo: Vibrocompactador Rana (0.33 hr), Herrramienta Y Equipo Menor (5 %).  Etapa de obra: 4. Estructura.</t>
  </si>
  <si>
    <t>3.13.37 · RELLENO PARA REDES EN GRAVILLA DE 3/4 , 1/2 (SUMINISTRO, EXTENDIDO, UMEDECIMIENTO Y COMPACTACION)   |   Unidad: Metro cúbico (M3)   |   Precio: $ 102.396,31</t>
  </si>
  <si>
    <t>Precio por M3. Materiales: Gravilla ¾, ½ (1.05 M3). Mano de obra: Auxiliar De Obra 2 (0.4 hh), Oficial Obra 1 (0.3 hh). Equipo: Herrramienta Y Equipo Menor (5 %).  Etapa de obra: 4. Estructura.</t>
  </si>
  <si>
    <t>3.13.38 · SANDBLASTING Y PINTURA DE ESTRUCTURA METALICA   |   Unidad: Kilogramo (kg)   |   Precio: $ 1.415,74</t>
  </si>
  <si>
    <t>Precio por kg. Materiales: Disolvente Thiner (0.01 gl), Pintura Anticorrosivo (0 gl), Pintura Esmalte Sintetico Tipo Ii (0.01 gl). Mano de obra: Oficial Pintura (0.04 hh). Equipo: Compresor De Pintura (0 dd), Equipo Sand Blasting (0 hc).  Etapa de obra: 4. Estructura.</t>
  </si>
  <si>
    <t>EQUIPO SAND BLASTING</t>
  </si>
  <si>
    <t>3.13.39 · SELLADO DE JUNTAS EN PAVIMENTO FLEXIBLE (INCLUYE LIMPIEZA, SUMINISTRO E INSTALACION DE FONDO Y EMULSION ASFALTICA CRR-1)   |   Unidad: Metro lineal (ML)   |   Precio: $ 10.799,29</t>
  </si>
  <si>
    <t>Precio por ML. Materiales: Sikaflex Pro 3 Wf Tubo 600 Cc O Similar. (0.02 UND). Mano de obra: Auxiliar De Obra 2 (0.41 hh), Oficial Obra 1 (0.41 hh). Equipo: Herrramienta Y Equipo Menor (0.7 %).  Etapa de obra: 4. Estructura.</t>
  </si>
  <si>
    <t>3.13.40 · SELLOS PARA JUNTA DE PUENTE SEGUN NORMA INVIAS   |   Unidad: Metro lineal (ML)   |   Precio: $ 35.847,79</t>
  </si>
  <si>
    <t>Precio por ML. Materiales: Cinta Sika Pvc 0.22 (1 ML). Mano de obra: Auxiliar De Obra 1 (0.02 jr). Equipo: Herrramienta Y Equipo Menor (3.3 %).  Etapa de obra: 4. Estructura.</t>
  </si>
  <si>
    <t>3.13.41 · SEPARADOR ``NEW JERSEY`` BIDIRECCIONAL 1.5 X 0.6 M X 1.1 M (PREFABRICADO, INCLUYE SUMINISTRO E INSTALACION, NO INCLUYE MATERIAL DE   |   Unidad: Metro lineal (ML)   |   Precio: $ 303.251,73</t>
  </si>
  <si>
    <t>Precio por ML. Materiales: Barrera Bidireccional New Jersey (0.68 UND). Mano de obra: Auxiliar De Obra 2 (0.8 hh), Oficial Obra 1 (0.4 hh). Equipo: Cargador 950 O Similar (0.4 hr), Herrramienta Y Equipo Menor (5 %).  Etapa de obra: 4. Estructura.</t>
  </si>
  <si>
    <t>BARRERA BIDIRECCIONAL NEW JERSEY</t>
  </si>
  <si>
    <t>3.13.42 · SEPARADOR ``NEW JERSEY`` MONODIRECCIONAL 1 X 0.6 M (PREFABRICADO, INCLUYE SUMINISTRO E INSTALACION, NO INCLUYE MATERIAL DE   |   Unidad: Metro lineal (ML)   |   Precio: $ 248.459,86</t>
  </si>
  <si>
    <t>Precio por ML. Materiales: Barrera Monodireccional New Jersey (1 UND). Mano de obra: Auxiliar De Obra 2 (0.4 hh), Oficial Obra 1 (0.4 hh). Equipo: Cargador 950 O Similar (0.4 hr), Herrramienta Y Equipo Menor (5 %).  Etapa de obra: 4. Estructura.</t>
  </si>
  <si>
    <t>BARRERA MONODIRECCIONAL NEW JERSEY</t>
  </si>
  <si>
    <t>3.13.43 · SUMINISTRO E INSTALACION APOYOS ELASTOMERICOS DE NEOPRENO 35CM*45CM*5CM DUREZA 60   |   Unidad: Unidad (UND)   |   Precio: $ 459.718,11</t>
  </si>
  <si>
    <t>Precio por UND. Materiales: Neopreno 35cm*45cm*5cm Dureza 60 (1 UND). Mano de obra: Auxiliar De Obra 1 (0.03 jr).  Etapa de obra: 4. Estructura.</t>
  </si>
  <si>
    <t>NEOPRENO 35CM*45CM*5CM DUREZA 60</t>
  </si>
  <si>
    <t>3.13.44 · SUMINISTRO E INSTALACION DE GEOMALLA CON RESISTENCIA ULTIMA 112.6/24.4 KN/M   |   Unidad: Metro cuadrado (M2)   |   Precio: $ 21.248,19</t>
  </si>
  <si>
    <t>Precio por M2. Materiales: Geomalla Resistencia Ultima 112,6/24,4 Kn/M (1.05 M2). Mano de obra: Auxiliar De Instalaciones 1 (0.1 hh), Oficial Instalaciones (0.1 hh).  Etapa de obra: 4. Estructura.</t>
  </si>
  <si>
    <t>GEOMALLA RESISTENCIA ULTIMA 112,6/24,4 KN/M</t>
  </si>
  <si>
    <t>3.13.45 · SUMINISTRO E INSTALACION DE GEOMALLA CON RESISTENCIA ULTIMA 178,5/53,9 KN/M   |   Unidad: Metro cuadrado (M2)   |   Precio: $ 29.309,99</t>
  </si>
  <si>
    <t>Precio por M2. Materiales: Geomalla Resistencia Ultima 178/53,9 Kn/M (1.05 M2). Mano de obra: Auxiliar De Instalaciones 1 (0.1 hh), Oficial Instalaciones (0.1 hh).  Etapa de obra: 4. Estructura.</t>
  </si>
  <si>
    <t>GEOMALLA RESISTENCIA ULTIMA 178/53,9 KN/M</t>
  </si>
  <si>
    <t>3.13.46 · SUMINISTRO E INSTALACION DE GEOMALLA CON RESISTENCIA ULTIMA A 25 KN/M   |   Unidad: Metro cuadrado (M2)   |   Precio: $ 11.745,77</t>
  </si>
  <si>
    <t>Precio por M2. Materiales: Geomalla Resistencia Ultima 25 Kn/M (1.05 M2). Mano de obra: Auxiliar De Instalaciones 1 (0.1 hh), Oficial Instalaciones (0.1 hh).  Etapa de obra: 4. Estructura.</t>
  </si>
  <si>
    <t>GEOMALLA RESISTENCIA ULTIMA 25 KN/M</t>
  </si>
  <si>
    <t>3.13.47 · SUMINISTRO E INSTALACION DE GEOTEXTIL NO TEJIDO CON RESISTENCIA A LA TENSION ELONGACION DE 570 N PARA PAVIMENTACION Y REPAVIMENTACION   |   Unidad: Metro cuadrado (M2)   |   Precio: $ 6.494,88</t>
  </si>
  <si>
    <t>Precio por M2. Materiales: Geotextil No Tejido Con Resistencia A La Tension Elongacion 570 N (1.05 M2). Mano de obra: Auxiliar De Instalaciones 1 (0.05 hh), Oficial Instalaciones (0.05 hh).  Etapa de obra: 4. Estructura.</t>
  </si>
  <si>
    <t>GEOTEXTIL NO TEJIDO CON RESISTENCIA A LA TENSION ELONGACION 570 N</t>
  </si>
  <si>
    <t>3.13.48 · SUMINISTRO E INSTALACION DE GEOTEXTIL NO TEJIDO CON RESISTENCIA A LA TENSION ELONGACION DE 530 N PARA PAVIMENTACION Y REPAVIMENTACION   |   Unidad: Metro cuadrado (M2)   |   Precio: $ 5.992,98</t>
  </si>
  <si>
    <t>Precio por M2. Materiales: Geotextil No Tejido Con Resistencia A La Tension Elongacion 530 N (1.05 M2). Mano de obra: Auxiliar De Instalaciones 1 (0.05 hh), Oficial Instalaciones (0.05 hh).  Etapa de obra: 4. Estructura.</t>
  </si>
  <si>
    <t>GEOTEXTIL NO TEJIDO CON RESISTENCIA A LA TENSION ELONGACION 530 N</t>
  </si>
  <si>
    <t>3.13.49 · SUMINISTRO E INSTALACION DE GEOTEXTIL NT 1600 PARA SEPARACION SUBRASANTE/CAPAS GRANULARES Y/O SUBDRENES/FILTROS   |   Unidad: Metro cuadrado (M2)   |   Precio: $ 4.570,23</t>
  </si>
  <si>
    <t>Precio por M2. Materiales: Geotextil Nt 1600 (1.05 M2). Mano de obra: Auxiliar De Instalaciones 1 (0.05 hh), Oficial Instalaciones (0.05 hh).  Etapa de obra: 4. Estructura.</t>
  </si>
  <si>
    <t>GEOTEXTIL NT 1600</t>
  </si>
  <si>
    <t>3.13.50 · SUMINISTRO E INSTALACION DE GEOTEXTIL NT 1800 PARA SEPARACION SUBRASANTE/CAPAS GRANULARES Y/O SUBDRENES/FILTROS   |   Unidad: Metro cuadrado (M2)   |   Precio: $ 6.480,18</t>
  </si>
  <si>
    <t>Precio por M2. Materiales: Geotextil Nt 1800 (1.05 M2). Mano de obra: Auxiliar De Instalaciones 1 (0.05 hh), Oficial Instalaciones (0.05 hh).  Etapa de obra: 4. Estructura.</t>
  </si>
  <si>
    <t>GEOTEXTIL NT 1800</t>
  </si>
  <si>
    <t>3.13.51 · SUMINISTRO E INSTALACION DE GEOTEXTIL NT 2000 PARA SEPARACION SUBRASANTE/CAPAS GRANULARES Y/O SUBDRENES/FILTROS   |   Unidad: Metro cuadrado (M2)   |   Precio: $ 7.194,88</t>
  </si>
  <si>
    <t>Precio por M2. Materiales: Geotextil Nt 2000 (1.05 M2). Mano de obra: Auxiliar De Instalaciones 1 (0.05 hh), Oficial Instalaciones (0.05 hh).  Etapa de obra: 4. Estructura.</t>
  </si>
  <si>
    <t>3.13.52 · SUMINISTRO E INSTALACION DE GEOTEXTIL NT 2500 PARA SEPARACION SUBRASANTE/CAPAS GRANULARES Y/O SUBDRENES/FILTROS   |   Unidad: Metro cuadrado (M2)   |   Precio: $ 7.314,33</t>
  </si>
  <si>
    <t>Precio por M2. Materiales: Geotextil Nt 2500 (1.05 M2). Mano de obra: Auxiliar De Instalaciones 1 (0.05 hh), Oficial Instalaciones (0.05 hh).  Etapa de obra: 4. Estructura.</t>
  </si>
  <si>
    <t>GEOTEXTIL NT 2500</t>
  </si>
  <si>
    <t>3.13.53 · SUMINISTRO E INSTALACION DE GEOTEXTIL NT 3000 PARA SEPARACION SUBRASANTE/CAPAS GRANULARES Y/O SUBDRENES/FILTROS   |   Unidad: Metro cuadrado (M2)   |   Precio: $ 8.712,76</t>
  </si>
  <si>
    <t>Precio por M2. Materiales: Geotextil Nt 3000 (1.05 M2). Mano de obra: Auxiliar De Instalaciones 1 (0.05 hh), Oficial Instalaciones (0.05 hh).  Etapa de obra: 4. Estructura.</t>
  </si>
  <si>
    <t>GEOTEXTIL NT 3000</t>
  </si>
  <si>
    <t>3.13.54 · SUMINISTRO E INSTALACIÓN DE GEOTEXTIL NT 4000 PARA ESTABILIZACIÓN DE SUBRASANTES/CAPAS- SEPARACION SUBRASANTE/CAPAS GRANULARES Y/O SUBDRENES/FILTROS   |   Unidad: Metro cuadrado (M2)   |   Precio: $ 10.240,18</t>
  </si>
  <si>
    <t>Precio por M2. Materiales: Geotextil Nt 4000 (1.05 M2). Mano de obra: Auxiliar De Instalaciones 1 (0.05 hh), Oficial Instalaciones (0.05 hh).  Etapa de obra: 4. Estructura.</t>
  </si>
  <si>
    <t>GEOTEXTIL NT 4000</t>
  </si>
  <si>
    <t>3.13.55 · SUMINISTRO E INSTALACIÓN DE GEOTEXTIL NT 5000 PARA ESTABILIZACIÓN DE SUBRASANTES/CAPAS- SEPARACION SUBRASANTE/CAPAS GRANULARES Y/O SUBDRENES/FILTROS   |   Unidad: Metro cuadrado (M2)   |   Precio: $ 14.439,18</t>
  </si>
  <si>
    <t>Precio por M2. Materiales: Geotextil Nt 5000 (1.05 M2). Mano de obra: Auxiliar De Instalaciones 1 (0.05 hh), Oficial Instalaciones (0.05 hh).  Etapa de obra: 4. Estructura.</t>
  </si>
  <si>
    <t>GEOTEXTIL NT 5000</t>
  </si>
  <si>
    <t>3.13.56 · SUMINISTRO E INSTALACIÓN DE GEOTEXTIL NT 6000 PARA ESTABILIZACIÓN DE SUBRASANTES/CAPAS- SEPARACION SUBRASANTE/CAPAS GRANULARES Y/O SUBDRENES/FILTROS   |   Unidad: Metro cuadrado (M2)   |   Precio: $ 16.338,63</t>
  </si>
  <si>
    <t>Precio por M2. Materiales: Geotextil Nt 6000 (1.05 M2). Mano de obra: Auxiliar De Instalaciones 1 (0.05 hh), Oficial Instalaciones (0.05 hh).  Etapa de obra: 4. Estructura.</t>
  </si>
  <si>
    <t>GEOTEXTIL NT 6000</t>
  </si>
  <si>
    <t>3.13.57 · SUMINISTRO E INSTALACION DE GEOTEXTIL NT 7000 PARA ESTABILIZACION SUBRASANTES/CAPAS- SEPARACION SUBRASANTE/CAPAS GRANULARES Y/O SUBDRENES/FILTROS   |   Unidad: Metro cuadrado (M2)   |   Precio: $ 20.171,13</t>
  </si>
  <si>
    <t>Precio por M2. Materiales: Geotextil Nt 7000 (1.05 M2). Mano de obra: Auxiliar De Instalaciones 1 (0.05 hh), Oficial Instalaciones (0.05 hh).  Etapa de obra: 4. Estructura.</t>
  </si>
  <si>
    <t>GEOTEXTIL NT 7000</t>
  </si>
  <si>
    <t>3.13.58 · SUMINISTRO E INSTALACION DE GEOTEXTIL T, RESIST ULTIMA A LA ROTURA (TIRA ANCHA)=110 KN/M PARA ESTABILIZACION SUBRASANTE/CAPAS - SEPARACION SUBRASANTE/CAPAS GRANULARES Y/O SUBDRENES/FILTROS   |   Unidad: Metro cuadrado (M2)   |   Precio: $ 16.783,85</t>
  </si>
  <si>
    <t>Precio por M2. Materiales: Geotextil Tejido Con Resistencia A La Rotura 110 Kn/M (1.05 M2). Mano de obra: Auxiliar De Instalaciones 1 (0.05 hh), Oficial Instalaciones (0.05 hh).  Etapa de obra: 4. Estructura.</t>
  </si>
  <si>
    <t>GEOTEXTIL TEJIDO CON RESISTENCIA A LA ROTURA 110 KN/M</t>
  </si>
  <si>
    <t>3.13.59 · SUMINISTRO E INSTALACION DE GEOTEXTIL T, RESIST ULTIMA A LA ROTURA (TIRA ANCHA)=45.2 KN/M PARA ESTABILIZACION SUBRASANTE/CAPAS - SEPARACION SUBRASANTE/CAPAS GRANULARES Y/O SUBDRENES/FILTROS   |   Unidad: Metro cuadrado (M2)   |   Precio: $ 8.310,24</t>
  </si>
  <si>
    <t>Precio por M2. Materiales: Geotextil Tejido Con Resistencia A La Rotura 45.2 Kn/M (1.05 M2). Mano de obra: Auxiliar De Instalaciones 1 (0.05 hh), Oficial Instalaciones (0.05 hh).  Etapa de obra: 4. Estructura.</t>
  </si>
  <si>
    <t>3.13.60 · SUMINISTRO E INSTALACION DE GEOTEXTIL T, RESIST ULTIMA A LA ROTURA (TIRA ANCHA)=69 KN/M PARA ESTABILIZACION SUBRASANTE/CAPAS - SEPARACION SUBRASANTE/CAPAS GRANULARES Y/O SUBDRENES/FILTROS   |   Unidad: Metro cuadrado (M2)   |   Precio: $ 12.199,46</t>
  </si>
  <si>
    <t>Precio por M2. Materiales: Geotextil Tejido Con Resistencia A La Rotura 69 Kn/M (1.05 M2). Mano de obra: Auxiliar De Instalaciones 1 (0.05 hh), Oficial Instalaciones (0.05 hh).  Etapa de obra: 4. Estructura.</t>
  </si>
  <si>
    <t>GEOTEXTIL TEJIDO CON RESISTENCIA A LA ROTURA 69 KN/M</t>
  </si>
  <si>
    <t>3.13.61 · SUMINISTRO E INSTALACION DE GEOTEXTIL T, RESIST ULTIMA A LA ROTURA(TIRA ANCHA)=33.8 KN/M PARA SEPARACION SUBRASANTE/CAPAS GRANULARES Y/O SUBDRENES/FILTROS   |   Unidad: Metro cuadrado (M2)   |   Precio: $ 7.339,66</t>
  </si>
  <si>
    <t>Precio por M2. Materiales: Geotextil Tejido Con Resistencia A La Rotura 33.8 Kn/M (1.05 M2). Mano de obra: Auxiliar De Instalaciones 1 (0.05 hh), Oficial Instalaciones (0.05 hh).  Etapa de obra: 4. Estructura.</t>
  </si>
  <si>
    <t>GEOTEXTIL TEJIDO CON RESISTENCIA A LA ROTURA 33.8 KN/M</t>
  </si>
  <si>
    <t>Capítulo 4.01 · GASODUCTOS</t>
  </si>
  <si>
    <t>30 actividades. Cada tabla lista los insumos de una actividad por unidad de obra.</t>
  </si>
  <si>
    <t>4.01.01 · CONEXIÓN GAS ESTANDAR (ACOMETIDA Y MEDIDOR)   |   Unidad: Unidad (UND)   |   Precio: $ 336.434,36</t>
  </si>
  <si>
    <t>Precio por UND. Materiales: Tee Reducida Polietileno 1x1/2 (1 UND), Tubería Galvanizada Sch 40 1 1/2 (1 ML), Tubería Polietileno 1/2 (1 ML), Universal Galvanizada 1/2 (1 UND) y 6 más. Mano de obra: Auxiliar De Instalaciones 1 (2.5 hh), Oficial Instalaciones (1 hh).  Etapa de obra: 6. Instalaciones.</t>
  </si>
  <si>
    <t>TEE REDUCIDA POLIETILENO 1X1/2</t>
  </si>
  <si>
    <t>TUBERÍA GALVANIZADA SCH 40 1 1/2</t>
  </si>
  <si>
    <t>TUBERÍA POLIETILENO 1/2</t>
  </si>
  <si>
    <t>UNIVERSAL GALVANIZADA 1/2</t>
  </si>
  <si>
    <t>VÁLVULA DE BOLA PARA MEDIDOR 1/2</t>
  </si>
  <si>
    <t>CODO CALLE GALVANIZADO 1/2</t>
  </si>
  <si>
    <t>ELEVADOR PARA GAS 1/2</t>
  </si>
  <si>
    <t>MEDIDOR DE GAS 2.5 M3</t>
  </si>
  <si>
    <t>REGULADOR GAS R-4E 4 M3</t>
  </si>
  <si>
    <t>4.01.02 · SUMINISTRO E INSTALACION DE TUBERIA DE POLIETILENO DE 1/2`` EN ANDEN TABLETA   |   Unidad: Metro lineal (ML)   |   Precio: $ 63.339,16</t>
  </si>
  <si>
    <t>Precio por ML. Materiales: Tubería Pavco Gas Pe 1/2``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(2.4 %).  Etapa de obra: 6. Instalaciones.</t>
  </si>
  <si>
    <t>TUBERÍA PAVCO GAS PE 1/2`` AMARILLA</t>
  </si>
  <si>
    <t>CINTA DE SEÑALIZACIÓN</t>
  </si>
  <si>
    <t>LOSETA PLANA GRIS 40 X 40 X 6</t>
  </si>
  <si>
    <t>4.01.03 · SUMINISTRO E INSTALACION DE TUBERIA DE POLIETILENO DE 1/2`` EN ASFALTO   |   Unidad: Metro lineal (ML)   |   Precio: $ 83.174,08</t>
  </si>
  <si>
    <t>Precio por ML. Materiales: Tubería Pavco Gas Pe 1/2``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(0.17 hr), Cortadora De Pavimento (0.09 hr), Termofucionador Tuberia Polivinilica (0 dd), Herrramienta Y Equipo Menor (5 %).  Etapa de obra: 6. Instalaciones.</t>
  </si>
  <si>
    <t>DISCO DIAMANTADO ASFALTO-CONCRETO 3S5U0MmINmISTRO, EXTENDIDA Y COMPACTACION DE</t>
  </si>
  <si>
    <t>MATERIAL SELECCIONADO PARA SUBBASE GRANULAR (INCLUYE ACARREO LIBRE DE 5KM) (S*U*)MINISTRO, EXTENDIDA Y COMPACTACION DE</t>
  </si>
  <si>
    <t>MATERIAL SELECCIONADO PARA BASE GRANULAR (INCLUYE ACARREO LIBRE DE 5KM) I(M**)PRIMACIÓN CON EMULSIÓN ASFÁLTICA CRL-</t>
  </si>
  <si>
    <t>1CHONSTRUCCION DE CARPETA ASFALTICA EN</t>
  </si>
  <si>
    <t>CALIENTE, INCLUYE BARRIDO, SUMINISTRO Y COMPACTACION ( INCLUYE ACARREO LIBRE DE 5 KM) NORMA INVIAS (**)</t>
  </si>
  <si>
    <t>4.01.04 · SUMINISTRO E INSTALACION DE TUBERIA DE POLIETILENO DE 1/2`` EN CONCRETO   |   Unidad: Metro lineal (ML)   |   Precio: $ 88.495,41</t>
  </si>
  <si>
    <t>Precio por ML. Materiales: Tubería Pavco Gas Pe 1/2``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(0.15 hr), Cortadora De Pavimento (0.09 hr), Termofucionador Tuberia Polivinilica (0 dd), Herrramienta Y Equipo Menor (5 %).  Etapa de obra: 6. Instalaciones.</t>
  </si>
  <si>
    <t>MATERIAL SELECCIONADO PARA BASE GRANULAR (INCLUYE ACARREO LIBRE DE 5KM) (**)</t>
  </si>
  <si>
    <t>4.01.05 · SUMINISTRO E INSTALACION DE TUBERIA DE POLIETILENO DE 1/2`` EN ZONA VERDE   |   Unidad: Metro lineal (ML)   |   Precio: $ 43.424,81</t>
  </si>
  <si>
    <t>Precio por ML. Materiales: Tierra Negra (0.24 M3), Tubería Pavco Gas Pe 1/2``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  Etapa de obra: 6. Instalaciones.</t>
  </si>
  <si>
    <t>4.01.06 · SUMINISTRO E INSTALACION DE TUBERIA DE POLIETILENO DE 1`` EN ANDEN TABLETA   |   Unidad: Metro lineal (ML)   |   Precio: $ 65.516,53</t>
  </si>
  <si>
    <t>Precio por ML. Materiales: Tubería Pavco Gas Pe 1``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(3.3 %).  Etapa de obra: 6. Instalaciones.</t>
  </si>
  <si>
    <t>TUBERÍA PAVCO GAS PE 1`` AMARILLA</t>
  </si>
  <si>
    <t>4.01.07 · SUMINISTRO E INSTALACION DE TUBERIA DE POLIETILENO DE 1`` EN ASFALTO   |   Unidad: Metro lineal (ML)   |   Precio: $ 84.102,10</t>
  </si>
  <si>
    <t>Precio por ML. Materiales: Tubería Pavco Gas Pe 1``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</si>
  <si>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4.01.08 · SUMINISTRO E INSTALACION DE TUBERIA DE POLIETILENO DE 1`` EN CONCRETO   |   Unidad: Metro lineal (ML)   |   Precio: $ 91.372,95</t>
  </si>
  <si>
    <t>Precio por ML. Materiales: Tubería Pavco Gas Pe 1``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</si>
  <si>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4.01.09 · SUMINISTRO E INSTALACION DE TUBERIA DE POLIETILENO DE 1`` EN ZONA VERDE   |   Unidad: Metro lineal (ML)   |   Precio: $ 45.327,59</t>
  </si>
  <si>
    <t>Precio por ML. Materiales: Tierra Negra (0.24 M3), Tubería Pavco Gas Pe 1``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  Etapa de obra: 6. Instalaciones.</t>
  </si>
  <si>
    <t>4.01.10 · SUMINISTRO E INSTALACION DE TUBERIA DE POLIETILENO DE 2`` EN ANDEN TABLETA   |   Unidad: Metro lineal (ML)   |   Precio: $ 75.525,53</t>
  </si>
  <si>
    <t>Precio por ML. Materiales: Tubería Pavco Gas Pe 2``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(3.3 %).  Etapa de obra: 6. Instalaciones.</t>
  </si>
  <si>
    <t>TUBERÍA PAVCO GAS PE 2`` AMARILLA</t>
  </si>
  <si>
    <t>4.01.11 · SUMINISTRO E INSTALACION DE TUBERIA DE POLIETILENO DE 2`` EN ASFALTO   |   Unidad: Metro lineal (ML)   |   Precio: $ 94.820,14</t>
  </si>
  <si>
    <t>Precio por ML. Materiales: Tubería Pavco Gas Pe 2``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(0.2 hh), Oficial Instalaciones (0.2 hh). Equipo: Compresor De 2 Martillos (0.16 hr), Cortadora De Pavimento (0.09 hr), Termofucionador Tuberia Polivinilica (0 dd), Herrramienta Y Equipo Menor (5 %).  Etapa de obra: 6. Instalaciones.</t>
  </si>
  <si>
    <t>4.01.12 · SUMINISTRO E INSTALACION DE TUBERIA DE POLIETILENO DE 2`` EN CONCRETO   |   Unidad: Metro lineal (ML)   |   Precio: $ 102.090,99</t>
  </si>
  <si>
    <t>Precio por ML. Materiales: Tubería Pavco Gas Pe 2`` Amarilla (1 ML), Concreto Para Pavimento Rigido 24.5 Mpa - , Incluye Junta En Asfalto (0.06 M3), Cinta De Señalización (1 ML), Disco Diamantado Asfalto-Concreto 3s5u0mminmistro, Extendida Y Compactacion De (0.01 UND) y 1 más. Mano de obra: Auxiliar De Instalaciones 1 (0.2 hh), Oficial Instalaciones (0.2 hh). Equipo: Compresor De 2 Martillos (0.16 hr), Cortadora De Pavimento (0.09 hr), Termofucionador Tuberia Polivinilica (0 dd), Herrramienta Y Equipo Menor (5 %).  Etapa de obra: 6. Instalaciones.</t>
  </si>
  <si>
    <t>4.01.13 · SUMINISTRO E INSTALACION DE TUBERIA DE POLIETILENO DE 2`` EN ZONA VERDE   |   Unidad: Metro lineal (ML)   |   Precio: $ 55.336,59</t>
  </si>
  <si>
    <t>Precio por ML. Materiales: Tierra Negra (0.24 M3), Tubería Pavco Gas Pe 2``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  Etapa de obra: 6. Instalaciones.</t>
  </si>
  <si>
    <t>4.01.14 · SUMINISTRO E INSTALACION DE TUBERIA DE POLIETILENO DE 3/4`` EN ANDEN TABLETA   |   Unidad: Metro lineal (ML)   |   Precio: $ 64.471,52</t>
  </si>
  <si>
    <t>Precio por ML. Materiales: Tubería Pavco Gas Pe 3/4``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(5 %).  Etapa de obra: 6. Instalaciones.</t>
  </si>
  <si>
    <t>TUBERÍA PAVCO GAS PE 3/4`` AMARILLA</t>
  </si>
  <si>
    <t>4.01.15 · SUMINISTRO E INSTALACION DE TUBERIA DE POLIETILENO DE 3/4`` EN ASFALTO   |   Unidad: Metro lineal (ML)   |   Precio: $ 82.538,43</t>
  </si>
  <si>
    <t>Precio por ML. Materiales: Tubería Pavco Gas Pe 3/4``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</si>
  <si>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4.01.16 · SUMINISTRO E INSTALACION DE TUBERIA DE POLIETILENO DE 3/4`` EN CONCRETO   |   Unidad: Metro lineal (ML)   |   Precio: $ 89.809,28</t>
  </si>
  <si>
    <t>Precio por ML. Materiales: Tubería Pavco Gas Pe 3/4``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</si>
  <si>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4.01.17 · SUMINISTRO E INSTALACION DE TUBERIA DE POLIETILENO DE 3/4`` EN ZONA VERDE   |   Unidad: Metro lineal (ML)   |   Precio: $ 43.763,92</t>
  </si>
  <si>
    <t>Precio por ML. Materiales: Tierra Negra (0.24 M3), Tubería Pavco Gas Pe 3/4``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  Etapa de obra: 6. Instalaciones.</t>
  </si>
  <si>
    <t>4.01.18 · SUMINISTRO E INSTALACION DE TUBERIA DE POLIETILENO DE 3`` EN ANDEN TABLETA   |   Unidad: Metro lineal (ML)   |   Precio: $ 102.981,69</t>
  </si>
  <si>
    <t>Precio por ML. Materiales: Tubería Pavco Gas Pe 3``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(5 %).  Etapa de obra: 6. Instalaciones.</t>
  </si>
  <si>
    <t>4.01.19 · SUMINISTRO E INSTALACION DE TUBERIA DE POLIETILENO DE 3`` EN ASFALTO   |   Unidad: Metro lineal (ML)   |   Precio: $ 121.048,60</t>
  </si>
  <si>
    <t>Precio por ML. Materiales: Tubería Pavco Gas Pe 3``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</si>
  <si>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4.01.20 · SUMINISTRO E INSTALACION DE TUBERIA DE POLIETILENO DE 3`` EN CONCRETO   |   Unidad: Metro lineal (ML)   |   Precio: $ 128.319,45</t>
  </si>
  <si>
    <t>Precio por ML. Materiales: Tubería Pavco Gas Pe 3``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</si>
  <si>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4.01.21 · SUMINISTRO E INSTALACION DE TUBERIA DE POLIETILENO DE 3`` EN ZONA VERDE   |   Unidad: Metro lineal (ML)   |   Precio: $ 82.274,09</t>
  </si>
  <si>
    <t>Precio por ML. Materiales: Tierra Negra (0.24 M3), Tubería Pavco Gas Pe 3``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  Etapa de obra: 6. Instalaciones.</t>
  </si>
  <si>
    <t>4.01.22 · SUMINISTRO E INSTALACION DE TUBERIA DE POLIETILENO DE 4`` EN ANDEN TABLETA   |   Unidad: Metro lineal (ML)   |   Precio: $ 128.451,02</t>
  </si>
  <si>
    <t>Precio por ML. Materiales: Tubería Pavco Gas Pe 4`` Amarilla (1 ML), Arena Fina (0.02 M3), Cinta De Señalización (1 ML), Suministro, Extendida Y Compactacion De Material Seleccionado Para Subbase Granular (0.12 M3) y 2 más. Mano de obra: Auxiliar De Obra 2 (1.05 hh), Auxiliar De Instalaciones 1 (0.18 hh), Oficial Obra 1 (1.05 hh), Oficial Instalaciones (0.18 hh). Equipo: Termofucionador Tuberia Polivinilica (0 dd), Vibrocompactador Rana (0.02 dd), Herrramienta Y Equipo Menor (5 %).  Etapa de obra: 6. Instalaciones.</t>
  </si>
  <si>
    <t>TUBERÍA PAVCO GAS PE 4`` AMARILLA</t>
  </si>
  <si>
    <t>4.01.23 · SUMINISTRO E INSTALACION DE TUBERIA DE POLIETILENO DE 4`` EN ASFALTO   |   Unidad: Metro lineal (ML)   |   Precio: $ 146.517,93</t>
  </si>
  <si>
    <t>Precio por ML. Materiales: Tubería Pavco Gas Pe 4``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</si>
  <si>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4.01.24 · SUMINISTRO E INSTALACION DE TUBERIA DE POLIETILENO DE 4`` EN CONCRETO   |   Unidad: Metro lineal (ML)   |   Precio: $ 153.788,78</t>
  </si>
  <si>
    <t>Precio por ML. Materiales: Tubería Pavco Gas Pe 4`` Amarilla (1 ML), Concreto Para Pavimento Rigido 24.5 Mpa - , Incluye Junta En Asfalto (0.06 M3), Cinta De Señalización (1 ML), Disco Diamantado Asfalto-Concreto 3s5u0mminmistro, Extendida Y Compactacion De (0.01 UND) y 1 más. Mano de obra: Auxiliar De Instalaciones 1 (0.18 hh), Oficial Instalaciones (0.18 hh). Equipo: Compresor De 2 Martillos (0.16 hr), Cortadora De Pavimento (0.09 hr), Termofucionador Tuberia Polivinilica (0 dd), Herrramienta Y Equipo Menor (5 %).  Etapa de obra: 6. Instalaciones.</t>
  </si>
  <si>
    <t>4.01.25 · SUMINISTRO E INSTALACION DE TUBERIA DE POLIETILENO DE 4`` EN ZONA VERDE   |   Unidad: Metro lineal (ML)   |   Precio: $ 107.743,42</t>
  </si>
  <si>
    <t>Precio por ML. Materiales: Tierra Negra (0.24 M3), Tubería Pavco Gas Pe 4`` Amarilla (1 ML), Cesped (0.4 M2), Cinta De Señalización (1 ML). Mano de obra: Auxiliar De Obra 2 (0.7 hh), Auxiliar De Instalaciones 1 (0.18 hh), Oficial Obra 1 (0.7 hh), Oficial Instalaciones (0.18 hh). Equipo: Termofucionador Tuberia Polivinilica (0 dd), Vibrocompactador Rana (0.02 dd), Herrramienta Y Equipo Menor (5 %).  Etapa de obra: 6. Instalaciones.</t>
  </si>
  <si>
    <t>4.01.26 · SUMINISTRO E INSTALACION DE TUBERIA DE POLIETILENO DE 6`` EN ANDEN TABLETA   |   Unidad: Metro lineal (ML)   |   Precio: $ 167.352,36</t>
  </si>
  <si>
    <t>Precio por ML. Materiales: Tubería Pavco Gas Pe 6`` Amarilla (1 ML), Arena Fina (0.02 M3), Cinta De Señalización (1 ML), Suministro, Extendida Y Compactacion De Material Seleccionado Para Subbase Granular (0.22 M3) y 2 más. Mano de obra: Auxiliar De Obra 2 (1.05 hh), Auxiliar De Instalaciones 1 (0.25 hh), Oficial Obra 1 (1.05 hh), Oficial Instalaciones (0.25 hh). Equipo: Termofucionador Tuberia Polivinilica (0 dd), Vibrocompactador Rana (0.02 dd), Herrramienta Y Equipo Menor (5 %).  Etapa de obra: 6. Instalaciones.</t>
  </si>
  <si>
    <t>TUBERÍA PAVCO GAS PE 6`` AMARILLA</t>
  </si>
  <si>
    <t>4.01.27 · SUMINISTRO E INSTALACION DE TUBERIA DE POLIETILENO DE 6`` EN ASFALTO   |   Unidad: Metro lineal (ML)   |   Precio: $ 190.444,76</t>
  </si>
  <si>
    <t>Precio por ML. Materiales: Tubería Pavco Gas Pe 6`` Amarilla (1 ML), Cinta De Señalización (1 ML), Disco Diamantado Asfalto-Concreto 3s5u0mminmistro, Extendida Y Compactacion De (0.01 UND), Material Seleccionado Para Subbase Granular  Ministro, Extendida Y Compactacion De (0.12 M3) y 3 más. Mano de obra: Auxiliar De Instalaciones 1 (0.5 hh), Oficial Instalaciones (0.5 hh). Equipo: Compresor De 2 Martillos (0.16 hr), Cortadora De Pavimento (0.09 hr), Termofucionador Tuberia Polivinilica (0 dd), Herrramienta Y Equipo Menor (5 %).  Etapa de obra: 6. Instalaciones.</t>
  </si>
  <si>
    <t>4.01.28 · SUMINISTRO E INSTALACION DE TUBERIA DE POLIETILENO DE 6`` EN CONCRETO   |   Unidad: Metro lineal (ML)   |   Precio: $ 194.548,85</t>
  </si>
  <si>
    <t>Precio por ML. Materiales: Tubería Pavco Gas Pe 6`` Amarilla (1 ML), Concreto Para Pavimento Rigido 24.5 Mpa - , Incluye Junta En Asfalto (0.07 M3), Cinta De Señalización (1 ML), Disco Diamantado Asfalto-Concreto 3s5u0mminmistro, Extendida Y Compactacion De (0.01 UND) y 1 más. Mano de obra: Auxiliar De Instalaciones 1 (0.2 hh), Oficial Instalaciones (0.2 hh). Equipo: Compresor De 2 Martillos (0.16 hr), Cortadora De Ladrillo Sin Disco (0.09 dd), Termofucionador Tuberia Polivinilica (0 dd), Herrramienta Y Equipo Menor (5 %).  Etapa de obra: 6. Instalaciones.</t>
  </si>
  <si>
    <t>CORTADORA DE LADRILLO SIN DISCO</t>
  </si>
  <si>
    <t>4.01.29 · SUMINISTRO E INSTALACION DE TUBERIA DE POLIETILENO DE 6`` EN ZONA VERDE   |   Unidad: Metro lineal (ML)   |   Precio: $ 145.073,91</t>
  </si>
  <si>
    <t>Precio por ML. Materiales: Tierra Negra (0.35 M3), Tubería Pavco Gas Pe 6`` Amarilla (1 ML), Cesped (0.7 M2), Cinta De Señalización (1 ML). Mano de obra: Auxiliar De Obra 2 (0.7 hh), Auxiliar De Instalaciones 1 (0.25 hh), Oficial Obra 1 (0.7 hh), Oficial Instalaciones (0.25 hh). Equipo: Termofucionador Tuberia Polivinilica (0 dd), Vibrocompactador Rana (0.02 dd), Herrramienta Y Equipo Menor (5 %).  Etapa de obra: 6. Instalaciones.</t>
  </si>
  <si>
    <t>4.01.30 · PUNTO GAS DE 1/2`` EN ACERO GALVANIZADO PRESION CALIBRE 40. ( INCLUYE ACCESORIOS DE INSTALACIÓN )   |   Unidad: Unidad (UND)   |   Precio: $ 82.738,98</t>
  </si>
  <si>
    <t>Precio por UND. Materiales: Tee Galvanizada 1/2 (1 UND), Tubería De Acero Galvanizado Presion 1/2`` (1.5 ML), Cinta Teflon 10 M 1/2" (1 rl), Codo Galvanizado 90° 1/2" (2 UND). Mano de obra: Auxiliar De Instalaciones 1 (2.27 hh), Oficial Instalaciones (2.27 hh). Equipo: Herrramienta Y Equipo Menor (4 %).  Etapa de obra: 6. Instalaciones.</t>
  </si>
  <si>
    <t>Capítulo 5.01 · SUELDOS Y SALARIOS</t>
  </si>
  <si>
    <t>5.01.01 · ADMINISTRADOR (INCLUYE SALARIO BASE + FACTOR PRESTACIONAL DEL 72.81%)   |   Unidad: Mes (mes)   |   Precio: $ 2.599.965,00</t>
  </si>
  <si>
    <t>Precio por mes. Materiales: Administrador (1 mes).  Etapa de obra: Transversal (administración y análisis básicos).</t>
  </si>
  <si>
    <t>ADMINISTRADOR</t>
  </si>
  <si>
    <t>5.01.02 · AUDITOR INTERNO DE CALIDAD (INCLUYE SALARIO BASE + FACTOR PRESTACIONAL DEL 72.81%)   |   Unidad: Mes (mes)   |   Precio: $ 4.328.807,00</t>
  </si>
  <si>
    <t>Precio por mes. Materiales: Auditor Interno De Calidad (1 mes).  Etapa de obra: Transversal (administración y análisis básicos).</t>
  </si>
  <si>
    <t>AUDITOR INTERNO DE CALIDAD</t>
  </si>
  <si>
    <t>5.01.03 · AUXILIAR ADMINISTRATIVO (INCLUYE SALARIO BASE + FACTOR PRESTACIONAL DEL 72.81%)   |   Unidad: Mes (mes)   |   Precio: $ 1.855.416,00</t>
  </si>
  <si>
    <t>Precio por mes. Materiales: Auxiliar Administrativo (1 mes).  Etapa de obra: Transversal (administración y análisis básicos).</t>
  </si>
  <si>
    <t>AUXILIAR ADMINISTRATIVO</t>
  </si>
  <si>
    <t>5.01.04 · AUXILIAR DE INGENIERIA (INCLUYE SALARIO BASE + FACTOR PRESTACIONAL DEL 72.81%)   |   Unidad: Mes (mes)   |   Precio: $ 2.355.753,00</t>
  </si>
  <si>
    <t>Precio por mes. Materiales: Auxiliar De Ingenieria (1 mes).  Etapa de obra: Transversal (administración y análisis básicos).</t>
  </si>
  <si>
    <t>AUXILIAR DE INGENIERIA</t>
  </si>
  <si>
    <t>5.01.05 · BATIMETRISTA AUXILIAR (INCLUYE SALARIO BASE + FACTOR PRESTACIONAL DEL 72.81%)   |   Unidad: Mes (mes)   |   Precio: $ 2.288.743,00</t>
  </si>
  <si>
    <t>Precio por mes. Materiales: Batimetrista Auxiliar (1 mes).  Etapa de obra: Transversal (administración y análisis básicos).</t>
  </si>
  <si>
    <t>BATIMETRISTA AUXILIAR</t>
  </si>
  <si>
    <t>5.01.06 · BATIMETRISTA INPECTOR (INCLUYE SALARIO BASE + FACTOR PRESTACIONAL DEL 72.81%)   |   Unidad: Mes (mes)   |   Precio: $ 2.790.569,00</t>
  </si>
  <si>
    <t>Precio por mes. Materiales: Batimetrista Inspector (1 mes).  Etapa de obra: Transversal (administración y análisis básicos).</t>
  </si>
  <si>
    <t>BATIMETRISTA INSPECTOR</t>
  </si>
  <si>
    <t>5.01.07 · CADENERO 1 (INCLUYE SALARIO BASE + FACTOR PRESTACIONAL DEL 72.81%)   |   Unidad: Mes (mes)   |   Precio: $ 1.733.310,00</t>
  </si>
  <si>
    <t>Precio por mes. Materiales: Cadenero 1 (1 mes).  Etapa de obra: Transversal (administración y análisis básicos).</t>
  </si>
  <si>
    <t>5.01.08 · CADENERO 2 (INCLUYE SALARIO BASE + FACTOR PRESTACIONAL DEL 72.81%)   |   Unidad: Mes (mes)   |   Precio: $ 1.506.967,00</t>
  </si>
  <si>
    <t>Precio por mes. Materiales: Cadenero 2 (1 mes).  Etapa de obra: Transversal (administración y análisis básicos).</t>
  </si>
  <si>
    <t>5.01.09 · DIBUJANTE 1 (INCLUYE SALARIO BASE + FACTOR PRESTACIONAL DEL 72.81%)   |   Unidad: Mes (mes)   |   Precio: $ 2.470.413,00</t>
  </si>
  <si>
    <t>Precio por mes. Materiales: Dibujante 1 (1 mes).  Etapa de obra: Transversal (administración y análisis básicos).</t>
  </si>
  <si>
    <t>DIBUJANTE 1</t>
  </si>
  <si>
    <t>5.01.10 · DIBUJANTE 2 (INCLUYE SALARIO BASE + FACTOR PRESTACIONAL DEL 72.81%)   |   Unidad: Mes (mes)   |   Precio: $ 1.995.391,00</t>
  </si>
  <si>
    <t>Precio por mes. Materiales: Dibujante 2 (1 mes).  Etapa de obra: Transversal (administración y análisis básicos).</t>
  </si>
  <si>
    <t>DIBUJANTE 2</t>
  </si>
  <si>
    <t>5.01.11 · DIRECTOR DE INTERVENTORIA (INCLUYE SALARIO BASE + FACTOR PRESTACIONAL DEL 72.81%)   |   Unidad: Mes (mes)   |   Precio: $ 9.906.968,00</t>
  </si>
  <si>
    <t>Precio por mes. Materiales: Director De Interventoria (1 mes).  Etapa de obra: Transversal (administración y análisis básicos).</t>
  </si>
  <si>
    <t>DIRECTOR DE INTERVENTORIA</t>
  </si>
  <si>
    <t>5.01.12 · ESPECIALISTA AMBIENTAL (INCLUYE SALARIO BASE + FACTOR PRESTACIONAL DEL 72.81%)   |   Unidad: Mes (mes)   |   Precio: $ 7.119.377,00</t>
  </si>
  <si>
    <t>Precio por mes. Materiales: Especialista Ambiental (1 mes).  Etapa de obra: Transversal (administración y análisis básicos).</t>
  </si>
  <si>
    <t>ESPECIALISTA AMBIENTAL</t>
  </si>
  <si>
    <t>5.01.13 · ESPECIALISTA EN ESTRUCTURAS (INCLUYE SALARIO BASE + FACTOR PRESTACIONAL DEL 72.81%)   |   Unidad: Mes (mes)   |   Precio: $ 7.119.377,00</t>
  </si>
  <si>
    <t>Precio por mes. Materiales: Especialista En Estructuras (1 mes).  Etapa de obra: Transversal (administración y análisis básicos).</t>
  </si>
  <si>
    <t>ESPECIALISTA EN ESTRUCTURAS</t>
  </si>
  <si>
    <t>5.01.14 · ESPECIALISTA EN PAVIMENTOS (INCLUYE SALARIO BASE + FACTOR PRESTACIONAL DEL 72.81%)   |   Unidad: Mes (mes)   |   Precio: $ 7.119.377,00</t>
  </si>
  <si>
    <t>Precio por mes. Materiales: Especialista En Pavimentos (1 mes).  Etapa de obra: Transversal (administración y análisis básicos).</t>
  </si>
  <si>
    <t>ESPECIALISTA EN PAVIMENTOS</t>
  </si>
  <si>
    <t>5.01.15 · ESPECIALISTA GEOTECNIA (INCLUYE SALARIO BASE + FACTOR PRESTACIONAL DEL 72.81%)   |   Unidad: Mes (mes)   |   Precio: $ 7.119.377,00</t>
  </si>
  <si>
    <t>Precio por mes. Materiales: Especialista Geotecnia (1 mes).  Etapa de obra: Transversal (administración y análisis básicos).</t>
  </si>
  <si>
    <t>ESPECIALISTA GEOTECNIA</t>
  </si>
  <si>
    <t>5.01.16 · INGENIERO RESIDENTE (INCLUYE SALARIO BASE + FACTOR PRESTACIONAL DEL 72.81%)   |   Unidad: Mes (mes)   |   Precio: $ 6.419.501,00</t>
  </si>
  <si>
    <t>Precio por mes. Materiales: Ingeniero Residente (1 mes).  Etapa de obra: Transversal (administración y análisis básicos).</t>
  </si>
  <si>
    <t>INGENIERO RESIDENTE</t>
  </si>
  <si>
    <t>5.01.17 · INSPECTOR 1 (INCLUYE SALARIO BASE + FACTOR PRESTACIONAL DEL 72.81%)   |   Unidad: Mes (mes)   |   Precio: $ 2.032.618,00</t>
  </si>
  <si>
    <t>Precio por mes. Materiales: Inspector 1 (1 mes).  Etapa de obra: Transversal (administración y análisis básicos).</t>
  </si>
  <si>
    <t>INSPECTOR 1</t>
  </si>
  <si>
    <t>5.01.18 · INSPECTOR 2 (INCLUYE SALARIO BASE + FACTOR PRESTACIONAL DEL 72.81%)   |   Unidad: Mes (mes)   |   Precio: $ 1.830.101,00</t>
  </si>
  <si>
    <t>Precio por mes. Materiales: Inspector 2 (1 mes).  Etapa de obra: Transversal (administración y análisis básicos).</t>
  </si>
  <si>
    <t>INSPECTOR 2</t>
  </si>
  <si>
    <t>5.01.19 · LABORATORISTA AUXILIAR (INCLUYE SALARIO BASE + FACTOR PRESTACIONAL DEL 72.81%)   |   Unidad: Mes (mes)   |   Precio: $ 1.733.310,00</t>
  </si>
  <si>
    <t>Precio por mes. Materiales: Laboratorista Auxiliar (1 mes).  Etapa de obra: Transversal (administración y análisis básicos).</t>
  </si>
  <si>
    <t>LABORATORISTA AUXILIAR</t>
  </si>
  <si>
    <t>5.01.20 · LABORATORISTA INSPECTOR (INCLUYE SALARIO BASE + FACTOR PRESTACIONAL DEL 72.81%)   |   Unidad: Mes (mes)   |   Precio: $ 2.473.391,00</t>
  </si>
  <si>
    <t>Precio por mes. Materiales: Laboratorista Inspector (1 mes).  Etapa de obra: Transversal (administración y análisis básicos).</t>
  </si>
  <si>
    <t>LABORATORISTA INSPECTOR</t>
  </si>
  <si>
    <t>5.01.21 · OPERADOR AUXILIAR DE EQUIPO (INCLUYE SALARIO BASE + FACTOR PRESTACIONAL DEL 72.81%)   |   Unidad: Mes (mes)   |   Precio: $ 1.486.120,00</t>
  </si>
  <si>
    <t>Precio por mes. Equipo: Operador Auxiliar De Equipo (1 mes).  Etapa de obra: Transversal (administración y análisis básicos).</t>
  </si>
  <si>
    <t>OPERADOR AUXILIAR DE EQUIPO</t>
  </si>
  <si>
    <t>5.01.22 · OPERADOR EQUIPO DE PERFORACION (INCLUYE SALARIO BASE + FACTOR PRESTACIONAL DEL 72.81%)   |   Unidad: Mes (mes)   |   Precio: $ 2.223.223,00</t>
  </si>
  <si>
    <t>Precio por mes. Equipo: Operador Equipo De Perforacion (1 mes).  Etapa de obra: Transversal (administración y análisis básicos).</t>
  </si>
  <si>
    <t>OPERADOR EQUIPO DE PERFORACION</t>
  </si>
  <si>
    <t>5.01.23 · PROFESIONAL CATEGORIA 1 (EXPERIENCIA PROFESIONAL MINIMO 12 AÑOS - EXPERIENCIA ESPECIFICA MINIMO 10 AÑOS) (INCLUYE SALARIO BASE + FACTOR PRESTACIONAL DEL 72.81%)   |   Unidad: Mes (mes)   |   Precio: $ 12.999.824,00</t>
  </si>
  <si>
    <t>Precio por mes. Materiales: Profesional Categoria 1 (Experiencia Profesional Minimo 12 Años - Experiencia Especifica Minimo 10 Años (1 mes).  Etapa de obra: Transversal (administración y análisis básicos).</t>
  </si>
  <si>
    <t>PROFESIONAL CATEGORIA 1 (EXPERIENCIA PROFESIONAL MINIMO 12 AÑOS - EXPERIENCIA ESPECIFICA MINIMO 10 AÑOS</t>
  </si>
  <si>
    <t>5.01.24 · PROFESIONAL CATEGORIA 2 (EXPERIENCIA PROFESIONAL MINIMO 10 AÑOS - EXPERIENCIA ESPECIFICA MINIMO 7 AÑOS) (INCLUYE SALARIO BASE + FACTOR PRESTACIONAL DEL 72.81%)   |   Unidad: Mes (mes)   |   Precio: $ 9.906.968,00</t>
  </si>
  <si>
    <t>Precio por mes. Materiales: Profesional Categoria 2 (1 mes).  Etapa de obra: Transversal (administración y análisis básicos).</t>
  </si>
  <si>
    <t>PROFESIONAL CATEGORIA 2 (EXPERIENCIA PROFESIONAL MINIMO 10 AÑOS - EXPERIENCIA ESPECIFICA MINIMO 7 AÑOS)</t>
  </si>
  <si>
    <t>5.01.25 · PROFESIONAL CATEGORIA 3 (EXPERIENCIA PROFESIONAL MINIMO 8 AÑOS - EXPERIENCIA ESPECIFICA MINIMO 5 AÑOS) (INCLUYE SALARIO BASE + FACTOR PRESTACIONAL DEL 72.81%)   |   Unidad: Mes (mes)   |   Precio: $ 8.359.795,00</t>
  </si>
  <si>
    <t>Precio por mes. Materiales: Profesional Categoria 3 (1 mes).  Etapa de obra: Transversal (administración y análisis básicos).</t>
  </si>
  <si>
    <t>PROFESIONAL CATEGORIA 3 (EXPERIENCIA PROFESIONAL MINIMO 8 AÑOS - EXPERIENCIA ESPECIFICA MINIMO 5 AÑOS)</t>
  </si>
  <si>
    <t>5.01.26 · PROFESIONAL CATEGORIA 4 (EXPERIENCIA PROFESIONAL MINIMO 6 AÑOS - EXPERIENCIA ESPECIFICA MINIMO 4 AÑOS) (INCLUYE SALARIO BASE + FACTOR PRESTACIONAL DEL 72.81%)   |   Unidad: Mes (mes)   |   Precio: $ 7.119.377,00</t>
  </si>
  <si>
    <t>Precio por mes. Materiales: Profesional Categoria 4 (1 mes).  Etapa de obra: Transversal (administración y análisis básicos).</t>
  </si>
  <si>
    <t>PROFESIONAL CATEGORIA 4 (EXPERIENCIA PROFESIONAL MINIMO 6 AÑOS - EXPERIENCIA ESPECIFICA MINIMO 4 AÑOS)</t>
  </si>
  <si>
    <t>5.01.27 · PROFESIONAL CATEGORIA 5 (EXPERIENCIA PROFESIONAL MINIMO 4 AÑOS - EXPERIENCIA ESPECIFICA MINIMO 3 AÑOS) (INCLUYE SALARIO BASE + FACTOR PRESTACIONAL DEL 72.81%)   |   Unidad: Mes (mes)   |   Precio: $ 6.419.501,00</t>
  </si>
  <si>
    <t>Precio por mes. Materiales: Profesional Categoria 5 (1 mes).  Etapa de obra: Transversal (administración y análisis básicos).</t>
  </si>
  <si>
    <t>PROFESIONAL CATEGORIA 5 (EXPERIENCIA PROFESIONAL MINIMO 4 AÑOS - EXPERIENCIA ESPECIFICA MINIMO 3 AÑOS)</t>
  </si>
  <si>
    <t>5.01.28 · PROFESIONAL CATEGORIA 6 (EXPERIENCIA PROFESIONAL MINIMO 3 AÑOS - EXPERIENCIA ESPECIFICA MINIMO 1 AÑO) (INCLUYE SALARIO BASE + FACTOR PRESTACIONAL DEL 72.81%)   |   Unidad: Mes (mes)   |   Precio: $ 5.725.581,00</t>
  </si>
  <si>
    <t>Precio por mes. Materiales: Profesional Categoria 6 (1 mes).  Etapa de obra: Transversal (administración y análisis básicos).</t>
  </si>
  <si>
    <t>PROFESIONAL CATEGORIA 6 (EXPERIENCIA PROFESIONAL MINIMO 3 AÑOS - EXPERIENCIA ESPECIFICA MINIMO 1 AÑO)</t>
  </si>
  <si>
    <t>5.01.29 · PROFESIONAL CATEGORIA 7 (EXPERIENCIA PROFESIONAL MINIMO 2 AÑOS) (INCLUYE SALARIO BASE + FACTOR PRESTACIONAL DEL 72.81%)   |   Unidad: Mes (mes)   |   Precio: $ 4.328.807,00</t>
  </si>
  <si>
    <t>Precio por mes. Materiales: Profesional Categoria 7 (1 mes).  Etapa de obra: Transversal (administración y análisis básicos).</t>
  </si>
  <si>
    <t>PROFESIONAL CATEGORIA 7 (EXPERIENCIA PROFESIONAL MINIMO 2 AÑOS)</t>
  </si>
  <si>
    <t>5.01.30 · PROFESIONAL CATEGORIA 8 (EXPERIENCIA PROFESIONAL HASTA 2 AÑOS) (INCLUYE SALARIO BASE + FACTOR PRESTACIONAL DEL 72.81%)   |   Unidad: Mes (mes)   |   Precio: $ 4.084.595,00</t>
  </si>
  <si>
    <t>Precio por mes. Materiales: Profesional Categoria 8 (1 mes).  Etapa de obra: Transversal (administración y análisis básicos).</t>
  </si>
  <si>
    <t>PROFESIONAL CATEGORIA 8 (EXPERIENCIA PROFESIONAL HASTA 2 AÑOS)</t>
  </si>
  <si>
    <t>5.01.31 · PROFESIONAL DE ASEGURAMIENTO O GESTION DE CALIDAD (INCLUYE SALARIO BASE + FACTOR PRESTACIONAL DEL 72.81%)   |   Unidad: Mes (mes)   |   Precio: $ 4.328.807,00</t>
  </si>
  <si>
    <t>Precio por mes. Materiales: Profesional De Aseguramiento O Gestion De Calidad (1 mes).  Etapa de obra: Transversal (administración y análisis básicos).</t>
  </si>
  <si>
    <t>PROFESIONAL DE ASEGURAMIENTO O GESTION DE CALIDAD</t>
  </si>
  <si>
    <t>5.01.32 · SECRETARIA 1 (INCLUYE SALARIO BASE + FACTOR PRESTACIONAL DEL 72.81%)   |   Unidad: Mes (mes)   |   Precio: $ 1.506.967,00</t>
  </si>
  <si>
    <t>Precio por mes. Materiales: Secretaria 1 (1 mes).  Etapa de obra: Transversal (administración y análisis básicos).</t>
  </si>
  <si>
    <t>SECRETARIA 1</t>
  </si>
  <si>
    <t>5.01.33 · SECRETARIA 2 (INCLUYE SALARIO BASE + FACTOR PRESTACIONAL DEL 72.81%)   |   Unidad: Mes (mes)   |   Precio: $ 1.255.309,00</t>
  </si>
  <si>
    <t>Precio por mes. Materiales: Secretaria 2 (1 mes).  Etapa de obra: Transversal (administración y análisis básicos).</t>
  </si>
  <si>
    <t>SECRETARIA 2</t>
  </si>
  <si>
    <t>5.01.34 · SECRETARIA O MOTORISTA (INCLUYE SALARIO BASE + FACTOR PRESTACIONAL DEL 72.81%)   |   Unidad: Mes (mes)   |   Precio: $ 1.255.309,00</t>
  </si>
  <si>
    <t>Precio por mes. Materiales: Secretaria O Motorista (1 mes).  Etapa de obra: Transversal (administración y análisis básicos).</t>
  </si>
  <si>
    <t>SECRETARIA O MOTORISTA</t>
  </si>
  <si>
    <t>5.01.35 · TECNOLOGO EN AREAS DE INGENIERIA (INCLUYE SALARIO BASE + FACTOR PRESTACIONAL DEL 72.81%)   |   Unidad: Mes (mes)   |   Precio: $ 2.677.398,00</t>
  </si>
  <si>
    <t>Precio por mes. Materiales: Tecnologo En Areas De Ingenieria (1 mes).  Etapa de obra: Transversal (administración y análisis básicos).</t>
  </si>
  <si>
    <t>TECNOLOGO EN AREAS DE INGENIERIA</t>
  </si>
  <si>
    <t>5.01.36 · TOPOGRAFO AUXILIAR (INCLUYE SALARIO BASE + FACTOR PRESTACIONAL DEL 72.81%)   |   Unidad: Mes (mes)   |   Precio: $ 2.337.884,00</t>
  </si>
  <si>
    <t>Precio por mes. Materiales: Topografo Auxiliar (1 mes).  Etapa de obra: Transversal (administración y análisis básicos).</t>
  </si>
  <si>
    <t>TOPOGRAFO AUXILIAR</t>
  </si>
  <si>
    <t>5.01.37 · TOPÓGRAFO INSPECTOR (INCLUYE SALARIO BASE + FACTOR PRESTACIONAL DEL 72.81%)   |   Unidad: Mes (mes)   |   Precio: $ 2.790.569,00</t>
  </si>
  <si>
    <t>Precio por mes. Materiales: Topografo Inspector (1 mes).  Etapa de obra: Transversal (administración y análisis básicos).</t>
  </si>
  <si>
    <t>TOPOGRAFO INSPECTOR</t>
  </si>
  <si>
    <t>Capítulo 6.01 · MORTEROS</t>
  </si>
  <si>
    <t>6.01.01 · LECHADA PARA DUCTOS   |   Unidad: Litro (lt)   |   Precio: $ 315,67</t>
  </si>
  <si>
    <t>Precio por lt. Materiales: Arena Fina (0 M3), Cemento Gris (0.26 kg), Agua (0.28 lt). Mano de obra: Auxiliar De Obra 2 (0 hh).  Etapa de obra: Transversal (administración y análisis básicos).</t>
  </si>
  <si>
    <t>6.01.02 · MORTERO 1:2   |   Unidad: Metro cúbico (M3)   |   Precio: $ 501.767,90</t>
  </si>
  <si>
    <t>Precio por M3. Materiales: Arena Lavada De Peña (0.97 M3), Cemento Gris (510 kg), Agua (220 lt). Mano de obra: Auxiliar De Obra 2 (5 hh).  Etapa de obra: Transversal (administración y análisis básicos).</t>
  </si>
  <si>
    <t>6.01.03 · MORTERO 1:3   |   Unidad: Metro cúbico (M3)   |   Precio: $ 470.829,15</t>
  </si>
  <si>
    <t>Precio por M3. Materiales: Arena Lavada De Peña (1.1 M3), Cemento Gris (454 kg), Agua (185 lt). Mano de obra: Auxiliar De Obra 2 (5 hh).  Etapa de obra: Transversal (administración y análisis básicos).</t>
  </si>
  <si>
    <t>6.01.04 · MORTERO 1:3 IMPERMEABILIZADO   |   Unidad: Metro cúbico (M3)   |   Precio: $ 586.929,15</t>
  </si>
  <si>
    <t>Precio por M3. Materiales: Arena Lavada De Peña (1.1 M3), Cemento Gris (454 kg), Agua (185 lt), Sika 1 (13.5 kg). Mano de obra: Auxiliar De Obra 2 (5 hh).  Etapa de obra: Transversal (administración y análisis básicos).</t>
  </si>
  <si>
    <t>6.01.05 · MORTERO 1:4   |   Unidad: Metro cúbico (M3)   |   Precio: $ 409.741,65</t>
  </si>
  <si>
    <t>Precio por M3. Materiales: Arena Lavada De Peña (1.16 M3), Cemento Gris (364 kg), Agua (170 lt). Mano de obra: Auxiliar De Obra 2 (5 hh).  Etapa de obra: Transversal (administración y análisis básicos).</t>
  </si>
  <si>
    <t>6.01.06 · MORTERO 1:5   |   Unidad: Metro cúbico (M3)   |   Precio: $ 365.704,15</t>
  </si>
  <si>
    <t>Precio por M3. Materiales: Arena Lavada De Peña (1.18 M3), Cemento Gris (302 kg), Agua (150 lt). Mano de obra: Auxiliar De Obra 2 (5 hh).  Etapa de obra: Transversal (administración y análisis básicos).</t>
  </si>
  <si>
    <t>6.01.07 · MORTERO 1:6   |   Unidad: Metro cúbico (M3)   |   Precio: $ 336.476,65</t>
  </si>
  <si>
    <t>Precio por M3. Materiales: Arena Lavada De Peña (1.2 M3), Cemento Gris (260 kg), Agua (140 lt). Mano de obra: Auxiliar De Obra 2 (5 hh).  Etapa de obra: Transversal (administración y análisis básicos).</t>
  </si>
  <si>
    <t>6.01.08 · MORTERO DE PEGA PARA BLOQUE 1:3   |   Unidad: Metro cúbico (M3)   |   Precio: $ 470.007,90</t>
  </si>
  <si>
    <t>Precio por M3. Materiales: Arena Lavada De Peña (1.09 M3), Cemento Gris (454 kg), Agua (185 lt). Mano de obra: Auxiliar De Obra 2 (5 hh).  Etapa de obra: Transversal (administración y análisis básicos).</t>
  </si>
  <si>
    <t>6.01.09 · MORTERO RELLENO GRUESO DOVELAS BLOQUE   |   Unidad: Metro cúbico (M3)   |   Precio: $ 407.136,65</t>
  </si>
  <si>
    <t>Precio por M3. Materiales: Arena Lavada De Peña (1.16 M3), Cemento Gris (360 kg), Agua (185 lt). Mano de obra: Auxiliar De Obra 2 (5 hh).  Etapa de obra: Transversal (administración y análisis básicos).</t>
  </si>
  <si>
    <t>Capítulo 6.02 · CONCRETOS</t>
  </si>
  <si>
    <t>11 actividades. Cada tabla lista los insumos de una actividad por unidad de obra.</t>
  </si>
  <si>
    <t>6.02.01 · CONCRETO (1500 PSI)   |   Unidad: Metro cúbico (M3)   |   Precio: $ 378.413,54</t>
  </si>
  <si>
    <t>Precio por M3. Materiales: Arena Lavada Y/O Triturada (0.5 M3), Cemento Gris (210 kg), Gravilla De Trituradora (1 M3), Agua (160 lt). Mano de obra: Auxiliar De Obra 2 (6 hh), Oficial Obra 1 (1 hh). Equipo: Mezcladora A Gasolina (0.15 dd).  Etapa de obra: Transversal (administración y análisis básicos).</t>
  </si>
  <si>
    <t>MEZCLADORA A GASOLINA</t>
  </si>
  <si>
    <t>6.02.02 · CONCRETO 1:2:2 24.5 MPa (3500 PSI)   |   Unidad: Metro cúbico (M3)   |   Precio: $ 520.986,70</t>
  </si>
  <si>
    <t>Precio por M3. Materiales: Arena Lavada Y/O Triturada (0.68 M3), Cemento Gris (428.4 kg), Gravilla De Trituradora (0.68 M3), Agua (204 lt). Mano de obra: Auxiliar De Obra 2 (6 hh), Oficial Obra 1 (1 hh). Equipo: Mezcladora A Gasolina (0.13 dd).  Etapa de obra: Transversal (administración y análisis básicos).</t>
  </si>
  <si>
    <t>6.02.03 · CONCRETO 1:2:4 17.5 MPa (2500 PSI)   |   Unidad: Metro cúbico (M3)   |   Precio: $ 450.245,66</t>
  </si>
  <si>
    <t>Precio por M3. Materiales: Arena Lavada Y/O Triturada (0.57 M3), Cemento Gris (316.2 kg), Gravilla De Trituradora (0.91 M3), Agua (173.4 lt). Mano de obra: Auxiliar De Obra 2 (6 hh), Oficial Obra 1 (1 hh). Equipo: Mezcladora A Gasolina (0.13 dd).  Etapa de obra: Transversal (administración y análisis básicos).</t>
  </si>
  <si>
    <t>6.02.04 · CONCRETO 1:3:5 14 MPa (2000 PSI)   |   Unidad: Metro cúbico (M3)   |   Precio: $ 426.702,51</t>
  </si>
  <si>
    <t>Precio por M3. Materiales: Arena Lavada Y/O Triturada (0.8 M3), Cemento Gris (265.2 kg), Gravilla De Trituradora (0.86 M3), Agua (173.4 lt). Mano de obra: Auxiliar De Obra 2 (6 hh), Oficial Obra 1 (1 hh). Equipo: Mezcladora A Gasolina (0.13 dd).  Etapa de obra: Transversal (administración y análisis básicos).</t>
  </si>
  <si>
    <t>6.02.05 · CONCRETO 1:4:7 - 10.1 MPa - (1560 PSI) - (HECHO EN OBRA)   |   Unidad: Metro cúbico (M3)   |   Precio: $ 378.413,54</t>
  </si>
  <si>
    <t>6.02.06 · CONCRETO CLASE C 28 MPa (4000 PSI)   |   Unidad: Metro cúbico (M3)   |   Precio: $ 543.324,70</t>
  </si>
  <si>
    <t>Precio por M3. Materiales: Arena Lavada Y/O Triturada (0.68 M3), Cemento Gris (459 kg), Gravilla De Trituradora (0.68 M3), Agua (204 lt). Mano de obra: Auxiliar De Obra 2 (6 hh), Oficial Obra 1 (1 hh). Equipo: Mezcladora A Gasolina (0.13 dd).  Etapa de obra: Transversal (administración y análisis básicos).</t>
  </si>
  <si>
    <t>6.02.07 · CONCRETO CLASE D 21 MPa (3000 PSI)   |   Unidad: Metro cúbico (M3)   |   Precio: $ 475.506,98</t>
  </si>
  <si>
    <t>Precio por M3. Materiales: Arena Lavada Y/O Triturada (0.57 M3), Cemento Gris (357 kg), Gravilla De Trituradora (0.86 M3), Agua (183.6 lt). Mano de obra: Auxiliar De Obra 2 (6 hh), Oficial Obra 1 (1 hh). Equipo: Mezcladora A Gasolina (0.13 dd).  Etapa de obra: Transversal (administración y análisis básicos).</t>
  </si>
  <si>
    <t>6.02.08 · CONCRETO CLASE F 14 MPa (2000 PSI)   |   Unidad: Metro cúbico (M3)   |   Precio: $ 426.702,51</t>
  </si>
  <si>
    <t>6.02.09 · CONCRETO CLASE G 14 MPa (2000 PSI) CICLOPEO   |   Unidad: Metro cúbico (M3)   |   Precio: $ 358.711,93</t>
  </si>
  <si>
    <t>Precio por M3. Materiales: Concreto 1:3:5 14 Mpa (0.61 M3), Piedra Media Zonga (0.4 M3). Mano de obra: Auxiliar De Obra 2 (7.8 hh). Equipo: Herrramienta Y Equipo Menor (0.1 %). Transporte: Transporte De Material (7.37 M3-km).  Etapa de obra: Transversal (administración y análisis básicos).</t>
  </si>
  <si>
    <t>6.02.10 · CONCRETO DE 21 MPa - (3000 PSI) IMPERMEABILIZADO   |   Unidad: Metro cúbico (M3)   |   Precio: $ 525.086,00</t>
  </si>
  <si>
    <t>Precio por M3. Materiales: Concreto Clase D 21 Mpa (1.05 M3), Impermeabilizante (0.58 gl).  Etapa de obra: Transversal (administración y análisis básicos).</t>
  </si>
  <si>
    <t>6.02.11 · CONCRETO SIMPLE DE 28 MPa - (4000 PSI) IMPERMEABILIZADO   |   Unidad: Metro cúbico (M3)   |   Precio: $ 598.074,17</t>
  </si>
  <si>
    <t>Precio por M3. Materiales: Concreto Clase C 28 Mpa (1.05 M3), Impermeabilizante (0.62 gl).  Etapa de obra: Transversal (administración y análisis básicos).</t>
  </si>
  <si>
    <t>Capítulo 6.03 · HIERRO</t>
  </si>
  <si>
    <t>2 actividades. Cada tabla lista los insumos de una actividad por unidad de obra.</t>
  </si>
  <si>
    <t>6.03.01 · SUMINISTRO FIGURADA Y AMARRE DE ACERO 37000 PSI 240 MPa   |   Unidad: Kilogramo (kg)   |   Precio: $ 4.170,69</t>
  </si>
  <si>
    <t>Precio por kg. Materiales: Alambre Negro No. 18 (0.03 kg), Acero 37000 Psi (1.05 kg), Segueta (0.03 UND). Mano de obra: Auxiliar De Obra 2 (0.05 hh), Oficial Obra 1 (0.02 hh). Equipo: Herrramienta Y Equipo Menor (5 %).  Etapa de obra: Transversal (administración y análisis básicos).</t>
  </si>
  <si>
    <t>6.03.02 · SUMINISTRO FIGURADA Y AMARRE DE ACERO 60000 PSI 420 MPa   |   Unidad: Kilogramo (kg)   |   Precio: $ 4.427,28</t>
  </si>
  <si>
    <t>Precio por kg. Materiales: Alambre Negro No. 18 (0.03 kg), Acero 60000 Psi (1.05 kg), Segueta (0.03 UND). Mano de obra: Auxiliar De Obra 2 (0.06 hh), Oficial Obra 1 (0.03 hh). Equipo: Herrramienta Y Equipo Menor (7.2 %).  Etapa de obra: Transversal (administración y análisis básicos).</t>
  </si>
  <si>
    <t>Capítulo 6.04 · MAMPOSTERIA</t>
  </si>
  <si>
    <t>6.04.01 · MAMPOSTERÍA LADRILLO TOLETE COMUN E=0.25 M (T.C.)   |   Unidad: Metro cuadrado (M2)   |   Precio: $ 142.134,84</t>
  </si>
  <si>
    <t>Precio por M2. Materiales: Ladrillo Tolete Comun (123 UND), Mortero 1:4 (0.09 M3). Mano de obra: Auxiliar De Obra 2 (3.16 hh), Oficial Obra 1 (1.49 hh). Equipo: Herrramienta Y Equipo Menor (5 %).  Etapa de obra: Transversal (administración y análisis básicos).</t>
  </si>
  <si>
    <t>6.04.02 · MURO PANDERETA SANTA FE 5.5CM   |   Unidad: Metro cuadrado (M2)   |   Precio: $ 50.090,78</t>
  </si>
  <si>
    <t>Precio por M2. Materiales: Ladrillo Prensado Macizo Santafe (30 UND), Mortero 1:4 (0.01 M3). Mano de obra: Auxiliar De Obra 2 (0.86 hh), Oficial Obra 1 (0.86 hh). Equipo: Herrramienta Y Equipo Menor (5 %).  Etapa de obra: Transversal (administración y análisis básicos).</t>
  </si>
  <si>
    <t>6.04.03 · MURO TOLETE COMUN E= 0.12 M PARA SUMIDEROS   |   Unidad: Metro cuadrado (M2)   |   Precio: $ 79.038,99</t>
  </si>
  <si>
    <t>Precio por M2. Materiales: Ladrillo Tolete Comun (55 UND), Mortero 1:4 (0.09 M3). Mano de obra: Cuadrilla Obra Of + Auxiliar (0.75 hc). Equipo: Herrramienta Y Equipo Menor (5 %).  Etapa de obra: Transversal (administración y análisis básicos).</t>
  </si>
  <si>
    <t>Clasificación de servicios — cuatro ejes</t>
  </si>
  <si>
    <t>Cada actividad lleva un código compuesto: ámbito · secuencia · especialidad · naturaleza del precio (ej. AM01 · ON04 · ES04 · NP01).</t>
  </si>
  <si>
    <t>EJE</t>
  </si>
  <si>
    <t>PREGUNTA</t>
  </si>
  <si>
    <t>CATEGORIA</t>
  </si>
  <si>
    <t>ACTIVIDADES</t>
  </si>
  <si>
    <t>AM01</t>
  </si>
  <si>
    <t>1. Ámbito</t>
  </si>
  <si>
    <t>¿Qué tipo de proyecto es?</t>
  </si>
  <si>
    <t>Edificación</t>
  </si>
  <si>
    <t>Vivienda y edificios: capítulos 1.xx.</t>
  </si>
  <si>
    <t>AM02</t>
  </si>
  <si>
    <t>Redes de acueducto y alcantarillado</t>
  </si>
  <si>
    <t>Tuberías, accesorios, pozos y conexiones: capítulos 2.xx.</t>
  </si>
  <si>
    <t>AM03</t>
  </si>
  <si>
    <t>Vías y urbanismo</t>
  </si>
  <si>
    <t>Explanaciones, pavimentos, andenes, drenaje y señalización: capítulos 3.xx.</t>
  </si>
  <si>
    <t>AM04</t>
  </si>
  <si>
    <t>Gas</t>
  </si>
  <si>
    <t>Gasoductos y conexiones: capítulo 4.01.</t>
  </si>
  <si>
    <t>AM05</t>
  </si>
  <si>
    <t>Administración y personal</t>
  </si>
  <si>
    <t>Sueldos y salarios: costos indirectos, no actividades de obra.</t>
  </si>
  <si>
    <t>AM06</t>
  </si>
  <si>
    <t>Análisis básicos</t>
  </si>
  <si>
    <t>Morteros, concretos, hierro y mampostería base: insumos compuestos.</t>
  </si>
  <si>
    <t>ON01</t>
  </si>
  <si>
    <t>2. Secuencia constructiva</t>
  </si>
  <si>
    <t>¿Cuándo se ejecuta?</t>
  </si>
  <si>
    <t>Preliminares</t>
  </si>
  <si>
    <t>ON02</t>
  </si>
  <si>
    <t>Excavaciones</t>
  </si>
  <si>
    <t>ON03</t>
  </si>
  <si>
    <t>Cimentación</t>
  </si>
  <si>
    <t>ON04</t>
  </si>
  <si>
    <t>Estructura</t>
  </si>
  <si>
    <t>ON07</t>
  </si>
  <si>
    <t>Cubierta</t>
  </si>
  <si>
    <t>OG05</t>
  </si>
  <si>
    <t>OG06</t>
  </si>
  <si>
    <t>Instalaciones</t>
  </si>
  <si>
    <t>OB08</t>
  </si>
  <si>
    <t>Acabados</t>
  </si>
  <si>
    <t>OB09</t>
  </si>
  <si>
    <t>Exteriores</t>
  </si>
  <si>
    <t>OB10</t>
  </si>
  <si>
    <t>Entrega</t>
  </si>
  <si>
    <t>TR00</t>
  </si>
  <si>
    <t>Transversal</t>
  </si>
  <si>
    <t>ES01</t>
  </si>
  <si>
    <t>3. Especialidad</t>
  </si>
  <si>
    <t>¿Quién la ejecuta?</t>
  </si>
  <si>
    <t>Preliminares y topografía</t>
  </si>
  <si>
    <t>ES02</t>
  </si>
  <si>
    <t>ES03</t>
  </si>
  <si>
    <t>Movimiento de tierras</t>
  </si>
  <si>
    <t>ES04</t>
  </si>
  <si>
    <t>Concreto</t>
  </si>
  <si>
    <t>ES05</t>
  </si>
  <si>
    <t>ES06</t>
  </si>
  <si>
    <t>ES07</t>
  </si>
  <si>
    <t>ES08</t>
  </si>
  <si>
    <t>ES09</t>
  </si>
  <si>
    <t>ES10</t>
  </si>
  <si>
    <t>Cubiertas e impermeabilización</t>
  </si>
  <si>
    <t>ES11</t>
  </si>
  <si>
    <t>Cielos y drywall</t>
  </si>
  <si>
    <t>ES12</t>
  </si>
  <si>
    <t>Carpintería, herrería y cerraduras</t>
  </si>
  <si>
    <t>ES13</t>
  </si>
  <si>
    <t>Hidrosanitarias</t>
  </si>
  <si>
    <t>ES14</t>
  </si>
  <si>
    <t>Eléctricas y comunicaciones</t>
  </si>
  <si>
    <t>ES15</t>
  </si>
  <si>
    <t>ES16</t>
  </si>
  <si>
    <t>Vías, urbanismo y zonas verdes</t>
  </si>
  <si>
    <t>ES17</t>
  </si>
  <si>
    <t>Transporte y equipos</t>
  </si>
  <si>
    <t>ES18</t>
  </si>
  <si>
    <t>Personal y generales</t>
  </si>
  <si>
    <t>NP01</t>
  </si>
  <si>
    <t>4. Naturaleza del precio</t>
  </si>
  <si>
    <t>¿Qué incluye el precio?</t>
  </si>
  <si>
    <t>Construcción (mano de obra y materiales)</t>
  </si>
  <si>
    <t>NP02</t>
  </si>
  <si>
    <t>Suministro e instalación</t>
  </si>
  <si>
    <t>NP03</t>
  </si>
  <si>
    <t>Solo suministro</t>
  </si>
  <si>
    <t>NP04</t>
  </si>
  <si>
    <t>Solo instalación</t>
  </si>
  <si>
    <t>NP05</t>
  </si>
  <si>
    <t>NP06</t>
  </si>
  <si>
    <t>Mantenimiento</t>
  </si>
  <si>
    <t>NP07</t>
  </si>
  <si>
    <t>Alquiler</t>
  </si>
  <si>
    <t>CODIGO ACTIVIDAD</t>
  </si>
  <si>
    <t>UNIDAD 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</si>
</sst>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 #,##0.00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color rgb="FF354B3E"/>
      <sz val="14"/>
    </font>
    <font>
      <i/>
      <color rgb="FF65675F"/>
      <sz val="9"/>
    </font>
    <font>
      <b/>
      <color rgb="FFFFFFFF"/>
    </font>
    <font>
      <color rgb="FF4C4E47"/>
      <sz val="9"/>
    </font>
  </fonts>
  <fills count="10">
    <fill>
      <patternFill patternType="none"/>
    </fill>
    <fill>
      <patternFill patternType="gray125"/>
    </fill>
    <fill>
      <patternFill patternType="solid">
        <fgColor rgb="FF354B3E"/>
      </patternFill>
    </fill>
    <fill>
      <patternFill patternType="solid">
        <fgColor rgb="FFF5F3ED"/>
      </patternFill>
    </fill>
    <fill>
      <patternFill patternType="solid">
        <fgColor rgb="FF2A78D6"/>
      </patternFill>
    </fill>
    <fill>
      <patternFill patternType="solid">
        <fgColor rgb="FFEB6834"/>
      </patternFill>
    </fill>
    <fill>
      <patternFill patternType="solid">
        <fgColor rgb="FF1BAF7A"/>
      </patternFill>
    </fill>
    <fill>
      <patternFill patternType="solid">
        <fgColor rgb="FFEDA100"/>
      </patternFill>
    </fill>
    <fill>
      <patternFill patternType="solid">
        <fgColor rgb="FFE87BA4"/>
      </patternFill>
    </fill>
    <fill>
      <patternFill patternType="solid">
        <fgColor rgb="FF4A3A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165" fontId="0" fillId="0" borderId="0" xfId="0" applyNumberFormat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Actividades" displayName="T_Actividades" ref="A3:P1248" totalsRowShown="1" headerRowCount="1">
  <autoFilter ref="A3:P12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CODIGO" totalsRowLabel="Total"/>
    <tableColumn id="2" name="CAPITULO" totalsRowFunction="none"/>
    <tableColumn id="3" name="NOMBRE DE LA TAREA" totalsRowFunction="none"/>
    <tableColumn id="4" name="UNIDAD" totalsRowFunction="none"/>
    <tableColumn id="5" name="NOMBRE UNIDAD" totalsRowFunction="none"/>
    <tableColumn id="6" name="PRECIO" totalsRowFunction="none"/>
    <tableColumn id="7" name="DESCRIPCION" totalsRowFunction="none"/>
    <tableColumn id="8" name="ETAPA DE OBRA" totalsRowFunction="none"/>
    <tableColumn id="9" name="TIPO DE SERVICIO" totalsRowFunction="none"/>
    <tableColumn id="10" name="INSUMOS" totalsRowFunction="none"/>
    <tableColumn id="11" name="REVISAR" totalsRowFunction="none"/>
    <tableColumn id="12" name="CLASIFICACION" totalsRowFunction="none"/>
    <tableColumn id="13" name="AMBITO" totalsRowFunction="none"/>
    <tableColumn id="14" name="SECUENCIA" totalsRowFunction="none"/>
    <tableColumn id="15" name="ESPECIALIDAD" totalsRowFunction="none"/>
    <tableColumn id="16" name="NATURALEZA DEL PRECIO" totalsRowFunction="non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_1_01_01" displayName="A_1_01_01" ref="A6:F9" totalsRowCount="1" headerRowCount="1">
  <autoFilter ref="A6:F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_1_01_02" displayName="A_1_01_02" ref="A13:F15" totalsRowCount="1" headerRowCount="1">
  <autoFilter ref="A13:F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_1_01_03" displayName="A_1_01_03" ref="A19:F26" totalsRowCount="1" headerRowCount="1">
  <autoFilter ref="A19:F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A_1_01_04" displayName="A_1_01_04" ref="A30:F37" totalsRowCount="1" headerRowCount="1">
  <autoFilter ref="A30:F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A_1_01_05" displayName="A_1_01_05" ref="A41:F46" totalsRowCount="1" headerRowCount="1">
  <autoFilter ref="A41:F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A_1_01_06" displayName="A_1_01_06" ref="A50:F57" totalsRowCount="1" headerRowCount="1">
  <autoFilter ref="A50:F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A_1_01_07" displayName="A_1_01_07" ref="A61:F67" totalsRowCount="1" headerRowCount="1">
  <autoFilter ref="A61:F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A_1_01_08" displayName="A_1_01_08" ref="A71:F74" totalsRowCount="1" headerRowCount="1">
  <autoFilter ref="A71:F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A_1_01_09" displayName="A_1_01_09" ref="A78:F81" totalsRowCount="1" headerRowCount="1">
  <autoFilter ref="A78:F8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A_1_01_10" displayName="A_1_01_10" ref="A85:F89" totalsRowCount="1" headerRowCount="1">
  <autoFilter ref="A85:F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A_1_01_11" displayName="A_1_01_11" ref="A93:F96" totalsRowCount="1" headerRowCount="1">
  <autoFilter ref="A93:F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A_1_01_12" displayName="A_1_01_12" ref="A100:F103" totalsRowCount="1" headerRowCount="1">
  <autoFilter ref="A100:F10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A_1_01_13" displayName="A_1_01_13" ref="A107:F112" totalsRowCount="1" headerRowCount="1">
  <autoFilter ref="A107:F1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A_1_01_14" displayName="A_1_01_14" ref="A116:F121" totalsRowCount="1" headerRowCount="1">
  <autoFilter ref="A116:F1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A_1_01_15" displayName="A_1_01_15" ref="A125:F128" totalsRowCount="1" headerRowCount="1">
  <autoFilter ref="A125:F1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A_1_01_16" displayName="A_1_01_16" ref="A132:F137" totalsRowCount="1" headerRowCount="1">
  <autoFilter ref="A132:F1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A_1_01_17" displayName="A_1_01_17" ref="A141:F145" totalsRowCount="1" headerRowCount="1">
  <autoFilter ref="A141:F1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A_1_01_18" displayName="A_1_01_18" ref="A149:F154" totalsRowCount="1" headerRowCount="1">
  <autoFilter ref="A149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A_1_01_19" displayName="A_1_01_19" ref="A158:F163" totalsRowCount="1" headerRowCount="1">
  <autoFilter ref="A158:F1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A_1_01_20" displayName="A_1_01_20" ref="A167:F170" totalsRowCount="1" headerRowCount="1">
  <autoFilter ref="A167:F1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A_1_01_21" displayName="A_1_01_21" ref="A174:F180" totalsRowCount="1" headerRowCount="1">
  <autoFilter ref="A174:F1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A_1_01_22" displayName="A_1_01_22" ref="A184:F188" totalsRowCount="1" headerRowCount="1">
  <autoFilter ref="A184:F1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A_1_01_23" displayName="A_1_01_23" ref="A192:F199" totalsRowCount="1" headerRowCount="1">
  <autoFilter ref="A192:F1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A_1_01_24" displayName="A_1_01_24" ref="A203:F206" totalsRowCount="1" headerRowCount="1">
  <autoFilter ref="A203:F2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A_1_01_25" displayName="A_1_01_25" ref="A210:F214" totalsRowCount="1" headerRowCount="1">
  <autoFilter ref="A210:F2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A_1_01_26" displayName="A_1_01_26" ref="A218:F221" totalsRowCount="1" headerRowCount="1">
  <autoFilter ref="A218:F2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A_1_01_27" displayName="A_1_01_27" ref="A225:F228" totalsRowCount="1" headerRowCount="1">
  <autoFilter ref="A225:F2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A_1_01_28" displayName="A_1_01_28" ref="A232:F235" totalsRowCount="1" headerRowCount="1">
  <autoFilter ref="A232:F2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A_1_01_29" displayName="A_1_01_29" ref="A239:F242" totalsRowCount="1" headerRowCount="1">
  <autoFilter ref="A239:F2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A_1_01_30" displayName="A_1_01_30" ref="A246:F251" totalsRowCount="1" headerRowCount="1">
  <autoFilter ref="A246:F2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name="A_1_01_31" displayName="A_1_01_31" ref="A255:F260" totalsRowCount="1" headerRowCount="1">
  <autoFilter ref="A255:F2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name="A_1_01_32" displayName="A_1_01_32" ref="A264:F268" totalsRowCount="1" headerRowCount="1">
  <autoFilter ref="A264:F2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name="A_1_01_33" displayName="A_1_01_33" ref="A272:F276" totalsRowCount="1" headerRowCount="1">
  <autoFilter ref="A272:F2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name="A_1_01_34" displayName="A_1_01_34" ref="A280:F283" totalsRowCount="1" headerRowCount="1">
  <autoFilter ref="A280:F2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name="A_1_01_35" displayName="A_1_01_35" ref="A287:F290" totalsRowCount="1" headerRowCount="1">
  <autoFilter ref="A287:F2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name="A_1_01_36" displayName="A_1_01_36" ref="A294:F297" totalsRowCount="1" headerRowCount="1">
  <autoFilter ref="A294:F2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name="A_1_01_37" displayName="A_1_01_37" ref="A301:F304" totalsRowCount="1" headerRowCount="1">
  <autoFilter ref="A301:F3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name="A_1_01_38" displayName="A_1_01_38" ref="A308:F313" totalsRowCount="1" headerRowCount="1">
  <autoFilter ref="A308:F3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name="A_1_01_39" displayName="A_1_01_39" ref="A317:F322" totalsRowCount="1" headerRowCount="1">
  <autoFilter ref="A317:F3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name="A_1_01_40" displayName="A_1_01_40" ref="A326:F331" totalsRowCount="1" headerRowCount="1">
  <autoFilter ref="A326:F3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name="A_1_01_41" displayName="A_1_01_41" ref="A335:F340" totalsRowCount="1" headerRowCount="1">
  <autoFilter ref="A335:F3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name="A_1_01_42" displayName="A_1_01_42" ref="A344:F349" totalsRowCount="1" headerRowCount="1">
  <autoFilter ref="A344:F3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name="A_1_01_43" displayName="A_1_01_43" ref="A353:F358" totalsRowCount="1" headerRowCount="1">
  <autoFilter ref="A353:F3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name="A_1_01_44" displayName="A_1_01_44" ref="A362:F367" totalsRowCount="1" headerRowCount="1">
  <autoFilter ref="A362:F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name="A_1_01_45" displayName="A_1_01_45" ref="A371:F376" totalsRowCount="1" headerRowCount="1">
  <autoFilter ref="A371:F3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name="A_1_01_46" displayName="A_1_01_46" ref="A380:F386" totalsRowCount="1" headerRowCount="1">
  <autoFilter ref="A380:F3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name="A_1_01_47" displayName="A_1_01_47" ref="A390:F393" totalsRowCount="1" headerRowCount="1">
  <autoFilter ref="A390:F39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name="A_1_01_48" displayName="A_1_01_48" ref="A397:F400" totalsRowCount="1" headerRowCount="1">
  <autoFilter ref="A397:F3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name="A_1_01_49" displayName="A_1_01_49" ref="A404:F409" totalsRowCount="1" headerRowCount="1">
  <autoFilter ref="A404:F4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name="A_1_01_50" displayName="A_1_01_50" ref="A413:F418" totalsRowCount="1" headerRowCount="1">
  <autoFilter ref="A413:F4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name="A_1_01_51" displayName="A_1_01_51" ref="A422:F426" totalsRowCount="1" headerRowCount="1">
  <autoFilter ref="A422:F4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name="A_1_01_52" displayName="A_1_01_52" ref="A430:F434" totalsRowCount="1" headerRowCount="1">
  <autoFilter ref="A430:F4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name="A_1_01_53" displayName="A_1_01_53" ref="A438:F443" totalsRowCount="1" headerRowCount="1">
  <autoFilter ref="A438:F4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name="A_1_01_54" displayName="A_1_01_54" ref="A447:F452" totalsRowCount="1" headerRowCount="1">
  <autoFilter ref="A447:F4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name="A_1_01_55" displayName="A_1_01_55" ref="A456:F461" totalsRowCount="1" headerRowCount="1">
  <autoFilter ref="A456:F4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name="A_1_01_56" displayName="A_1_01_56" ref="A465:F470" totalsRowCount="1" headerRowCount="1">
  <autoFilter ref="A465:F4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name="A_1_01_57" displayName="A_1_01_57" ref="A474:F477" totalsRowCount="1" headerRowCount="1">
  <autoFilter ref="A474:F4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name="A_1_01_58" displayName="A_1_01_58" ref="A481:F486" totalsRowCount="1" headerRowCount="1">
  <autoFilter ref="A481:F4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name="A_1_01_59" displayName="A_1_01_59" ref="A490:F495" totalsRowCount="1" headerRowCount="1">
  <autoFilter ref="A490:F4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name="A_1_01_60" displayName="A_1_01_60" ref="A499:F504" totalsRowCount="1" headerRowCount="1">
  <autoFilter ref="A499:F5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name="A_1_01_61" displayName="A_1_01_61" ref="A508:F515" totalsRowCount="1" headerRowCount="1">
  <autoFilter ref="A508:F5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name="A_1_01_62" displayName="A_1_01_62" ref="A519:F522" totalsRowCount="1" headerRowCount="1">
  <autoFilter ref="A519:F5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name="A_1_01_63" displayName="A_1_01_63" ref="A526:F530" totalsRowCount="1" headerRowCount="1">
  <autoFilter ref="A526:F5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name="A_1_01_64" displayName="A_1_01_64" ref="A534:F537" totalsRowCount="1" headerRowCount="1">
  <autoFilter ref="A534:F5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name="A_1_01_65" displayName="A_1_01_65" ref="A541:F544" totalsRowCount="1" headerRowCount="1">
  <autoFilter ref="A541:F5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name="A_1_01_66" displayName="A_1_01_66" ref="A548:F550" totalsRowCount="1" headerRowCount="1">
  <autoFilter ref="A548:F5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name="A_1_01_67" displayName="A_1_01_67" ref="A554:F556" totalsRowCount="1" headerRowCount="1">
  <autoFilter ref="A554:F5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name="A_1_01_68" displayName="A_1_01_68" ref="A560:F567" totalsRowCount="1" headerRowCount="1">
  <autoFilter ref="A560:F5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name="A_1_01_69" displayName="A_1_01_69" ref="A571:F578" totalsRowCount="1" headerRowCount="1">
  <autoFilter ref="A571:F5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name="A_1_01_70" displayName="A_1_01_70" ref="A582:F592" totalsRowCount="1" headerRowCount="1">
  <autoFilter ref="A582:F5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name="A_1_01_71" displayName="A_1_01_71" ref="A596:F599" totalsRowCount="1" headerRowCount="1">
  <autoFilter ref="A596:F5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name="A_1_01_72" displayName="A_1_01_72" ref="A603:F607" totalsRowCount="1" headerRowCount="1">
  <autoFilter ref="A603:F6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name="A_1_01_73" displayName="A_1_01_73" ref="A611:F614" totalsRowCount="1" headerRowCount="1">
  <autoFilter ref="A611:F6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name="A_1_01_74" displayName="A_1_01_74" ref="A618:F622" totalsRowCount="1" headerRowCount="1">
  <autoFilter ref="A618:F6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name="A_1_01_75" displayName="A_1_01_75" ref="A626:F629" totalsRowCount="1" headerRowCount="1">
  <autoFilter ref="A626:F6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name="A_1_01_76" displayName="A_1_01_76" ref="A633:F636" totalsRowCount="1" headerRowCount="1">
  <autoFilter ref="A633:F6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name="A_1_01_77" displayName="A_1_01_77" ref="A640:F643" totalsRowCount="1" headerRowCount="1">
  <autoFilter ref="A640:F6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name="A_1_02_01" displayName="A_1_02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name="A_1_02_02" displayName="A_1_02_02" ref="A15:F25" totalsRowCount="1" headerRowCount="1">
  <autoFilter ref="A15:F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name="A_1_02_03" displayName="A_1_02_03" ref="A29:F39" totalsRowCount="1" headerRowCount="1">
  <autoFilter ref="A29:F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name="A_1_02_04" displayName="A_1_02_04" ref="A43:F53" totalsRowCount="1" headerRowCount="1">
  <autoFilter ref="A43:F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name="A_1_02_05" displayName="A_1_02_05" ref="A57:F67" totalsRowCount="1" headerRowCount="1">
  <autoFilter ref="A57:F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name="A_1_02_06" displayName="A_1_02_06" ref="A71:F78" totalsRowCount="1" headerRowCount="1">
  <autoFilter ref="A71:F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name="A_1_02_07" displayName="A_1_02_07" ref="A82:F89" totalsRowCount="1" headerRowCount="1">
  <autoFilter ref="A82:F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name="A_1_02_08" displayName="A_1_02_08" ref="A93:F100" totalsRowCount="1" headerRowCount="1">
  <autoFilter ref="A93:F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name="A_1_02_09" displayName="A_1_02_09" ref="A104:F111" totalsRowCount="1" headerRowCount="1">
  <autoFilter ref="A104:F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name="A_1_02_10" displayName="A_1_02_10" ref="A115:F121" totalsRowCount="1" headerRowCount="1">
  <autoFilter ref="A115:F1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name="A_1_02_11" displayName="A_1_02_11" ref="A125:F134" totalsRowCount="1" headerRowCount="1">
  <autoFilter ref="A125:F1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name="A_1_02_12" displayName="A_1_02_12" ref="A138:F148" totalsRowCount="1" headerRowCount="1">
  <autoFilter ref="A138:F1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name="A_1_02_13" displayName="A_1_02_13" ref="A152:F162" totalsRowCount="1" headerRowCount="1">
  <autoFilter ref="A152:F1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name="A_1_02_14" displayName="A_1_02_14" ref="A166:F176" totalsRowCount="1" headerRowCount="1">
  <autoFilter ref="A166:F1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name="A_1_02_15" displayName="A_1_02_15" ref="A180:F187" totalsRowCount="1" headerRowCount="1">
  <autoFilter ref="A180:F1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name="A_1_02_16" displayName="A_1_02_16" ref="A191:F195" totalsRowCount="1" headerRowCount="1">
  <autoFilter ref="A191:F1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name="A_1_02_17" displayName="A_1_02_17" ref="A199:F204" totalsRowCount="1" headerRowCount="1">
  <autoFilter ref="A199:F2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name="A_1_02_18" displayName="A_1_02_18" ref="A208:F215" totalsRowCount="1" headerRowCount="1">
  <autoFilter ref="A208:F2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name="A_1_02_19" displayName="A_1_02_19" ref="A219:F230" totalsRowCount="1" headerRowCount="1">
  <autoFilter ref="A219:F2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name="A_1_02_20" displayName="A_1_02_20" ref="A234:F244" totalsRowCount="1" headerRowCount="1">
  <autoFilter ref="A234:F2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name="A_1_02_21" displayName="A_1_02_21" ref="A248:F258" totalsRowCount="1" headerRowCount="1">
  <autoFilter ref="A248:F2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name="A_1_02_22" displayName="A_1_02_22" ref="A262:F272" totalsRowCount="1" headerRowCount="1">
  <autoFilter ref="A262:F2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name="A_1_02_23" displayName="A_1_02_23" ref="A276:F288" totalsRowCount="1" headerRowCount="1">
  <autoFilter ref="A276:F2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name="A_1_02_24" displayName="A_1_02_24" ref="A292:F304" totalsRowCount="1" headerRowCount="1">
  <autoFilter ref="A292:F3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name="A_1_02_25" displayName="A_1_02_25" ref="A308:F321" totalsRowCount="1" headerRowCount="1">
  <autoFilter ref="A308:F3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name="A_1_02_26" displayName="A_1_02_26" ref="A325:F335" totalsRowCount="1" headerRowCount="1">
  <autoFilter ref="A325:F3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name="A_1_02_27" displayName="A_1_02_27" ref="A339:F344" totalsRowCount="1" headerRowCount="1">
  <autoFilter ref="A339:F3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name="A_1_02_28" displayName="A_1_02_28" ref="A348:F353" totalsRowCount="1" headerRowCount="1">
  <autoFilter ref="A348:F3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name="A_1_02_29" displayName="A_1_02_29" ref="A357:F362" totalsRowCount="1" headerRowCount="1">
  <autoFilter ref="A357:F3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name="A_1_02_30" displayName="A_1_02_30" ref="A366:F371" totalsRowCount="1" headerRowCount="1">
  <autoFilter ref="A366:F3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name="A_1_02_31" displayName="A_1_02_31" ref="A375:F383" totalsRowCount="1" headerRowCount="1">
  <autoFilter ref="A375:F3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name="A_1_02_32" displayName="A_1_02_32" ref="A387:F395" totalsRowCount="1" headerRowCount="1">
  <autoFilter ref="A387:F3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name="A_1_02_33" displayName="A_1_02_33" ref="A399:F404" totalsRowCount="1" headerRowCount="1">
  <autoFilter ref="A399:F4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name="A_1_02_34" displayName="A_1_02_34" ref="A408:F413" totalsRowCount="1" headerRowCount="1">
  <autoFilter ref="A408:F4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name="A_1_02_35" displayName="A_1_02_35" ref="A417:F423" totalsRowCount="1" headerRowCount="1">
  <autoFilter ref="A417:F4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name="A_1_02_36" displayName="A_1_02_36" ref="A427:F432" totalsRowCount="1" headerRowCount="1">
  <autoFilter ref="A427:F4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name="A_1_02_37" displayName="A_1_02_37" ref="A436:F443" totalsRowCount="1" headerRowCount="1">
  <autoFilter ref="A436:F4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name="A_1_02_38" displayName="A_1_02_38" ref="A447:F454" totalsRowCount="1" headerRowCount="1">
  <autoFilter ref="A447:F4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name="A_1_02_39" displayName="A_1_02_39" ref="A458:F466" totalsRowCount="1" headerRowCount="1">
  <autoFilter ref="A458:F4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name="A_1_02_40" displayName="A_1_02_40" ref="A470:F478" totalsRowCount="1" headerRowCount="1">
  <autoFilter ref="A470:F4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name="A_1_02_41" displayName="A_1_02_41" ref="A482:F489" totalsRowCount="1" headerRowCount="1">
  <autoFilter ref="A482:F4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name="A_1_02_42" displayName="A_1_02_42" ref="A493:F500" totalsRowCount="1" headerRowCount="1">
  <autoFilter ref="A493:F4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name="A_1_03_01" displayName="A_1_03_01" ref="A6:F18" totalsRowCount="1" headerRowCount="1">
  <autoFilter ref="A6:F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name="A_1_03_02" displayName="A_1_03_02" ref="A22:F33" totalsRowCount="1" headerRowCount="1">
  <autoFilter ref="A22:F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name="A_1_03_03" displayName="A_1_03_03" ref="A37:F49" totalsRowCount="1" headerRowCount="1">
  <autoFilter ref="A37:F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name="A_1_03_04" displayName="A_1_03_04" ref="A53:F66" totalsRowCount="1" headerRowCount="1">
  <autoFilter ref="A53:F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name="A_1_03_05" displayName="A_1_03_05" ref="A70:F83" totalsRowCount="1" headerRowCount="1">
  <autoFilter ref="A70:F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name="A_1_03_06" displayName="A_1_03_06" ref="A87:F98" totalsRowCount="1" headerRowCount="1">
  <autoFilter ref="A87:F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name="A_1_03_07" displayName="A_1_03_07" ref="A102:F114" totalsRowCount="1" headerRowCount="1">
  <autoFilter ref="A102:F1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name="A_1_03_08" displayName="A_1_03_08" ref="A118:F130" totalsRowCount="1" headerRowCount="1">
  <autoFilter ref="A118:F1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name="A_1_03_09" displayName="A_1_03_09" ref="A134:F146" totalsRowCount="1" headerRowCount="1">
  <autoFilter ref="A134:F1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name="A_1_03_10" displayName="A_1_03_10" ref="A150:F162" totalsRowCount="1" headerRowCount="1">
  <autoFilter ref="A150:F1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name="A_1_03_11" displayName="A_1_03_11" ref="A166:F178" totalsRowCount="1" headerRowCount="1">
  <autoFilter ref="A166:F1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name="A_1_03_12" displayName="A_1_03_12" ref="A182:F194" totalsRowCount="1" headerRowCount="1">
  <autoFilter ref="A182:F1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name="A_1_03_13" displayName="A_1_03_13" ref="A198:F207" totalsRowCount="1" headerRowCount="1">
  <autoFilter ref="A198:F2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name="A_1_03_14" displayName="A_1_03_14" ref="A211:F220" totalsRowCount="1" headerRowCount="1">
  <autoFilter ref="A211:F2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name="A_1_03_15" displayName="A_1_03_15" ref="A224:F239" totalsRowCount="1" headerRowCount="1">
  <autoFilter ref="A224:F2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name="A_1_03_16" displayName="A_1_03_16" ref="A243:F257" totalsRowCount="1" headerRowCount="1">
  <autoFilter ref="A243:F2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name="A_1_03_17" displayName="A_1_03_17" ref="A261:F271" totalsRowCount="1" headerRowCount="1">
  <autoFilter ref="A261:F2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name="A_1_03_18" displayName="A_1_03_18" ref="A275:F285" totalsRowCount="1" headerRowCount="1">
  <autoFilter ref="A275:F2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name="A_1_03_19" displayName="A_1_03_19" ref="A289:F296" totalsRowCount="1" headerRowCount="1">
  <autoFilter ref="A289:F2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name="A_1_03_20" displayName="A_1_03_20" ref="A300:F307" totalsRowCount="1" headerRowCount="1">
  <autoFilter ref="A300:F3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name="A_1_03_21" displayName="A_1_03_21" ref="A311:F318" totalsRowCount="1" headerRowCount="1">
  <autoFilter ref="A311:F3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name="A_1_03_22" displayName="A_1_03_22" ref="A322:F328" totalsRowCount="1" headerRowCount="1">
  <autoFilter ref="A322:F3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name="A_1_03_23" displayName="A_1_03_23" ref="A332:F343" totalsRowCount="1" headerRowCount="1">
  <autoFilter ref="A332:F3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name="A_1_03_24" displayName="A_1_03_24" ref="A347:F357" totalsRowCount="1" headerRowCount="1">
  <autoFilter ref="A347:F3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name="A_1_03_25" displayName="A_1_03_25" ref="A361:F370" totalsRowCount="1" headerRowCount="1">
  <autoFilter ref="A361:F3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name="A_1_03_26" displayName="A_1_03_26" ref="A374:F383" totalsRowCount="1" headerRowCount="1">
  <autoFilter ref="A374:F3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name="A_1_04_01" displayName="A_1_04_01" ref="A6:F17" totalsRowCount="1" headerRowCount="1">
  <autoFilter ref="A6:F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name="A_1_04_02" displayName="A_1_04_02" ref="A21:F32" totalsRowCount="1" headerRowCount="1">
  <autoFilter ref="A2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name="A_1_04_03" displayName="A_1_04_03" ref="A36:F42" totalsRowCount="1" headerRowCount="1">
  <autoFilter ref="A36:F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name="A_1_04_04" displayName="A_1_04_04" ref="A46:F55" totalsRowCount="1" headerRowCount="1">
  <autoFilter ref="A46:F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name="A_1_04_05" displayName="A_1_04_05" ref="A59:F68" totalsRowCount="1" headerRowCount="1">
  <autoFilter ref="A59:F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name="A_1_04_06" displayName="A_1_04_06" ref="A72:F81" totalsRowCount="1" headerRowCount="1">
  <autoFilter ref="A72:F8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name="A_1_04_07" displayName="A_1_04_07" ref="A85:F91" totalsRowCount="1" headerRowCount="1">
  <autoFilter ref="A85:F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name="A_1_04_08" displayName="A_1_04_08" ref="A95:F105" totalsRowCount="1" headerRowCount="1">
  <autoFilter ref="A95:F1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name="A_1_04_09" displayName="A_1_04_09" ref="A109:F115" totalsRowCount="1" headerRowCount="1">
  <autoFilter ref="A109:F1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name="A_1_04_10" displayName="A_1_04_10" ref="A119:F130" totalsRowCount="1" headerRowCount="1">
  <autoFilter ref="A119:F1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name="A_1_04_11" displayName="A_1_04_11" ref="A134:F139" totalsRowCount="1" headerRowCount="1">
  <autoFilter ref="A134:F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name="A_1_04_12" displayName="A_1_04_12" ref="A143:F148" totalsRowCount="1" headerRowCount="1">
  <autoFilter ref="A143:F1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name="A_1_04_13" displayName="A_1_04_13" ref="A152:F158" totalsRowCount="1" headerRowCount="1">
  <autoFilter ref="A152:F1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name="A_1_04_14" displayName="A_1_04_14" ref="A162:F168" totalsRowCount="1" headerRowCount="1">
  <autoFilter ref="A162:F1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name="A_1_04_15" displayName="A_1_04_15" ref="A172:F178" totalsRowCount="1" headerRowCount="1">
  <autoFilter ref="A172:F1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name="A_1_04_16" displayName="A_1_04_16" ref="A182:F188" totalsRowCount="1" headerRowCount="1">
  <autoFilter ref="A182:F1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name="A_1_04_17" displayName="A_1_04_17" ref="A192:F206" totalsRowCount="1" headerRowCount="1">
  <autoFilter ref="A192:F2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name="A_1_04_18" displayName="A_1_04_18" ref="A210:F224" totalsRowCount="1" headerRowCount="1">
  <autoFilter ref="A210:F2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name="A_1_04_19" displayName="A_1_04_19" ref="A228:F238" totalsRowCount="1" headerRowCount="1">
  <autoFilter ref="A228:F2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name="A_1_04_20" displayName="A_1_04_20" ref="A242:F251" totalsRowCount="1" headerRowCount="1">
  <autoFilter ref="A242:F2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name="A_1_04_21" displayName="A_1_04_21" ref="A255:F261" totalsRowCount="1" headerRowCount="1">
  <autoFilter ref="A255:F2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name="A_1_04_22" displayName="A_1_04_22" ref="A265:F270" totalsRowCount="1" headerRowCount="1">
  <autoFilter ref="A265:F2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name="A_1_04_23" displayName="A_1_04_23" ref="A274:F279" totalsRowCount="1" headerRowCount="1">
  <autoFilter ref="A274:F2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name="A_1_04_24" displayName="A_1_04_24" ref="A283:F289" totalsRowCount="1" headerRowCount="1">
  <autoFilter ref="A283:F2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name="A_1_04_25" displayName="A_1_04_25" ref="A293:F299" totalsRowCount="1" headerRowCount="1">
  <autoFilter ref="A293:F2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name="A_1_04_26" displayName="A_1_04_26" ref="A303:F309" totalsRowCount="1" headerRowCount="1">
  <autoFilter ref="A303:F3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name="A_1_04_27" displayName="A_1_04_27" ref="A313:F319" totalsRowCount="1" headerRowCount="1">
  <autoFilter ref="A313:F3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name="A_1_04_28" displayName="A_1_04_28" ref="A323:F333" totalsRowCount="1" headerRowCount="1">
  <autoFilter ref="A323:F3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name="A_1_04_29" displayName="A_1_04_29" ref="A337:F343" totalsRowCount="1" headerRowCount="1">
  <autoFilter ref="A337:F3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name="A_1_04_30" displayName="A_1_04_30" ref="A347:F353" totalsRowCount="1" headerRowCount="1">
  <autoFilter ref="A347:F3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name="A_1_04_31" displayName="A_1_04_31" ref="A357:F363" totalsRowCount="1" headerRowCount="1">
  <autoFilter ref="A357:F3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name="A_1_04_32" displayName="A_1_04_32" ref="A367:F378" totalsRowCount="1" headerRowCount="1">
  <autoFilter ref="A367:F3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name="A_1_04_33" displayName="A_1_04_33" ref="A382:F389" totalsRowCount="1" headerRowCount="1">
  <autoFilter ref="A382:F3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name="A_1_04_34" displayName="A_1_04_34" ref="A393:F400" totalsRowCount="1" headerRowCount="1">
  <autoFilter ref="A393:F3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name="A_1_04_35" displayName="A_1_04_35" ref="A404:F412" totalsRowCount="1" headerRowCount="1">
  <autoFilter ref="A404:F4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name="A_1_04_36" displayName="A_1_04_36" ref="A416:F423" totalsRowCount="1" headerRowCount="1">
  <autoFilter ref="A416:F4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name="A_1_04_37" displayName="A_1_04_37" ref="A427:F441" totalsRowCount="1" headerRowCount="1">
  <autoFilter ref="A427:F4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name="A_1_05_01" displayName="A_1_05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name="A_1_05_02" displayName="A_1_05_02" ref="A15:F21" totalsRowCount="1" headerRowCount="1">
  <autoFilter ref="A15:F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name="A_1_05_03" displayName="A_1_05_03" ref="A25:F31" totalsRowCount="1" headerRowCount="1">
  <autoFilter ref="A25:F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name="A_1_05_04" displayName="A_1_05_04" ref="A35:F41" totalsRowCount="1" headerRowCount="1">
  <autoFilter ref="A35:F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name="A_1_05_05" displayName="A_1_05_05" ref="A45:F50" totalsRowCount="1" headerRowCount="1">
  <autoFilter ref="A45:F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name="A_1_05_06" displayName="A_1_05_06" ref="A54:F60" totalsRowCount="1" headerRowCount="1">
  <autoFilter ref="A54:F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name="A_1_05_07" displayName="A_1_05_07" ref="A64:F70" totalsRowCount="1" headerRowCount="1">
  <autoFilter ref="A64:F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name="A_1_05_08" displayName="A_1_05_08" ref="A74:F82" totalsRowCount="1" headerRowCount="1">
  <autoFilter ref="A74:F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name="A_1_05_09" displayName="A_1_05_09" ref="A86:F94" totalsRowCount="1" headerRowCount="1">
  <autoFilter ref="A86:F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name="A_1_05_10" displayName="A_1_05_10" ref="A98:F105" totalsRowCount="1" headerRowCount="1">
  <autoFilter ref="A98:F1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name="A_1_05_11" displayName="A_1_05_11" ref="A109:F116" totalsRowCount="1" headerRowCount="1">
  <autoFilter ref="A109:F1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name="A_1_05_12" displayName="A_1_05_12" ref="A120:F127" totalsRowCount="1" headerRowCount="1">
  <autoFilter ref="A120:F1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name="A_1_05_13" displayName="A_1_05_13" ref="A131:F137" totalsRowCount="1" headerRowCount="1">
  <autoFilter ref="A131:F1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name="A_1_05_14" displayName="A_1_05_14" ref="A141:F147" totalsRowCount="1" headerRowCount="1">
  <autoFilter ref="A141:F1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name="A_1_05_15" displayName="A_1_05_15" ref="A151:F158" totalsRowCount="1" headerRowCount="1">
  <autoFilter ref="A151:F1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name="A_1_05_16" displayName="A_1_05_16" ref="A162:F168" totalsRowCount="1" headerRowCount="1">
  <autoFilter ref="A162:F1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name="A_1_06_01" displayName="A_1_06_01" ref="A6:F13" totalsRowCount="1" headerRowCount="1">
  <autoFilter ref="A6:F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name="A_1_06_02" displayName="A_1_06_02" ref="A17:F24" totalsRowCount="1" headerRowCount="1">
  <autoFilter ref="A17:F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name="A_1_06_03" displayName="A_1_06_03" ref="A28:F36" totalsRowCount="1" headerRowCount="1">
  <autoFilter ref="A28:F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name="A_1_06_04" displayName="A_1_06_04" ref="A40:F48" totalsRowCount="1" headerRowCount="1">
  <autoFilter ref="A40:F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name="A_1_06_05" displayName="A_1_06_05" ref="A52:F60" totalsRowCount="1" headerRowCount="1">
  <autoFilter ref="A52:F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name="A_1_06_06" displayName="A_1_06_06" ref="A64:F72" totalsRowCount="1" headerRowCount="1">
  <autoFilter ref="A64:F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name="A_1_06_07" displayName="A_1_06_07" ref="A76:F84" totalsRowCount="1" headerRowCount="1">
  <autoFilter ref="A76:F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name="A_1_06_08" displayName="A_1_06_08" ref="A88:F96" totalsRowCount="1" headerRowCount="1">
  <autoFilter ref="A88:F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name="A_1_06_09" displayName="A_1_06_09" ref="A100:F107" totalsRowCount="1" headerRowCount="1">
  <autoFilter ref="A100:F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name="A_1_06_10" displayName="A_1_06_10" ref="A111:F118" totalsRowCount="1" headerRowCount="1">
  <autoFilter ref="A111:F1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name="A_1_06_11" displayName="A_1_06_11" ref="A122:F134" totalsRowCount="1" headerRowCount="1">
  <autoFilter ref="A122:F1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name="A_1_06_12" displayName="A_1_06_12" ref="A138:F144" totalsRowCount="1" headerRowCount="1">
  <autoFilter ref="A138:F1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name="A_1_06_13" displayName="A_1_06_13" ref="A148:F160" totalsRowCount="1" headerRowCount="1">
  <autoFilter ref="A148:F1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name="A_1_06_14" displayName="A_1_06_14" ref="A164:F177" totalsRowCount="1" headerRowCount="1">
  <autoFilter ref="A164:F1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name="A_1_06_15" displayName="A_1_06_15" ref="A181:F193" totalsRowCount="1" headerRowCount="1">
  <autoFilter ref="A181:F19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name="A_1_06_16" displayName="A_1_06_16" ref="A197:F214" totalsRowCount="1" headerRowCount="1">
  <autoFilter ref="A197:F2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name="A_1_06_18" displayName="A_1_06_18" ref="A218:F224" totalsRowCount="1" headerRowCount="1">
  <autoFilter ref="A218:F2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name="A_1_06_19" displayName="A_1_06_19" ref="A228:F234" totalsRowCount="1" headerRowCount="1">
  <autoFilter ref="A228:F2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name="A_1_06_20" displayName="A_1_06_20" ref="A238:F246" totalsRowCount="1" headerRowCount="1">
  <autoFilter ref="A238:F2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name="A_1_06_21" displayName="A_1_06_21" ref="A250:F261" totalsRowCount="1" headerRowCount="1">
  <autoFilter ref="A250:F2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name="A_1_06_22" displayName="A_1_06_22" ref="A265:F276" totalsRowCount="1" headerRowCount="1">
  <autoFilter ref="A265:F2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name="A_1_06_23" displayName="A_1_06_23" ref="A280:F290" totalsRowCount="1" headerRowCount="1">
  <autoFilter ref="A280:F2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name="A_1_06_24" displayName="A_1_06_24" ref="A294:F299" totalsRowCount="1" headerRowCount="1">
  <autoFilter ref="A294:F2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name="A_1_06_25" displayName="A_1_06_25" ref="A303:F308" totalsRowCount="1" headerRowCount="1">
  <autoFilter ref="A303:F3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name="A_1_06_26" displayName="A_1_06_26" ref="A312:F317" totalsRowCount="1" headerRowCount="1">
  <autoFilter ref="A312:F3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name="A_1_06_27" displayName="A_1_06_27" ref="A321:F329" totalsRowCount="1" headerRowCount="1">
  <autoFilter ref="A321:F3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name="A_1_06_28" displayName="A_1_06_28" ref="A333:F343" totalsRowCount="1" headerRowCount="1">
  <autoFilter ref="A333:F3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name="A_1_06_29" displayName="A_1_06_29" ref="A347:F353" totalsRowCount="1" headerRowCount="1">
  <autoFilter ref="A347:F3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name="A_1_06_30" displayName="A_1_06_30" ref="A357:F363" totalsRowCount="1" headerRowCount="1">
  <autoFilter ref="A357:F3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name="A_1_06_31" displayName="A_1_06_31" ref="A367:F379" totalsRowCount="1" headerRowCount="1">
  <autoFilter ref="A367:F3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name="A_1_06_32" displayName="A_1_06_32" ref="A383:F394" totalsRowCount="1" headerRowCount="1">
  <autoFilter ref="A383:F3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name="A_1_06_33" displayName="A_1_06_33" ref="A398:F410" totalsRowCount="1" headerRowCount="1">
  <autoFilter ref="A398:F4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name="A_1_06_34" displayName="A_1_06_34" ref="A414:F425" totalsRowCount="1" headerRowCount="1">
  <autoFilter ref="A414:F4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name="A_1_06_35" displayName="A_1_06_35" ref="A429:F441" totalsRowCount="1" headerRowCount="1">
  <autoFilter ref="A429:F4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name="A_1_06_36" displayName="A_1_06_36" ref="A445:F457" totalsRowCount="1" headerRowCount="1">
  <autoFilter ref="A445:F4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name="A_1_06_37" displayName="A_1_06_37" ref="A461:F473" totalsRowCount="1" headerRowCount="1">
  <autoFilter ref="A461:F4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name="A_1_06_38" displayName="A_1_06_38" ref="A477:F489" totalsRowCount="1" headerRowCount="1">
  <autoFilter ref="A477:F4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name="A_1_06_39" displayName="A_1_06_39" ref="A493:F505" totalsRowCount="1" headerRowCount="1">
  <autoFilter ref="A493:F5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name="A_1_06_40" displayName="A_1_06_40" ref="A509:F516" totalsRowCount="1" headerRowCount="1">
  <autoFilter ref="A509:F5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name="A_1_06_41" displayName="A_1_06_41" ref="A520:F527" totalsRowCount="1" headerRowCount="1">
  <autoFilter ref="A520:F5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name="A_1_06_42" displayName="A_1_06_42" ref="A531:F539" totalsRowCount="1" headerRowCount="1">
  <autoFilter ref="A531:F5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name="A_1_07_01" displayName="A_1_07_01" ref="A6:F19" totalsRowCount="1" headerRowCount="1">
  <autoFilter ref="A6:F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name="A_1_07_02" displayName="A_1_07_02" ref="A23:F35" totalsRowCount="1" headerRowCount="1">
  <autoFilter ref="A23:F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name="A_1_07_03" displayName="A_1_07_03" ref="A39:F46" totalsRowCount="1" headerRowCount="1">
  <autoFilter ref="A39:F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name="A_1_07_04" displayName="A_1_07_04" ref="A50:F63" totalsRowCount="1" headerRowCount="1">
  <autoFilter ref="A50:F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name="A_1_07_05" displayName="A_1_07_05" ref="A67:F80" totalsRowCount="1" headerRowCount="1">
  <autoFilter ref="A67:F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name="A_1_07_06" displayName="A_1_07_06" ref="A84:F94" totalsRowCount="1" headerRowCount="1">
  <autoFilter ref="A84:F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name="A_1_07_07" displayName="A_1_07_07" ref="A98:F110" totalsRowCount="1" headerRowCount="1">
  <autoFilter ref="A98:F1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name="A_1_07_08" displayName="A_1_07_08" ref="A114:F125" totalsRowCount="1" headerRowCount="1">
  <autoFilter ref="A114:F1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name="A_1_07_09" displayName="A_1_07_09" ref="A129:F141" totalsRowCount="1" headerRowCount="1">
  <autoFilter ref="A129:F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name="A_1_07_10" displayName="A_1_07_10" ref="A145:F158" totalsRowCount="1" headerRowCount="1">
  <autoFilter ref="A145:F1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name="A_1_07_11" displayName="A_1_07_11" ref="A162:F168" totalsRowCount="1" headerRowCount="1">
  <autoFilter ref="A162:F1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name="A_1_07_12" displayName="A_1_07_12" ref="A172:F177" totalsRowCount="1" headerRowCount="1">
  <autoFilter ref="A172:F1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name="A_1_07_13" displayName="A_1_07_13" ref="A181:F185" totalsRowCount="1" headerRowCount="1">
  <autoFilter ref="A181:F1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name="A_1_07_14" displayName="A_1_07_14" ref="A189:F201" totalsRowCount="1" headerRowCount="1">
  <autoFilter ref="A189:F2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name="A_1_07_15" displayName="A_1_07_15" ref="A205:F217" totalsRowCount="1" headerRowCount="1">
  <autoFilter ref="A205:F2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name="A_1_07_16" displayName="A_1_07_16" ref="A221:F226" totalsRowCount="1" headerRowCount="1">
  <autoFilter ref="A221:F2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name="A_1_07_17" displayName="A_1_07_17" ref="A230:F237" totalsRowCount="1" headerRowCount="1">
  <autoFilter ref="A230:F2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name="A_1_07_18" displayName="A_1_07_18" ref="A241:F246" totalsRowCount="1" headerRowCount="1">
  <autoFilter ref="A241:F2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name="A_1_07_19" displayName="A_1_07_19" ref="A250:F257" totalsRowCount="1" headerRowCount="1">
  <autoFilter ref="A250:F2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name="A_1_07_20" displayName="A_1_07_20" ref="A261:F266" totalsRowCount="1" headerRowCount="1">
  <autoFilter ref="A261:F2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name="A_1_07_21" displayName="A_1_07_21" ref="A270:F275" totalsRowCount="1" headerRowCount="1">
  <autoFilter ref="A270:F2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name="A_1_07_22" displayName="A_1_07_22" ref="A279:F284" totalsRowCount="1" headerRowCount="1">
  <autoFilter ref="A279:F2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name="A_1_07_23" displayName="A_1_07_23" ref="A288:F293" totalsRowCount="1" headerRowCount="1">
  <autoFilter ref="A288:F29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name="A_1_07_24" displayName="A_1_07_24" ref="A297:F304" totalsRowCount="1" headerRowCount="1">
  <autoFilter ref="A297:F3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name="A_1_07_25" displayName="A_1_07_25" ref="A308:F315" totalsRowCount="1" headerRowCount="1">
  <autoFilter ref="A308:F3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name="A_1_07_26" displayName="A_1_07_26" ref="A319:F325" totalsRowCount="1" headerRowCount="1">
  <autoFilter ref="A319:F3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name="A_1_07_27" displayName="A_1_07_27" ref="A329:F335" totalsRowCount="1" headerRowCount="1">
  <autoFilter ref="A329:F3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name="A_1_07_28" displayName="A_1_07_28" ref="A339:F350" totalsRowCount="1" headerRowCount="1">
  <autoFilter ref="A339:F3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name="A_1_07_29" displayName="A_1_07_29" ref="A354:F358" totalsRowCount="1" headerRowCount="1">
  <autoFilter ref="A354:F3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name="A_1_07_30" displayName="A_1_07_30" ref="A362:F366" totalsRowCount="1" headerRowCount="1">
  <autoFilter ref="A362:F3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name="A_1_07_31" displayName="A_1_07_31" ref="A370:F377" totalsRowCount="1" headerRowCount="1">
  <autoFilter ref="A370:F3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name="A_1_07_32" displayName="A_1_07_32" ref="A381:F388" totalsRowCount="1" headerRowCount="1">
  <autoFilter ref="A381:F3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name="A_1_07_33" displayName="A_1_07_33" ref="A392:F399" totalsRowCount="1" headerRowCount="1">
  <autoFilter ref="A392:F3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name="A_1_07_34" displayName="A_1_07_34" ref="A403:F407" totalsRowCount="1" headerRowCount="1">
  <autoFilter ref="A403:F4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name="A_1_07_35" displayName="A_1_07_35" ref="A411:F415" totalsRowCount="1" headerRowCount="1">
  <autoFilter ref="A411:F4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name="A_1_07_36" displayName="A_1_07_36" ref="A419:F425" totalsRowCount="1" headerRowCount="1">
  <autoFilter ref="A419:F4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name="A_1_07_37" displayName="A_1_07_37" ref="A429:F435" totalsRowCount="1" headerRowCount="1">
  <autoFilter ref="A429:F4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name="A_1_07_38" displayName="A_1_07_38" ref="A439:F445" totalsRowCount="1" headerRowCount="1">
  <autoFilter ref="A439:F4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name="A_1_07_39" displayName="A_1_07_39" ref="A449:F453" totalsRowCount="1" headerRowCount="1">
  <autoFilter ref="A449:F4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name="A_1_07_40" displayName="A_1_07_40" ref="A457:F461" totalsRowCount="1" headerRowCount="1">
  <autoFilter ref="A457:F4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name="A_1_07_41" displayName="A_1_07_41" ref="A465:F470" totalsRowCount="1" headerRowCount="1">
  <autoFilter ref="A465:F4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name="A_1_07_42" displayName="A_1_07_42" ref="A474:F479" totalsRowCount="1" headerRowCount="1">
  <autoFilter ref="A474:F4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name="A_1_07_43" displayName="A_1_07_43" ref="A483:F487" totalsRowCount="1" headerRowCount="1">
  <autoFilter ref="A483:F4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name="A_1_07_44" displayName="A_1_07_44" ref="A491:F497" totalsRowCount="1" headerRowCount="1">
  <autoFilter ref="A491:F4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name="A_1_07_45" displayName="A_1_07_45" ref="A501:F507" totalsRowCount="1" headerRowCount="1">
  <autoFilter ref="A501:F5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name="A_1_07_46" displayName="A_1_07_46" ref="A511:F517" totalsRowCount="1" headerRowCount="1">
  <autoFilter ref="A511:F5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name="A_1_07_47" displayName="A_1_07_47" ref="A521:F536" totalsRowCount="1" headerRowCount="1">
  <autoFilter ref="A521:F5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name="A_1_07_49" displayName="A_1_07_49" ref="A540:F548" totalsRowCount="1" headerRowCount="1">
  <autoFilter ref="A540:F5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name="A_1_07_50" displayName="A_1_07_50" ref="A552:F557" totalsRowCount="1" headerRowCount="1">
  <autoFilter ref="A552:F5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name="A_1_07_51" displayName="A_1_07_51" ref="A561:F569" totalsRowCount="1" headerRowCount="1">
  <autoFilter ref="A561:F5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name="A_1_07_52" displayName="A_1_07_52" ref="A573:F580" totalsRowCount="1" headerRowCount="1">
  <autoFilter ref="A573:F5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name="A_1_07_53" displayName="A_1_07_53" ref="A584:F596" totalsRowCount="1" headerRowCount="1">
  <autoFilter ref="A584:F5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name="A_1_07_54" displayName="A_1_07_54" ref="A600:F612" totalsRowCount="1" headerRowCount="1">
  <autoFilter ref="A600:F6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name="A_1_07_55" displayName="A_1_07_55" ref="A616:F628" totalsRowCount="1" headerRowCount="1">
  <autoFilter ref="A616:F6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name="A_1_07_56" displayName="A_1_07_56" ref="A632:F644" totalsRowCount="1" headerRowCount="1">
  <autoFilter ref="A632:F6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name="A_1_07_57" displayName="A_1_07_57" ref="A648:F659" totalsRowCount="1" headerRowCount="1">
  <autoFilter ref="A648:F6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name="A_1_07_58" displayName="A_1_07_58" ref="A663:F674" totalsRowCount="1" headerRowCount="1">
  <autoFilter ref="A663:F6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name="A_1_08_01" displayName="A_1_08_01" ref="A6:F13" totalsRowCount="1" headerRowCount="1">
  <autoFilter ref="A6:F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name="A_1_08_02" displayName="A_1_08_02" ref="A17:F24" totalsRowCount="1" headerRowCount="1">
  <autoFilter ref="A17:F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name="A_1_08_03" displayName="A_1_08_03" ref="A28:F35" totalsRowCount="1" headerRowCount="1">
  <autoFilter ref="A28:F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name="A_1_08_04" displayName="A_1_08_04" ref="A39:F47" totalsRowCount="1" headerRowCount="1">
  <autoFilter ref="A39:F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name="A_1_08_05" displayName="A_1_08_05" ref="A51:F57" totalsRowCount="1" headerRowCount="1">
  <autoFilter ref="A51:F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name="A_1_08_06" displayName="A_1_08_06" ref="A61:F68" totalsRowCount="1" headerRowCount="1">
  <autoFilter ref="A61:F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name="A_1_08_07" displayName="A_1_08_07" ref="A72:F79" totalsRowCount="1" headerRowCount="1">
  <autoFilter ref="A72:F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name="A_1_08_08" displayName="A_1_08_08" ref="A83:F90" totalsRowCount="1" headerRowCount="1">
  <autoFilter ref="A83:F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name="A_1_08_09" displayName="A_1_08_09" ref="A94:F101" totalsRowCount="1" headerRowCount="1">
  <autoFilter ref="A94:F1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name="A_1_09_01" displayName="A_1_09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name="A_1_09_02" displayName="A_1_09_02" ref="A15:F22" totalsRowCount="1" headerRowCount="1">
  <autoFilter ref="A15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name="A_1_09_03" displayName="A_1_09_03" ref="A26:F32" totalsRowCount="1" headerRowCount="1">
  <autoFilter ref="A26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name="A_1_09_04" displayName="A_1_09_04" ref="A36:F43" totalsRowCount="1" headerRowCount="1">
  <autoFilter ref="A36:F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name="A_1_09_05" displayName="A_1_09_05" ref="A47:F54" totalsRowCount="1" headerRowCount="1">
  <autoFilter ref="A47:F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name="A_1_09_06" displayName="A_1_09_06" ref="A58:F66" totalsRowCount="1" headerRowCount="1">
  <autoFilter ref="A58:F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name="A_1_09_07" displayName="A_1_09_07" ref="A70:F78" totalsRowCount="1" headerRowCount="1">
  <autoFilter ref="A70:F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name="A_1_09_08" displayName="A_1_09_08" ref="A82:F93" totalsRowCount="1" headerRowCount="1">
  <autoFilter ref="A82:F9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name="A_1_09_09" displayName="A_1_09_09" ref="A97:F105" totalsRowCount="1" headerRowCount="1">
  <autoFilter ref="A97:F1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name="A_1_09_10" displayName="A_1_09_10" ref="A109:F117" totalsRowCount="1" headerRowCount="1">
  <autoFilter ref="A109:F1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name="A_1_09_11" displayName="A_1_09_11" ref="A121:F129" totalsRowCount="1" headerRowCount="1">
  <autoFilter ref="A121:F1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name="A_1_09_12" displayName="A_1_09_12" ref="A133:F143" totalsRowCount="1" headerRowCount="1">
  <autoFilter ref="A133:F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name="A_1_09_13" displayName="A_1_09_13" ref="A147:F156" totalsRowCount="1" headerRowCount="1">
  <autoFilter ref="A147:F1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name="A_1_09_14" displayName="A_1_09_14" ref="A160:F167" totalsRowCount="1" headerRowCount="1">
  <autoFilter ref="A160:F1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name="A_1_09_15" displayName="A_1_09_15" ref="A171:F179" totalsRowCount="1" headerRowCount="1">
  <autoFilter ref="A171:F1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name="A_1_09_16" displayName="A_1_09_16" ref="A183:F188" totalsRowCount="1" headerRowCount="1">
  <autoFilter ref="A183:F1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name="A_1_09_17" displayName="A_1_09_17" ref="A192:F198" totalsRowCount="1" headerRowCount="1">
  <autoFilter ref="A192:F1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name="A_1_09_18" displayName="A_1_09_18" ref="A202:F209" totalsRowCount="1" headerRowCount="1">
  <autoFilter ref="A202:F2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name="A_1_09_19" displayName="A_1_09_19" ref="A213:F220" totalsRowCount="1" headerRowCount="1">
  <autoFilter ref="A213:F2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name="A_1_09_20" displayName="A_1_09_20" ref="A224:F231" totalsRowCount="1" headerRowCount="1">
  <autoFilter ref="A224:F2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name="A_1_09_21" displayName="A_1_09_21" ref="A235:F242" totalsRowCount="1" headerRowCount="1">
  <autoFilter ref="A235:F2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name="A_1_09_22" displayName="A_1_09_22" ref="A246:F252" totalsRowCount="1" headerRowCount="1">
  <autoFilter ref="A246:F2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name="A_1_09_23" displayName="A_1_09_23" ref="A256:F261" totalsRowCount="1" headerRowCount="1">
  <autoFilter ref="A256:F2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name="A_1_10_01" displayName="A_1_10_01" ref="A6:F16" totalsRowCount="1" headerRowCount="1">
  <autoFilter ref="A6:F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name="A_1_10_02" displayName="A_1_10_02" ref="A20:F30" totalsRowCount="1" headerRowCount="1">
  <autoFilter ref="A20:F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name="A_1_10_03" displayName="A_1_10_03" ref="A34:F44" totalsRowCount="1" headerRowCount="1">
  <autoFilter ref="A34:F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name="A_1_10_04" displayName="A_1_10_04" ref="A48:F57" totalsRowCount="1" headerRowCount="1">
  <autoFilter ref="A48:F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name="A_1_10_05" displayName="A_1_10_05" ref="A61:F70" totalsRowCount="1" headerRowCount="1">
  <autoFilter ref="A61:F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name="A_1_10_06" displayName="A_1_10_06" ref="A74:F82" totalsRowCount="1" headerRowCount="1">
  <autoFilter ref="A74:F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name="A_1_10_07" displayName="A_1_10_07" ref="A86:F92" totalsRowCount="1" headerRowCount="1">
  <autoFilter ref="A86:F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name="A_1_10_08" displayName="A_1_10_08" ref="A96:F102" totalsRowCount="1" headerRowCount="1">
  <autoFilter ref="A96:F1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name="A_1_10_09" displayName="A_1_10_09" ref="A106:F112" totalsRowCount="1" headerRowCount="1">
  <autoFilter ref="A106:F1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name="A_1_10_10" displayName="A_1_10_10" ref="A116:F127" totalsRowCount="1" headerRowCount="1">
  <autoFilter ref="A116:F1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name="A_1_10_11" displayName="A_1_10_11" ref="A131:F141" totalsRowCount="1" headerRowCount="1">
  <autoFilter ref="A131:F1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name="A_1_10_12" displayName="A_1_10_12" ref="A145:F151" totalsRowCount="1" headerRowCount="1">
  <autoFilter ref="A145:F1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name="A_1_10_13" displayName="A_1_10_13" ref="A155:F161" totalsRowCount="1" headerRowCount="1">
  <autoFilter ref="A155:F1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name="A_1_10_14" displayName="A_1_10_14" ref="A165:F171" totalsRowCount="1" headerRowCount="1">
  <autoFilter ref="A165:F1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name="A_1_10_15" displayName="A_1_10_15" ref="A175:F181" totalsRowCount="1" headerRowCount="1">
  <autoFilter ref="A175:F18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name="A_1_10_16" displayName="A_1_10_16" ref="A185:F191" totalsRowCount="1" headerRowCount="1">
  <autoFilter ref="A185:F1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name="A_1_10_17" displayName="A_1_10_17" ref="A195:F201" totalsRowCount="1" headerRowCount="1">
  <autoFilter ref="A195:F2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name="A_1_10_18" displayName="A_1_10_18" ref="A205:F211" totalsRowCount="1" headerRowCount="1">
  <autoFilter ref="A205:F2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name="A_1_10_19" displayName="A_1_10_19" ref="A215:F221" totalsRowCount="1" headerRowCount="1">
  <autoFilter ref="A215:F2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name="A_1_10_20" displayName="A_1_10_20" ref="A225:F232" totalsRowCount="1" headerRowCount="1">
  <autoFilter ref="A225:F2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name="A_1_10_21" displayName="A_1_10_21" ref="A236:F242" totalsRowCount="1" headerRowCount="1">
  <autoFilter ref="A236:F2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name="A_1_11_01" displayName="A_1_11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name="A_1_11_02" displayName="A_1_11_02" ref="A15:F22" totalsRowCount="1" headerRowCount="1">
  <autoFilter ref="A15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name="A_1_11_03" displayName="A_1_11_03" ref="A26:F31" totalsRowCount="1" headerRowCount="1">
  <autoFilter ref="A26:F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name="A_1_11_04" displayName="A_1_11_04" ref="A35:F40" totalsRowCount="1" headerRowCount="1">
  <autoFilter ref="A35:F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name="A_1_11_05" displayName="A_1_11_05" ref="A44:F51" totalsRowCount="1" headerRowCount="1">
  <autoFilter ref="A44:F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name="A_1_11_06" displayName="A_1_11_06" ref="A55:F62" totalsRowCount="1" headerRowCount="1">
  <autoFilter ref="A55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name="A_1_11_07" displayName="A_1_11_07" ref="A66:F78" totalsRowCount="1" headerRowCount="1">
  <autoFilter ref="A66:F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name="A_1_11_08" displayName="A_1_11_08" ref="A82:F93" totalsRowCount="1" headerRowCount="1">
  <autoFilter ref="A82:F9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name="A_1_11_09" displayName="A_1_11_09" ref="A97:F110" totalsRowCount="1" headerRowCount="1">
  <autoFilter ref="A97:F1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name="A_1_11_10" displayName="A_1_11_10" ref="A114:F123" totalsRowCount="1" headerRowCount="1">
  <autoFilter ref="A114:F1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name="A_1_11_11" displayName="A_1_11_11" ref="A127:F132" totalsRowCount="1" headerRowCount="1">
  <autoFilter ref="A127:F1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name="A_1_11_12" displayName="A_1_11_12" ref="A136:F142" totalsRowCount="1" headerRowCount="1">
  <autoFilter ref="A136:F1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name="A_1_11_13" displayName="A_1_11_13" ref="A146:F152" totalsRowCount="1" headerRowCount="1">
  <autoFilter ref="A146:F1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name="A_1_11_14" displayName="A_1_11_14" ref="A156:F162" totalsRowCount="1" headerRowCount="1">
  <autoFilter ref="A156:F1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name="A_1_11_15" displayName="A_1_11_15" ref="A166:F175" totalsRowCount="1" headerRowCount="1">
  <autoFilter ref="A166:F1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name="A_1_11_16" displayName="A_1_11_16" ref="A179:F184" totalsRowCount="1" headerRowCount="1">
  <autoFilter ref="A179:F1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name="A_1_11_17" displayName="A_1_11_17" ref="A188:F200" totalsRowCount="1" headerRowCount="1">
  <autoFilter ref="A188:F1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name="A_1_11_18" displayName="A_1_11_18" ref="A204:F208" totalsRowCount="1" headerRowCount="1">
  <autoFilter ref="A204:F2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name="A_1_11_19" displayName="A_1_11_19" ref="A212:F225" totalsRowCount="1" headerRowCount="1">
  <autoFilter ref="A212:F2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name="A_1_11_20" displayName="A_1_11_20" ref="A229:F239" totalsRowCount="1" headerRowCount="1">
  <autoFilter ref="A229:F2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name="A_1_11_21" displayName="A_1_11_21" ref="A243:F252" totalsRowCount="1" headerRowCount="1">
  <autoFilter ref="A243:F2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name="A_1_11_22" displayName="A_1_11_22" ref="A256:F263" totalsRowCount="1" headerRowCount="1">
  <autoFilter ref="A256:F2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name="A_1_11_23" displayName="A_1_11_23" ref="A267:F275" totalsRowCount="1" headerRowCount="1">
  <autoFilter ref="A267:F2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name="A_1_11_24" displayName="A_1_11_24" ref="A279:F285" totalsRowCount="1" headerRowCount="1">
  <autoFilter ref="A279:F2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name="A_1_11_25" displayName="A_1_11_25" ref="A289:F295" totalsRowCount="1" headerRowCount="1">
  <autoFilter ref="A289:F2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name="A_1_11_26" displayName="A_1_11_26" ref="A299:F305" totalsRowCount="1" headerRowCount="1">
  <autoFilter ref="A299:F3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name="A_1_11_27" displayName="A_1_11_27" ref="A309:F315" totalsRowCount="1" headerRowCount="1">
  <autoFilter ref="A309:F3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name="A_1_11_28" displayName="A_1_11_28" ref="A319:F326" totalsRowCount="1" headerRowCount="1">
  <autoFilter ref="A319:F3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name="A_1_11_29" displayName="A_1_11_29" ref="A330:F335" totalsRowCount="1" headerRowCount="1">
  <autoFilter ref="A330:F3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name="A_1_11_30" displayName="A_1_11_30" ref="A339:F345" totalsRowCount="1" headerRowCount="1">
  <autoFilter ref="A339:F3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name="A_1_11_31" displayName="A_1_11_31" ref="A349:F355" totalsRowCount="1" headerRowCount="1">
  <autoFilter ref="A349:F3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name="A_1_11_32" displayName="A_1_11_32" ref="A359:F367" totalsRowCount="1" headerRowCount="1">
  <autoFilter ref="A359:F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3" name="A_1_11_33" displayName="A_1_11_33" ref="A371:F378" totalsRowCount="1" headerRowCount="1">
  <autoFilter ref="A371:F3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name="A_1_11_34" displayName="A_1_11_34" ref="A382:F389" totalsRowCount="1" headerRowCount="1">
  <autoFilter ref="A382:F3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name="A_1_11_35" displayName="A_1_11_35" ref="A393:F398" totalsRowCount="1" headerRowCount="1">
  <autoFilter ref="A393:F3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name="A_1_11_36" displayName="A_1_11_36" ref="A402:F411" totalsRowCount="1" headerRowCount="1">
  <autoFilter ref="A402:F4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7" name="A_1_11_37" displayName="A_1_11_37" ref="A415:F422" totalsRowCount="1" headerRowCount="1">
  <autoFilter ref="A415:F4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8" name="A_1_11_38" displayName="A_1_11_38" ref="A426:F434" totalsRowCount="1" headerRowCount="1">
  <autoFilter ref="A426:F4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9" name="A_1_11_39" displayName="A_1_11_39" ref="A438:F444" totalsRowCount="1" headerRowCount="1">
  <autoFilter ref="A438:F4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name="A_1_11_40" displayName="A_1_11_40" ref="A448:F454" totalsRowCount="1" headerRowCount="1">
  <autoFilter ref="A448:F4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name="A_1_11_41" displayName="A_1_11_41" ref="A458:F469" totalsRowCount="1" headerRowCount="1">
  <autoFilter ref="A458:F4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2" name="A_1_11_42" displayName="A_1_11_42" ref="A473:F479" totalsRowCount="1" headerRowCount="1">
  <autoFilter ref="A473:F4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name="A_1_11_43" displayName="A_1_11_43" ref="A483:F490" totalsRowCount="1" headerRowCount="1">
  <autoFilter ref="A483:F4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name="A_1_12_01" displayName="A_1_12_01" ref="A6:F14" totalsRowCount="1" headerRowCount="1">
  <autoFilter ref="A6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name="A_1_12_02" displayName="A_1_12_02" ref="A18:F29" totalsRowCount="1" headerRowCount="1">
  <autoFilter ref="A18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name="A_1_12_03" displayName="A_1_12_03" ref="A33:F42" totalsRowCount="1" headerRowCount="1">
  <autoFilter ref="A33:F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name="A_1_12_04" displayName="A_1_12_04" ref="A46:F53" totalsRowCount="1" headerRowCount="1">
  <autoFilter ref="A46:F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name="A_1_12_05" displayName="A_1_12_05" ref="A57:F64" totalsRowCount="1" headerRowCount="1">
  <autoFilter ref="A57:F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name="A_1_12_06" displayName="A_1_12_06" ref="A68:F77" totalsRowCount="1" headerRowCount="1">
  <autoFilter ref="A68:F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name="A_1_12_07" displayName="A_1_12_07" ref="A81:F87" totalsRowCount="1" headerRowCount="1">
  <autoFilter ref="A81:F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1" name="A_1_12_08" displayName="A_1_12_08" ref="A91:F98" totalsRowCount="1" headerRowCount="1">
  <autoFilter ref="A91:F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2" name="A_1_12_09" displayName="A_1_12_09" ref="A102:F107" totalsRowCount="1" headerRowCount="1">
  <autoFilter ref="A102:F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3" name="A_1_12_10" displayName="A_1_12_10" ref="A111:F117" totalsRowCount="1" headerRowCount="1">
  <autoFilter ref="A111:F1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4" name="A_1_12_11" displayName="A_1_12_11" ref="A121:F127" totalsRowCount="1" headerRowCount="1">
  <autoFilter ref="A121:F1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5" name="A_1_12_12" displayName="A_1_12_12" ref="A131:F139" totalsRowCount="1" headerRowCount="1">
  <autoFilter ref="A131:F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6" name="A_1_12_13" displayName="A_1_12_13" ref="A143:F150" totalsRowCount="1" headerRowCount="1">
  <autoFilter ref="A143:F1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7" name="A_1_12_14" displayName="A_1_12_14" ref="A154:F161" totalsRowCount="1" headerRowCount="1">
  <autoFilter ref="A154:F1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8" name="A_1_12_15" displayName="A_1_12_15" ref="A165:F173" totalsRowCount="1" headerRowCount="1">
  <autoFilter ref="A165:F1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9" name="A_1_12_16" displayName="A_1_12_16" ref="A177:F186" totalsRowCount="1" headerRowCount="1">
  <autoFilter ref="A177:F1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0" name="A_1_12_17" displayName="A_1_12_17" ref="A190:F200" totalsRowCount="1" headerRowCount="1">
  <autoFilter ref="A190:F1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1" name="A_1_12_18" displayName="A_1_12_18" ref="A204:F212" totalsRowCount="1" headerRowCount="1">
  <autoFilter ref="A204:F2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2" name="A_1_12_19" displayName="A_1_12_19" ref="A216:F223" totalsRowCount="1" headerRowCount="1">
  <autoFilter ref="A216:F2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3" name="A_1_12_20" displayName="A_1_12_20" ref="A227:F236" totalsRowCount="1" headerRowCount="1">
  <autoFilter ref="A227:F2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4" name="A_1_12_21" displayName="A_1_12_21" ref="A240:F249" totalsRowCount="1" headerRowCount="1">
  <autoFilter ref="A240:F2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5" name="A_1_12_22" displayName="A_1_12_22" ref="A253:F260" totalsRowCount="1" headerRowCount="1">
  <autoFilter ref="A253:F2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6" name="A_1_12_23" displayName="A_1_12_23" ref="A264:F271" totalsRowCount="1" headerRowCount="1">
  <autoFilter ref="A264:F2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7" name="A_1_12_24" displayName="A_1_12_24" ref="A275:F282" totalsRowCount="1" headerRowCount="1">
  <autoFilter ref="A275:F2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8" name="A_1_12_25" displayName="A_1_12_25" ref="A286:F293" totalsRowCount="1" headerRowCount="1">
  <autoFilter ref="A286:F29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9" name="A_1_12_26" displayName="A_1_12_26" ref="A297:F304" totalsRowCount="1" headerRowCount="1">
  <autoFilter ref="A297:F3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0" name="A_1_12_27" displayName="A_1_12_27" ref="A308:F315" totalsRowCount="1" headerRowCount="1">
  <autoFilter ref="A308:F3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1" name="A_1_12_28" displayName="A_1_12_28" ref="A319:F325" totalsRowCount="1" headerRowCount="1">
  <autoFilter ref="A319:F3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2" name="A_1_12_29" displayName="A_1_12_29" ref="A329:F336" totalsRowCount="1" headerRowCount="1">
  <autoFilter ref="A329:F3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3" name="A_1_12_30" displayName="A_1_12_30" ref="A340:F347" totalsRowCount="1" headerRowCount="1">
  <autoFilter ref="A340:F3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4" name="A_1_12_31" displayName="A_1_12_31" ref="A351:F358" totalsRowCount="1" headerRowCount="1">
  <autoFilter ref="A351:F3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5" name="A_1_12_32" displayName="A_1_12_32" ref="A362:F369" totalsRowCount="1" headerRowCount="1">
  <autoFilter ref="A362:F3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6" name="A_1_12_33" displayName="A_1_12_33" ref="A373:F380" totalsRowCount="1" headerRowCount="1">
  <autoFilter ref="A373:F3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7" name="A_1_12_34" displayName="A_1_12_34" ref="A384:F392" totalsRowCount="1" headerRowCount="1">
  <autoFilter ref="A384:F3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8" name="A_1_12_35" displayName="A_1_12_35" ref="A396:F404" totalsRowCount="1" headerRowCount="1">
  <autoFilter ref="A396:F4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9" name="A_1_12_36" displayName="A_1_12_36" ref="A408:F416" totalsRowCount="1" headerRowCount="1">
  <autoFilter ref="A408:F4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0" name="A_1_12_37" displayName="A_1_12_37" ref="A420:F427" totalsRowCount="1" headerRowCount="1">
  <autoFilter ref="A420:F4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1" name="A_1_12_38" displayName="A_1_12_38" ref="A431:F437" totalsRowCount="1" headerRowCount="1">
  <autoFilter ref="A431:F4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2" name="A_1_12_39" displayName="A_1_12_39" ref="A441:F447" totalsRowCount="1" headerRowCount="1">
  <autoFilter ref="A441:F4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3" name="A_1_12_40" displayName="A_1_12_40" ref="A451:F458" totalsRowCount="1" headerRowCount="1">
  <autoFilter ref="A451:F4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4" name="A_1_12_41" displayName="A_1_12_41" ref="A462:F469" totalsRowCount="1" headerRowCount="1">
  <autoFilter ref="A462:F4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5" name="A_1_12_42" displayName="A_1_12_42" ref="A473:F479" totalsRowCount="1" headerRowCount="1">
  <autoFilter ref="A473:F4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6" name="A_1_12_43" displayName="A_1_12_43" ref="A483:F497" totalsRowCount="1" headerRowCount="1">
  <autoFilter ref="A483:F4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7" name="A_1_12_44" displayName="A_1_12_44" ref="A501:F508" totalsRowCount="1" headerRowCount="1">
  <autoFilter ref="A501:F5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8" name="A_1_12_45" displayName="A_1_12_45" ref="A512:F519" totalsRowCount="1" headerRowCount="1">
  <autoFilter ref="A512:F5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9" name="A_1_12_46" displayName="A_1_12_46" ref="A523:F530" totalsRowCount="1" headerRowCount="1">
  <autoFilter ref="A523:F5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0" name="A_1_12_47" displayName="A_1_12_47" ref="A534:F541" totalsRowCount="1" headerRowCount="1">
  <autoFilter ref="A534:F5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1" name="A_1_12_48" displayName="A_1_12_48" ref="A545:F551" totalsRowCount="1" headerRowCount="1">
  <autoFilter ref="A545:F5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2" name="A_1_12_49" displayName="A_1_12_49" ref="A555:F560" totalsRowCount="1" headerRowCount="1">
  <autoFilter ref="A555:F5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3" name="A_1_13_01" displayName="A_1_13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4" name="A_1_13_02" displayName="A_1_13_02" ref="A15:F22" totalsRowCount="1" headerRowCount="1">
  <autoFilter ref="A15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5" name="A_1_13_03" displayName="A_1_13_03" ref="A26:F34" totalsRowCount="1" headerRowCount="1">
  <autoFilter ref="A26:F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6" name="A_1_13_04" displayName="A_1_13_04" ref="A38:F43" totalsRowCount="1" headerRowCount="1">
  <autoFilter ref="A38:F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7" name="A_1_13_05" displayName="A_1_13_05" ref="A47:F55" totalsRowCount="1" headerRowCount="1">
  <autoFilter ref="A47:F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8" name="A_1_13_06" displayName="A_1_13_06" ref="A59:F72" totalsRowCount="1" headerRowCount="1">
  <autoFilter ref="A59:F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9" name="A_1_13_07" displayName="A_1_13_07" ref="A76:F85" totalsRowCount="1" headerRowCount="1">
  <autoFilter ref="A76:F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0" name="A_1_13_08" displayName="A_1_13_08" ref="A89:F96" totalsRowCount="1" headerRowCount="1">
  <autoFilter ref="A89:F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1" name="A_1_13_09" displayName="A_1_13_09" ref="A100:F113" totalsRowCount="1" headerRowCount="1">
  <autoFilter ref="A100:F1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2" name="A_1_13_10" displayName="A_1_13_10" ref="A117:F127" totalsRowCount="1" headerRowCount="1">
  <autoFilter ref="A117:F1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3" name="A_1_13_11" displayName="A_1_13_11" ref="A131:F146" totalsRowCount="1" headerRowCount="1">
  <autoFilter ref="A131:F1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4" name="A_1_13_12" displayName="A_1_13_12" ref="A150:F163" totalsRowCount="1" headerRowCount="1">
  <autoFilter ref="A150:F1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5" name="A_1_13_13" displayName="A_1_13_13" ref="A167:F174" totalsRowCount="1" headerRowCount="1">
  <autoFilter ref="A167:F1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6" name="A_1_13_14" displayName="A_1_13_14" ref="A178:F187" totalsRowCount="1" headerRowCount="1">
  <autoFilter ref="A178:F1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7" name="A_1_13_15" displayName="A_1_13_15" ref="A191:F195" totalsRowCount="1" headerRowCount="1">
  <autoFilter ref="A191:F1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8" name="A_1_13_16" displayName="A_1_13_16" ref="A199:F208" totalsRowCount="1" headerRowCount="1">
  <autoFilter ref="A199:F2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name="A_1_13_17" displayName="A_1_13_17" ref="A212:F222" totalsRowCount="1" headerRowCount="1">
  <autoFilter ref="A212:F2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name="A_1_13_18" displayName="A_1_13_18" ref="A226:F239" totalsRowCount="1" headerRowCount="1">
  <autoFilter ref="A226:F2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name="A_1_13_19" displayName="A_1_13_19" ref="A243:F251" totalsRowCount="1" headerRowCount="1">
  <autoFilter ref="A243:F2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name="A_1_13_20" displayName="A_1_13_20" ref="A255:F264" totalsRowCount="1" headerRowCount="1">
  <autoFilter ref="A255:F2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name="A_1_13_21" displayName="A_1_13_21" ref="A268:F272" totalsRowCount="1" headerRowCount="1">
  <autoFilter ref="A268:F2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name="A_1_14_01" displayName="A_1_14_01" ref="A6:F13" totalsRowCount="1" headerRowCount="1">
  <autoFilter ref="A6:F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name="A_1_14_02" displayName="A_1_14_02" ref="A17:F27" totalsRowCount="1" headerRowCount="1">
  <autoFilter ref="A17:F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name="A_1_14_03" displayName="A_1_14_03" ref="A31:F41" totalsRowCount="1" headerRowCount="1">
  <autoFilter ref="A31:F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name="A_1_14_04" displayName="A_1_14_04" ref="A45:F55" totalsRowCount="1" headerRowCount="1">
  <autoFilter ref="A45:F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name="A_1_14_05" displayName="A_1_14_05" ref="A59:F69" totalsRowCount="1" headerRowCount="1">
  <autoFilter ref="A59:F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name="A_1_14_06" displayName="A_1_14_06" ref="A73:F83" totalsRowCount="1" headerRowCount="1">
  <autoFilter ref="A73:F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name="A_1_14_07" displayName="A_1_14_07" ref="A87:F97" totalsRowCount="1" headerRowCount="1">
  <autoFilter ref="A87:F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1" name="A_1_14_08" displayName="A_1_14_08" ref="A101:F111" totalsRowCount="1" headerRowCount="1">
  <autoFilter ref="A101:F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2" name="A_1_14_09" displayName="A_1_14_09" ref="A115:F125" totalsRowCount="1" headerRowCount="1">
  <autoFilter ref="A115:F1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3" name="A_1_14_10" displayName="A_1_14_10" ref="A129:F139" totalsRowCount="1" headerRowCount="1">
  <autoFilter ref="A129:F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4" name="A_1_14_11" displayName="A_1_14_11" ref="A143:F153" totalsRowCount="1" headerRowCount="1">
  <autoFilter ref="A143:F1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name="A_1_14_12" displayName="A_1_14_12" ref="A157:F167" totalsRowCount="1" headerRowCount="1">
  <autoFilter ref="A157:F1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6" name="A_1_14_13" displayName="A_1_14_13" ref="A171:F181" totalsRowCount="1" headerRowCount="1">
  <autoFilter ref="A171:F18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7" name="A_1_14_14" displayName="A_1_14_14" ref="A185:F196" totalsRowCount="1" headerRowCount="1">
  <autoFilter ref="A185:F1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8" name="A_1_14_15" displayName="A_1_14_15" ref="A200:F210" totalsRowCount="1" headerRowCount="1">
  <autoFilter ref="A200:F2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9" name="A_1_14_16" displayName="A_1_14_16" ref="A214:F219" totalsRowCount="1" headerRowCount="1">
  <autoFilter ref="A214:F2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0" name="A_1_14_17" displayName="A_1_14_17" ref="A223:F228" totalsRowCount="1" headerRowCount="1">
  <autoFilter ref="A223:F2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1" name="A_1_14_18" displayName="A_1_14_18" ref="A232:F237" totalsRowCount="1" headerRowCount="1">
  <autoFilter ref="A232:F2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2" name="A_1_14_19" displayName="A_1_14_19" ref="A241:F246" totalsRowCount="1" headerRowCount="1">
  <autoFilter ref="A241:F2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3" name="A_1_14_20" displayName="A_1_14_20" ref="A250:F255" totalsRowCount="1" headerRowCount="1">
  <autoFilter ref="A250:F2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4" name="A_1_14_21" displayName="A_1_14_21" ref="A259:F264" totalsRowCount="1" headerRowCount="1">
  <autoFilter ref="A259:F2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5" name="A_1_14_22" displayName="A_1_14_22" ref="A268:F278" totalsRowCount="1" headerRowCount="1">
  <autoFilter ref="A268:F2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6" name="A_1_14_23" displayName="A_1_14_23" ref="A282:F292" totalsRowCount="1" headerRowCount="1">
  <autoFilter ref="A282:F2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7" name="A_1_14_24" displayName="A_1_14_24" ref="A296:F305" totalsRowCount="1" headerRowCount="1">
  <autoFilter ref="A296:F3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8" name="A_1_14_25" displayName="A_1_14_25" ref="A309:F316" totalsRowCount="1" headerRowCount="1">
  <autoFilter ref="A309:F3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9" name="A_1_14_26" displayName="A_1_14_26" ref="A320:F327" totalsRowCount="1" headerRowCount="1">
  <autoFilter ref="A320:F3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0" name="A_1_14_27" displayName="A_1_14_27" ref="A331:F338" totalsRowCount="1" headerRowCount="1">
  <autoFilter ref="A331:F3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1" name="A_1_14_28" displayName="A_1_14_28" ref="A342:F349" totalsRowCount="1" headerRowCount="1">
  <autoFilter ref="A342:F3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2" name="A_1_14_29" displayName="A_1_14_29" ref="A353:F360" totalsRowCount="1" headerRowCount="1">
  <autoFilter ref="A353:F3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3" name="A_1_14_30" displayName="A_1_14_30" ref="A364:F371" totalsRowCount="1" headerRowCount="1">
  <autoFilter ref="A364:F3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4" name="A_1_14_31" displayName="A_1_14_31" ref="A375:F385" totalsRowCount="1" headerRowCount="1">
  <autoFilter ref="A375:F3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5" name="A_1_14_32" displayName="A_1_14_32" ref="A389:F398" totalsRowCount="1" headerRowCount="1">
  <autoFilter ref="A389:F3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6" name="A_1_14_33" displayName="A_1_14_33" ref="A402:F412" totalsRowCount="1" headerRowCount="1">
  <autoFilter ref="A402:F4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7" name="A_1_14_34" displayName="A_1_14_34" ref="A416:F426" totalsRowCount="1" headerRowCount="1">
  <autoFilter ref="A416:F4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8" name="A_1_14_35" displayName="A_1_14_35" ref="A430:F439" totalsRowCount="1" headerRowCount="1">
  <autoFilter ref="A430:F4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4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9" name="A_1_14_36" displayName="A_1_14_36" ref="A443:F452" totalsRowCount="1" headerRowCount="1">
  <autoFilter ref="A443:F4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0" name="A_1_14_37" displayName="A_1_14_37" ref="A456:F465" totalsRowCount="1" headerRowCount="1">
  <autoFilter ref="A456:F4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1" name="A_1_14_38" displayName="A_1_14_38" ref="A469:F478" totalsRowCount="1" headerRowCount="1">
  <autoFilter ref="A469:F4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2" name="A_1_14_39" displayName="A_1_14_39" ref="A482:F491" totalsRowCount="1" headerRowCount="1">
  <autoFilter ref="A482:F4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3" name="A_1_15_01" displayName="A_1_15_01" ref="A6:F16" totalsRowCount="1" headerRowCount="1">
  <autoFilter ref="A6:F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4" name="A_1_15_02" displayName="A_1_15_02" ref="A20:F31" totalsRowCount="1" headerRowCount="1">
  <autoFilter ref="A20:F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5" name="A_1_15_03" displayName="A_1_15_03" ref="A35:F40" totalsRowCount="1" headerRowCount="1">
  <autoFilter ref="A35:F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6" name="A_1_15_04" displayName="A_1_15_04" ref="A44:F49" totalsRowCount="1" headerRowCount="1">
  <autoFilter ref="A44:F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7" name="A_1_15_05" displayName="A_1_15_05" ref="A53:F63" totalsRowCount="1" headerRowCount="1">
  <autoFilter ref="A53:F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8" name="A_1_15_06" displayName="A_1_15_06" ref="A67:F72" totalsRowCount="1" headerRowCount="1">
  <autoFilter ref="A67:F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9" name="A_1_15_07" displayName="A_1_15_07" ref="A76:F82" totalsRowCount="1" headerRowCount="1">
  <autoFilter ref="A76:F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0" name="A_1_15_08" displayName="A_1_15_08" ref="A86:F92" totalsRowCount="1" headerRowCount="1">
  <autoFilter ref="A86:F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1" name="A_1_15_09" displayName="A_1_15_09" ref="A96:F108" totalsRowCount="1" headerRowCount="1">
  <autoFilter ref="A96:F1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2" name="A_1_15_10" displayName="A_1_15_10" ref="A112:F121" totalsRowCount="1" headerRowCount="1">
  <autoFilter ref="A112:F1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3" name="A_1_15_11" displayName="A_1_15_11" ref="A125:F133" totalsRowCount="1" headerRowCount="1">
  <autoFilter ref="A125:F1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4" name="A_1_15_12" displayName="A_1_15_12" ref="A137:F146" totalsRowCount="1" headerRowCount="1">
  <autoFilter ref="A137:F1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5" name="A_1_15_13" displayName="A_1_15_13" ref="A150:F157" totalsRowCount="1" headerRowCount="1">
  <autoFilter ref="A150:F1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6" name="A_1_15_14" displayName="A_1_15_14" ref="A161:F173" totalsRowCount="1" headerRowCount="1">
  <autoFilter ref="A161:F1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7" name="A_1_15_15" displayName="A_1_15_15" ref="A177:F182" totalsRowCount="1" headerRowCount="1">
  <autoFilter ref="A177:F1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8" name="A_1_15_16" displayName="A_1_15_16" ref="A186:F191" totalsRowCount="1" headerRowCount="1">
  <autoFilter ref="A186:F1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9" name="A_1_15_17" displayName="A_1_15_17" ref="A195:F201" totalsRowCount="1" headerRowCount="1">
  <autoFilter ref="A195:F2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0" name="A_1_15_18" displayName="A_1_15_18" ref="A205:F211" totalsRowCount="1" headerRowCount="1">
  <autoFilter ref="A205:F2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1" name="A_1_16_01" displayName="A_1_16_01" ref="A6:F13" totalsRowCount="1" headerRowCount="1">
  <autoFilter ref="A6:F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2" name="A_1_16_02" displayName="A_1_16_02" ref="A17:F22" totalsRowCount="1" headerRowCount="1">
  <autoFilter ref="A17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3" name="A_1_16_03" displayName="A_1_16_03" ref="A26:F33" totalsRowCount="1" headerRowCount="1">
  <autoFilter ref="A26:F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4" name="A_1_16_04" displayName="A_1_16_04" ref="A37:F44" totalsRowCount="1" headerRowCount="1">
  <autoFilter ref="A37:F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5" name="A_1_16_05" displayName="A_1_16_05" ref="A48:F55" totalsRowCount="1" headerRowCount="1">
  <autoFilter ref="A48:F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6" name="A_1_16_06" displayName="A_1_16_06" ref="A59:F65" totalsRowCount="1" headerRowCount="1">
  <autoFilter ref="A59:F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7" name="A_1_16_07" displayName="A_1_16_07" ref="A69:F75" totalsRowCount="1" headerRowCount="1">
  <autoFilter ref="A69:F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8" name="A_1_16_08" displayName="A_1_16_08" ref="A79:F86" totalsRowCount="1" headerRowCount="1">
  <autoFilter ref="A79:F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9" name="A_1_16_09" displayName="A_1_16_09" ref="A90:F98" totalsRowCount="1" headerRowCount="1">
  <autoFilter ref="A90:F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0" name="A_1_16_10" displayName="A_1_16_10" ref="A102:F108" totalsRowCount="1" headerRowCount="1">
  <autoFilter ref="A102:F1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1" name="A_1_16_11" displayName="A_1_16_11" ref="A112:F118" totalsRowCount="1" headerRowCount="1">
  <autoFilter ref="A112:F1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2" name="A_1_16_12" displayName="A_1_16_12" ref="A122:F128" totalsRowCount="1" headerRowCount="1">
  <autoFilter ref="A122:F1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3" name="A_1_16_13" displayName="A_1_16_13" ref="A132:F138" totalsRowCount="1" headerRowCount="1">
  <autoFilter ref="A132:F1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4" name="A_1_16_14" displayName="A_1_16_14" ref="A142:F148" totalsRowCount="1" headerRowCount="1">
  <autoFilter ref="A142:F1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5" name="A_1_16_15" displayName="A_1_16_15" ref="A152:F158" totalsRowCount="1" headerRowCount="1">
  <autoFilter ref="A152:F1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6" name="A_1_16_16" displayName="A_1_16_16" ref="A162:F167" totalsRowCount="1" headerRowCount="1">
  <autoFilter ref="A162:F1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7" name="A_1_16_17" displayName="A_1_16_17" ref="A171:F177" totalsRowCount="1" headerRowCount="1">
  <autoFilter ref="A171:F1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8" name="A_1_16_18" displayName="A_1_16_18" ref="A181:F187" totalsRowCount="1" headerRowCount="1">
  <autoFilter ref="A181:F1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9" name="A_1_16_19" displayName="A_1_16_19" ref="A191:F197" totalsRowCount="1" headerRowCount="1">
  <autoFilter ref="A191:F1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0" name="A_1_16_20" displayName="A_1_16_20" ref="A201:F207" totalsRowCount="1" headerRowCount="1">
  <autoFilter ref="A201:F2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1" name="A_1_16_21" displayName="A_1_16_21" ref="A211:F217" totalsRowCount="1" headerRowCount="1">
  <autoFilter ref="A211:F2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2" name="A_1_17_01" displayName="A_1_17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3" name="A_1_17_02" displayName="A_1_17_02" ref="A15:F20" totalsRowCount="1" headerRowCount="1">
  <autoFilter ref="A15:F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4" name="A_1_17_03" displayName="A_1_17_03" ref="A24:F29" totalsRowCount="1" headerRowCount="1">
  <autoFilter ref="A24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5" name="A_1_17_04" displayName="A_1_17_04" ref="A33:F38" totalsRowCount="1" headerRowCount="1">
  <autoFilter ref="A33:F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6" name="A_1_17_05" displayName="A_1_17_05" ref="A42:F47" totalsRowCount="1" headerRowCount="1">
  <autoFilter ref="A42:F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7" name="A_1_17_06" displayName="A_1_17_06" ref="A51:F56" totalsRowCount="1" headerRowCount="1">
  <autoFilter ref="A51:F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8" name="A_1_18_01" displayName="A_1_18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9" name="A_1_18_02" displayName="A_1_18_02" ref="A15:F23" totalsRowCount="1" headerRowCount="1">
  <autoFilter ref="A15:F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0" name="A_1_18_03" displayName="A_1_18_03" ref="A27:F31" totalsRowCount="1" headerRowCount="1">
  <autoFilter ref="A27:F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1" name="A_1_18_04" displayName="A_1_18_04" ref="A35:F41" totalsRowCount="1" headerRowCount="1">
  <autoFilter ref="A35:F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2" name="A_1_18_05" displayName="A_1_18_05" ref="A45:F53" totalsRowCount="1" headerRowCount="1">
  <autoFilter ref="A45:F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3" name="A_1_18_06" displayName="A_1_18_06" ref="A57:F67" totalsRowCount="1" headerRowCount="1">
  <autoFilter ref="A57:F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4" name="A_1_18_07" displayName="A_1_18_07" ref="A71:F82" totalsRowCount="1" headerRowCount="1">
  <autoFilter ref="A71:F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5" name="A_1_18_08" displayName="A_1_18_08" ref="A86:F91" totalsRowCount="1" headerRowCount="1">
  <autoFilter ref="A86:F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6" name="A_1_18_09" displayName="A_1_18_09" ref="A95:F112" totalsRowCount="1" headerRowCount="1">
  <autoFilter ref="A95:F1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7" name="A_1_18_10" displayName="A_1_18_10" ref="A116:F122" totalsRowCount="1" headerRowCount="1">
  <autoFilter ref="A116:F1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8" name="A_1_18_11" displayName="A_1_18_11" ref="A126:F131" totalsRowCount="1" headerRowCount="1">
  <autoFilter ref="A126:F1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9" name="A_1_18_12" displayName="A_1_18_12" ref="A135:F139" totalsRowCount="1" headerRowCount="1">
  <autoFilter ref="A135:F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0" name="A_1_19_01" displayName="A_1_19_01" ref="A6:F8" totalsRowCount="1" headerRowCount="1">
  <autoFilter ref="A6:F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1" name="A_1_19_02" displayName="A_1_19_02" ref="A12:F14" totalsRowCount="1" headerRowCount="1">
  <autoFilter ref="A12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2" name="A_1_19_03" displayName="A_1_19_03" ref="A18:F21" totalsRowCount="1" headerRowCount="1">
  <autoFilter ref="A18:F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3" name="A_1_19_04" displayName="A_1_19_04" ref="A25:F27" totalsRowCount="1" headerRowCount="1">
  <autoFilter ref="A25:F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4" name="A_1_19_05" displayName="A_1_19_05" ref="A31:F33" totalsRowCount="1" headerRowCount="1">
  <autoFilter ref="A31:F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5" name="A_1_19_06" displayName="A_1_19_06" ref="A37:F39" totalsRowCount="1" headerRowCount="1">
  <autoFilter ref="A37:F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6" name="A_1_19_07" displayName="A_1_19_07" ref="A43:F48" totalsRowCount="1" headerRowCount="1">
  <autoFilter ref="A43:F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7" name="A_1_19_08" displayName="A_1_19_08" ref="A52:F56" totalsRowCount="1" headerRowCount="1">
  <autoFilter ref="A52:F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8" name="A_1_19_09" displayName="A_1_19_09" ref="A60:F65" totalsRowCount="1" headerRowCount="1">
  <autoFilter ref="A60:F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9" name="A_1_20_01" displayName="A_1_20_01" ref="A6:F17" totalsRowCount="1" headerRowCount="1">
  <autoFilter ref="A6:F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0" name="A_1_20_02" displayName="A_1_20_02" ref="A21:F27" totalsRowCount="1" headerRowCount="1">
  <autoFilter ref="A21:F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1" name="A_1_20_03" displayName="A_1_20_03" ref="A31:F43" totalsRowCount="1" headerRowCount="1">
  <autoFilter ref="A31:F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2" name="A_1_20_04" displayName="A_1_20_04" ref="A47:F56" totalsRowCount="1" headerRowCount="1">
  <autoFilter ref="A47:F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3" name="A_1_20_05" displayName="A_1_20_05" ref="A60:F64" totalsRowCount="1" headerRowCount="1">
  <autoFilter ref="A60:F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4" name="A_1_20_06" displayName="A_1_20_06" ref="A68:F80" totalsRowCount="1" headerRowCount="1">
  <autoFilter ref="A68:F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5" name="A_1_20_07" displayName="A_1_20_07" ref="A84:F91" totalsRowCount="1" headerRowCount="1">
  <autoFilter ref="A84:F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6" name="A_1_20_08" displayName="A_1_20_08" ref="A95:F106" totalsRowCount="1" headerRowCount="1">
  <autoFilter ref="A95:F1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7" name="A_1_20_09" displayName="A_1_20_09" ref="A110:F120" totalsRowCount="1" headerRowCount="1">
  <autoFilter ref="A110:F1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8" name="A_1_20_10" displayName="A_1_20_10" ref="A124:F129" totalsRowCount="1" headerRowCount="1">
  <autoFilter ref="A124:F1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9" name="A_1_20_11" displayName="A_1_20_11" ref="A133:F143" totalsRowCount="1" headerRowCount="1">
  <autoFilter ref="A133:F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0" name="A_1_20_12" displayName="A_1_20_12" ref="A147:F154" totalsRowCount="1" headerRowCount="1">
  <autoFilter ref="A147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1" name="A_1_21_01" displayName="A_1_21_01" ref="A6:F12" totalsRowCount="1" headerRowCount="1">
  <autoFilter ref="A6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2" name="A_1_21_02" displayName="A_1_21_02" ref="A16:F25" totalsRowCount="1" headerRowCount="1">
  <autoFilter ref="A16:F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3" name="A_1_21_03" displayName="A_1_21_03" ref="A29:F32" totalsRowCount="1" headerRowCount="1">
  <autoFilter ref="A29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4" name="A_1_21_04" displayName="A_1_21_04" ref="A36:F39" totalsRowCount="1" headerRowCount="1">
  <autoFilter ref="A36:F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5" name="A_1_21_05" displayName="A_1_21_05" ref="A43:F46" totalsRowCount="1" headerRowCount="1">
  <autoFilter ref="A43:F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6" name="A_1_21_06" displayName="A_1_21_06" ref="A50:F53" totalsRowCount="1" headerRowCount="1">
  <autoFilter ref="A50:F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7" name="A_1_21_07" displayName="A_1_21_07" ref="A57:F63" totalsRowCount="1" headerRowCount="1">
  <autoFilter ref="A57:F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8" name="A_1_21_08" displayName="A_1_21_08" ref="A67:F76" totalsRowCount="1" headerRowCount="1">
  <autoFilter ref="A67:F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9" name="A_1_21_09" displayName="A_1_21_09" ref="A80:F90" totalsRowCount="1" headerRowCount="1">
  <autoFilter ref="A80:F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0" name="A_1_21_10" displayName="A_1_21_10" ref="A94:F102" totalsRowCount="1" headerRowCount="1">
  <autoFilter ref="A94:F1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1" name="A_1_21_11" displayName="A_1_21_11" ref="A106:F113" totalsRowCount="1" headerRowCount="1">
  <autoFilter ref="A106:F1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2" name="A_1_21_12" displayName="A_1_21_12" ref="A117:F123" totalsRowCount="1" headerRowCount="1">
  <autoFilter ref="A117:F1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3" name="A_1_21_13" displayName="A_1_21_13" ref="A127:F133" totalsRowCount="1" headerRowCount="1">
  <autoFilter ref="A127:F1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4" name="A_1_21_14" displayName="A_1_21_14" ref="A137:F144" totalsRowCount="1" headerRowCount="1">
  <autoFilter ref="A137:F1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5" name="A_1_21_15" displayName="A_1_21_15" ref="A148:F151" totalsRowCount="1" headerRowCount="1">
  <autoFilter ref="A148:F1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6" name="A_1_21_16" displayName="A_1_21_16" ref="A155:F158" totalsRowCount="1" headerRowCount="1">
  <autoFilter ref="A155:F1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7" name="A_1_22_01" displayName="A_1_22_01" ref="A6:F12" totalsRowCount="1" headerRowCount="1">
  <autoFilter ref="A6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8" name="A_1_22_02" displayName="A_1_22_02" ref="A16:F22" totalsRowCount="1" headerRowCount="1">
  <autoFilter ref="A16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5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9" name="A_1_22_03" displayName="A_1_22_03" ref="A26:F30" totalsRowCount="1" headerRowCount="1">
  <autoFilter ref="A26:F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0" name="A_1_22_04" displayName="A_1_22_04" ref="A34:F45" totalsRowCount="1" headerRowCount="1">
  <autoFilter ref="A34:F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1" name="A_1_22_05" displayName="A_1_22_05" ref="A49:F60" totalsRowCount="1" headerRowCount="1">
  <autoFilter ref="A49:F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2" name="A_1_22_06" displayName="A_1_22_06" ref="A64:F75" totalsRowCount="1" headerRowCount="1">
  <autoFilter ref="A64:F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3" name="A_1_22_07" displayName="A_1_22_07" ref="A79:F86" totalsRowCount="1" headerRowCount="1">
  <autoFilter ref="A79:F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4" name="A_1_22_08" displayName="A_1_22_08" ref="A90:F96" totalsRowCount="1" headerRowCount="1">
  <autoFilter ref="A90:F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5" name="A_1_22_09" displayName="A_1_22_09" ref="A100:F104" totalsRowCount="1" headerRowCount="1">
  <autoFilter ref="A100:F1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6" name="A_1_22_10" displayName="A_1_22_10" ref="A108:F111" totalsRowCount="1" headerRowCount="1">
  <autoFilter ref="A108:F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7" name="A_1_22_11" displayName="A_1_22_11" ref="A115:F119" totalsRowCount="1" headerRowCount="1">
  <autoFilter ref="A115:F1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8" name="A_1_22_12" displayName="A_1_22_12" ref="A123:F134" totalsRowCount="1" headerRowCount="1">
  <autoFilter ref="A123:F1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9" name="A_1_22_13" displayName="A_1_22_13" ref="A138:F150" totalsRowCount="1" headerRowCount="1">
  <autoFilter ref="A138:F1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0" name="A_1_22_14" displayName="A_1_22_14" ref="A154:F160" totalsRowCount="1" headerRowCount="1">
  <autoFilter ref="A154:F1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1" name="A_1_22_15" displayName="A_1_22_15" ref="A164:F170" totalsRowCount="1" headerRowCount="1">
  <autoFilter ref="A164:F1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2" name="A_1_22_16" displayName="A_1_22_16" ref="A174:F177" totalsRowCount="1" headerRowCount="1">
  <autoFilter ref="A174:F1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3" name="A_1_22_17" displayName="A_1_22_17" ref="A181:F184" totalsRowCount="1" headerRowCount="1">
  <autoFilter ref="A181:F1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4" name="A_1_22_18" displayName="A_1_22_18" ref="A188:F192" totalsRowCount="1" headerRowCount="1">
  <autoFilter ref="A188:F1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5" name="A_1_22_19" displayName="A_1_22_19" ref="A196:F199" totalsRowCount="1" headerRowCount="1">
  <autoFilter ref="A196:F1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6" name="A_1_22_20" displayName="A_1_22_20" ref="A203:F206" totalsRowCount="1" headerRowCount="1">
  <autoFilter ref="A203:F2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7" name="A_1_22_21" displayName="A_1_22_21" ref="A210:F213" totalsRowCount="1" headerRowCount="1">
  <autoFilter ref="A210:F2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8" name="A_1_22_22" displayName="A_1_22_22" ref="A217:F220" totalsRowCount="1" headerRowCount="1">
  <autoFilter ref="A217:F2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9" name="A_1_22_23" displayName="A_1_22_23" ref="A224:F227" totalsRowCount="1" headerRowCount="1">
  <autoFilter ref="A224:F2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0" name="A_1_22_24" displayName="A_1_22_24" ref="A231:F234" totalsRowCount="1" headerRowCount="1">
  <autoFilter ref="A231:F2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1" name="A_1_22_25" displayName="A_1_22_25" ref="A238:F241" totalsRowCount="1" headerRowCount="1">
  <autoFilter ref="A238:F2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2" name="A_1_22_26" displayName="A_1_22_26" ref="A245:F248" totalsRowCount="1" headerRowCount="1">
  <autoFilter ref="A245:F2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3" name="A_1_22_27" displayName="A_1_22_27" ref="A252:F255" totalsRowCount="1" headerRowCount="1">
  <autoFilter ref="A252:F2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4" name="A_1_22_28" displayName="A_1_22_28" ref="A259:F262" totalsRowCount="1" headerRowCount="1">
  <autoFilter ref="A259:F2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5" name="A_1_22_29" displayName="A_1_22_29" ref="A266:F269" totalsRowCount="1" headerRowCount="1">
  <autoFilter ref="A266:F2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6" name="A_1_22_30" displayName="A_1_22_30" ref="A273:F279" totalsRowCount="1" headerRowCount="1">
  <autoFilter ref="A273:F2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7" name="A_1_22_31" displayName="A_1_22_31" ref="A283:F288" totalsRowCount="1" headerRowCount="1">
  <autoFilter ref="A283:F2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8" name="A_1_22_32" displayName="A_1_22_32" ref="A292:F297" totalsRowCount="1" headerRowCount="1">
  <autoFilter ref="A292:F2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9" name="A_1_22_33" displayName="A_1_22_33" ref="A301:F304" totalsRowCount="1" headerRowCount="1">
  <autoFilter ref="A301:F3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0" name="A_1_22_34" displayName="A_1_22_34" ref="A308:F312" totalsRowCount="1" headerRowCount="1">
  <autoFilter ref="A308:F3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1" name="A_1_22_35" displayName="A_1_22_35" ref="A316:F319" totalsRowCount="1" headerRowCount="1">
  <autoFilter ref="A316:F3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2" name="A_1_23_01" displayName="A_1_23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3" name="A_2_01_01" displayName="A_2_01_01" ref="A6:F9" totalsRowCount="1" headerRowCount="1">
  <autoFilter ref="A6:F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4" name="A_2_01_02" displayName="A_2_01_02" ref="A13:F21" totalsRowCount="1" headerRowCount="1">
  <autoFilter ref="A13:F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5" name="A_2_01_03" displayName="A_2_01_03" ref="A25:F33" totalsRowCount="1" headerRowCount="1">
  <autoFilter ref="A25:F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6" name="A_2_01_04" displayName="A_2_01_04" ref="A37:F44" totalsRowCount="1" headerRowCount="1">
  <autoFilter ref="A37:F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7" name="A_2_01_05" displayName="A_2_01_05" ref="A48:F54" totalsRowCount="1" headerRowCount="1">
  <autoFilter ref="A48:F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8" name="A_2_01_06" displayName="A_2_01_06" ref="A58:F65" totalsRowCount="1" headerRowCount="1">
  <autoFilter ref="A58:F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9" name="A_2_01_07" displayName="A_2_01_07" ref="A69:F75" totalsRowCount="1" headerRowCount="1">
  <autoFilter ref="A69:F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0" name="A_2_01_08" displayName="A_2_01_08" ref="A79:F86" totalsRowCount="1" headerRowCount="1">
  <autoFilter ref="A79:F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1" name="A_2_01_09" displayName="A_2_01_09" ref="A90:F95" totalsRowCount="1" headerRowCount="1">
  <autoFilter ref="A90:F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2" name="A_2_01_10" displayName="A_2_01_10" ref="A99:F105" totalsRowCount="1" headerRowCount="1">
  <autoFilter ref="A99:F1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3" name="A_2_01_11" displayName="A_2_01_11" ref="A109:F117" totalsRowCount="1" headerRowCount="1">
  <autoFilter ref="A109:F1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4" name="A_2_01_12" displayName="A_2_01_12" ref="A121:F127" totalsRowCount="1" headerRowCount="1">
  <autoFilter ref="A121:F1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5" name="A_2_01_13" displayName="A_2_01_13" ref="A131:F137" totalsRowCount="1" headerRowCount="1">
  <autoFilter ref="A131:F1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6" name="A_2_01_14" displayName="A_2_01_14" ref="A141:F147" totalsRowCount="1" headerRowCount="1">
  <autoFilter ref="A141:F1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7" name="A_2_01_15" displayName="A_2_01_15" ref="A151:F159" totalsRowCount="1" headerRowCount="1">
  <autoFilter ref="A151:F1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8" name="A_2_01_16" displayName="A_2_01_16" ref="A163:F171" totalsRowCount="1" headerRowCount="1">
  <autoFilter ref="A163:F1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9" name="A_2_01_17" displayName="A_2_01_17" ref="A175:F183" totalsRowCount="1" headerRowCount="1">
  <autoFilter ref="A175:F1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0" name="A_2_01_18" displayName="A_2_01_18" ref="A187:F195" totalsRowCount="1" headerRowCount="1">
  <autoFilter ref="A187:F1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1" name="A_2_01_19" displayName="A_2_01_19" ref="A199:F207" totalsRowCount="1" headerRowCount="1">
  <autoFilter ref="A199:F2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2" name="A_2_01_20" displayName="A_2_01_20" ref="A211:F219" totalsRowCount="1" headerRowCount="1">
  <autoFilter ref="A211:F2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3" name="A_2_01_21" displayName="A_2_01_21" ref="A223:F231" totalsRowCount="1" headerRowCount="1">
  <autoFilter ref="A223:F2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4" name="A_2_01_22" displayName="A_2_01_22" ref="A235:F243" totalsRowCount="1" headerRowCount="1">
  <autoFilter ref="A235:F2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5" name="A_2_01_23" displayName="A_2_01_23" ref="A247:F255" totalsRowCount="1" headerRowCount="1">
  <autoFilter ref="A247:F2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6" name="A_2_01_24" displayName="A_2_01_24" ref="A259:F265" totalsRowCount="1" headerRowCount="1">
  <autoFilter ref="A259:F2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7" name="A_2_01_25" displayName="A_2_01_25" ref="A269:F275" totalsRowCount="1" headerRowCount="1">
  <autoFilter ref="A269:F2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8" name="A_2_01_26" displayName="A_2_01_26" ref="A279:F285" totalsRowCount="1" headerRowCount="1">
  <autoFilter ref="A279:F2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9" name="A_2_01_27" displayName="A_2_01_27" ref="A289:F295" totalsRowCount="1" headerRowCount="1">
  <autoFilter ref="A289:F2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0" name="A_2_01_28" displayName="A_2_01_28" ref="A299:F306" totalsRowCount="1" headerRowCount="1">
  <autoFilter ref="A299:F3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1" name="A_2_01_29" displayName="A_2_01_29" ref="A310:F317" totalsRowCount="1" headerRowCount="1">
  <autoFilter ref="A310:F3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2" name="A_2_01_30" displayName="A_2_01_30" ref="A321:F327" totalsRowCount="1" headerRowCount="1">
  <autoFilter ref="A321:F3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3" name="A_2_01_31" displayName="A_2_01_31" ref="A331:F337" totalsRowCount="1" headerRowCount="1">
  <autoFilter ref="A331:F3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4" name="A_2_01_32" displayName="A_2_01_32" ref="A341:F347" totalsRowCount="1" headerRowCount="1">
  <autoFilter ref="A341:F3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5" name="A_2_01_33" displayName="A_2_01_33" ref="A351:F357" totalsRowCount="1" headerRowCount="1">
  <autoFilter ref="A351:F3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6" name="A_2_01_34" displayName="A_2_01_34" ref="A361:F367" totalsRowCount="1" headerRowCount="1">
  <autoFilter ref="A361:F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7" name="A_2_01_35" displayName="A_2_01_35" ref="A371:F377" totalsRowCount="1" headerRowCount="1">
  <autoFilter ref="A371:F3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8" name="A_2_01_36" displayName="A_2_01_36" ref="A381:F387" totalsRowCount="1" headerRowCount="1">
  <autoFilter ref="A381:F3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9" name="A_2_01_37" displayName="A_2_01_37" ref="A391:F399" totalsRowCount="1" headerRowCount="1">
  <autoFilter ref="A391:F3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0" name="A_2_01_39" displayName="A_2_01_39" ref="A403:F409" totalsRowCount="1" headerRowCount="1">
  <autoFilter ref="A403:F4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1" name="A_2_01_40" displayName="A_2_01_40" ref="A413:F419" totalsRowCount="1" headerRowCount="1">
  <autoFilter ref="A413:F4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2" name="A_2_01_41" displayName="A_2_01_41" ref="A423:F429" totalsRowCount="1" headerRowCount="1">
  <autoFilter ref="A423:F4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3" name="A_2_01_42" displayName="A_2_01_42" ref="A433:F439" totalsRowCount="1" headerRowCount="1">
  <autoFilter ref="A433:F4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4" name="A_2_01_43" displayName="A_2_01_43" ref="A443:F449" totalsRowCount="1" headerRowCount="1">
  <autoFilter ref="A443:F4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5" name="A_2_01_44" displayName="A_2_01_44" ref="A453:F459" totalsRowCount="1" headerRowCount="1">
  <autoFilter ref="A453:F4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6" name="A_2_01_45" displayName="A_2_01_45" ref="A463:F469" totalsRowCount="1" headerRowCount="1">
  <autoFilter ref="A463:F4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7" name="A_2_01_46" displayName="A_2_01_46" ref="A473:F480" totalsRowCount="1" headerRowCount="1">
  <autoFilter ref="A473:F4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8" name="A_2_01_47" displayName="A_2_01_47" ref="A484:F490" totalsRowCount="1" headerRowCount="1">
  <autoFilter ref="A484:F4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9" name="A_2_01_48" displayName="A_2_01_48" ref="A494:F500" totalsRowCount="1" headerRowCount="1">
  <autoFilter ref="A494:F4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0" name="A_2_01_49" displayName="A_2_01_49" ref="A504:F511" totalsRowCount="1" headerRowCount="1">
  <autoFilter ref="A504:F5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1" name="A_2_01_50" displayName="A_2_01_50" ref="A515:F521" totalsRowCount="1" headerRowCount="1">
  <autoFilter ref="A515:F5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2" name="A_2_01_51" displayName="A_2_01_51" ref="A525:F531" totalsRowCount="1" headerRowCount="1">
  <autoFilter ref="A525:F5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3" name="A_2_01_52" displayName="A_2_01_52" ref="A535:F541" totalsRowCount="1" headerRowCount="1">
  <autoFilter ref="A535:F5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4" name="A_2_01_53" displayName="A_2_01_53" ref="A545:F551" totalsRowCount="1" headerRowCount="1">
  <autoFilter ref="A545:F5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5" name="A_2_01_54" displayName="A_2_01_54" ref="A555:F561" totalsRowCount="1" headerRowCount="1">
  <autoFilter ref="A555:F5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6" name="A_2_02_01" displayName="A_2_02_01" ref="A6:F12" totalsRowCount="1" headerRowCount="1">
  <autoFilter ref="A6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7" name="A_2_02_02" displayName="A_2_02_02" ref="A16:F22" totalsRowCount="1" headerRowCount="1">
  <autoFilter ref="A16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8" name="A_2_02_03" displayName="A_2_02_03" ref="A26:F32" totalsRowCount="1" headerRowCount="1">
  <autoFilter ref="A26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9" name="A_2_02_04" displayName="A_2_02_04" ref="A36:F42" totalsRowCount="1" headerRowCount="1">
  <autoFilter ref="A36:F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0" name="A_2_02_05" displayName="A_2_02_05" ref="A46:F52" totalsRowCount="1" headerRowCount="1">
  <autoFilter ref="A46:F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1" name="A_2_02_06" displayName="A_2_02_06" ref="A56:F62" totalsRowCount="1" headerRowCount="1">
  <autoFilter ref="A56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2" name="A_2_02_07" displayName="A_2_02_07" ref="A66:F72" totalsRowCount="1" headerRowCount="1">
  <autoFilter ref="A66:F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3" name="A_2_02_08" displayName="A_2_02_08" ref="A76:F82" totalsRowCount="1" headerRowCount="1">
  <autoFilter ref="A76:F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4" name="A_2_02_09" displayName="A_2_02_09" ref="A86:F92" totalsRowCount="1" headerRowCount="1">
  <autoFilter ref="A86:F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5" name="A_2_02_10" displayName="A_2_02_10" ref="A96:F102" totalsRowCount="1" headerRowCount="1">
  <autoFilter ref="A96:F1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6" name="A_2_03_01" displayName="A_2_03_01" ref="A6:F12" totalsRowCount="1" headerRowCount="1">
  <autoFilter ref="A6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7" name="A_2_03_02" displayName="A_2_03_02" ref="A16:F22" totalsRowCount="1" headerRowCount="1">
  <autoFilter ref="A16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8" name="A_2_03_03" displayName="A_2_03_03" ref="A26:F32" totalsRowCount="1" headerRowCount="1">
  <autoFilter ref="A26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6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9" name="A_2_03_04" displayName="A_2_03_04" ref="A36:F42" totalsRowCount="1" headerRowCount="1">
  <autoFilter ref="A36:F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0" name="A_2_03_05" displayName="A_2_03_05" ref="A46:F52" totalsRowCount="1" headerRowCount="1">
  <autoFilter ref="A46:F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1" name="A_2_03_06" displayName="A_2_03_06" ref="A56:F62" totalsRowCount="1" headerRowCount="1">
  <autoFilter ref="A56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2" name="A_2_04_01" displayName="A_2_04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3" name="A_2_04_02" displayName="A_2_04_02" ref="A15:F22" totalsRowCount="1" headerRowCount="1">
  <autoFilter ref="A15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4" name="A_2_04_03" displayName="A_2_04_03" ref="A26:F33" totalsRowCount="1" headerRowCount="1">
  <autoFilter ref="A26:F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5" name="A_2_04_04" displayName="A_2_04_04" ref="A37:F44" totalsRowCount="1" headerRowCount="1">
  <autoFilter ref="A37:F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6" name="A_2_04_05" displayName="A_2_04_05" ref="A48:F55" totalsRowCount="1" headerRowCount="1">
  <autoFilter ref="A48:F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7" name="A_2_04_06" displayName="A_2_04_06" ref="A59:F65" totalsRowCount="1" headerRowCount="1">
  <autoFilter ref="A59:F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8" name="A_2_04_07" displayName="A_2_04_07" ref="A69:F75" totalsRowCount="1" headerRowCount="1">
  <autoFilter ref="A69:F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9" name="A_2_04_08" displayName="A_2_04_08" ref="A79:F85" totalsRowCount="1" headerRowCount="1">
  <autoFilter ref="A79:F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0" name="A_2_04_09" displayName="A_2_04_09" ref="A89:F94" totalsRowCount="1" headerRowCount="1">
  <autoFilter ref="A89:F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1" name="A_2_04_10" displayName="A_2_04_10" ref="A98:F104" totalsRowCount="1" headerRowCount="1">
  <autoFilter ref="A98:F1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2" name="A_2_04_11" displayName="A_2_04_11" ref="A108:F114" totalsRowCount="1" headerRowCount="1">
  <autoFilter ref="A108:F1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3" name="A_2_04_12" displayName="A_2_04_12" ref="A118:F124" totalsRowCount="1" headerRowCount="1">
  <autoFilter ref="A118:F1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4" name="A_2_04_13" displayName="A_2_04_13" ref="A128:F134" totalsRowCount="1" headerRowCount="1">
  <autoFilter ref="A128:F1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5" name="A_2_04_14" displayName="A_2_04_14" ref="A138:F144" totalsRowCount="1" headerRowCount="1">
  <autoFilter ref="A138:F1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6" name="A_2_04_15" displayName="A_2_04_15" ref="A148:F154" totalsRowCount="1" headerRowCount="1">
  <autoFilter ref="A148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7" name="A_2_04_16" displayName="A_2_04_16" ref="A158:F164" totalsRowCount="1" headerRowCount="1">
  <autoFilter ref="A158:F1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8" name="A_2_04_17" displayName="A_2_04_17" ref="A168:F174" totalsRowCount="1" headerRowCount="1">
  <autoFilter ref="A168:F1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9" name="A_2_04_18" displayName="A_2_04_18" ref="A178:F184" totalsRowCount="1" headerRowCount="1">
  <autoFilter ref="A178:F1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0" name="A_2_04_19" displayName="A_2_04_19" ref="A188:F194" totalsRowCount="1" headerRowCount="1">
  <autoFilter ref="A188:F1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1" name="A_2_04_20" displayName="A_2_04_20" ref="A198:F204" totalsRowCount="1" headerRowCount="1">
  <autoFilter ref="A198:F2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2" name="A_2_04_21" displayName="A_2_04_21" ref="A208:F214" totalsRowCount="1" headerRowCount="1">
  <autoFilter ref="A208:F2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3" name="A_2_04_22" displayName="A_2_04_22" ref="A218:F224" totalsRowCount="1" headerRowCount="1">
  <autoFilter ref="A218:F2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4" name="A_2_04_23" displayName="A_2_04_23" ref="A228:F234" totalsRowCount="1" headerRowCount="1">
  <autoFilter ref="A228:F2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5" name="A_2_04_24" displayName="A_2_04_24" ref="A238:F244" totalsRowCount="1" headerRowCount="1">
  <autoFilter ref="A238:F2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6" name="A_2_04_25" displayName="A_2_04_25" ref="A248:F254" totalsRowCount="1" headerRowCount="1">
  <autoFilter ref="A248:F2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7" name="A_2_04_26" displayName="A_2_04_26" ref="A258:F264" totalsRowCount="1" headerRowCount="1">
  <autoFilter ref="A258:F2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8" name="A_2_04_27" displayName="A_2_04_27" ref="A268:F274" totalsRowCount="1" headerRowCount="1">
  <autoFilter ref="A268:F2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9" name="A_2_04_28" displayName="A_2_04_28" ref="A278:F284" totalsRowCount="1" headerRowCount="1">
  <autoFilter ref="A278:F2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0" name="A_2_04_29" displayName="A_2_04_29" ref="A288:F294" totalsRowCount="1" headerRowCount="1">
  <autoFilter ref="A288:F2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1" name="A_2_04_30" displayName="A_2_04_30" ref="A298:F304" totalsRowCount="1" headerRowCount="1">
  <autoFilter ref="A298:F3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2" name="A_2_04_31" displayName="A_2_04_31" ref="A308:F314" totalsRowCount="1" headerRowCount="1">
  <autoFilter ref="A308:F3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3" name="A_2_04_32" displayName="A_2_04_32" ref="A318:F325" totalsRowCount="1" headerRowCount="1">
  <autoFilter ref="A318:F3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4" name="A_2_04_33" displayName="A_2_04_33" ref="A329:F336" totalsRowCount="1" headerRowCount="1">
  <autoFilter ref="A329:F3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5" name="A_2_04_34" displayName="A_2_04_34" ref="A340:F347" totalsRowCount="1" headerRowCount="1">
  <autoFilter ref="A340:F3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6" name="A_2_04_35" displayName="A_2_04_35" ref="A351:F357" totalsRowCount="1" headerRowCount="1">
  <autoFilter ref="A351:F3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7" name="A_2_04_36" displayName="A_2_04_36" ref="A361:F367" totalsRowCount="1" headerRowCount="1">
  <autoFilter ref="A361:F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8" name="A_2_04_37" displayName="A_2_04_37" ref="A371:F377" totalsRowCount="1" headerRowCount="1">
  <autoFilter ref="A371:F3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9" name="A_2_04_38" displayName="A_2_04_38" ref="A381:F387" totalsRowCount="1" headerRowCount="1">
  <autoFilter ref="A381:F3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0" name="A_2_04_39" displayName="A_2_04_39" ref="A391:F396" totalsRowCount="1" headerRowCount="1">
  <autoFilter ref="A391:F3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1" name="A_2_04_40" displayName="A_2_04_40" ref="A400:F405" totalsRowCount="1" headerRowCount="1">
  <autoFilter ref="A400:F4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2" name="A_2_04_41" displayName="A_2_04_41" ref="A409:F414" totalsRowCount="1" headerRowCount="1">
  <autoFilter ref="A409:F4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3" name="A_2_04_42" displayName="A_2_04_42" ref="A418:F423" totalsRowCount="1" headerRowCount="1">
  <autoFilter ref="A418:F4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4" name="A_2_04_43" displayName="A_2_04_43" ref="A427:F432" totalsRowCount="1" headerRowCount="1">
  <autoFilter ref="A427:F4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5" name="A_2_04_44" displayName="A_2_04_44" ref="A436:F441" totalsRowCount="1" headerRowCount="1">
  <autoFilter ref="A436:F4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6" name="A_2_04_45" displayName="A_2_04_45" ref="A445:F450" totalsRowCount="1" headerRowCount="1">
  <autoFilter ref="A445:F4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7" name="A_2_04_46" displayName="A_2_04_46" ref="A454:F459" totalsRowCount="1" headerRowCount="1">
  <autoFilter ref="A454:F4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8" name="A_2_04_47" displayName="A_2_04_47" ref="A463:F468" totalsRowCount="1" headerRowCount="1">
  <autoFilter ref="A463:F4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9" name="A_2_04_48" displayName="A_2_04_48" ref="A472:F477" totalsRowCount="1" headerRowCount="1">
  <autoFilter ref="A472:F4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0" name="A_2_04_49" displayName="A_2_04_49" ref="A481:F486" totalsRowCount="1" headerRowCount="1">
  <autoFilter ref="A481:F4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1" name="A_2_04_50" displayName="A_2_04_50" ref="A490:F501" totalsRowCount="1" headerRowCount="1">
  <autoFilter ref="A490:F5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2" name="A_2_04_51" displayName="A_2_04_51" ref="A505:F510" totalsRowCount="1" headerRowCount="1">
  <autoFilter ref="A505:F5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3" name="A_2_04_52" displayName="A_2_04_52" ref="A514:F519" totalsRowCount="1" headerRowCount="1">
  <autoFilter ref="A514:F5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4" name="A_2_04_53" displayName="A_2_04_53" ref="A523:F528" totalsRowCount="1" headerRowCount="1">
  <autoFilter ref="A523:F5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5" name="A_2_04_54" displayName="A_2_04_54" ref="A532:F537" totalsRowCount="1" headerRowCount="1">
  <autoFilter ref="A532:F5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6" name="A_2_04_55" displayName="A_2_04_55" ref="A541:F550" totalsRowCount="1" headerRowCount="1">
  <autoFilter ref="A541:F5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7" name="A_2_04_56" displayName="A_2_04_56" ref="A554:F563" totalsRowCount="1" headerRowCount="1">
  <autoFilter ref="A554:F5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8" name="A_2_04_57" displayName="A_2_04_57" ref="A567:F576" totalsRowCount="1" headerRowCount="1">
  <autoFilter ref="A567:F5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9" name="A_2_04_58" displayName="A_2_04_58" ref="A580:F585" totalsRowCount="1" headerRowCount="1">
  <autoFilter ref="A580:F5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0" name="A_2_04_59" displayName="A_2_04_59" ref="A589:F594" totalsRowCount="1" headerRowCount="1">
  <autoFilter ref="A589:F5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1" name="A_2_04_60" displayName="A_2_04_60" ref="A598:F603" totalsRowCount="1" headerRowCount="1">
  <autoFilter ref="A598:F60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2" name="A_2_04_61" displayName="A_2_04_61" ref="A607:F612" totalsRowCount="1" headerRowCount="1">
  <autoFilter ref="A607:F6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3" name="A_2_04_62" displayName="A_2_04_62" ref="A616:F621" totalsRowCount="1" headerRowCount="1">
  <autoFilter ref="A616:F6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4" name="A_2_04_63" displayName="A_2_04_63" ref="A625:F630" totalsRowCount="1" headerRowCount="1">
  <autoFilter ref="A625:F6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5" name="A_2_04_64" displayName="A_2_04_64" ref="A634:F639" totalsRowCount="1" headerRowCount="1">
  <autoFilter ref="A634:F6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6" name="A_2_04_65" displayName="A_2_04_65" ref="A643:F649" totalsRowCount="1" headerRowCount="1">
  <autoFilter ref="A643:F6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7" name="A_2_04_66" displayName="A_2_04_66" ref="A653:F660" totalsRowCount="1" headerRowCount="1">
  <autoFilter ref="A653:F65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8" name="A_2_04_67" displayName="A_2_04_67" ref="A664:F670" totalsRowCount="1" headerRowCount="1">
  <autoFilter ref="A664:F6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9" name="A_2_04_68" displayName="A_2_04_68" ref="A674:F680" totalsRowCount="1" headerRowCount="1">
  <autoFilter ref="A674:F6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0" name="A_2_04_69" displayName="A_2_04_69" ref="A684:F691" totalsRowCount="1" headerRowCount="1">
  <autoFilter ref="A684:F6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1" name="A_2_04_70" displayName="A_2_04_70" ref="A695:F701" totalsRowCount="1" headerRowCount="1">
  <autoFilter ref="A695:F7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2" name="A_2_04_71" displayName="A_2_04_71" ref="A705:F711" totalsRowCount="1" headerRowCount="1">
  <autoFilter ref="A705:F7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3" name="A_2_04_72" displayName="A_2_04_72" ref="A715:F722" totalsRowCount="1" headerRowCount="1">
  <autoFilter ref="A715:F7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4" name="A_2_04_73" displayName="A_2_04_73" ref="A726:F733" totalsRowCount="1" headerRowCount="1">
  <autoFilter ref="A726:F7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5" name="A_2_04_74" displayName="A_2_04_74" ref="A737:F744" totalsRowCount="1" headerRowCount="1">
  <autoFilter ref="A737:F7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6" name="A_2_04_75" displayName="A_2_04_75" ref="A748:F755" totalsRowCount="1" headerRowCount="1">
  <autoFilter ref="A748:F7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7" name="A_2_04_76" displayName="A_2_04_76" ref="A759:F766" totalsRowCount="1" headerRowCount="1">
  <autoFilter ref="A759:F7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8" name="A_2_04_77" displayName="A_2_04_77" ref="A770:F777" totalsRowCount="1" headerRowCount="1">
  <autoFilter ref="A770:F7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9" name="A_2_04_78" displayName="A_2_04_78" ref="A781:F788" totalsRowCount="1" headerRowCount="1">
  <autoFilter ref="A781:F7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0" name="A_2_04_79" displayName="A_2_04_79" ref="A792:F799" totalsRowCount="1" headerRowCount="1">
  <autoFilter ref="A792:F7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1" name="A_2_04_80" displayName="A_2_04_80" ref="A803:F810" totalsRowCount="1" headerRowCount="1">
  <autoFilter ref="A803:F8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2" name="A_2_04_81" displayName="A_2_04_81" ref="A814:F821" totalsRowCount="1" headerRowCount="1">
  <autoFilter ref="A814:F8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3" name="A_2_04_82" displayName="A_2_04_82" ref="A825:F832" totalsRowCount="1" headerRowCount="1">
  <autoFilter ref="A825:F8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4" name="A_2_04_83" displayName="A_2_04_83" ref="A836:F842" totalsRowCount="1" headerRowCount="1">
  <autoFilter ref="A836:F8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5" name="A_2_04_84" displayName="A_2_04_84" ref="A846:F852" totalsRowCount="1" headerRowCount="1">
  <autoFilter ref="A846:F8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6" name="A_2_04_85" displayName="A_2_04_85" ref="A856:F862" totalsRowCount="1" headerRowCount="1">
  <autoFilter ref="A856:F8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7" name="A_2_04_86" displayName="A_2_04_86" ref="A866:F872" totalsRowCount="1" headerRowCount="1">
  <autoFilter ref="A866:F8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8" name="A_2_04_87" displayName="A_2_04_87" ref="A876:F882" totalsRowCount="1" headerRowCount="1">
  <autoFilter ref="A876:F8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9" name="A_2_04_88" displayName="A_2_04_88" ref="A886:F892" totalsRowCount="1" headerRowCount="1">
  <autoFilter ref="A886:F8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0" name="A_2_04_89" displayName="A_2_04_89" ref="A896:F902" totalsRowCount="1" headerRowCount="1">
  <autoFilter ref="A896:F9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1" name="A_2_04_90" displayName="A_2_04_90" ref="A906:F912" totalsRowCount="1" headerRowCount="1">
  <autoFilter ref="A906:F9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2" name="A_2_04_91" displayName="A_2_04_91" ref="A916:F922" totalsRowCount="1" headerRowCount="1">
  <autoFilter ref="A916:F9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3" name="A_2_04_92" displayName="A_2_04_92" ref="A926:F932" totalsRowCount="1" headerRowCount="1">
  <autoFilter ref="A926:F9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4" name="A_2_04_93" displayName="A_2_04_93" ref="A936:F942" totalsRowCount="1" headerRowCount="1">
  <autoFilter ref="A936:F9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5" name="A_2_04_94" displayName="A_2_04_94" ref="A946:F952" totalsRowCount="1" headerRowCount="1">
  <autoFilter ref="A946:F9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6" name="A_2_04_95" displayName="A_2_04_95" ref="A956:F962" totalsRowCount="1" headerRowCount="1">
  <autoFilter ref="A956:F9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7" name="A_2_04_96" displayName="A_2_04_96" ref="A966:F972" totalsRowCount="1" headerRowCount="1">
  <autoFilter ref="A966:F9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8" name="A_2_04_97" displayName="A_2_04_97" ref="A976:F982" totalsRowCount="1" headerRowCount="1">
  <autoFilter ref="A976:F9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7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9" name="A_2_05_01" displayName="A_2_05_01" ref="A6:F8" totalsRowCount="1" headerRowCount="1">
  <autoFilter ref="A6:F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0" name="A_2_05_02" displayName="A_2_05_02" ref="A12:F17" totalsRowCount="1" headerRowCount="1">
  <autoFilter ref="A12:F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1" name="A_2_05_03" displayName="A_2_05_03" ref="A21:F29" totalsRowCount="1" headerRowCount="1">
  <autoFilter ref="A21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2" name="A_2_05_04" displayName="A_2_05_04" ref="A33:F41" totalsRowCount="1" headerRowCount="1">
  <autoFilter ref="A33:F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3" name="A_2_05_05" displayName="A_2_05_05" ref="A45:F53" totalsRowCount="1" headerRowCount="1">
  <autoFilter ref="A45:F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4" name="A_2_05_06" displayName="A_2_05_06" ref="A57:F65" totalsRowCount="1" headerRowCount="1">
  <autoFilter ref="A57:F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5" name="A_2_05_07" displayName="A_2_05_07" ref="A69:F77" totalsRowCount="1" headerRowCount="1">
  <autoFilter ref="A69:F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6" name="A_2_05_08" displayName="A_2_05_08" ref="A81:F90" totalsRowCount="1" headerRowCount="1">
  <autoFilter ref="A81:F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7" name="A_2_05_09" displayName="A_2_05_09" ref="A94:F104" totalsRowCount="1" headerRowCount="1">
  <autoFilter ref="A94:F1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8" name="A_2_05_10" displayName="A_2_05_10" ref="A108:F115" totalsRowCount="1" headerRowCount="1">
  <autoFilter ref="A108:F1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9" name="A_2_05_11" displayName="A_2_05_11" ref="A119:F126" totalsRowCount="1" headerRowCount="1">
  <autoFilter ref="A119:F1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0" name="A_2_05_12" displayName="A_2_05_12" ref="A130:F137" totalsRowCount="1" headerRowCount="1">
  <autoFilter ref="A130:F1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1" name="A_2_05_13" displayName="A_2_05_13" ref="A141:F148" totalsRowCount="1" headerRowCount="1">
  <autoFilter ref="A141:F1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2" name="A_2_05_14" displayName="A_2_05_14" ref="A152:F157" totalsRowCount="1" headerRowCount="1">
  <autoFilter ref="A152:F1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3" name="A_2_05_15" displayName="A_2_05_15" ref="A161:F166" totalsRowCount="1" headerRowCount="1">
  <autoFilter ref="A161:F1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4" name="A_2_05_16" displayName="A_2_05_16" ref="A170:F175" totalsRowCount="1" headerRowCount="1">
  <autoFilter ref="A170:F1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5" name="A_2_05_17" displayName="A_2_05_17" ref="A179:F184" totalsRowCount="1" headerRowCount="1">
  <autoFilter ref="A179:F1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6" name="A_2_05_18" displayName="A_2_05_18" ref="A188:F193" totalsRowCount="1" headerRowCount="1">
  <autoFilter ref="A188:F19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7" name="A_2_05_19" displayName="A_2_05_19" ref="A197:F202" totalsRowCount="1" headerRowCount="1">
  <autoFilter ref="A197:F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8" name="A_2_05_20" displayName="A_2_05_20" ref="A206:F211" totalsRowCount="1" headerRowCount="1">
  <autoFilter ref="A206:F2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9" name="A_2_05_21" displayName="A_2_05_21" ref="A215:F220" totalsRowCount="1" headerRowCount="1">
  <autoFilter ref="A215:F2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0" name="A_2_05_22" displayName="A_2_05_22" ref="A224:F229" totalsRowCount="1" headerRowCount="1">
  <autoFilter ref="A224:F2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1" name="A_2_05_23" displayName="A_2_05_23" ref="A233:F238" totalsRowCount="1" headerRowCount="1">
  <autoFilter ref="A233:F2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2" name="A_2_05_24" displayName="A_2_05_24" ref="A242:F247" totalsRowCount="1" headerRowCount="1">
  <autoFilter ref="A242:F2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3" name="A_2_05_25" displayName="A_2_05_25" ref="A251:F256" totalsRowCount="1" headerRowCount="1">
  <autoFilter ref="A251:F2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4" name="A_2_05_26" displayName="A_2_05_26" ref="A260:F265" totalsRowCount="1" headerRowCount="1">
  <autoFilter ref="A260:F2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5" name="A_2_05_27" displayName="A_2_05_27" ref="A269:F274" totalsRowCount="1" headerRowCount="1">
  <autoFilter ref="A269:F2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6" name="A_2_05_28" displayName="A_2_05_28" ref="A278:F283" totalsRowCount="1" headerRowCount="1">
  <autoFilter ref="A278:F2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7" name="A_2_05_29" displayName="A_2_05_29" ref="A287:F292" totalsRowCount="1" headerRowCount="1">
  <autoFilter ref="A287:F2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8" name="A_2_05_30" displayName="A_2_05_30" ref="A296:F303" totalsRowCount="1" headerRowCount="1">
  <autoFilter ref="A296:F30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9" name="A_2_05_31" displayName="A_2_05_31" ref="A307:F314" totalsRowCount="1" headerRowCount="1">
  <autoFilter ref="A307:F3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0" name="A_2_05_32" displayName="A_2_05_32" ref="A318:F325" totalsRowCount="1" headerRowCount="1">
  <autoFilter ref="A318:F3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1" name="A_2_05_33" displayName="A_2_05_33" ref="A329:F336" totalsRowCount="1" headerRowCount="1">
  <autoFilter ref="A329:F3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2" name="A_2_05_34" displayName="A_2_05_34" ref="A340:F347" totalsRowCount="1" headerRowCount="1">
  <autoFilter ref="A340:F3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3" name="A_2_05_35" displayName="A_2_05_35" ref="A351:F358" totalsRowCount="1" headerRowCount="1">
  <autoFilter ref="A351:F3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4" name="A_2_05_36" displayName="A_2_05_36" ref="A362:F368" totalsRowCount="1" headerRowCount="1">
  <autoFilter ref="A362:F3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5" name="A_2_05_37" displayName="A_2_05_37" ref="A372:F378" totalsRowCount="1" headerRowCount="1">
  <autoFilter ref="A372:F3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6" name="A_2_05_38" displayName="A_2_05_38" ref="A382:F388" totalsRowCount="1" headerRowCount="1">
  <autoFilter ref="A382:F3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7" name="A_2_05_39" displayName="A_2_05_39" ref="A392:F398" totalsRowCount="1" headerRowCount="1">
  <autoFilter ref="A392:F3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8" name="A_2_05_40" displayName="A_2_05_40" ref="A402:F408" totalsRowCount="1" headerRowCount="1">
  <autoFilter ref="A402:F4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9" name="A_2_05_41" displayName="A_2_05_41" ref="A412:F418" totalsRowCount="1" headerRowCount="1">
  <autoFilter ref="A412:F4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0" name="A_2_05_42" displayName="A_2_05_42" ref="A422:F428" totalsRowCount="1" headerRowCount="1">
  <autoFilter ref="A422:F4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1" name="A_2_05_43" displayName="A_2_05_43" ref="A432:F438" totalsRowCount="1" headerRowCount="1">
  <autoFilter ref="A432:F4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2" name="A_2_05_44" displayName="A_2_05_44" ref="A442:F448" totalsRowCount="1" headerRowCount="1">
  <autoFilter ref="A442:F4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3" name="A_2_05_45" displayName="A_2_05_45" ref="A452:F458" totalsRowCount="1" headerRowCount="1">
  <autoFilter ref="A452:F4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4" name="A_2_05_46" displayName="A_2_05_46" ref="A462:F468" totalsRowCount="1" headerRowCount="1">
  <autoFilter ref="A462:F4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5" name="A_2_05_47" displayName="A_2_05_47" ref="A472:F478" totalsRowCount="1" headerRowCount="1">
  <autoFilter ref="A472:F4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6" name="A_2_05_48" displayName="A_2_05_48" ref="A482:F488" totalsRowCount="1" headerRowCount="1">
  <autoFilter ref="A482:F4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7" name="A_2_05_49" displayName="A_2_05_49" ref="A492:F498" totalsRowCount="1" headerRowCount="1">
  <autoFilter ref="A492:F4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8" name="A_2_05_50" displayName="A_2_05_50" ref="A502:F509" totalsRowCount="1" headerRowCount="1">
  <autoFilter ref="A502:F5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9" name="A_2_05_51" displayName="A_2_05_51" ref="A513:F520" totalsRowCount="1" headerRowCount="1">
  <autoFilter ref="A513:F5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0" name="A_2_05_52" displayName="A_2_05_52" ref="A524:F533" totalsRowCount="1" headerRowCount="1">
  <autoFilter ref="A524:F5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1" name="A_2_05_53" displayName="A_2_05_53" ref="A537:F545" totalsRowCount="1" headerRowCount="1">
  <autoFilter ref="A537:F5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2" name="A_2_05_54" displayName="A_2_05_54" ref="A549:F558" totalsRowCount="1" headerRowCount="1">
  <autoFilter ref="A549:F5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3" name="A_2_05_55" displayName="A_2_05_55" ref="A562:F570" totalsRowCount="1" headerRowCount="1">
  <autoFilter ref="A562:F5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4" name="A_2_05_56" displayName="A_2_05_56" ref="A574:F582" totalsRowCount="1" headerRowCount="1">
  <autoFilter ref="A574:F5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5" name="A_2_05_57" displayName="A_2_05_57" ref="A586:F594" totalsRowCount="1" headerRowCount="1">
  <autoFilter ref="A586:F5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6" name="A_2_05_58" displayName="A_2_05_58" ref="A598:F606" totalsRowCount="1" headerRowCount="1">
  <autoFilter ref="A598:F6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7" name="A_2_05_59" displayName="A_2_05_59" ref="A610:F619" totalsRowCount="1" headerRowCount="1">
  <autoFilter ref="A610:F6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8" name="A_2_05_60" displayName="A_2_05_60" ref="A623:F630" totalsRowCount="1" headerRowCount="1">
  <autoFilter ref="A623:F6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9" name="A_2_05_61" displayName="A_2_05_61" ref="A634:F641" totalsRowCount="1" headerRowCount="1">
  <autoFilter ref="A634:F6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0" name="A_2_05_62" displayName="A_2_05_62" ref="A645:F652" totalsRowCount="1" headerRowCount="1">
  <autoFilter ref="A645:F6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1" name="A_2_05_63" displayName="A_2_05_63" ref="A656:F665" totalsRowCount="1" headerRowCount="1">
  <autoFilter ref="A656:F6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2" name="A_2_05_64" displayName="A_2_05_64" ref="A669:F677" totalsRowCount="1" headerRowCount="1">
  <autoFilter ref="A669:F6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3" name="A_2_05_65" displayName="A_2_05_65" ref="A681:F689" totalsRowCount="1" headerRowCount="1">
  <autoFilter ref="A681:F6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4" name="A_2_05_66" displayName="A_2_05_66" ref="A693:F700" totalsRowCount="1" headerRowCount="1">
  <autoFilter ref="A693:F6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5" name="A_2_05_67" displayName="A_2_05_67" ref="A704:F711" totalsRowCount="1" headerRowCount="1">
  <autoFilter ref="A704:F7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6" name="A_2_05_68" displayName="A_2_05_68" ref="A715:F722" totalsRowCount="1" headerRowCount="1">
  <autoFilter ref="A715:F7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7" name="A_2_05_69" displayName="A_2_05_69" ref="A726:F733" totalsRowCount="1" headerRowCount="1">
  <autoFilter ref="A726:F7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8" name="A_2_05_70" displayName="A_2_05_70" ref="A737:F744" totalsRowCount="1" headerRowCount="1">
  <autoFilter ref="A737:F7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9" name="A_2_05_71" displayName="A_2_05_71" ref="A748:F755" totalsRowCount="1" headerRowCount="1">
  <autoFilter ref="A748:F7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0" name="A_2_05_72" displayName="A_2_05_72" ref="A759:F766" totalsRowCount="1" headerRowCount="1">
  <autoFilter ref="A759:F7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1" name="A_2_05_73" displayName="A_2_05_73" ref="A770:F777" totalsRowCount="1" headerRowCount="1">
  <autoFilter ref="A770:F7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2" name="A_2_05_74" displayName="A_2_05_74" ref="A781:F788" totalsRowCount="1" headerRowCount="1">
  <autoFilter ref="A781:F7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3" name="A_2_05_75" displayName="A_2_05_75" ref="A792:F799" totalsRowCount="1" headerRowCount="1">
  <autoFilter ref="A792:F7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4" name="A_2_06_01" displayName="A_2_06_01" ref="A6:F17" totalsRowCount="1" headerRowCount="1">
  <autoFilter ref="A6:F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5" name="A_2_06_02" displayName="A_2_06_02" ref="A21:F32" totalsRowCount="1" headerRowCount="1">
  <autoFilter ref="A2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6" name="A_2_06_03" displayName="A_2_06_03" ref="A36:F44" totalsRowCount="1" headerRowCount="1">
  <autoFilter ref="A36:F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7" name="A_2_06_04" displayName="A_2_06_04" ref="A48:F57" totalsRowCount="1" headerRowCount="1">
  <autoFilter ref="A48:F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8" name="A_2_06_05" displayName="A_2_06_05" ref="A61:F66" totalsRowCount="1" headerRowCount="1">
  <autoFilter ref="A61:F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9" name="A_2_06_06" displayName="A_2_06_06" ref="A70:F74" totalsRowCount="1" headerRowCount="1">
  <autoFilter ref="A70:F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0" name="A_2_06_07" displayName="A_2_06_07" ref="A78:F83" totalsRowCount="1" headerRowCount="1">
  <autoFilter ref="A78:F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1" name="A_2_06_08" displayName="A_2_06_08" ref="A87:F96" totalsRowCount="1" headerRowCount="1">
  <autoFilter ref="A87:F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2" name="A_2_06_09" displayName="A_2_06_09" ref="A100:F106" totalsRowCount="1" headerRowCount="1">
  <autoFilter ref="A100:F1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3" name="A_2_06_10" displayName="A_2_06_10" ref="A110:F116" totalsRowCount="1" headerRowCount="1">
  <autoFilter ref="A110:F1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4" name="A_2_06_11" displayName="A_2_06_11" ref="A120:F126" totalsRowCount="1" headerRowCount="1">
  <autoFilter ref="A120:F1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5" name="A_2_06_12" displayName="A_2_06_12" ref="A130:F136" totalsRowCount="1" headerRowCount="1">
  <autoFilter ref="A130:F1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6" name="A_2_06_13" displayName="A_2_06_13" ref="A140:F147" totalsRowCount="1" headerRowCount="1">
  <autoFilter ref="A140:F1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7" name="A_2_06_14" displayName="A_2_06_14" ref="A151:F158" totalsRowCount="1" headerRowCount="1">
  <autoFilter ref="A151:F1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8" name="A_2_06_15" displayName="A_2_06_15" ref="A162:F169" totalsRowCount="1" headerRowCount="1">
  <autoFilter ref="A162:F1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9" name="A_2_06_16" displayName="A_2_06_16" ref="A173:F180" totalsRowCount="1" headerRowCount="1">
  <autoFilter ref="A173:F1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0" name="A_2_06_17" displayName="A_2_06_17" ref="A184:F189" totalsRowCount="1" headerRowCount="1">
  <autoFilter ref="A184:F1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1" name="A_2_06_18" displayName="A_2_06_18" ref="A193:F197" totalsRowCount="1" headerRowCount="1">
  <autoFilter ref="A193:F1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2" name="A_2_06_19" displayName="A_2_06_19" ref="A201:F204" totalsRowCount="1" headerRowCount="1">
  <autoFilter ref="A201:F2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3" name="A_2_06_20" displayName="A_2_06_20" ref="A208:F211" totalsRowCount="1" headerRowCount="1">
  <autoFilter ref="A208:F2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4" name="A_2_06_21" displayName="A_2_06_21" ref="A215:F221" totalsRowCount="1" headerRowCount="1">
  <autoFilter ref="A215:F2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5" name="A_2_06_22" displayName="A_2_06_22" ref="A225:F231" totalsRowCount="1" headerRowCount="1">
  <autoFilter ref="A225:F2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6" name="A_2_06_23" displayName="A_2_06_23" ref="A235:F246" totalsRowCount="1" headerRowCount="1">
  <autoFilter ref="A235:F2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7" name="A_2_06_24" displayName="A_2_06_24" ref="A250:F261" totalsRowCount="1" headerRowCount="1">
  <autoFilter ref="A250:F2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8" name="A_2_06_25" displayName="A_2_06_25" ref="A265:F276" totalsRowCount="1" headerRowCount="1">
  <autoFilter ref="A265:F2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8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9" name="A_2_06_26" displayName="A_2_06_26" ref="A280:F291" totalsRowCount="1" headerRowCount="1">
  <autoFilter ref="A280:F2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0" name="A_2_06_27" displayName="A_2_06_27" ref="A295:F306" totalsRowCount="1" headerRowCount="1">
  <autoFilter ref="A295:F3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1" name="A_2_06_28" displayName="A_2_06_28" ref="A310:F321" totalsRowCount="1" headerRowCount="1">
  <autoFilter ref="A310:F3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2" name="A_2_07_01" displayName="A_2_07_01" ref="A6:F17" totalsRowCount="1" headerRowCount="1">
  <autoFilter ref="A6:F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3" name="A_2_07_02" displayName="A_2_07_02" ref="A21:F32" totalsRowCount="1" headerRowCount="1">
  <autoFilter ref="A2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4" name="A_2_07_03" displayName="A_2_07_03" ref="A36:F43" totalsRowCount="1" headerRowCount="1">
  <autoFilter ref="A36:F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5" name="A_2_07_04" displayName="A_2_07_04" ref="A47:F58" totalsRowCount="1" headerRowCount="1">
  <autoFilter ref="A47:F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6" name="A_2_07_05" displayName="A_2_07_05" ref="A62:F73" totalsRowCount="1" headerRowCount="1">
  <autoFilter ref="A62:F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7" name="A_2_07_06" displayName="A_2_07_06" ref="A77:F84" totalsRowCount="1" headerRowCount="1">
  <autoFilter ref="A77:F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8" name="A_2_07_07" displayName="A_2_07_07" ref="A88:F97" totalsRowCount="1" headerRowCount="1">
  <autoFilter ref="A88:F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9" name="A_2_07_08" displayName="A_2_07_08" ref="A101:F110" totalsRowCount="1" headerRowCount="1">
  <autoFilter ref="A101:F1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0" name="A_2_07_09" displayName="A_2_07_09" ref="A114:F121" totalsRowCount="1" headerRowCount="1">
  <autoFilter ref="A114:F1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1" name="A_2_07_10" displayName="A_2_07_10" ref="A125:F129" totalsRowCount="1" headerRowCount="1">
  <autoFilter ref="A125:F1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2" name="A_2_08_01" displayName="A_2_08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3" name="A_2_08_02" displayName="A_2_08_02" ref="A15:F20" totalsRowCount="1" headerRowCount="1">
  <autoFilter ref="A15:F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4" name="A_2_08_03" displayName="A_2_08_03" ref="A24:F29" totalsRowCount="1" headerRowCount="1">
  <autoFilter ref="A24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5" name="A_2_08_04" displayName="A_2_08_04" ref="A33:F40" totalsRowCount="1" headerRowCount="1">
  <autoFilter ref="A33:F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6" name="A_2_08_05" displayName="A_2_08_05" ref="A44:F59" totalsRowCount="1" headerRowCount="1">
  <autoFilter ref="A44:F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7" name="A_2_08_10" displayName="A_2_08_10" ref="A63:F70" totalsRowCount="1" headerRowCount="1">
  <autoFilter ref="A63:F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8" name="A_2_08_11" displayName="A_2_08_11" ref="A74:F81" totalsRowCount="1" headerRowCount="1">
  <autoFilter ref="A74:F8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9" name="A_2_08_12" displayName="A_2_08_12" ref="A85:F92" totalsRowCount="1" headerRowCount="1">
  <autoFilter ref="A85:F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0" name="A_2_08_13" displayName="A_2_08_13" ref="A96:F103" totalsRowCount="1" headerRowCount="1">
  <autoFilter ref="A96:F10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1" name="A_2_08_14" displayName="A_2_08_14" ref="A107:F114" totalsRowCount="1" headerRowCount="1">
  <autoFilter ref="A107:F1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2" name="A_2_08_15" displayName="A_2_08_15" ref="A118:F125" totalsRowCount="1" headerRowCount="1">
  <autoFilter ref="A118:F1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3" name="A_2_08_16" displayName="A_2_08_16" ref="A129:F136" totalsRowCount="1" headerRowCount="1">
  <autoFilter ref="A129:F1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4" name="A_2_08_17" displayName="A_2_08_17" ref="A140:F147" totalsRowCount="1" headerRowCount="1">
  <autoFilter ref="A140:F1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5" name="A_2_08_18" displayName="A_2_08_18" ref="A151:F156" totalsRowCount="1" headerRowCount="1">
  <autoFilter ref="A151:F1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6" name="A_2_08_19" displayName="A_2_08_19" ref="A160:F165" totalsRowCount="1" headerRowCount="1">
  <autoFilter ref="A160:F1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7" name="A_2_08_20" displayName="A_2_08_20" ref="A169:F174" totalsRowCount="1" headerRowCount="1">
  <autoFilter ref="A169:F1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8" name="A_2_08_21" displayName="A_2_08_21" ref="A178:F183" totalsRowCount="1" headerRowCount="1">
  <autoFilter ref="A178:F1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9" name="A_2_08_22" displayName="A_2_08_22" ref="A187:F192" totalsRowCount="1" headerRowCount="1">
  <autoFilter ref="A187:F1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0" name="A_2_08_23" displayName="A_2_08_23" ref="A196:F202" totalsRowCount="1" headerRowCount="1">
  <autoFilter ref="A196:F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1" name="A_2_08_24" displayName="A_2_08_24" ref="A206:F212" totalsRowCount="1" headerRowCount="1">
  <autoFilter ref="A206:F2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2" name="A_2_08_25" displayName="A_2_08_25" ref="A216:F222" totalsRowCount="1" headerRowCount="1">
  <autoFilter ref="A216:F2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3" name="A_2_08_26" displayName="A_2_08_26" ref="A226:F232" totalsRowCount="1" headerRowCount="1">
  <autoFilter ref="A226:F2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4" name="A_2_08_27" displayName="A_2_08_27" ref="A236:F241" totalsRowCount="1" headerRowCount="1">
  <autoFilter ref="A236:F2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5" name="A_2_08_28" displayName="A_2_08_28" ref="A245:F250" totalsRowCount="1" headerRowCount="1">
  <autoFilter ref="A245:F2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6" name="A_2_08_29" displayName="A_2_08_29" ref="A254:F261" totalsRowCount="1" headerRowCount="1">
  <autoFilter ref="A254:F2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7" name="A_2_08_30" displayName="A_2_08_30" ref="A265:F272" totalsRowCount="1" headerRowCount="1">
  <autoFilter ref="A265:F2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8" name="A_2_08_31" displayName="A_2_08_31" ref="A276:F283" totalsRowCount="1" headerRowCount="1">
  <autoFilter ref="A276:F2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9" name="A_2_08_32" displayName="A_2_08_32" ref="A287:F292" totalsRowCount="1" headerRowCount="1">
  <autoFilter ref="A287:F2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0" name="A_2_09_01" displayName="A_2_09_01" ref="A6:F14" totalsRowCount="1" headerRowCount="1">
  <autoFilter ref="A6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1" name="A_2_09_02" displayName="A_2_09_02" ref="A18:F26" totalsRowCount="1" headerRowCount="1">
  <autoFilter ref="A18:F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2" name="A_2_09_03" displayName="A_2_09_03" ref="A30:F37" totalsRowCount="1" headerRowCount="1">
  <autoFilter ref="A30:F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3" name="A_2_09_04" displayName="A_2_09_04" ref="A41:F46" totalsRowCount="1" headerRowCount="1">
  <autoFilter ref="A41:F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4" name="A_2_09_05" displayName="A_2_09_05" ref="A50:F56" totalsRowCount="1" headerRowCount="1">
  <autoFilter ref="A50:F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5" name="A_2_09_06" displayName="A_2_09_06" ref="A60:F66" totalsRowCount="1" headerRowCount="1">
  <autoFilter ref="A60:F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6" name="A_2_09_07" displayName="A_2_09_07" ref="A70:F74" totalsRowCount="1" headerRowCount="1">
  <autoFilter ref="A70:F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7" name="A_2_09_08" displayName="A_2_09_08" ref="A78:F82" totalsRowCount="1" headerRowCount="1">
  <autoFilter ref="A78:F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8" name="A_2_09_09" displayName="A_2_09_09" ref="A86:F96" totalsRowCount="1" headerRowCount="1">
  <autoFilter ref="A86:F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9" name="A_3_01_01" displayName="A_3_01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0" name="A_3_01_02" displayName="A_3_01_02" ref="A15:F21" totalsRowCount="1" headerRowCount="1">
  <autoFilter ref="A15:F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1" name="A_3_01_03" displayName="A_3_01_03" ref="A25:F30" totalsRowCount="1" headerRowCount="1">
  <autoFilter ref="A25:F2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2" name="A_3_01_04" displayName="A_3_01_04" ref="A34:F43" totalsRowCount="1" headerRowCount="1">
  <autoFilter ref="A34:F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3" name="A_3_01_05" displayName="A_3_01_05" ref="A47:F54" totalsRowCount="1" headerRowCount="1">
  <autoFilter ref="A47:F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4" name="A_3_01_06" displayName="A_3_01_06" ref="A58:F61" totalsRowCount="1" headerRowCount="1">
  <autoFilter ref="A58:F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5" name="A_3_01_07" displayName="A_3_01_07" ref="A65:F72" totalsRowCount="1" headerRowCount="1">
  <autoFilter ref="A65:F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6" name="A_3_02_01" displayName="A_3_02_01" ref="A6:F9" totalsRowCount="1" headerRowCount="1">
  <autoFilter ref="A6:F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7" name="A_3_02_02" displayName="A_3_02_02" ref="A13:F19" totalsRowCount="1" headerRowCount="1">
  <autoFilter ref="A13:F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8" name="A_3_02_03" displayName="A_3_02_03" ref="A23:F26" totalsRowCount="1" headerRowCount="1">
  <autoFilter ref="A23:F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9" name="A_3_02_04" displayName="A_3_02_04" ref="A30:F38" totalsRowCount="1" headerRowCount="1">
  <autoFilter ref="A30:F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0" name="A_3_02_05" displayName="A_3_02_05" ref="A42:F48" totalsRowCount="1" headerRowCount="1">
  <autoFilter ref="A42:F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1" name="A_3_02_06" displayName="A_3_02_06" ref="A52:F62" totalsRowCount="1" headerRowCount="1">
  <autoFilter ref="A52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2" name="A_3_02_07" displayName="A_3_02_07" ref="A66:F71" totalsRowCount="1" headerRowCount="1">
  <autoFilter ref="A66:F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3" name="A_3_02_08" displayName="A_3_02_08" ref="A75:F88" totalsRowCount="1" headerRowCount="1">
  <autoFilter ref="A75:F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4" name="A_3_02_09" displayName="A_3_02_09" ref="A92:F102" totalsRowCount="1" headerRowCount="1">
  <autoFilter ref="A92:F1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5" name="A_3_02_10" displayName="A_3_02_10" ref="A106:F113" totalsRowCount="1" headerRowCount="1">
  <autoFilter ref="A106:F1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6" name="A_3_02_11" displayName="A_3_02_11" ref="A117:F123" totalsRowCount="1" headerRowCount="1">
  <autoFilter ref="A117:F1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7" name="A_3_02_12" displayName="A_3_02_12" ref="A127:F134" totalsRowCount="1" headerRowCount="1">
  <autoFilter ref="A127:F1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8" name="A_3_03_01" displayName="A_3_03_01" ref="A6:F14" totalsRowCount="1" headerRowCount="1">
  <autoFilter ref="A6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9" name="A_3_03_02" displayName="A_3_03_02" ref="A18:F26" totalsRowCount="1" headerRowCount="1">
  <autoFilter ref="A18:F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0" name="A_3_03_03" displayName="A_3_03_03" ref="A30:F40" totalsRowCount="1" headerRowCount="1">
  <autoFilter ref="A30:F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1" name="A_3_03_04" displayName="A_3_03_04" ref="A44:F47" totalsRowCount="1" headerRowCount="1">
  <autoFilter ref="A44:F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2" name="A_3_03_05" displayName="A_3_03_05" ref="A51:F59" totalsRowCount="1" headerRowCount="1">
  <autoFilter ref="A51:F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3" name="A_3_03_06" displayName="A_3_03_06" ref="A63:F73" totalsRowCount="1" headerRowCount="1">
  <autoFilter ref="A63:F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4" name="A_3_03_07" displayName="A_3_03_07" ref="A77:F90" totalsRowCount="1" headerRowCount="1">
  <autoFilter ref="A77:F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5" name="A_3_03_08" displayName="A_3_03_08" ref="A94:F100" totalsRowCount="1" headerRowCount="1">
  <autoFilter ref="A94:F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6" name="A_3_03_09" displayName="A_3_03_09" ref="A104:F110" totalsRowCount="1" headerRowCount="1">
  <autoFilter ref="A104:F1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7" name="A_3_03_10" displayName="A_3_03_10" ref="A114:F118" totalsRowCount="1" headerRowCount="1">
  <autoFilter ref="A114:F1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8" name="A_3_03_11" displayName="A_3_03_11" ref="A122:F126" totalsRowCount="1" headerRowCount="1">
  <autoFilter ref="A122:F1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9" name="A_3_03_12" displayName="A_3_03_12" ref="A130:F139" totalsRowCount="1" headerRowCount="1">
  <autoFilter ref="A130:F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0" name="A_3_03_13" displayName="A_3_03_13" ref="A143:F154" totalsRowCount="1" headerRowCount="1">
  <autoFilter ref="A143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1" name="A_3_03_14" displayName="A_3_03_14" ref="A158:F164" totalsRowCount="1" headerRowCount="1">
  <autoFilter ref="A158:F1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2" name="A_3_03_15" displayName="A_3_03_15" ref="A168:F176" totalsRowCount="1" headerRowCount="1">
  <autoFilter ref="A168:F1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3" name="A_3_03_16" displayName="A_3_03_16" ref="A180:F185" totalsRowCount="1" headerRowCount="1">
  <autoFilter ref="A180:F1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4" name="A_3_03_17" displayName="A_3_03_17" ref="A189:F197" totalsRowCount="1" headerRowCount="1">
  <autoFilter ref="A189:F1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5" name="A_3_03_18" displayName="A_3_03_18" ref="A201:F212" totalsRowCount="1" headerRowCount="1">
  <autoFilter ref="A201:F2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6" name="A_3_03_19" displayName="A_3_03_19" ref="A216:F226" totalsRowCount="1" headerRowCount="1">
  <autoFilter ref="A216:F2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7" name="A_3_03_20" displayName="A_3_03_20" ref="A230:F241" totalsRowCount="1" headerRowCount="1">
  <autoFilter ref="A230:F2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8" name="A_3_03_21" displayName="A_3_03_21" ref="A245:F256" totalsRowCount="1" headerRowCount="1">
  <autoFilter ref="A245:F2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9" name="A_3_03_22" displayName="A_3_03_22" ref="A260:F265" totalsRowCount="1" headerRowCount="1">
  <autoFilter ref="A260:F2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0" name="A_3_03_23" displayName="A_3_03_23" ref="A269:F276" totalsRowCount="1" headerRowCount="1">
  <autoFilter ref="A269:F2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1" name="A_3_03_24" displayName="A_3_03_24" ref="A280:F291" totalsRowCount="1" headerRowCount="1">
  <autoFilter ref="A280:F2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2" name="A_3_03_25" displayName="A_3_03_25" ref="A295:F306" totalsRowCount="1" headerRowCount="1">
  <autoFilter ref="A295:F3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3" name="A_3_03_26" displayName="A_3_03_26" ref="A310:F317" totalsRowCount="1" headerRowCount="1">
  <autoFilter ref="A310:F3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4" name="A_3_03_27" displayName="A_3_03_27" ref="A321:F329" totalsRowCount="1" headerRowCount="1">
  <autoFilter ref="A321:F3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5" name="A_3_03_28" displayName="A_3_03_28" ref="A333:F341" totalsRowCount="1" headerRowCount="1">
  <autoFilter ref="A333:F3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6" name="A_3_04_01" displayName="A_3_04_01" ref="A6:F15" totalsRowCount="1" headerRowCount="1">
  <autoFilter ref="A6:F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7" name="A_3_04_02" displayName="A_3_04_02" ref="A19:F27" totalsRowCount="1" headerRowCount="1">
  <autoFilter ref="A19:F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8" name="A_3_04_03" displayName="A_3_04_03" ref="A31:F35" totalsRowCount="1" headerRowCount="1">
  <autoFilter ref="A31:F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9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9" name="A_3_04_04" displayName="A_3_04_04" ref="A39:F44" totalsRowCount="1" headerRowCount="1">
  <autoFilter ref="A39:F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0" name="A_3_04_05" displayName="A_3_04_05" ref="A48:F55" totalsRowCount="1" headerRowCount="1">
  <autoFilter ref="A48:F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1" name="A_3_04_06" displayName="A_3_04_06" ref="A59:F67" totalsRowCount="1" headerRowCount="1">
  <autoFilter ref="A59:F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2" name="A_3_04_07" displayName="A_3_04_07" ref="A71:F79" totalsRowCount="1" headerRowCount="1">
  <autoFilter ref="A71:F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3" name="A_3_05_01" displayName="A_3_05_01" ref="A6:F14" totalsRowCount="1" headerRowCount="1">
  <autoFilter ref="A6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4" name="A_3_05_02" displayName="A_3_05_02" ref="A18:F23" totalsRowCount="1" headerRowCount="1">
  <autoFilter ref="A18:F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5" name="A_3_05_03" displayName="A_3_05_03" ref="A27:F38" totalsRowCount="1" headerRowCount="1">
  <autoFilter ref="A27:F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6" name="A_3_05_04" displayName="A_3_05_04" ref="A42:F53" totalsRowCount="1" headerRowCount="1">
  <autoFilter ref="A42:F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7" name="A_3_05_05" displayName="A_3_05_05" ref="A57:F68" totalsRowCount="1" headerRowCount="1">
  <autoFilter ref="A57:F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8" name="A_3_05_06" displayName="A_3_05_06" ref="A72:F83" totalsRowCount="1" headerRowCount="1">
  <autoFilter ref="A72:F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9" name="A_3_05_07" displayName="A_3_05_07" ref="A87:F98" totalsRowCount="1" headerRowCount="1">
  <autoFilter ref="A87:F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0" name="A_3_05_08" displayName="A_3_05_08" ref="A102:F113" totalsRowCount="1" headerRowCount="1">
  <autoFilter ref="A102:F1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1" name="A_3_05_09" displayName="A_3_05_09" ref="A117:F128" totalsRowCount="1" headerRowCount="1">
  <autoFilter ref="A117:F1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2" name="A_3_05_10" displayName="A_3_05_10" ref="A132:F143" totalsRowCount="1" headerRowCount="1">
  <autoFilter ref="A132:F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3" name="A_3_06_01" displayName="A_3_06_01" ref="A6:F14" totalsRowCount="1" headerRowCount="1">
  <autoFilter ref="A6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4" name="A_3_06_02" displayName="A_3_06_02" ref="A18:F22" totalsRowCount="1" headerRowCount="1">
  <autoFilter ref="A18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5" name="A_3_06_03" displayName="A_3_06_03" ref="A26:F36" totalsRowCount="1" headerRowCount="1">
  <autoFilter ref="A26:F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6" name="A_3_06_04" displayName="A_3_06_04" ref="A40:F49" totalsRowCount="1" headerRowCount="1">
  <autoFilter ref="A40:F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7" name="A_3_06_05" displayName="A_3_06_05" ref="A53:F62" totalsRowCount="1" headerRowCount="1">
  <autoFilter ref="A53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8" name="A_3_06_07" displayName="A_3_06_07" ref="A66:F73" totalsRowCount="1" headerRowCount="1">
  <autoFilter ref="A66:F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9" name="A_3_06_08" displayName="A_3_06_08" ref="A77:F84" totalsRowCount="1" headerRowCount="1">
  <autoFilter ref="A77:F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0" name="A_3_06_09" displayName="A_3_06_09" ref="A88:F95" totalsRowCount="1" headerRowCount="1">
  <autoFilter ref="A88:F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1" name="A_3_06_10" displayName="A_3_06_10" ref="A99:F109" totalsRowCount="1" headerRowCount="1">
  <autoFilter ref="A99:F1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2" name="A_3_06_11" displayName="A_3_06_11" ref="A113:F119" totalsRowCount="1" headerRowCount="1">
  <autoFilter ref="A113:F1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3" name="A_3_06_12" displayName="A_3_06_12" ref="A123:F132" totalsRowCount="1" headerRowCount="1">
  <autoFilter ref="A123:F1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4" name="A_3_06_13" displayName="A_3_06_13" ref="A136:F143" totalsRowCount="1" headerRowCount="1">
  <autoFilter ref="A136:F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5" name="A_3_06_14" displayName="A_3_06_14" ref="A147:F154" totalsRowCount="1" headerRowCount="1">
  <autoFilter ref="A147:F1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6" name="A_3_06_15" displayName="A_3_06_15" ref="A158:F165" totalsRowCount="1" headerRowCount="1">
  <autoFilter ref="A158:F1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7" name="A_3_06_16" displayName="A_3_06_16" ref="A169:F176" totalsRowCount="1" headerRowCount="1">
  <autoFilter ref="A169:F1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8" name="A_3_06_17" displayName="A_3_06_17" ref="A180:F189" totalsRowCount="1" headerRowCount="1">
  <autoFilter ref="A180:F1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9" name="A_3_07_01" displayName="A_3_07_01" ref="A6:F12" totalsRowCount="1" headerRowCount="1">
  <autoFilter ref="A6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0" name="A_3_07_02" displayName="A_3_07_02" ref="A16:F23" totalsRowCount="1" headerRowCount="1">
  <autoFilter ref="A16:F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1" name="A_3_07_03" displayName="A_3_07_03" ref="A27:F34" totalsRowCount="1" headerRowCount="1">
  <autoFilter ref="A27:F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2" name="A_3_08_01" displayName="A_3_08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3" name="A_3_08_02" displayName="A_3_08_02" ref="A15:F20" totalsRowCount="1" headerRowCount="1">
  <autoFilter ref="A15:F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4" name="A_3_08_03" displayName="A_3_08_03" ref="A24:F29" totalsRowCount="1" headerRowCount="1">
  <autoFilter ref="A24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5" name="A_3_08_04" displayName="A_3_08_04" ref="A33:F39" totalsRowCount="1" headerRowCount="1">
  <autoFilter ref="A33:F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6" name="A_3_08_05" displayName="A_3_08_05" ref="A43:F48" totalsRowCount="1" headerRowCount="1">
  <autoFilter ref="A43:F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7" name="A_3_08_06" displayName="A_3_08_06" ref="A52:F57" totalsRowCount="1" headerRowCount="1">
  <autoFilter ref="A52:F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8" name="A_3_08_07" displayName="A_3_08_07" ref="A61:F67" totalsRowCount="1" headerRowCount="1">
  <autoFilter ref="A61:F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9" name="A_3_08_08" displayName="A_3_08_08" ref="A71:F76" totalsRowCount="1" headerRowCount="1">
  <autoFilter ref="A71:F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0" name="A_3_08_09" displayName="A_3_08_09" ref="A80:F85" totalsRowCount="1" headerRowCount="1">
  <autoFilter ref="A80:F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1" name="A_3_08_10" displayName="A_3_08_10" ref="A89:F94" totalsRowCount="1" headerRowCount="1">
  <autoFilter ref="A89:F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2" name="A_3_08_11" displayName="A_3_08_11" ref="A98:F106" totalsRowCount="1" headerRowCount="1">
  <autoFilter ref="A98:F1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3" name="A_3_08_12" displayName="A_3_08_12" ref="A110:F116" totalsRowCount="1" headerRowCount="1">
  <autoFilter ref="A110:F1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4" name="A_3_08_13" displayName="A_3_08_13" ref="A120:F126" totalsRowCount="1" headerRowCount="1">
  <autoFilter ref="A120:F1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5" name="A_3_08_14" displayName="A_3_08_14" ref="A130:F136" totalsRowCount="1" headerRowCount="1">
  <autoFilter ref="A130:F13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6" name="A_3_08_15" displayName="A_3_08_15" ref="A140:F146" totalsRowCount="1" headerRowCount="1">
  <autoFilter ref="A140:F1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7" name="A_3_08_16" displayName="A_3_08_16" ref="A150:F156" totalsRowCount="1" headerRowCount="1">
  <autoFilter ref="A150:F1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8" name="A_3_08_17" displayName="A_3_08_17" ref="A160:F171" totalsRowCount="1" headerRowCount="1">
  <autoFilter ref="A160:F1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9" name="A_3_08_18" displayName="A_3_08_18" ref="A175:F182" totalsRowCount="1" headerRowCount="1">
  <autoFilter ref="A175:F1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0" name="A_3_08_19" displayName="A_3_08_19" ref="A186:F192" totalsRowCount="1" headerRowCount="1">
  <autoFilter ref="A186:F1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1" name="A_3_08_20" displayName="A_3_08_20" ref="A196:F202" totalsRowCount="1" headerRowCount="1">
  <autoFilter ref="A196:F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2" name="A_3_08_21" displayName="A_3_08_21" ref="A206:F212" totalsRowCount="1" headerRowCount="1">
  <autoFilter ref="A206:F2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3" name="A_3_09_01" displayName="A_3_09_01" ref="A6:F12" totalsRowCount="1" headerRowCount="1">
  <autoFilter ref="A6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4" name="A_3_09_02" displayName="A_3_09_02" ref="A16:F20" totalsRowCount="1" headerRowCount="1">
  <autoFilter ref="A16:F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5" name="A_3_09_03" displayName="A_3_09_03" ref="A24:F31" totalsRowCount="1" headerRowCount="1">
  <autoFilter ref="A24:F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6" name="A_3_09_04" displayName="A_3_09_04" ref="A35:F41" totalsRowCount="1" headerRowCount="1">
  <autoFilter ref="A35:F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7" name="A_3_09_05" displayName="A_3_09_05" ref="A45:F52" totalsRowCount="1" headerRowCount="1">
  <autoFilter ref="A45:F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8" name="A_3_09_06" displayName="A_3_09_06" ref="A56:F62" totalsRowCount="1" headerRowCount="1">
  <autoFilter ref="A56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9" name="A_3_09_07" displayName="A_3_09_07" ref="A66:F76" totalsRowCount="1" headerRowCount="1">
  <autoFilter ref="A66:F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0" name="A_3_09_08" displayName="A_3_09_08" ref="A80:F85" totalsRowCount="1" headerRowCount="1">
  <autoFilter ref="A80:F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1" name="A_3_09_09" displayName="A_3_09_09" ref="A89:F94" totalsRowCount="1" headerRowCount="1">
  <autoFilter ref="A89:F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2" name="A_3_09_10" displayName="A_3_09_10" ref="A98:F105" totalsRowCount="1" headerRowCount="1">
  <autoFilter ref="A98:F1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3" name="A_3_09_11" displayName="A_3_09_11" ref="A109:F116" totalsRowCount="1" headerRowCount="1">
  <autoFilter ref="A109:F1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4" name="A_3_09_12" displayName="A_3_09_12" ref="A120:F127" totalsRowCount="1" headerRowCount="1">
  <autoFilter ref="A120:F1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5" name="A_3_09_13" displayName="A_3_09_13" ref="A131:F139" totalsRowCount="1" headerRowCount="1">
  <autoFilter ref="A131:F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6" name="A_3_09_14" displayName="A_3_09_14" ref="A143:F149" totalsRowCount="1" headerRowCount="1">
  <autoFilter ref="A143:F1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7" name="A_3_09_15" displayName="A_3_09_15" ref="A153:F159" totalsRowCount="1" headerRowCount="1">
  <autoFilter ref="A153:F1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8" name="A_3_09_16" displayName="A_3_09_16" ref="A163:F169" totalsRowCount="1" headerRowCount="1">
  <autoFilter ref="A163:F1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9" name="A_3_09_17" displayName="A_3_09_17" ref="A173:F182" totalsRowCount="1" headerRowCount="1">
  <autoFilter ref="A173:F1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0" name="A_3_10_01" displayName="A_3_10_01" ref="A6:F18" totalsRowCount="1" headerRowCount="1">
  <autoFilter ref="A6:F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1" name="A_3_10_02" displayName="A_3_10_02" ref="A22:F29" totalsRowCount="1" headerRowCount="1">
  <autoFilter ref="A22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2" name="A_3_10_03" displayName="A_3_10_03" ref="A33:F40" totalsRowCount="1" headerRowCount="1">
  <autoFilter ref="A33:F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3" name="A_3_10_04" displayName="A_3_10_04" ref="A44:F51" totalsRowCount="1" headerRowCount="1">
  <autoFilter ref="A44:F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4" name="A_3_10_05" displayName="A_3_10_05" ref="A55:F64" totalsRowCount="1" headerRowCount="1">
  <autoFilter ref="A55:F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5" name="A_3_10_06" displayName="A_3_10_06" ref="A68:F74" totalsRowCount="1" headerRowCount="1">
  <autoFilter ref="A68:F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6" name="A_3_10_07" displayName="A_3_10_07" ref="A78:F88" totalsRowCount="1" headerRowCount="1">
  <autoFilter ref="A78:F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7" name="A_3_10_08" displayName="A_3_10_08" ref="A92:F96" totalsRowCount="1" headerRowCount="1">
  <autoFilter ref="A92:F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8" name="A_3_10_09" displayName="A_3_10_09" ref="A100:F106" totalsRowCount="1" headerRowCount="1">
  <autoFilter ref="A100:F1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9" name="A_3_10_10" displayName="A_3_10_10" ref="A110:F120" totalsRowCount="1" headerRowCount="1">
  <autoFilter ref="A110:F1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0" name="A_3_10_11" displayName="A_3_10_11" ref="A124:F131" totalsRowCount="1" headerRowCount="1">
  <autoFilter ref="A124:F1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1" name="A_3_10_12" displayName="A_3_10_12" ref="A135:F142" totalsRowCount="1" headerRowCount="1">
  <autoFilter ref="A135:F1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2" name="A_3_11_01" displayName="A_3_11_01" ref="A6:F8" totalsRowCount="1" headerRowCount="1">
  <autoFilter ref="A6:F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3" name="A_3_11_02" displayName="A_3_11_02" ref="A12:F17" totalsRowCount="1" headerRowCount="1">
  <autoFilter ref="A12:F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4" name="A_3_11_03" displayName="A_3_11_03" ref="A21:F24" totalsRowCount="1" headerRowCount="1">
  <autoFilter ref="A21:F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5" name="A_3_11_04" displayName="A_3_11_04" ref="A28:F31" totalsRowCount="1" headerRowCount="1">
  <autoFilter ref="A28:F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6" name="A_3_11_05" displayName="A_3_11_05" ref="A35:F38" totalsRowCount="1" headerRowCount="1">
  <autoFilter ref="A35:F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7" name="A_3_11_06" displayName="A_3_11_06" ref="A42:F45" totalsRowCount="1" headerRowCount="1">
  <autoFilter ref="A42:F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8" name="A_3_11_07" displayName="A_3_11_07" ref="A49:F54" totalsRowCount="1" headerRowCount="1">
  <autoFilter ref="A49:F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9" name="A_3_12_01" displayName="A_3_12_01" ref="A6:F9" totalsRowCount="1" headerRowCount="1">
  <autoFilter ref="A6:F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0" name="A_3_12_02" displayName="A_3_12_02" ref="A13:F15" totalsRowCount="1" headerRowCount="1">
  <autoFilter ref="A13:F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1" name="A_3_12_03" displayName="A_3_12_03" ref="A19:F21" totalsRowCount="1" headerRowCount="1">
  <autoFilter ref="A19:F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2" name="A_3_12_04" displayName="A_3_12_04" ref="A25:F27" totalsRowCount="1" headerRowCount="1">
  <autoFilter ref="A25:F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3" name="A_3_12_05" displayName="A_3_12_05" ref="A31:F33" totalsRowCount="1" headerRowCount="1">
  <autoFilter ref="A31:F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4" name="A_3_12_06" displayName="A_3_12_06" ref="A37:F39" totalsRowCount="1" headerRowCount="1">
  <autoFilter ref="A37:F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5" name="A_3_13_01" displayName="A_3_13_01" ref="A6:F19" totalsRowCount="1" headerRowCount="1">
  <autoFilter ref="A6:F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6" name="A_3_13_02" displayName="A_3_13_02" ref="A23:F43" totalsRowCount="1" headerRowCount="1">
  <autoFilter ref="A23:F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7" name="A_3_13_03" displayName="A_3_13_03" ref="A47:F58" totalsRowCount="1" headerRowCount="1">
  <autoFilter ref="A47:F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8" name="A_3_13_04" displayName="A_3_13_04" ref="A62:F67" totalsRowCount="1" headerRowCount="1">
  <autoFilter ref="A62:F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0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9" name="A_3_13_05" displayName="A_3_13_05" ref="A71:F77" totalsRowCount="1" headerRowCount="1">
  <autoFilter ref="A71:F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0" name="A_3_13_06" displayName="A_3_13_06" ref="A81:F89" totalsRowCount="1" headerRowCount="1">
  <autoFilter ref="A81:F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1" name="A_3_13_07" displayName="A_3_13_07" ref="A93:F100" totalsRowCount="1" headerRowCount="1">
  <autoFilter ref="A93:F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2" name="A_3_13_08" displayName="A_3_13_08" ref="A104:F110" totalsRowCount="1" headerRowCount="1">
  <autoFilter ref="A104:F1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3" name="A_3_13_09" displayName="A_3_13_09" ref="A114:F122" totalsRowCount="1" headerRowCount="1">
  <autoFilter ref="A114:F1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4" name="A_3_13_10" displayName="A_3_13_10" ref="A126:F131" totalsRowCount="1" headerRowCount="1">
  <autoFilter ref="A126:F1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5" name="A_3_13_11" displayName="A_3_13_11" ref="A135:F140" totalsRowCount="1" headerRowCount="1">
  <autoFilter ref="A135:F1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6" name="A_3_13_12" displayName="A_3_13_12" ref="A144:F149" totalsRowCount="1" headerRowCount="1">
  <autoFilter ref="A144:F14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7" name="A_3_13_13" displayName="A_3_13_13" ref="A153:F169" totalsRowCount="1" headerRowCount="1">
  <autoFilter ref="A153:F1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8" name="A_3_13_14" displayName="A_3_13_14" ref="A173:F178" totalsRowCount="1" headerRowCount="1">
  <autoFilter ref="A173:F1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9" name="A_3_13_15" displayName="A_3_13_15" ref="A182:F190" totalsRowCount="1" headerRowCount="1">
  <autoFilter ref="A182:F1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0" name="A_3_13_16" displayName="A_3_13_16" ref="A194:F205" totalsRowCount="1" headerRowCount="1">
  <autoFilter ref="A194:F2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1" name="A_3_13_18" displayName="A_3_13_18" ref="A209:F214" totalsRowCount="1" headerRowCount="1">
  <autoFilter ref="A209:F2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2" name="A_3_13_19" displayName="A_3_13_19" ref="A218:F223" totalsRowCount="1" headerRowCount="1">
  <autoFilter ref="A218:F2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3" name="A_3_13_20" displayName="A_3_13_20" ref="A227:F234" totalsRowCount="1" headerRowCount="1">
  <autoFilter ref="A227:F2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4" name="A_3_13_21" displayName="A_3_13_21" ref="A238:F245" totalsRowCount="1" headerRowCount="1">
  <autoFilter ref="A238:F2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5" name="A_3_13_22" displayName="A_3_13_22" ref="A249:F264" totalsRowCount="1" headerRowCount="1">
  <autoFilter ref="A249:F2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6" name="A_3_13_23" displayName="A_3_13_23" ref="A268:F272" totalsRowCount="1" headerRowCount="1">
  <autoFilter ref="A268:F27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7" name="A_3_13_24" displayName="A_3_13_24" ref="A276:F282" totalsRowCount="1" headerRowCount="1">
  <autoFilter ref="A276:F2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8" name="A_3_13_25" displayName="A_3_13_25" ref="A286:F292" totalsRowCount="1" headerRowCount="1">
  <autoFilter ref="A286:F2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9" name="A_3_13_26" displayName="A_3_13_26" ref="A296:F302" totalsRowCount="1" headerRowCount="1">
  <autoFilter ref="A296:F3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0" name="A_3_13_27" displayName="A_3_13_27" ref="A306:F312" totalsRowCount="1" headerRowCount="1">
  <autoFilter ref="A306:F3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1" name="A_3_13_28" displayName="A_3_13_28" ref="A316:F322" totalsRowCount="1" headerRowCount="1">
  <autoFilter ref="A316:F3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2" name="A_3_13_29" displayName="A_3_13_29" ref="A326:F332" totalsRowCount="1" headerRowCount="1">
  <autoFilter ref="A326:F3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3" name="A_3_13_30" displayName="A_3_13_30" ref="A336:F342" totalsRowCount="1" headerRowCount="1">
  <autoFilter ref="A336:F3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4" name="A_3_13_31" displayName="A_3_13_31" ref="A346:F354" totalsRowCount="1" headerRowCount="1">
  <autoFilter ref="A346:F3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5" name="A_3_13_32" displayName="A_3_13_32" ref="A358:F366" totalsRowCount="1" headerRowCount="1">
  <autoFilter ref="A358:F3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6" name="A_3_13_33" displayName="A_3_13_33" ref="A370:F378" totalsRowCount="1" headerRowCount="1">
  <autoFilter ref="A370:F37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7" name="A_3_13_34" displayName="A_3_13_34" ref="A382:F390" totalsRowCount="1" headerRowCount="1">
  <autoFilter ref="A382:F3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8" name="A_3_13_35" displayName="A_3_13_35" ref="A394:F401" totalsRowCount="1" headerRowCount="1">
  <autoFilter ref="A394:F4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9" name="A_3_13_36" displayName="A_3_13_36" ref="A405:F411" totalsRowCount="1" headerRowCount="1">
  <autoFilter ref="A405:F4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0" name="A_3_13_37" displayName="A_3_13_37" ref="A415:F420" totalsRowCount="1" headerRowCount="1">
  <autoFilter ref="A415:F4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1" name="A_3_13_38" displayName="A_3_13_38" ref="A424:F431" totalsRowCount="1" headerRowCount="1">
  <autoFilter ref="A424:F4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2" name="A_3_13_39" displayName="A_3_13_39" ref="A435:F440" totalsRowCount="1" headerRowCount="1">
  <autoFilter ref="A435:F4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3" name="A_3_13_40" displayName="A_3_13_40" ref="A444:F448" totalsRowCount="1" headerRowCount="1">
  <autoFilter ref="A444:F4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4" name="A_3_13_41" displayName="A_3_13_41" ref="A452:F458" totalsRowCount="1" headerRowCount="1">
  <autoFilter ref="A452:F4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5" name="A_3_13_42" displayName="A_3_13_42" ref="A462:F468" totalsRowCount="1" headerRowCount="1">
  <autoFilter ref="A462:F4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6" name="A_3_13_43" displayName="A_3_13_43" ref="A472:F475" totalsRowCount="1" headerRowCount="1">
  <autoFilter ref="A472:F4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7" name="A_3_13_44" displayName="A_3_13_44" ref="A479:F483" totalsRowCount="1" headerRowCount="1">
  <autoFilter ref="A479:F48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8" name="A_3_13_45" displayName="A_3_13_45" ref="A487:F491" totalsRowCount="1" headerRowCount="1">
  <autoFilter ref="A487:F4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9" name="A_3_13_46" displayName="A_3_13_46" ref="A495:F499" totalsRowCount="1" headerRowCount="1">
  <autoFilter ref="A495:F49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0" name="A_3_13_47" displayName="A_3_13_47" ref="A503:F507" totalsRowCount="1" headerRowCount="1">
  <autoFilter ref="A503:F5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1" name="A_3_13_48" displayName="A_3_13_48" ref="A511:F515" totalsRowCount="1" headerRowCount="1">
  <autoFilter ref="A511:F5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2" name="A_3_13_49" displayName="A_3_13_49" ref="A519:F523" totalsRowCount="1" headerRowCount="1">
  <autoFilter ref="A519:F5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3" name="A_3_13_50" displayName="A_3_13_50" ref="A527:F531" totalsRowCount="1" headerRowCount="1">
  <autoFilter ref="A527:F5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4" name="A_3_13_51" displayName="A_3_13_51" ref="A535:F539" totalsRowCount="1" headerRowCount="1">
  <autoFilter ref="A535:F5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5" name="A_3_13_52" displayName="A_3_13_52" ref="A543:F547" totalsRowCount="1" headerRowCount="1">
  <autoFilter ref="A543:F5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6" name="A_3_13_53" displayName="A_3_13_53" ref="A551:F555" totalsRowCount="1" headerRowCount="1">
  <autoFilter ref="A551:F5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7" name="A_3_13_54" displayName="A_3_13_54" ref="A559:F563" totalsRowCount="1" headerRowCount="1">
  <autoFilter ref="A559:F5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8" name="A_3_13_55" displayName="A_3_13_55" ref="A567:F571" totalsRowCount="1" headerRowCount="1">
  <autoFilter ref="A567:F5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9" name="A_3_13_56" displayName="A_3_13_56" ref="A575:F579" totalsRowCount="1" headerRowCount="1">
  <autoFilter ref="A575:F5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0" name="A_3_13_57" displayName="A_3_13_57" ref="A583:F587" totalsRowCount="1" headerRowCount="1">
  <autoFilter ref="A583:F5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1" name="A_3_13_58" displayName="A_3_13_58" ref="A591:F595" totalsRowCount="1" headerRowCount="1">
  <autoFilter ref="A591:F5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2" name="A_3_13_59" displayName="A_3_13_59" ref="A599:F603" totalsRowCount="1" headerRowCount="1">
  <autoFilter ref="A599:F60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3" name="A_3_13_60" displayName="A_3_13_60" ref="A607:F611" totalsRowCount="1" headerRowCount="1">
  <autoFilter ref="A607:F6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4" name="A_3_13_61" displayName="A_3_13_61" ref="A615:F619" totalsRowCount="1" headerRowCount="1">
  <autoFilter ref="A615:F6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5" name="A_4_01_01" displayName="A_4_01_01" ref="A6:F19" totalsRowCount="1" headerRowCount="1">
  <autoFilter ref="A6:F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6" name="A_4_01_02" displayName="A_4_01_02" ref="A23:F37" totalsRowCount="1" headerRowCount="1">
  <autoFilter ref="A23:F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7" name="A_4_01_03" displayName="A_4_01_03" ref="A41:F55" totalsRowCount="1" headerRowCount="1">
  <autoFilter ref="A41:F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8" name="A_4_01_04" displayName="A_4_01_04" ref="A59:F71" totalsRowCount="1" headerRowCount="1">
  <autoFilter ref="A59:F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9" name="A_4_01_05" displayName="A_4_01_05" ref="A75:F87" totalsRowCount="1" headerRowCount="1">
  <autoFilter ref="A75:F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0" name="A_4_01_06" displayName="A_4_01_06" ref="A91:F105" totalsRowCount="1" headerRowCount="1">
  <autoFilter ref="A91:F1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1" name="A_4_01_07" displayName="A_4_01_07" ref="A109:F123" totalsRowCount="1" headerRowCount="1">
  <autoFilter ref="A109:F1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2" name="A_4_01_08" displayName="A_4_01_08" ref="A127:F139" totalsRowCount="1" headerRowCount="1">
  <autoFilter ref="A127:F1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3" name="A_4_01_09" displayName="A_4_01_09" ref="A143:F155" totalsRowCount="1" headerRowCount="1">
  <autoFilter ref="A143:F1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4" name="A_4_01_10" displayName="A_4_01_10" ref="A159:F173" totalsRowCount="1" headerRowCount="1">
  <autoFilter ref="A159:F17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5" name="A_4_01_11" displayName="A_4_01_11" ref="A177:F191" totalsRowCount="1" headerRowCount="1">
  <autoFilter ref="A177:F1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6" name="A_4_01_12" displayName="A_4_01_12" ref="A195:F207" totalsRowCount="1" headerRowCount="1">
  <autoFilter ref="A195:F2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7" name="A_4_01_13" displayName="A_4_01_13" ref="A211:F223" totalsRowCount="1" headerRowCount="1">
  <autoFilter ref="A211:F2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8" name="A_4_01_14" displayName="A_4_01_14" ref="A227:F241" totalsRowCount="1" headerRowCount="1">
  <autoFilter ref="A227:F2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9" name="A_4_01_15" displayName="A_4_01_15" ref="A245:F259" totalsRowCount="1" headerRowCount="1">
  <autoFilter ref="A245:F2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0" name="A_4_01_16" displayName="A_4_01_16" ref="A263:F275" totalsRowCount="1" headerRowCount="1">
  <autoFilter ref="A263:F2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1" name="A_4_01_17" displayName="A_4_01_17" ref="A279:F291" totalsRowCount="1" headerRowCount="1">
  <autoFilter ref="A279:F2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2" name="A_4_01_18" displayName="A_4_01_18" ref="A295:F309" totalsRowCount="1" headerRowCount="1">
  <autoFilter ref="A295:F3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3" name="A_4_01_19" displayName="A_4_01_19" ref="A313:F327" totalsRowCount="1" headerRowCount="1">
  <autoFilter ref="A313:F3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4" name="A_4_01_20" displayName="A_4_01_20" ref="A331:F343" totalsRowCount="1" headerRowCount="1">
  <autoFilter ref="A331:F3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5" name="A_4_01_21" displayName="A_4_01_21" ref="A347:F359" totalsRowCount="1" headerRowCount="1">
  <autoFilter ref="A347:F3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6" name="A_4_01_22" displayName="A_4_01_22" ref="A363:F377" totalsRowCount="1" headerRowCount="1">
  <autoFilter ref="A363:F3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7" name="A_4_01_23" displayName="A_4_01_23" ref="A381:F395" totalsRowCount="1" headerRowCount="1">
  <autoFilter ref="A381:F3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8" name="A_4_01_24" displayName="A_4_01_24" ref="A399:F411" totalsRowCount="1" headerRowCount="1">
  <autoFilter ref="A399:F4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9" name="A_4_01_25" displayName="A_4_01_25" ref="A415:F427" totalsRowCount="1" headerRowCount="1">
  <autoFilter ref="A415:F4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0" name="A_4_01_26" displayName="A_4_01_26" ref="A431:F445" totalsRowCount="1" headerRowCount="1">
  <autoFilter ref="A431:F4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1" name="A_4_01_27" displayName="A_4_01_27" ref="A449:F463" totalsRowCount="1" headerRowCount="1">
  <autoFilter ref="A449:F46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2" name="A_4_01_28" displayName="A_4_01_28" ref="A467:F479" totalsRowCount="1" headerRowCount="1">
  <autoFilter ref="A467:F4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3" name="A_4_01_29" displayName="A_4_01_29" ref="A483:F495" totalsRowCount="1" headerRowCount="1">
  <autoFilter ref="A483:F4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4" name="A_4_01_30" displayName="A_4_01_30" ref="A499:F507" totalsRowCount="1" headerRowCount="1">
  <autoFilter ref="A499:F5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5" name="A_5_01_01" displayName="A_5_01_01" ref="A6:F8" totalsRowCount="1" headerRowCount="1">
  <autoFilter ref="A6:F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6" name="A_5_01_02" displayName="A_5_01_02" ref="A12:F14" totalsRowCount="1" headerRowCount="1">
  <autoFilter ref="A12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7" name="A_5_01_03" displayName="A_5_01_03" ref="A18:F20" totalsRowCount="1" headerRowCount="1">
  <autoFilter ref="A18:F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8" name="A_5_01_04" displayName="A_5_01_04" ref="A24:F26" totalsRowCount="1" headerRowCount="1">
  <autoFilter ref="A24:F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9" name="A_5_01_05" displayName="A_5_01_05" ref="A30:F32" totalsRowCount="1" headerRowCount="1">
  <autoFilter ref="A30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0" name="A_5_01_06" displayName="A_5_01_06" ref="A36:F38" totalsRowCount="1" headerRowCount="1">
  <autoFilter ref="A36:F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1" name="A_5_01_07" displayName="A_5_01_07" ref="A42:F44" totalsRowCount="1" headerRowCount="1">
  <autoFilter ref="A42:F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2" name="A_5_01_08" displayName="A_5_01_08" ref="A48:F50" totalsRowCount="1" headerRowCount="1">
  <autoFilter ref="A48:F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3" name="A_5_01_09" displayName="A_5_01_09" ref="A54:F56" totalsRowCount="1" headerRowCount="1">
  <autoFilter ref="A54:F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4" name="A_5_01_10" displayName="A_5_01_10" ref="A60:F62" totalsRowCount="1" headerRowCount="1">
  <autoFilter ref="A60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5" name="A_5_01_11" displayName="A_5_01_11" ref="A66:F68" totalsRowCount="1" headerRowCount="1">
  <autoFilter ref="A66:F6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6" name="A_5_01_12" displayName="A_5_01_12" ref="A72:F74" totalsRowCount="1" headerRowCount="1">
  <autoFilter ref="A72:F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7" name="A_5_01_13" displayName="A_5_01_13" ref="A78:F80" totalsRowCount="1" headerRowCount="1">
  <autoFilter ref="A78:F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8" name="A_5_01_14" displayName="A_5_01_14" ref="A84:F86" totalsRowCount="1" headerRowCount="1">
  <autoFilter ref="A84:F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9" name="A_5_01_15" displayName="A_5_01_15" ref="A90:F92" totalsRowCount="1" headerRowCount="1">
  <autoFilter ref="A90:F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0" name="A_5_01_16" displayName="A_5_01_16" ref="A96:F98" totalsRowCount="1" headerRowCount="1">
  <autoFilter ref="A96:F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1" name="A_5_01_17" displayName="A_5_01_17" ref="A102:F104" totalsRowCount="1" headerRowCount="1">
  <autoFilter ref="A102:F1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2" name="A_5_01_18" displayName="A_5_01_18" ref="A108:F110" totalsRowCount="1" headerRowCount="1">
  <autoFilter ref="A108:F10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3" name="A_5_01_19" displayName="A_5_01_19" ref="A114:F116" totalsRowCount="1" headerRowCount="1">
  <autoFilter ref="A114:F1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4" name="A_5_01_20" displayName="A_5_01_20" ref="A120:F122" totalsRowCount="1" headerRowCount="1">
  <autoFilter ref="A120:F1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5" name="A_5_01_21" displayName="A_5_01_21" ref="A126:F128" totalsRowCount="1" headerRowCount="1">
  <autoFilter ref="A126:F1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6" name="A_5_01_22" displayName="A_5_01_22" ref="A132:F134" totalsRowCount="1" headerRowCount="1">
  <autoFilter ref="A132:F1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7" name="A_5_01_23" displayName="A_5_01_23" ref="A138:F140" totalsRowCount="1" headerRowCount="1">
  <autoFilter ref="A138:F1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8" name="A_5_01_24" displayName="A_5_01_24" ref="A144:F146" totalsRowCount="1" headerRowCount="1">
  <autoFilter ref="A144:F1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9" name="A_5_01_25" displayName="A_5_01_25" ref="A150:F152" totalsRowCount="1" headerRowCount="1">
  <autoFilter ref="A150:F1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0" name="A_5_01_26" displayName="A_5_01_26" ref="A156:F158" totalsRowCount="1" headerRowCount="1">
  <autoFilter ref="A156:F1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1" name="A_5_01_27" displayName="A_5_01_27" ref="A162:F164" totalsRowCount="1" headerRowCount="1">
  <autoFilter ref="A162:F1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2" name="A_5_01_28" displayName="A_5_01_28" ref="A168:F170" totalsRowCount="1" headerRowCount="1">
  <autoFilter ref="A168:F1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3" name="A_5_01_29" displayName="A_5_01_29" ref="A174:F176" totalsRowCount="1" headerRowCount="1">
  <autoFilter ref="A174:F1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4" name="A_5_01_30" displayName="A_5_01_30" ref="A180:F182" totalsRowCount="1" headerRowCount="1">
  <autoFilter ref="A180:F1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5" name="A_5_01_31" displayName="A_5_01_31" ref="A186:F188" totalsRowCount="1" headerRowCount="1">
  <autoFilter ref="A186:F18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6" name="A_5_01_32" displayName="A_5_01_32" ref="A192:F194" totalsRowCount="1" headerRowCount="1">
  <autoFilter ref="A192:F19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7" name="A_5_01_33" displayName="A_5_01_33" ref="A198:F200" totalsRowCount="1" headerRowCount="1">
  <autoFilter ref="A198:F1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8" name="A_5_01_34" displayName="A_5_01_34" ref="A204:F206" totalsRowCount="1" headerRowCount="1">
  <autoFilter ref="A204:F2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9" name="A_5_01_35" displayName="A_5_01_35" ref="A210:F212" totalsRowCount="1" headerRowCount="1">
  <autoFilter ref="A210:F2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0" name="A_5_01_36" displayName="A_5_01_36" ref="A216:F218" totalsRowCount="1" headerRowCount="1">
  <autoFilter ref="A216:F2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1" name="A_5_01_37" displayName="A_5_01_37" ref="A222:F224" totalsRowCount="1" headerRowCount="1">
  <autoFilter ref="A222:F2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2" name="A_6_01_01" displayName="A_6_01_01" ref="A6:F11" totalsRowCount="1" headerRowCount="1">
  <autoFilter ref="A6:F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3" name="A_6_01_02" displayName="A_6_01_02" ref="A15:F20" totalsRowCount="1" headerRowCount="1">
  <autoFilter ref="A15:F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4" name="A_6_01_03" displayName="A_6_01_03" ref="A24:F29" totalsRowCount="1" headerRowCount="1">
  <autoFilter ref="A24:F2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5" name="A_6_01_04" displayName="A_6_01_04" ref="A33:F39" totalsRowCount="1" headerRowCount="1">
  <autoFilter ref="A33:F3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6" name="A_6_01_05" displayName="A_6_01_05" ref="A43:F48" totalsRowCount="1" headerRowCount="1">
  <autoFilter ref="A43:F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7" name="A_6_01_06" displayName="A_6_01_06" ref="A52:F57" totalsRowCount="1" headerRowCount="1">
  <autoFilter ref="A52:F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8" name="A_6_01_07" displayName="A_6_01_07" ref="A61:F66" totalsRowCount="1" headerRowCount="1">
  <autoFilter ref="A61:F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9" name="A_6_01_08" displayName="A_6_01_08" ref="A70:F75" totalsRowCount="1" headerRowCount="1">
  <autoFilter ref="A70:F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0" name="A_6_01_09" displayName="A_6_01_09" ref="A79:F84" totalsRowCount="1" headerRowCount="1">
  <autoFilter ref="A79:F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1" name="A_6_02_01" displayName="A_6_02_01" ref="A6:F14" totalsRowCount="1" headerRowCount="1">
  <autoFilter ref="A6:F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2" name="A_6_02_02" displayName="A_6_02_02" ref="A18:F26" totalsRowCount="1" headerRowCount="1">
  <autoFilter ref="A18:F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3" name="A_6_02_03" displayName="A_6_02_03" ref="A30:F38" totalsRowCount="1" headerRowCount="1">
  <autoFilter ref="A30:F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4" name="A_6_02_04" displayName="A_6_02_04" ref="A42:F50" totalsRowCount="1" headerRowCount="1">
  <autoFilter ref="A42:F4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5" name="A_6_02_05" displayName="A_6_02_05" ref="A54:F62" totalsRowCount="1" headerRowCount="1">
  <autoFilter ref="A54:F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6" name="A_6_02_06" displayName="A_6_02_06" ref="A66:F74" totalsRowCount="1" headerRowCount="1">
  <autoFilter ref="A66:F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7" name="A_6_02_07" displayName="A_6_02_07" ref="A78:F86" totalsRowCount="1" headerRowCount="1">
  <autoFilter ref="A78:F8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8" name="A_6_02_08" displayName="A_6_02_08" ref="A90:F98" totalsRowCount="1" headerRowCount="1">
  <autoFilter ref="A90:F9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9" name="A_6_02_09" displayName="A_6_02_09" ref="A102:F108" totalsRowCount="1" headerRowCount="1">
  <autoFilter ref="A102:F10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0" name="A_6_02_10" displayName="A_6_02_10" ref="A112:F115" totalsRowCount="1" headerRowCount="1">
  <autoFilter ref="A112:F1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1" name="A_6_02_11" displayName="A_6_02_11" ref="A119:F122" totalsRowCount="1" headerRowCount="1">
  <autoFilter ref="A119:F1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2" name="A_6_03_01" displayName="A_6_03_01" ref="A6:F13" totalsRowCount="1" headerRowCount="1">
  <autoFilter ref="A6:F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3" name="A_6_03_02" displayName="A_6_03_02" ref="A17:F24" totalsRowCount="1" headerRowCount="1">
  <autoFilter ref="A17:F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4" name="A_6_04_01" displayName="A_6_04_01" ref="A6:F12" totalsRowCount="1" headerRowCount="1">
  <autoFilter ref="A6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5" name="A_6_04_02" displayName="A_6_04_02" ref="A16:F22" totalsRowCount="1" headerRowCount="1">
  <autoFilter ref="A16:F2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6" name="A_6_04_03" displayName="A_6_04_03" ref="A26:F31" totalsRowCount="1" headerRowCount="1">
  <autoFilter ref="A26:F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GRUPO" totalsRowLabel="Total actividad"/>
    <tableColumn id="2" name="INSUMO" totalsRowFunction="none"/>
    <tableColumn id="3" name="UNIDAD" totalsRowFunction="none"/>
    <tableColumn id="4" name="CANTIDAD" totalsRowFunction="none"/>
    <tableColumn id="5" name="VALOR UNITARIO" totalsRowFunction="none"/>
    <tableColumn id="6" name="VALOR PARCIAL" totalsRowFunction="sum"/>
  </tableColumns>
  <tableStyleInfo name="TableStyleLight21" showFirstColumn="0" showLastColumn="0" showRowStripes="1" showColumnStripes="0"/>
</table>
</file>

<file path=xl/tables/table1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7" name="T_Clasificacion" displayName="T_Clasificacion" ref="A3:F45" totalsRowShown="1" headerRowCount="1">
  <autoFilter ref="A3:F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DIGO" totalsRowLabel="Total"/>
    <tableColumn id="2" name="EJE" totalsRowFunction="none"/>
    <tableColumn id="3" name="PREGUNTA" totalsRowFunction="none"/>
    <tableColumn id="4" name="CATEGORIA" totalsRowFunction="none"/>
    <tableColumn id="5" name="DESCRIPCION" totalsRowFunction="none"/>
    <tableColumn id="6" name="ACTIVIDADES" totalsRowFunction="none"/>
  </tableColumns>
  <tableStyleInfo name="TableStyleMedium7" showFirstColumn="0" showLastColumn="0" showRowStripes="1" showColumnStripes="0"/>
</table>
</file>

<file path=xl/tables/table1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8" name="T_Insumos" displayName="T_Insumos" ref="A1:I7345" totalsRowShown="1" headerRowCount="1">
  <autoFilter ref="A1:I73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ODIGO ACTIVIDAD" totalsRowLabel="Total"/>
    <tableColumn id="2" name="NOMBRE DE LA TAREA" totalsRowFunction="none"/>
    <tableColumn id="3" name="UNIDAD TAREA" totalsRowFunction="none"/>
    <tableColumn id="4" name="GRUPO" totalsRowFunction="none"/>
    <tableColumn id="5" name="INSUMO" totalsRowFunction="none"/>
    <tableColumn id="6" name="UNIDAD" totalsRowFunction="none"/>
    <tableColumn id="7" name="CANTIDAD" totalsRowFunction="none"/>
    <tableColumn id="8" name="VALOR UNITARIO" totalsRowFunction="none"/>
    <tableColumn id="9" name="VALOR PARCIAL" totalsRowFunction="non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Relationship Id="rId9" Type="http://schemas.openxmlformats.org/officeDocument/2006/relationships/table" Target="../tables/table10.xml"/><Relationship Id="rId10" Type="http://schemas.openxmlformats.org/officeDocument/2006/relationships/table" Target="../tables/table11.xml"/><Relationship Id="rId11" Type="http://schemas.openxmlformats.org/officeDocument/2006/relationships/table" Target="../tables/table12.xml"/><Relationship Id="rId12" Type="http://schemas.openxmlformats.org/officeDocument/2006/relationships/table" Target="../tables/table13.xml"/><Relationship Id="rId13" Type="http://schemas.openxmlformats.org/officeDocument/2006/relationships/table" Target="../tables/table14.xml"/><Relationship Id="rId14" Type="http://schemas.openxmlformats.org/officeDocument/2006/relationships/table" Target="../tables/table15.xml"/><Relationship Id="rId15" Type="http://schemas.openxmlformats.org/officeDocument/2006/relationships/table" Target="../tables/table16.xml"/><Relationship Id="rId16" Type="http://schemas.openxmlformats.org/officeDocument/2006/relationships/table" Target="../tables/table17.xml"/><Relationship Id="rId17" Type="http://schemas.openxmlformats.org/officeDocument/2006/relationships/table" Target="../tables/table18.xml"/><Relationship Id="rId18" Type="http://schemas.openxmlformats.org/officeDocument/2006/relationships/table" Target="../tables/table19.xml"/><Relationship Id="rId19" Type="http://schemas.openxmlformats.org/officeDocument/2006/relationships/table" Target="../tables/table20.xml"/><Relationship Id="rId20" Type="http://schemas.openxmlformats.org/officeDocument/2006/relationships/table" Target="../tables/table21.xml"/><Relationship Id="rId21" Type="http://schemas.openxmlformats.org/officeDocument/2006/relationships/table" Target="../tables/table22.xml"/><Relationship Id="rId22" Type="http://schemas.openxmlformats.org/officeDocument/2006/relationships/table" Target="../tables/table23.xml"/><Relationship Id="rId23" Type="http://schemas.openxmlformats.org/officeDocument/2006/relationships/table" Target="../tables/table24.xml"/><Relationship Id="rId24" Type="http://schemas.openxmlformats.org/officeDocument/2006/relationships/table" Target="../tables/table25.xml"/><Relationship Id="rId25" Type="http://schemas.openxmlformats.org/officeDocument/2006/relationships/table" Target="../tables/table26.xml"/><Relationship Id="rId26" Type="http://schemas.openxmlformats.org/officeDocument/2006/relationships/table" Target="../tables/table27.xml"/><Relationship Id="rId27" Type="http://schemas.openxmlformats.org/officeDocument/2006/relationships/table" Target="../tables/table28.xml"/><Relationship Id="rId28" Type="http://schemas.openxmlformats.org/officeDocument/2006/relationships/table" Target="../tables/table29.xml"/><Relationship Id="rId29" Type="http://schemas.openxmlformats.org/officeDocument/2006/relationships/table" Target="../tables/table30.xml"/><Relationship Id="rId30" Type="http://schemas.openxmlformats.org/officeDocument/2006/relationships/table" Target="../tables/table31.xml"/><Relationship Id="rId31" Type="http://schemas.openxmlformats.org/officeDocument/2006/relationships/table" Target="../tables/table32.xml"/><Relationship Id="rId32" Type="http://schemas.openxmlformats.org/officeDocument/2006/relationships/table" Target="../tables/table33.xml"/><Relationship Id="rId33" Type="http://schemas.openxmlformats.org/officeDocument/2006/relationships/table" Target="../tables/table34.xml"/><Relationship Id="rId34" Type="http://schemas.openxmlformats.org/officeDocument/2006/relationships/table" Target="../tables/table35.xml"/><Relationship Id="rId35" Type="http://schemas.openxmlformats.org/officeDocument/2006/relationships/table" Target="../tables/table36.xml"/><Relationship Id="rId36" Type="http://schemas.openxmlformats.org/officeDocument/2006/relationships/table" Target="../tables/table37.xml"/><Relationship Id="rId37" Type="http://schemas.openxmlformats.org/officeDocument/2006/relationships/table" Target="../tables/table38.xml"/><Relationship Id="rId38" Type="http://schemas.openxmlformats.org/officeDocument/2006/relationships/table" Target="../tables/table39.xml"/><Relationship Id="rId39" Type="http://schemas.openxmlformats.org/officeDocument/2006/relationships/table" Target="../tables/table40.xml"/><Relationship Id="rId40" Type="http://schemas.openxmlformats.org/officeDocument/2006/relationships/table" Target="../tables/table41.xml"/><Relationship Id="rId41" Type="http://schemas.openxmlformats.org/officeDocument/2006/relationships/table" Target="../tables/table42.xml"/><Relationship Id="rId42" Type="http://schemas.openxmlformats.org/officeDocument/2006/relationships/table" Target="../tables/table43.xml"/><Relationship Id="rId43" Type="http://schemas.openxmlformats.org/officeDocument/2006/relationships/table" Target="../tables/table44.xml"/><Relationship Id="rId44" Type="http://schemas.openxmlformats.org/officeDocument/2006/relationships/table" Target="../tables/table45.xml"/><Relationship Id="rId45" Type="http://schemas.openxmlformats.org/officeDocument/2006/relationships/table" Target="../tables/table46.xml"/><Relationship Id="rId46" Type="http://schemas.openxmlformats.org/officeDocument/2006/relationships/table" Target="../tables/table47.xml"/><Relationship Id="rId47" Type="http://schemas.openxmlformats.org/officeDocument/2006/relationships/table" Target="../tables/table48.xml"/><Relationship Id="rId48" Type="http://schemas.openxmlformats.org/officeDocument/2006/relationships/table" Target="../tables/table49.xml"/><Relationship Id="rId49" Type="http://schemas.openxmlformats.org/officeDocument/2006/relationships/table" Target="../tables/table50.xml"/><Relationship Id="rId50" Type="http://schemas.openxmlformats.org/officeDocument/2006/relationships/table" Target="../tables/table51.xml"/><Relationship Id="rId51" Type="http://schemas.openxmlformats.org/officeDocument/2006/relationships/table" Target="../tables/table52.xml"/><Relationship Id="rId52" Type="http://schemas.openxmlformats.org/officeDocument/2006/relationships/table" Target="../tables/table53.xml"/><Relationship Id="rId53" Type="http://schemas.openxmlformats.org/officeDocument/2006/relationships/table" Target="../tables/table54.xml"/><Relationship Id="rId54" Type="http://schemas.openxmlformats.org/officeDocument/2006/relationships/table" Target="../tables/table55.xml"/><Relationship Id="rId55" Type="http://schemas.openxmlformats.org/officeDocument/2006/relationships/table" Target="../tables/table56.xml"/><Relationship Id="rId56" Type="http://schemas.openxmlformats.org/officeDocument/2006/relationships/table" Target="../tables/table57.xml"/><Relationship Id="rId57" Type="http://schemas.openxmlformats.org/officeDocument/2006/relationships/table" Target="../tables/table58.xml"/><Relationship Id="rId58" Type="http://schemas.openxmlformats.org/officeDocument/2006/relationships/table" Target="../tables/table59.xml"/><Relationship Id="rId59" Type="http://schemas.openxmlformats.org/officeDocument/2006/relationships/table" Target="../tables/table60.xml"/><Relationship Id="rId60" Type="http://schemas.openxmlformats.org/officeDocument/2006/relationships/table" Target="../tables/table61.xml"/><Relationship Id="rId61" Type="http://schemas.openxmlformats.org/officeDocument/2006/relationships/table" Target="../tables/table62.xml"/><Relationship Id="rId62" Type="http://schemas.openxmlformats.org/officeDocument/2006/relationships/table" Target="../tables/table63.xml"/><Relationship Id="rId63" Type="http://schemas.openxmlformats.org/officeDocument/2006/relationships/table" Target="../tables/table64.xml"/><Relationship Id="rId64" Type="http://schemas.openxmlformats.org/officeDocument/2006/relationships/table" Target="../tables/table65.xml"/><Relationship Id="rId65" Type="http://schemas.openxmlformats.org/officeDocument/2006/relationships/table" Target="../tables/table66.xml"/><Relationship Id="rId66" Type="http://schemas.openxmlformats.org/officeDocument/2006/relationships/table" Target="../tables/table67.xml"/><Relationship Id="rId67" Type="http://schemas.openxmlformats.org/officeDocument/2006/relationships/table" Target="../tables/table68.xml"/><Relationship Id="rId68" Type="http://schemas.openxmlformats.org/officeDocument/2006/relationships/table" Target="../tables/table69.xml"/><Relationship Id="rId69" Type="http://schemas.openxmlformats.org/officeDocument/2006/relationships/table" Target="../tables/table70.xml"/><Relationship Id="rId70" Type="http://schemas.openxmlformats.org/officeDocument/2006/relationships/table" Target="../tables/table71.xml"/><Relationship Id="rId71" Type="http://schemas.openxmlformats.org/officeDocument/2006/relationships/table" Target="../tables/table72.xml"/><Relationship Id="rId72" Type="http://schemas.openxmlformats.org/officeDocument/2006/relationships/table" Target="../tables/table73.xml"/><Relationship Id="rId73" Type="http://schemas.openxmlformats.org/officeDocument/2006/relationships/table" Target="../tables/table74.xml"/><Relationship Id="rId74" Type="http://schemas.openxmlformats.org/officeDocument/2006/relationships/table" Target="../tables/table75.xml"/><Relationship Id="rId75" Type="http://schemas.openxmlformats.org/officeDocument/2006/relationships/table" Target="../tables/table76.xml"/><Relationship Id="rId76" Type="http://schemas.openxmlformats.org/officeDocument/2006/relationships/table" Target="../tables/table77.xml"/><Relationship Id="rId77" Type="http://schemas.openxmlformats.org/officeDocument/2006/relationships/table" Target="../tables/table78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79.xml"/><Relationship Id="rId2" Type="http://schemas.openxmlformats.org/officeDocument/2006/relationships/table" Target="../tables/table80.xml"/><Relationship Id="rId3" Type="http://schemas.openxmlformats.org/officeDocument/2006/relationships/table" Target="../tables/table81.xml"/><Relationship Id="rId4" Type="http://schemas.openxmlformats.org/officeDocument/2006/relationships/table" Target="../tables/table82.xml"/><Relationship Id="rId5" Type="http://schemas.openxmlformats.org/officeDocument/2006/relationships/table" Target="../tables/table83.xml"/><Relationship Id="rId6" Type="http://schemas.openxmlformats.org/officeDocument/2006/relationships/table" Target="../tables/table84.xml"/><Relationship Id="rId7" Type="http://schemas.openxmlformats.org/officeDocument/2006/relationships/table" Target="../tables/table85.xml"/><Relationship Id="rId8" Type="http://schemas.openxmlformats.org/officeDocument/2006/relationships/table" Target="../tables/table86.xml"/><Relationship Id="rId9" Type="http://schemas.openxmlformats.org/officeDocument/2006/relationships/table" Target="../tables/table87.xml"/><Relationship Id="rId10" Type="http://schemas.openxmlformats.org/officeDocument/2006/relationships/table" Target="../tables/table88.xml"/><Relationship Id="rId11" Type="http://schemas.openxmlformats.org/officeDocument/2006/relationships/table" Target="../tables/table89.xml"/><Relationship Id="rId12" Type="http://schemas.openxmlformats.org/officeDocument/2006/relationships/table" Target="../tables/table90.xml"/><Relationship Id="rId13" Type="http://schemas.openxmlformats.org/officeDocument/2006/relationships/table" Target="../tables/table91.xml"/><Relationship Id="rId14" Type="http://schemas.openxmlformats.org/officeDocument/2006/relationships/table" Target="../tables/table92.xml"/><Relationship Id="rId15" Type="http://schemas.openxmlformats.org/officeDocument/2006/relationships/table" Target="../tables/table93.xml"/><Relationship Id="rId16" Type="http://schemas.openxmlformats.org/officeDocument/2006/relationships/table" Target="../tables/table94.xml"/><Relationship Id="rId17" Type="http://schemas.openxmlformats.org/officeDocument/2006/relationships/table" Target="../tables/table95.xml"/><Relationship Id="rId18" Type="http://schemas.openxmlformats.org/officeDocument/2006/relationships/table" Target="../tables/table96.xml"/><Relationship Id="rId19" Type="http://schemas.openxmlformats.org/officeDocument/2006/relationships/table" Target="../tables/table97.xml"/><Relationship Id="rId20" Type="http://schemas.openxmlformats.org/officeDocument/2006/relationships/table" Target="../tables/table98.xml"/><Relationship Id="rId21" Type="http://schemas.openxmlformats.org/officeDocument/2006/relationships/table" Target="../tables/table99.xml"/><Relationship Id="rId22" Type="http://schemas.openxmlformats.org/officeDocument/2006/relationships/table" Target="../tables/table100.xml"/><Relationship Id="rId23" Type="http://schemas.openxmlformats.org/officeDocument/2006/relationships/table" Target="../tables/table101.xml"/><Relationship Id="rId24" Type="http://schemas.openxmlformats.org/officeDocument/2006/relationships/table" Target="../tables/table102.xml"/><Relationship Id="rId25" Type="http://schemas.openxmlformats.org/officeDocument/2006/relationships/table" Target="../tables/table103.xml"/><Relationship Id="rId26" Type="http://schemas.openxmlformats.org/officeDocument/2006/relationships/table" Target="../tables/table104.xml"/><Relationship Id="rId27" Type="http://schemas.openxmlformats.org/officeDocument/2006/relationships/table" Target="../tables/table105.xml"/><Relationship Id="rId28" Type="http://schemas.openxmlformats.org/officeDocument/2006/relationships/table" Target="../tables/table106.xml"/><Relationship Id="rId29" Type="http://schemas.openxmlformats.org/officeDocument/2006/relationships/table" Target="../tables/table107.xml"/><Relationship Id="rId30" Type="http://schemas.openxmlformats.org/officeDocument/2006/relationships/table" Target="../tables/table108.xml"/><Relationship Id="rId31" Type="http://schemas.openxmlformats.org/officeDocument/2006/relationships/table" Target="../tables/table109.xml"/><Relationship Id="rId32" Type="http://schemas.openxmlformats.org/officeDocument/2006/relationships/table" Target="../tables/table110.xml"/><Relationship Id="rId33" Type="http://schemas.openxmlformats.org/officeDocument/2006/relationships/table" Target="../tables/table111.xml"/><Relationship Id="rId34" Type="http://schemas.openxmlformats.org/officeDocument/2006/relationships/table" Target="../tables/table112.xml"/><Relationship Id="rId35" Type="http://schemas.openxmlformats.org/officeDocument/2006/relationships/table" Target="../tables/table113.xml"/><Relationship Id="rId36" Type="http://schemas.openxmlformats.org/officeDocument/2006/relationships/table" Target="../tables/table114.xml"/><Relationship Id="rId37" Type="http://schemas.openxmlformats.org/officeDocument/2006/relationships/table" Target="../tables/table115.xml"/><Relationship Id="rId38" Type="http://schemas.openxmlformats.org/officeDocument/2006/relationships/table" Target="../tables/table116.xml"/><Relationship Id="rId39" Type="http://schemas.openxmlformats.org/officeDocument/2006/relationships/table" Target="../tables/table117.xml"/><Relationship Id="rId40" Type="http://schemas.openxmlformats.org/officeDocument/2006/relationships/table" Target="../tables/table118.xml"/><Relationship Id="rId41" Type="http://schemas.openxmlformats.org/officeDocument/2006/relationships/table" Target="../tables/table119.xml"/><Relationship Id="rId42" Type="http://schemas.openxmlformats.org/officeDocument/2006/relationships/table" Target="../tables/table120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1.xml"/><Relationship Id="rId2" Type="http://schemas.openxmlformats.org/officeDocument/2006/relationships/table" Target="../tables/table122.xml"/><Relationship Id="rId3" Type="http://schemas.openxmlformats.org/officeDocument/2006/relationships/table" Target="../tables/table123.xml"/><Relationship Id="rId4" Type="http://schemas.openxmlformats.org/officeDocument/2006/relationships/table" Target="../tables/table124.xml"/><Relationship Id="rId5" Type="http://schemas.openxmlformats.org/officeDocument/2006/relationships/table" Target="../tables/table125.xml"/><Relationship Id="rId6" Type="http://schemas.openxmlformats.org/officeDocument/2006/relationships/table" Target="../tables/table126.xml"/><Relationship Id="rId7" Type="http://schemas.openxmlformats.org/officeDocument/2006/relationships/table" Target="../tables/table127.xml"/><Relationship Id="rId8" Type="http://schemas.openxmlformats.org/officeDocument/2006/relationships/table" Target="../tables/table128.xml"/><Relationship Id="rId9" Type="http://schemas.openxmlformats.org/officeDocument/2006/relationships/table" Target="../tables/table129.xml"/><Relationship Id="rId10" Type="http://schemas.openxmlformats.org/officeDocument/2006/relationships/table" Target="../tables/table130.xml"/><Relationship Id="rId11" Type="http://schemas.openxmlformats.org/officeDocument/2006/relationships/table" Target="../tables/table131.xml"/><Relationship Id="rId12" Type="http://schemas.openxmlformats.org/officeDocument/2006/relationships/table" Target="../tables/table132.xml"/><Relationship Id="rId13" Type="http://schemas.openxmlformats.org/officeDocument/2006/relationships/table" Target="../tables/table133.xml"/><Relationship Id="rId14" Type="http://schemas.openxmlformats.org/officeDocument/2006/relationships/table" Target="../tables/table134.xml"/><Relationship Id="rId15" Type="http://schemas.openxmlformats.org/officeDocument/2006/relationships/table" Target="../tables/table135.xml"/><Relationship Id="rId16" Type="http://schemas.openxmlformats.org/officeDocument/2006/relationships/table" Target="../tables/table136.xml"/><Relationship Id="rId17" Type="http://schemas.openxmlformats.org/officeDocument/2006/relationships/table" Target="../tables/table137.xml"/><Relationship Id="rId18" Type="http://schemas.openxmlformats.org/officeDocument/2006/relationships/table" Target="../tables/table138.xml"/><Relationship Id="rId19" Type="http://schemas.openxmlformats.org/officeDocument/2006/relationships/table" Target="../tables/table139.xml"/><Relationship Id="rId20" Type="http://schemas.openxmlformats.org/officeDocument/2006/relationships/table" Target="../tables/table140.xml"/><Relationship Id="rId21" Type="http://schemas.openxmlformats.org/officeDocument/2006/relationships/table" Target="../tables/table141.xml"/><Relationship Id="rId22" Type="http://schemas.openxmlformats.org/officeDocument/2006/relationships/table" Target="../tables/table142.xml"/><Relationship Id="rId23" Type="http://schemas.openxmlformats.org/officeDocument/2006/relationships/table" Target="../tables/table143.xml"/><Relationship Id="rId24" Type="http://schemas.openxmlformats.org/officeDocument/2006/relationships/table" Target="../tables/table144.xml"/><Relationship Id="rId25" Type="http://schemas.openxmlformats.org/officeDocument/2006/relationships/table" Target="../tables/table145.xml"/><Relationship Id="rId26" Type="http://schemas.openxmlformats.org/officeDocument/2006/relationships/table" Target="../tables/table14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7.xml"/><Relationship Id="rId2" Type="http://schemas.openxmlformats.org/officeDocument/2006/relationships/table" Target="../tables/table148.xml"/><Relationship Id="rId3" Type="http://schemas.openxmlformats.org/officeDocument/2006/relationships/table" Target="../tables/table149.xml"/><Relationship Id="rId4" Type="http://schemas.openxmlformats.org/officeDocument/2006/relationships/table" Target="../tables/table150.xml"/><Relationship Id="rId5" Type="http://schemas.openxmlformats.org/officeDocument/2006/relationships/table" Target="../tables/table151.xml"/><Relationship Id="rId6" Type="http://schemas.openxmlformats.org/officeDocument/2006/relationships/table" Target="../tables/table152.xml"/><Relationship Id="rId7" Type="http://schemas.openxmlformats.org/officeDocument/2006/relationships/table" Target="../tables/table153.xml"/><Relationship Id="rId8" Type="http://schemas.openxmlformats.org/officeDocument/2006/relationships/table" Target="../tables/table154.xml"/><Relationship Id="rId9" Type="http://schemas.openxmlformats.org/officeDocument/2006/relationships/table" Target="../tables/table155.xml"/><Relationship Id="rId10" Type="http://schemas.openxmlformats.org/officeDocument/2006/relationships/table" Target="../tables/table156.xml"/><Relationship Id="rId11" Type="http://schemas.openxmlformats.org/officeDocument/2006/relationships/table" Target="../tables/table157.xml"/><Relationship Id="rId12" Type="http://schemas.openxmlformats.org/officeDocument/2006/relationships/table" Target="../tables/table158.xml"/><Relationship Id="rId13" Type="http://schemas.openxmlformats.org/officeDocument/2006/relationships/table" Target="../tables/table159.xml"/><Relationship Id="rId14" Type="http://schemas.openxmlformats.org/officeDocument/2006/relationships/table" Target="../tables/table160.xml"/><Relationship Id="rId15" Type="http://schemas.openxmlformats.org/officeDocument/2006/relationships/table" Target="../tables/table161.xml"/><Relationship Id="rId16" Type="http://schemas.openxmlformats.org/officeDocument/2006/relationships/table" Target="../tables/table162.xml"/><Relationship Id="rId17" Type="http://schemas.openxmlformats.org/officeDocument/2006/relationships/table" Target="../tables/table163.xml"/><Relationship Id="rId18" Type="http://schemas.openxmlformats.org/officeDocument/2006/relationships/table" Target="../tables/table164.xml"/><Relationship Id="rId19" Type="http://schemas.openxmlformats.org/officeDocument/2006/relationships/table" Target="../tables/table165.xml"/><Relationship Id="rId20" Type="http://schemas.openxmlformats.org/officeDocument/2006/relationships/table" Target="../tables/table166.xml"/><Relationship Id="rId21" Type="http://schemas.openxmlformats.org/officeDocument/2006/relationships/table" Target="../tables/table167.xml"/><Relationship Id="rId22" Type="http://schemas.openxmlformats.org/officeDocument/2006/relationships/table" Target="../tables/table168.xml"/><Relationship Id="rId23" Type="http://schemas.openxmlformats.org/officeDocument/2006/relationships/table" Target="../tables/table169.xml"/><Relationship Id="rId24" Type="http://schemas.openxmlformats.org/officeDocument/2006/relationships/table" Target="../tables/table170.xml"/><Relationship Id="rId25" Type="http://schemas.openxmlformats.org/officeDocument/2006/relationships/table" Target="../tables/table171.xml"/><Relationship Id="rId26" Type="http://schemas.openxmlformats.org/officeDocument/2006/relationships/table" Target="../tables/table172.xml"/><Relationship Id="rId27" Type="http://schemas.openxmlformats.org/officeDocument/2006/relationships/table" Target="../tables/table173.xml"/><Relationship Id="rId28" Type="http://schemas.openxmlformats.org/officeDocument/2006/relationships/table" Target="../tables/table174.xml"/><Relationship Id="rId29" Type="http://schemas.openxmlformats.org/officeDocument/2006/relationships/table" Target="../tables/table175.xml"/><Relationship Id="rId30" Type="http://schemas.openxmlformats.org/officeDocument/2006/relationships/table" Target="../tables/table176.xml"/><Relationship Id="rId31" Type="http://schemas.openxmlformats.org/officeDocument/2006/relationships/table" Target="../tables/table177.xml"/><Relationship Id="rId32" Type="http://schemas.openxmlformats.org/officeDocument/2006/relationships/table" Target="../tables/table178.xml"/><Relationship Id="rId33" Type="http://schemas.openxmlformats.org/officeDocument/2006/relationships/table" Target="../tables/table179.xml"/><Relationship Id="rId34" Type="http://schemas.openxmlformats.org/officeDocument/2006/relationships/table" Target="../tables/table180.xml"/><Relationship Id="rId35" Type="http://schemas.openxmlformats.org/officeDocument/2006/relationships/table" Target="../tables/table181.xml"/><Relationship Id="rId36" Type="http://schemas.openxmlformats.org/officeDocument/2006/relationships/table" Target="../tables/table182.xml"/><Relationship Id="rId37" Type="http://schemas.openxmlformats.org/officeDocument/2006/relationships/table" Target="../tables/table18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4.xml"/><Relationship Id="rId2" Type="http://schemas.openxmlformats.org/officeDocument/2006/relationships/table" Target="../tables/table185.xml"/><Relationship Id="rId3" Type="http://schemas.openxmlformats.org/officeDocument/2006/relationships/table" Target="../tables/table186.xml"/><Relationship Id="rId4" Type="http://schemas.openxmlformats.org/officeDocument/2006/relationships/table" Target="../tables/table187.xml"/><Relationship Id="rId5" Type="http://schemas.openxmlformats.org/officeDocument/2006/relationships/table" Target="../tables/table188.xml"/><Relationship Id="rId6" Type="http://schemas.openxmlformats.org/officeDocument/2006/relationships/table" Target="../tables/table189.xml"/><Relationship Id="rId7" Type="http://schemas.openxmlformats.org/officeDocument/2006/relationships/table" Target="../tables/table190.xml"/><Relationship Id="rId8" Type="http://schemas.openxmlformats.org/officeDocument/2006/relationships/table" Target="../tables/table191.xml"/><Relationship Id="rId9" Type="http://schemas.openxmlformats.org/officeDocument/2006/relationships/table" Target="../tables/table192.xml"/><Relationship Id="rId10" Type="http://schemas.openxmlformats.org/officeDocument/2006/relationships/table" Target="../tables/table193.xml"/><Relationship Id="rId11" Type="http://schemas.openxmlformats.org/officeDocument/2006/relationships/table" Target="../tables/table194.xml"/><Relationship Id="rId12" Type="http://schemas.openxmlformats.org/officeDocument/2006/relationships/table" Target="../tables/table195.xml"/><Relationship Id="rId13" Type="http://schemas.openxmlformats.org/officeDocument/2006/relationships/table" Target="../tables/table196.xml"/><Relationship Id="rId14" Type="http://schemas.openxmlformats.org/officeDocument/2006/relationships/table" Target="../tables/table197.xml"/><Relationship Id="rId15" Type="http://schemas.openxmlformats.org/officeDocument/2006/relationships/table" Target="../tables/table198.xml"/><Relationship Id="rId16" Type="http://schemas.openxmlformats.org/officeDocument/2006/relationships/table" Target="../tables/table199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0.xml"/><Relationship Id="rId2" Type="http://schemas.openxmlformats.org/officeDocument/2006/relationships/table" Target="../tables/table201.xml"/><Relationship Id="rId3" Type="http://schemas.openxmlformats.org/officeDocument/2006/relationships/table" Target="../tables/table202.xml"/><Relationship Id="rId4" Type="http://schemas.openxmlformats.org/officeDocument/2006/relationships/table" Target="../tables/table203.xml"/><Relationship Id="rId5" Type="http://schemas.openxmlformats.org/officeDocument/2006/relationships/table" Target="../tables/table204.xml"/><Relationship Id="rId6" Type="http://schemas.openxmlformats.org/officeDocument/2006/relationships/table" Target="../tables/table205.xml"/><Relationship Id="rId7" Type="http://schemas.openxmlformats.org/officeDocument/2006/relationships/table" Target="../tables/table206.xml"/><Relationship Id="rId8" Type="http://schemas.openxmlformats.org/officeDocument/2006/relationships/table" Target="../tables/table207.xml"/><Relationship Id="rId9" Type="http://schemas.openxmlformats.org/officeDocument/2006/relationships/table" Target="../tables/table208.xml"/><Relationship Id="rId10" Type="http://schemas.openxmlformats.org/officeDocument/2006/relationships/table" Target="../tables/table209.xml"/><Relationship Id="rId11" Type="http://schemas.openxmlformats.org/officeDocument/2006/relationships/table" Target="../tables/table210.xml"/><Relationship Id="rId12" Type="http://schemas.openxmlformats.org/officeDocument/2006/relationships/table" Target="../tables/table211.xml"/><Relationship Id="rId13" Type="http://schemas.openxmlformats.org/officeDocument/2006/relationships/table" Target="../tables/table212.xml"/><Relationship Id="rId14" Type="http://schemas.openxmlformats.org/officeDocument/2006/relationships/table" Target="../tables/table213.xml"/><Relationship Id="rId15" Type="http://schemas.openxmlformats.org/officeDocument/2006/relationships/table" Target="../tables/table214.xml"/><Relationship Id="rId16" Type="http://schemas.openxmlformats.org/officeDocument/2006/relationships/table" Target="../tables/table215.xml"/><Relationship Id="rId17" Type="http://schemas.openxmlformats.org/officeDocument/2006/relationships/table" Target="../tables/table216.xml"/><Relationship Id="rId18" Type="http://schemas.openxmlformats.org/officeDocument/2006/relationships/table" Target="../tables/table217.xml"/><Relationship Id="rId19" Type="http://schemas.openxmlformats.org/officeDocument/2006/relationships/table" Target="../tables/table218.xml"/><Relationship Id="rId20" Type="http://schemas.openxmlformats.org/officeDocument/2006/relationships/table" Target="../tables/table219.xml"/><Relationship Id="rId21" Type="http://schemas.openxmlformats.org/officeDocument/2006/relationships/table" Target="../tables/table220.xml"/><Relationship Id="rId22" Type="http://schemas.openxmlformats.org/officeDocument/2006/relationships/table" Target="../tables/table221.xml"/><Relationship Id="rId23" Type="http://schemas.openxmlformats.org/officeDocument/2006/relationships/table" Target="../tables/table222.xml"/><Relationship Id="rId24" Type="http://schemas.openxmlformats.org/officeDocument/2006/relationships/table" Target="../tables/table223.xml"/><Relationship Id="rId25" Type="http://schemas.openxmlformats.org/officeDocument/2006/relationships/table" Target="../tables/table224.xml"/><Relationship Id="rId26" Type="http://schemas.openxmlformats.org/officeDocument/2006/relationships/table" Target="../tables/table225.xml"/><Relationship Id="rId27" Type="http://schemas.openxmlformats.org/officeDocument/2006/relationships/table" Target="../tables/table226.xml"/><Relationship Id="rId28" Type="http://schemas.openxmlformats.org/officeDocument/2006/relationships/table" Target="../tables/table227.xml"/><Relationship Id="rId29" Type="http://schemas.openxmlformats.org/officeDocument/2006/relationships/table" Target="../tables/table228.xml"/><Relationship Id="rId30" Type="http://schemas.openxmlformats.org/officeDocument/2006/relationships/table" Target="../tables/table229.xml"/><Relationship Id="rId31" Type="http://schemas.openxmlformats.org/officeDocument/2006/relationships/table" Target="../tables/table230.xml"/><Relationship Id="rId32" Type="http://schemas.openxmlformats.org/officeDocument/2006/relationships/table" Target="../tables/table231.xml"/><Relationship Id="rId33" Type="http://schemas.openxmlformats.org/officeDocument/2006/relationships/table" Target="../tables/table232.xml"/><Relationship Id="rId34" Type="http://schemas.openxmlformats.org/officeDocument/2006/relationships/table" Target="../tables/table233.xml"/><Relationship Id="rId35" Type="http://schemas.openxmlformats.org/officeDocument/2006/relationships/table" Target="../tables/table234.xml"/><Relationship Id="rId36" Type="http://schemas.openxmlformats.org/officeDocument/2006/relationships/table" Target="../tables/table235.xml"/><Relationship Id="rId37" Type="http://schemas.openxmlformats.org/officeDocument/2006/relationships/table" Target="../tables/table236.xml"/><Relationship Id="rId38" Type="http://schemas.openxmlformats.org/officeDocument/2006/relationships/table" Target="../tables/table237.xml"/><Relationship Id="rId39" Type="http://schemas.openxmlformats.org/officeDocument/2006/relationships/table" Target="../tables/table238.xml"/><Relationship Id="rId40" Type="http://schemas.openxmlformats.org/officeDocument/2006/relationships/table" Target="../tables/table239.xml"/><Relationship Id="rId41" Type="http://schemas.openxmlformats.org/officeDocument/2006/relationships/table" Target="../tables/table240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1.xml"/><Relationship Id="rId2" Type="http://schemas.openxmlformats.org/officeDocument/2006/relationships/table" Target="../tables/table242.xml"/><Relationship Id="rId3" Type="http://schemas.openxmlformats.org/officeDocument/2006/relationships/table" Target="../tables/table243.xml"/><Relationship Id="rId4" Type="http://schemas.openxmlformats.org/officeDocument/2006/relationships/table" Target="../tables/table244.xml"/><Relationship Id="rId5" Type="http://schemas.openxmlformats.org/officeDocument/2006/relationships/table" Target="../tables/table245.xml"/><Relationship Id="rId6" Type="http://schemas.openxmlformats.org/officeDocument/2006/relationships/table" Target="../tables/table246.xml"/><Relationship Id="rId7" Type="http://schemas.openxmlformats.org/officeDocument/2006/relationships/table" Target="../tables/table247.xml"/><Relationship Id="rId8" Type="http://schemas.openxmlformats.org/officeDocument/2006/relationships/table" Target="../tables/table248.xml"/><Relationship Id="rId9" Type="http://schemas.openxmlformats.org/officeDocument/2006/relationships/table" Target="../tables/table249.xml"/><Relationship Id="rId10" Type="http://schemas.openxmlformats.org/officeDocument/2006/relationships/table" Target="../tables/table250.xml"/><Relationship Id="rId11" Type="http://schemas.openxmlformats.org/officeDocument/2006/relationships/table" Target="../tables/table251.xml"/><Relationship Id="rId12" Type="http://schemas.openxmlformats.org/officeDocument/2006/relationships/table" Target="../tables/table252.xml"/><Relationship Id="rId13" Type="http://schemas.openxmlformats.org/officeDocument/2006/relationships/table" Target="../tables/table253.xml"/><Relationship Id="rId14" Type="http://schemas.openxmlformats.org/officeDocument/2006/relationships/table" Target="../tables/table254.xml"/><Relationship Id="rId15" Type="http://schemas.openxmlformats.org/officeDocument/2006/relationships/table" Target="../tables/table255.xml"/><Relationship Id="rId16" Type="http://schemas.openxmlformats.org/officeDocument/2006/relationships/table" Target="../tables/table256.xml"/><Relationship Id="rId17" Type="http://schemas.openxmlformats.org/officeDocument/2006/relationships/table" Target="../tables/table257.xml"/><Relationship Id="rId18" Type="http://schemas.openxmlformats.org/officeDocument/2006/relationships/table" Target="../tables/table258.xml"/><Relationship Id="rId19" Type="http://schemas.openxmlformats.org/officeDocument/2006/relationships/table" Target="../tables/table259.xml"/><Relationship Id="rId20" Type="http://schemas.openxmlformats.org/officeDocument/2006/relationships/table" Target="../tables/table260.xml"/><Relationship Id="rId21" Type="http://schemas.openxmlformats.org/officeDocument/2006/relationships/table" Target="../tables/table261.xml"/><Relationship Id="rId22" Type="http://schemas.openxmlformats.org/officeDocument/2006/relationships/table" Target="../tables/table262.xml"/><Relationship Id="rId23" Type="http://schemas.openxmlformats.org/officeDocument/2006/relationships/table" Target="../tables/table263.xml"/><Relationship Id="rId24" Type="http://schemas.openxmlformats.org/officeDocument/2006/relationships/table" Target="../tables/table264.xml"/><Relationship Id="rId25" Type="http://schemas.openxmlformats.org/officeDocument/2006/relationships/table" Target="../tables/table265.xml"/><Relationship Id="rId26" Type="http://schemas.openxmlformats.org/officeDocument/2006/relationships/table" Target="../tables/table266.xml"/><Relationship Id="rId27" Type="http://schemas.openxmlformats.org/officeDocument/2006/relationships/table" Target="../tables/table267.xml"/><Relationship Id="rId28" Type="http://schemas.openxmlformats.org/officeDocument/2006/relationships/table" Target="../tables/table268.xml"/><Relationship Id="rId29" Type="http://schemas.openxmlformats.org/officeDocument/2006/relationships/table" Target="../tables/table269.xml"/><Relationship Id="rId30" Type="http://schemas.openxmlformats.org/officeDocument/2006/relationships/table" Target="../tables/table270.xml"/><Relationship Id="rId31" Type="http://schemas.openxmlformats.org/officeDocument/2006/relationships/table" Target="../tables/table271.xml"/><Relationship Id="rId32" Type="http://schemas.openxmlformats.org/officeDocument/2006/relationships/table" Target="../tables/table272.xml"/><Relationship Id="rId33" Type="http://schemas.openxmlformats.org/officeDocument/2006/relationships/table" Target="../tables/table273.xml"/><Relationship Id="rId34" Type="http://schemas.openxmlformats.org/officeDocument/2006/relationships/table" Target="../tables/table274.xml"/><Relationship Id="rId35" Type="http://schemas.openxmlformats.org/officeDocument/2006/relationships/table" Target="../tables/table275.xml"/><Relationship Id="rId36" Type="http://schemas.openxmlformats.org/officeDocument/2006/relationships/table" Target="../tables/table276.xml"/><Relationship Id="rId37" Type="http://schemas.openxmlformats.org/officeDocument/2006/relationships/table" Target="../tables/table277.xml"/><Relationship Id="rId38" Type="http://schemas.openxmlformats.org/officeDocument/2006/relationships/table" Target="../tables/table278.xml"/><Relationship Id="rId39" Type="http://schemas.openxmlformats.org/officeDocument/2006/relationships/table" Target="../tables/table279.xml"/><Relationship Id="rId40" Type="http://schemas.openxmlformats.org/officeDocument/2006/relationships/table" Target="../tables/table280.xml"/><Relationship Id="rId41" Type="http://schemas.openxmlformats.org/officeDocument/2006/relationships/table" Target="../tables/table281.xml"/><Relationship Id="rId42" Type="http://schemas.openxmlformats.org/officeDocument/2006/relationships/table" Target="../tables/table282.xml"/><Relationship Id="rId43" Type="http://schemas.openxmlformats.org/officeDocument/2006/relationships/table" Target="../tables/table283.xml"/><Relationship Id="rId44" Type="http://schemas.openxmlformats.org/officeDocument/2006/relationships/table" Target="../tables/table284.xml"/><Relationship Id="rId45" Type="http://schemas.openxmlformats.org/officeDocument/2006/relationships/table" Target="../tables/table285.xml"/><Relationship Id="rId46" Type="http://schemas.openxmlformats.org/officeDocument/2006/relationships/table" Target="../tables/table286.xml"/><Relationship Id="rId47" Type="http://schemas.openxmlformats.org/officeDocument/2006/relationships/table" Target="../tables/table287.xml"/><Relationship Id="rId48" Type="http://schemas.openxmlformats.org/officeDocument/2006/relationships/table" Target="../tables/table288.xml"/><Relationship Id="rId49" Type="http://schemas.openxmlformats.org/officeDocument/2006/relationships/table" Target="../tables/table289.xml"/><Relationship Id="rId50" Type="http://schemas.openxmlformats.org/officeDocument/2006/relationships/table" Target="../tables/table290.xml"/><Relationship Id="rId51" Type="http://schemas.openxmlformats.org/officeDocument/2006/relationships/table" Target="../tables/table291.xml"/><Relationship Id="rId52" Type="http://schemas.openxmlformats.org/officeDocument/2006/relationships/table" Target="../tables/table292.xml"/><Relationship Id="rId53" Type="http://schemas.openxmlformats.org/officeDocument/2006/relationships/table" Target="../tables/table293.xml"/><Relationship Id="rId54" Type="http://schemas.openxmlformats.org/officeDocument/2006/relationships/table" Target="../tables/table294.xml"/><Relationship Id="rId55" Type="http://schemas.openxmlformats.org/officeDocument/2006/relationships/table" Target="../tables/table295.xml"/><Relationship Id="rId56" Type="http://schemas.openxmlformats.org/officeDocument/2006/relationships/table" Target="../tables/table296.xml"/><Relationship Id="rId57" Type="http://schemas.openxmlformats.org/officeDocument/2006/relationships/table" Target="../tables/table29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298.xml"/><Relationship Id="rId2" Type="http://schemas.openxmlformats.org/officeDocument/2006/relationships/table" Target="../tables/table299.xml"/><Relationship Id="rId3" Type="http://schemas.openxmlformats.org/officeDocument/2006/relationships/table" Target="../tables/table300.xml"/><Relationship Id="rId4" Type="http://schemas.openxmlformats.org/officeDocument/2006/relationships/table" Target="../tables/table301.xml"/><Relationship Id="rId5" Type="http://schemas.openxmlformats.org/officeDocument/2006/relationships/table" Target="../tables/table302.xml"/><Relationship Id="rId6" Type="http://schemas.openxmlformats.org/officeDocument/2006/relationships/table" Target="../tables/table303.xml"/><Relationship Id="rId7" Type="http://schemas.openxmlformats.org/officeDocument/2006/relationships/table" Target="../tables/table304.xml"/><Relationship Id="rId8" Type="http://schemas.openxmlformats.org/officeDocument/2006/relationships/table" Target="../tables/table305.xml"/><Relationship Id="rId9" Type="http://schemas.openxmlformats.org/officeDocument/2006/relationships/table" Target="../tables/table30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307.xml"/><Relationship Id="rId2" Type="http://schemas.openxmlformats.org/officeDocument/2006/relationships/table" Target="../tables/table308.xml"/><Relationship Id="rId3" Type="http://schemas.openxmlformats.org/officeDocument/2006/relationships/table" Target="../tables/table309.xml"/><Relationship Id="rId4" Type="http://schemas.openxmlformats.org/officeDocument/2006/relationships/table" Target="../tables/table310.xml"/><Relationship Id="rId5" Type="http://schemas.openxmlformats.org/officeDocument/2006/relationships/table" Target="../tables/table311.xml"/><Relationship Id="rId6" Type="http://schemas.openxmlformats.org/officeDocument/2006/relationships/table" Target="../tables/table312.xml"/><Relationship Id="rId7" Type="http://schemas.openxmlformats.org/officeDocument/2006/relationships/table" Target="../tables/table313.xml"/><Relationship Id="rId8" Type="http://schemas.openxmlformats.org/officeDocument/2006/relationships/table" Target="../tables/table314.xml"/><Relationship Id="rId9" Type="http://schemas.openxmlformats.org/officeDocument/2006/relationships/table" Target="../tables/table315.xml"/><Relationship Id="rId10" Type="http://schemas.openxmlformats.org/officeDocument/2006/relationships/table" Target="../tables/table316.xml"/><Relationship Id="rId11" Type="http://schemas.openxmlformats.org/officeDocument/2006/relationships/table" Target="../tables/table317.xml"/><Relationship Id="rId12" Type="http://schemas.openxmlformats.org/officeDocument/2006/relationships/table" Target="../tables/table318.xml"/><Relationship Id="rId13" Type="http://schemas.openxmlformats.org/officeDocument/2006/relationships/table" Target="../tables/table319.xml"/><Relationship Id="rId14" Type="http://schemas.openxmlformats.org/officeDocument/2006/relationships/table" Target="../tables/table320.xml"/><Relationship Id="rId15" Type="http://schemas.openxmlformats.org/officeDocument/2006/relationships/table" Target="../tables/table321.xml"/><Relationship Id="rId16" Type="http://schemas.openxmlformats.org/officeDocument/2006/relationships/table" Target="../tables/table322.xml"/><Relationship Id="rId17" Type="http://schemas.openxmlformats.org/officeDocument/2006/relationships/table" Target="../tables/table323.xml"/><Relationship Id="rId18" Type="http://schemas.openxmlformats.org/officeDocument/2006/relationships/table" Target="../tables/table324.xml"/><Relationship Id="rId19" Type="http://schemas.openxmlformats.org/officeDocument/2006/relationships/table" Target="../tables/table325.xml"/><Relationship Id="rId20" Type="http://schemas.openxmlformats.org/officeDocument/2006/relationships/table" Target="../tables/table326.xml"/><Relationship Id="rId21" Type="http://schemas.openxmlformats.org/officeDocument/2006/relationships/table" Target="../tables/table327.xml"/><Relationship Id="rId22" Type="http://schemas.openxmlformats.org/officeDocument/2006/relationships/table" Target="../tables/table328.xml"/><Relationship Id="rId23" Type="http://schemas.openxmlformats.org/officeDocument/2006/relationships/table" Target="../tables/table32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330.xml"/><Relationship Id="rId2" Type="http://schemas.openxmlformats.org/officeDocument/2006/relationships/table" Target="../tables/table331.xml"/><Relationship Id="rId3" Type="http://schemas.openxmlformats.org/officeDocument/2006/relationships/table" Target="../tables/table332.xml"/><Relationship Id="rId4" Type="http://schemas.openxmlformats.org/officeDocument/2006/relationships/table" Target="../tables/table333.xml"/><Relationship Id="rId5" Type="http://schemas.openxmlformats.org/officeDocument/2006/relationships/table" Target="../tables/table334.xml"/><Relationship Id="rId6" Type="http://schemas.openxmlformats.org/officeDocument/2006/relationships/table" Target="../tables/table335.xml"/><Relationship Id="rId7" Type="http://schemas.openxmlformats.org/officeDocument/2006/relationships/table" Target="../tables/table336.xml"/><Relationship Id="rId8" Type="http://schemas.openxmlformats.org/officeDocument/2006/relationships/table" Target="../tables/table337.xml"/><Relationship Id="rId9" Type="http://schemas.openxmlformats.org/officeDocument/2006/relationships/table" Target="../tables/table338.xml"/><Relationship Id="rId10" Type="http://schemas.openxmlformats.org/officeDocument/2006/relationships/table" Target="../tables/table339.xml"/><Relationship Id="rId11" Type="http://schemas.openxmlformats.org/officeDocument/2006/relationships/table" Target="../tables/table340.xml"/><Relationship Id="rId12" Type="http://schemas.openxmlformats.org/officeDocument/2006/relationships/table" Target="../tables/table341.xml"/><Relationship Id="rId13" Type="http://schemas.openxmlformats.org/officeDocument/2006/relationships/table" Target="../tables/table342.xml"/><Relationship Id="rId14" Type="http://schemas.openxmlformats.org/officeDocument/2006/relationships/table" Target="../tables/table343.xml"/><Relationship Id="rId15" Type="http://schemas.openxmlformats.org/officeDocument/2006/relationships/table" Target="../tables/table344.xml"/><Relationship Id="rId16" Type="http://schemas.openxmlformats.org/officeDocument/2006/relationships/table" Target="../tables/table345.xml"/><Relationship Id="rId17" Type="http://schemas.openxmlformats.org/officeDocument/2006/relationships/table" Target="../tables/table346.xml"/><Relationship Id="rId18" Type="http://schemas.openxmlformats.org/officeDocument/2006/relationships/table" Target="../tables/table347.xml"/><Relationship Id="rId19" Type="http://schemas.openxmlformats.org/officeDocument/2006/relationships/table" Target="../tables/table348.xml"/><Relationship Id="rId20" Type="http://schemas.openxmlformats.org/officeDocument/2006/relationships/table" Target="../tables/table349.xml"/><Relationship Id="rId21" Type="http://schemas.openxmlformats.org/officeDocument/2006/relationships/table" Target="../tables/table35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51.xml"/><Relationship Id="rId2" Type="http://schemas.openxmlformats.org/officeDocument/2006/relationships/table" Target="../tables/table352.xml"/><Relationship Id="rId3" Type="http://schemas.openxmlformats.org/officeDocument/2006/relationships/table" Target="../tables/table353.xml"/><Relationship Id="rId4" Type="http://schemas.openxmlformats.org/officeDocument/2006/relationships/table" Target="../tables/table354.xml"/><Relationship Id="rId5" Type="http://schemas.openxmlformats.org/officeDocument/2006/relationships/table" Target="../tables/table355.xml"/><Relationship Id="rId6" Type="http://schemas.openxmlformats.org/officeDocument/2006/relationships/table" Target="../tables/table356.xml"/><Relationship Id="rId7" Type="http://schemas.openxmlformats.org/officeDocument/2006/relationships/table" Target="../tables/table357.xml"/><Relationship Id="rId8" Type="http://schemas.openxmlformats.org/officeDocument/2006/relationships/table" Target="../tables/table358.xml"/><Relationship Id="rId9" Type="http://schemas.openxmlformats.org/officeDocument/2006/relationships/table" Target="../tables/table359.xml"/><Relationship Id="rId10" Type="http://schemas.openxmlformats.org/officeDocument/2006/relationships/table" Target="../tables/table360.xml"/><Relationship Id="rId11" Type="http://schemas.openxmlformats.org/officeDocument/2006/relationships/table" Target="../tables/table361.xml"/><Relationship Id="rId12" Type="http://schemas.openxmlformats.org/officeDocument/2006/relationships/table" Target="../tables/table362.xml"/><Relationship Id="rId13" Type="http://schemas.openxmlformats.org/officeDocument/2006/relationships/table" Target="../tables/table363.xml"/><Relationship Id="rId14" Type="http://schemas.openxmlformats.org/officeDocument/2006/relationships/table" Target="../tables/table364.xml"/><Relationship Id="rId15" Type="http://schemas.openxmlformats.org/officeDocument/2006/relationships/table" Target="../tables/table365.xml"/><Relationship Id="rId16" Type="http://schemas.openxmlformats.org/officeDocument/2006/relationships/table" Target="../tables/table366.xml"/><Relationship Id="rId17" Type="http://schemas.openxmlformats.org/officeDocument/2006/relationships/table" Target="../tables/table367.xml"/><Relationship Id="rId18" Type="http://schemas.openxmlformats.org/officeDocument/2006/relationships/table" Target="../tables/table368.xml"/><Relationship Id="rId19" Type="http://schemas.openxmlformats.org/officeDocument/2006/relationships/table" Target="../tables/table369.xml"/><Relationship Id="rId20" Type="http://schemas.openxmlformats.org/officeDocument/2006/relationships/table" Target="../tables/table370.xml"/><Relationship Id="rId21" Type="http://schemas.openxmlformats.org/officeDocument/2006/relationships/table" Target="../tables/table371.xml"/><Relationship Id="rId22" Type="http://schemas.openxmlformats.org/officeDocument/2006/relationships/table" Target="../tables/table372.xml"/><Relationship Id="rId23" Type="http://schemas.openxmlformats.org/officeDocument/2006/relationships/table" Target="../tables/table373.xml"/><Relationship Id="rId24" Type="http://schemas.openxmlformats.org/officeDocument/2006/relationships/table" Target="../tables/table374.xml"/><Relationship Id="rId25" Type="http://schemas.openxmlformats.org/officeDocument/2006/relationships/table" Target="../tables/table375.xml"/><Relationship Id="rId26" Type="http://schemas.openxmlformats.org/officeDocument/2006/relationships/table" Target="../tables/table376.xml"/><Relationship Id="rId27" Type="http://schemas.openxmlformats.org/officeDocument/2006/relationships/table" Target="../tables/table377.xml"/><Relationship Id="rId28" Type="http://schemas.openxmlformats.org/officeDocument/2006/relationships/table" Target="../tables/table378.xml"/><Relationship Id="rId29" Type="http://schemas.openxmlformats.org/officeDocument/2006/relationships/table" Target="../tables/table379.xml"/><Relationship Id="rId30" Type="http://schemas.openxmlformats.org/officeDocument/2006/relationships/table" Target="../tables/table380.xml"/><Relationship Id="rId31" Type="http://schemas.openxmlformats.org/officeDocument/2006/relationships/table" Target="../tables/table381.xml"/><Relationship Id="rId32" Type="http://schemas.openxmlformats.org/officeDocument/2006/relationships/table" Target="../tables/table382.xml"/><Relationship Id="rId33" Type="http://schemas.openxmlformats.org/officeDocument/2006/relationships/table" Target="../tables/table383.xml"/><Relationship Id="rId34" Type="http://schemas.openxmlformats.org/officeDocument/2006/relationships/table" Target="../tables/table384.xml"/><Relationship Id="rId35" Type="http://schemas.openxmlformats.org/officeDocument/2006/relationships/table" Target="../tables/table385.xml"/><Relationship Id="rId36" Type="http://schemas.openxmlformats.org/officeDocument/2006/relationships/table" Target="../tables/table386.xml"/><Relationship Id="rId37" Type="http://schemas.openxmlformats.org/officeDocument/2006/relationships/table" Target="../tables/table387.xml"/><Relationship Id="rId38" Type="http://schemas.openxmlformats.org/officeDocument/2006/relationships/table" Target="../tables/table388.xml"/><Relationship Id="rId39" Type="http://schemas.openxmlformats.org/officeDocument/2006/relationships/table" Target="../tables/table389.xml"/><Relationship Id="rId40" Type="http://schemas.openxmlformats.org/officeDocument/2006/relationships/table" Target="../tables/table390.xml"/><Relationship Id="rId41" Type="http://schemas.openxmlformats.org/officeDocument/2006/relationships/table" Target="../tables/table391.xml"/><Relationship Id="rId42" Type="http://schemas.openxmlformats.org/officeDocument/2006/relationships/table" Target="../tables/table392.xml"/><Relationship Id="rId43" Type="http://schemas.openxmlformats.org/officeDocument/2006/relationships/table" Target="../tables/table393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94.xml"/><Relationship Id="rId2" Type="http://schemas.openxmlformats.org/officeDocument/2006/relationships/table" Target="../tables/table395.xml"/><Relationship Id="rId3" Type="http://schemas.openxmlformats.org/officeDocument/2006/relationships/table" Target="../tables/table396.xml"/><Relationship Id="rId4" Type="http://schemas.openxmlformats.org/officeDocument/2006/relationships/table" Target="../tables/table397.xml"/><Relationship Id="rId5" Type="http://schemas.openxmlformats.org/officeDocument/2006/relationships/table" Target="../tables/table398.xml"/><Relationship Id="rId6" Type="http://schemas.openxmlformats.org/officeDocument/2006/relationships/table" Target="../tables/table399.xml"/><Relationship Id="rId7" Type="http://schemas.openxmlformats.org/officeDocument/2006/relationships/table" Target="../tables/table400.xml"/><Relationship Id="rId8" Type="http://schemas.openxmlformats.org/officeDocument/2006/relationships/table" Target="../tables/table401.xml"/><Relationship Id="rId9" Type="http://schemas.openxmlformats.org/officeDocument/2006/relationships/table" Target="../tables/table402.xml"/><Relationship Id="rId10" Type="http://schemas.openxmlformats.org/officeDocument/2006/relationships/table" Target="../tables/table403.xml"/><Relationship Id="rId11" Type="http://schemas.openxmlformats.org/officeDocument/2006/relationships/table" Target="../tables/table404.xml"/><Relationship Id="rId12" Type="http://schemas.openxmlformats.org/officeDocument/2006/relationships/table" Target="../tables/table405.xml"/><Relationship Id="rId13" Type="http://schemas.openxmlformats.org/officeDocument/2006/relationships/table" Target="../tables/table406.xml"/><Relationship Id="rId14" Type="http://schemas.openxmlformats.org/officeDocument/2006/relationships/table" Target="../tables/table407.xml"/><Relationship Id="rId15" Type="http://schemas.openxmlformats.org/officeDocument/2006/relationships/table" Target="../tables/table408.xml"/><Relationship Id="rId16" Type="http://schemas.openxmlformats.org/officeDocument/2006/relationships/table" Target="../tables/table409.xml"/><Relationship Id="rId17" Type="http://schemas.openxmlformats.org/officeDocument/2006/relationships/table" Target="../tables/table410.xml"/><Relationship Id="rId18" Type="http://schemas.openxmlformats.org/officeDocument/2006/relationships/table" Target="../tables/table411.xml"/><Relationship Id="rId19" Type="http://schemas.openxmlformats.org/officeDocument/2006/relationships/table" Target="../tables/table412.xml"/><Relationship Id="rId20" Type="http://schemas.openxmlformats.org/officeDocument/2006/relationships/table" Target="../tables/table413.xml"/><Relationship Id="rId21" Type="http://schemas.openxmlformats.org/officeDocument/2006/relationships/table" Target="../tables/table414.xml"/><Relationship Id="rId22" Type="http://schemas.openxmlformats.org/officeDocument/2006/relationships/table" Target="../tables/table415.xml"/><Relationship Id="rId23" Type="http://schemas.openxmlformats.org/officeDocument/2006/relationships/table" Target="../tables/table416.xml"/><Relationship Id="rId24" Type="http://schemas.openxmlformats.org/officeDocument/2006/relationships/table" Target="../tables/table417.xml"/><Relationship Id="rId25" Type="http://schemas.openxmlformats.org/officeDocument/2006/relationships/table" Target="../tables/table418.xml"/><Relationship Id="rId26" Type="http://schemas.openxmlformats.org/officeDocument/2006/relationships/table" Target="../tables/table419.xml"/><Relationship Id="rId27" Type="http://schemas.openxmlformats.org/officeDocument/2006/relationships/table" Target="../tables/table420.xml"/><Relationship Id="rId28" Type="http://schemas.openxmlformats.org/officeDocument/2006/relationships/table" Target="../tables/table421.xml"/><Relationship Id="rId29" Type="http://schemas.openxmlformats.org/officeDocument/2006/relationships/table" Target="../tables/table422.xml"/><Relationship Id="rId30" Type="http://schemas.openxmlformats.org/officeDocument/2006/relationships/table" Target="../tables/table423.xml"/><Relationship Id="rId31" Type="http://schemas.openxmlformats.org/officeDocument/2006/relationships/table" Target="../tables/table424.xml"/><Relationship Id="rId32" Type="http://schemas.openxmlformats.org/officeDocument/2006/relationships/table" Target="../tables/table425.xml"/><Relationship Id="rId33" Type="http://schemas.openxmlformats.org/officeDocument/2006/relationships/table" Target="../tables/table426.xml"/><Relationship Id="rId34" Type="http://schemas.openxmlformats.org/officeDocument/2006/relationships/table" Target="../tables/table427.xml"/><Relationship Id="rId35" Type="http://schemas.openxmlformats.org/officeDocument/2006/relationships/table" Target="../tables/table428.xml"/><Relationship Id="rId36" Type="http://schemas.openxmlformats.org/officeDocument/2006/relationships/table" Target="../tables/table429.xml"/><Relationship Id="rId37" Type="http://schemas.openxmlformats.org/officeDocument/2006/relationships/table" Target="../tables/table430.xml"/><Relationship Id="rId38" Type="http://schemas.openxmlformats.org/officeDocument/2006/relationships/table" Target="../tables/table431.xml"/><Relationship Id="rId39" Type="http://schemas.openxmlformats.org/officeDocument/2006/relationships/table" Target="../tables/table432.xml"/><Relationship Id="rId40" Type="http://schemas.openxmlformats.org/officeDocument/2006/relationships/table" Target="../tables/table433.xml"/><Relationship Id="rId41" Type="http://schemas.openxmlformats.org/officeDocument/2006/relationships/table" Target="../tables/table434.xml"/><Relationship Id="rId42" Type="http://schemas.openxmlformats.org/officeDocument/2006/relationships/table" Target="../tables/table435.xml"/><Relationship Id="rId43" Type="http://schemas.openxmlformats.org/officeDocument/2006/relationships/table" Target="../tables/table436.xml"/><Relationship Id="rId44" Type="http://schemas.openxmlformats.org/officeDocument/2006/relationships/table" Target="../tables/table437.xml"/><Relationship Id="rId45" Type="http://schemas.openxmlformats.org/officeDocument/2006/relationships/table" Target="../tables/table438.xml"/><Relationship Id="rId46" Type="http://schemas.openxmlformats.org/officeDocument/2006/relationships/table" Target="../tables/table439.xml"/><Relationship Id="rId47" Type="http://schemas.openxmlformats.org/officeDocument/2006/relationships/table" Target="../tables/table440.xml"/><Relationship Id="rId48" Type="http://schemas.openxmlformats.org/officeDocument/2006/relationships/table" Target="../tables/table441.xml"/><Relationship Id="rId49" Type="http://schemas.openxmlformats.org/officeDocument/2006/relationships/table" Target="../tables/table44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43.xml"/><Relationship Id="rId2" Type="http://schemas.openxmlformats.org/officeDocument/2006/relationships/table" Target="../tables/table444.xml"/><Relationship Id="rId3" Type="http://schemas.openxmlformats.org/officeDocument/2006/relationships/table" Target="../tables/table445.xml"/><Relationship Id="rId4" Type="http://schemas.openxmlformats.org/officeDocument/2006/relationships/table" Target="../tables/table446.xml"/><Relationship Id="rId5" Type="http://schemas.openxmlformats.org/officeDocument/2006/relationships/table" Target="../tables/table447.xml"/><Relationship Id="rId6" Type="http://schemas.openxmlformats.org/officeDocument/2006/relationships/table" Target="../tables/table448.xml"/><Relationship Id="rId7" Type="http://schemas.openxmlformats.org/officeDocument/2006/relationships/table" Target="../tables/table449.xml"/><Relationship Id="rId8" Type="http://schemas.openxmlformats.org/officeDocument/2006/relationships/table" Target="../tables/table450.xml"/><Relationship Id="rId9" Type="http://schemas.openxmlformats.org/officeDocument/2006/relationships/table" Target="../tables/table451.xml"/><Relationship Id="rId10" Type="http://schemas.openxmlformats.org/officeDocument/2006/relationships/table" Target="../tables/table452.xml"/><Relationship Id="rId11" Type="http://schemas.openxmlformats.org/officeDocument/2006/relationships/table" Target="../tables/table453.xml"/><Relationship Id="rId12" Type="http://schemas.openxmlformats.org/officeDocument/2006/relationships/table" Target="../tables/table454.xml"/><Relationship Id="rId13" Type="http://schemas.openxmlformats.org/officeDocument/2006/relationships/table" Target="../tables/table455.xml"/><Relationship Id="rId14" Type="http://schemas.openxmlformats.org/officeDocument/2006/relationships/table" Target="../tables/table456.xml"/><Relationship Id="rId15" Type="http://schemas.openxmlformats.org/officeDocument/2006/relationships/table" Target="../tables/table457.xml"/><Relationship Id="rId16" Type="http://schemas.openxmlformats.org/officeDocument/2006/relationships/table" Target="../tables/table458.xml"/><Relationship Id="rId17" Type="http://schemas.openxmlformats.org/officeDocument/2006/relationships/table" Target="../tables/table459.xml"/><Relationship Id="rId18" Type="http://schemas.openxmlformats.org/officeDocument/2006/relationships/table" Target="../tables/table460.xml"/><Relationship Id="rId19" Type="http://schemas.openxmlformats.org/officeDocument/2006/relationships/table" Target="../tables/table461.xml"/><Relationship Id="rId20" Type="http://schemas.openxmlformats.org/officeDocument/2006/relationships/table" Target="../tables/table462.xml"/><Relationship Id="rId21" Type="http://schemas.openxmlformats.org/officeDocument/2006/relationships/table" Target="../tables/table46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64.xml"/><Relationship Id="rId2" Type="http://schemas.openxmlformats.org/officeDocument/2006/relationships/table" Target="../tables/table465.xml"/><Relationship Id="rId3" Type="http://schemas.openxmlformats.org/officeDocument/2006/relationships/table" Target="../tables/table466.xml"/><Relationship Id="rId4" Type="http://schemas.openxmlformats.org/officeDocument/2006/relationships/table" Target="../tables/table467.xml"/><Relationship Id="rId5" Type="http://schemas.openxmlformats.org/officeDocument/2006/relationships/table" Target="../tables/table468.xml"/><Relationship Id="rId6" Type="http://schemas.openxmlformats.org/officeDocument/2006/relationships/table" Target="../tables/table469.xml"/><Relationship Id="rId7" Type="http://schemas.openxmlformats.org/officeDocument/2006/relationships/table" Target="../tables/table470.xml"/><Relationship Id="rId8" Type="http://schemas.openxmlformats.org/officeDocument/2006/relationships/table" Target="../tables/table471.xml"/><Relationship Id="rId9" Type="http://schemas.openxmlformats.org/officeDocument/2006/relationships/table" Target="../tables/table472.xml"/><Relationship Id="rId10" Type="http://schemas.openxmlformats.org/officeDocument/2006/relationships/table" Target="../tables/table473.xml"/><Relationship Id="rId11" Type="http://schemas.openxmlformats.org/officeDocument/2006/relationships/table" Target="../tables/table474.xml"/><Relationship Id="rId12" Type="http://schemas.openxmlformats.org/officeDocument/2006/relationships/table" Target="../tables/table475.xml"/><Relationship Id="rId13" Type="http://schemas.openxmlformats.org/officeDocument/2006/relationships/table" Target="../tables/table476.xml"/><Relationship Id="rId14" Type="http://schemas.openxmlformats.org/officeDocument/2006/relationships/table" Target="../tables/table477.xml"/><Relationship Id="rId15" Type="http://schemas.openxmlformats.org/officeDocument/2006/relationships/table" Target="../tables/table478.xml"/><Relationship Id="rId16" Type="http://schemas.openxmlformats.org/officeDocument/2006/relationships/table" Target="../tables/table479.xml"/><Relationship Id="rId17" Type="http://schemas.openxmlformats.org/officeDocument/2006/relationships/table" Target="../tables/table480.xml"/><Relationship Id="rId18" Type="http://schemas.openxmlformats.org/officeDocument/2006/relationships/table" Target="../tables/table481.xml"/><Relationship Id="rId19" Type="http://schemas.openxmlformats.org/officeDocument/2006/relationships/table" Target="../tables/table482.xml"/><Relationship Id="rId20" Type="http://schemas.openxmlformats.org/officeDocument/2006/relationships/table" Target="../tables/table483.xml"/><Relationship Id="rId21" Type="http://schemas.openxmlformats.org/officeDocument/2006/relationships/table" Target="../tables/table484.xml"/><Relationship Id="rId22" Type="http://schemas.openxmlformats.org/officeDocument/2006/relationships/table" Target="../tables/table485.xml"/><Relationship Id="rId23" Type="http://schemas.openxmlformats.org/officeDocument/2006/relationships/table" Target="../tables/table486.xml"/><Relationship Id="rId24" Type="http://schemas.openxmlformats.org/officeDocument/2006/relationships/table" Target="../tables/table487.xml"/><Relationship Id="rId25" Type="http://schemas.openxmlformats.org/officeDocument/2006/relationships/table" Target="../tables/table488.xml"/><Relationship Id="rId26" Type="http://schemas.openxmlformats.org/officeDocument/2006/relationships/table" Target="../tables/table489.xml"/><Relationship Id="rId27" Type="http://schemas.openxmlformats.org/officeDocument/2006/relationships/table" Target="../tables/table490.xml"/><Relationship Id="rId28" Type="http://schemas.openxmlformats.org/officeDocument/2006/relationships/table" Target="../tables/table491.xml"/><Relationship Id="rId29" Type="http://schemas.openxmlformats.org/officeDocument/2006/relationships/table" Target="../tables/table492.xml"/><Relationship Id="rId30" Type="http://schemas.openxmlformats.org/officeDocument/2006/relationships/table" Target="../tables/table493.xml"/><Relationship Id="rId31" Type="http://schemas.openxmlformats.org/officeDocument/2006/relationships/table" Target="../tables/table494.xml"/><Relationship Id="rId32" Type="http://schemas.openxmlformats.org/officeDocument/2006/relationships/table" Target="../tables/table495.xml"/><Relationship Id="rId33" Type="http://schemas.openxmlformats.org/officeDocument/2006/relationships/table" Target="../tables/table496.xml"/><Relationship Id="rId34" Type="http://schemas.openxmlformats.org/officeDocument/2006/relationships/table" Target="../tables/table497.xml"/><Relationship Id="rId35" Type="http://schemas.openxmlformats.org/officeDocument/2006/relationships/table" Target="../tables/table498.xml"/><Relationship Id="rId36" Type="http://schemas.openxmlformats.org/officeDocument/2006/relationships/table" Target="../tables/table499.xml"/><Relationship Id="rId37" Type="http://schemas.openxmlformats.org/officeDocument/2006/relationships/table" Target="../tables/table500.xml"/><Relationship Id="rId38" Type="http://schemas.openxmlformats.org/officeDocument/2006/relationships/table" Target="../tables/table501.xml"/><Relationship Id="rId39" Type="http://schemas.openxmlformats.org/officeDocument/2006/relationships/table" Target="../tables/table502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03.xml"/><Relationship Id="rId2" Type="http://schemas.openxmlformats.org/officeDocument/2006/relationships/table" Target="../tables/table504.xml"/><Relationship Id="rId3" Type="http://schemas.openxmlformats.org/officeDocument/2006/relationships/table" Target="../tables/table505.xml"/><Relationship Id="rId4" Type="http://schemas.openxmlformats.org/officeDocument/2006/relationships/table" Target="../tables/table506.xml"/><Relationship Id="rId5" Type="http://schemas.openxmlformats.org/officeDocument/2006/relationships/table" Target="../tables/table507.xml"/><Relationship Id="rId6" Type="http://schemas.openxmlformats.org/officeDocument/2006/relationships/table" Target="../tables/table508.xml"/><Relationship Id="rId7" Type="http://schemas.openxmlformats.org/officeDocument/2006/relationships/table" Target="../tables/table509.xml"/><Relationship Id="rId8" Type="http://schemas.openxmlformats.org/officeDocument/2006/relationships/table" Target="../tables/table510.xml"/><Relationship Id="rId9" Type="http://schemas.openxmlformats.org/officeDocument/2006/relationships/table" Target="../tables/table511.xml"/><Relationship Id="rId10" Type="http://schemas.openxmlformats.org/officeDocument/2006/relationships/table" Target="../tables/table512.xml"/><Relationship Id="rId11" Type="http://schemas.openxmlformats.org/officeDocument/2006/relationships/table" Target="../tables/table513.xml"/><Relationship Id="rId12" Type="http://schemas.openxmlformats.org/officeDocument/2006/relationships/table" Target="../tables/table514.xml"/><Relationship Id="rId13" Type="http://schemas.openxmlformats.org/officeDocument/2006/relationships/table" Target="../tables/table515.xml"/><Relationship Id="rId14" Type="http://schemas.openxmlformats.org/officeDocument/2006/relationships/table" Target="../tables/table516.xml"/><Relationship Id="rId15" Type="http://schemas.openxmlformats.org/officeDocument/2006/relationships/table" Target="../tables/table517.xml"/><Relationship Id="rId16" Type="http://schemas.openxmlformats.org/officeDocument/2006/relationships/table" Target="../tables/table518.xml"/><Relationship Id="rId17" Type="http://schemas.openxmlformats.org/officeDocument/2006/relationships/table" Target="../tables/table519.xml"/><Relationship Id="rId18" Type="http://schemas.openxmlformats.org/officeDocument/2006/relationships/table" Target="../tables/table520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21.xml"/><Relationship Id="rId2" Type="http://schemas.openxmlformats.org/officeDocument/2006/relationships/table" Target="../tables/table522.xml"/><Relationship Id="rId3" Type="http://schemas.openxmlformats.org/officeDocument/2006/relationships/table" Target="../tables/table523.xml"/><Relationship Id="rId4" Type="http://schemas.openxmlformats.org/officeDocument/2006/relationships/table" Target="../tables/table524.xml"/><Relationship Id="rId5" Type="http://schemas.openxmlformats.org/officeDocument/2006/relationships/table" Target="../tables/table525.xml"/><Relationship Id="rId6" Type="http://schemas.openxmlformats.org/officeDocument/2006/relationships/table" Target="../tables/table526.xml"/><Relationship Id="rId7" Type="http://schemas.openxmlformats.org/officeDocument/2006/relationships/table" Target="../tables/table527.xml"/><Relationship Id="rId8" Type="http://schemas.openxmlformats.org/officeDocument/2006/relationships/table" Target="../tables/table528.xml"/><Relationship Id="rId9" Type="http://schemas.openxmlformats.org/officeDocument/2006/relationships/table" Target="../tables/table529.xml"/><Relationship Id="rId10" Type="http://schemas.openxmlformats.org/officeDocument/2006/relationships/table" Target="../tables/table530.xml"/><Relationship Id="rId11" Type="http://schemas.openxmlformats.org/officeDocument/2006/relationships/table" Target="../tables/table531.xml"/><Relationship Id="rId12" Type="http://schemas.openxmlformats.org/officeDocument/2006/relationships/table" Target="../tables/table532.xml"/><Relationship Id="rId13" Type="http://schemas.openxmlformats.org/officeDocument/2006/relationships/table" Target="../tables/table533.xml"/><Relationship Id="rId14" Type="http://schemas.openxmlformats.org/officeDocument/2006/relationships/table" Target="../tables/table534.xml"/><Relationship Id="rId15" Type="http://schemas.openxmlformats.org/officeDocument/2006/relationships/table" Target="../tables/table535.xml"/><Relationship Id="rId16" Type="http://schemas.openxmlformats.org/officeDocument/2006/relationships/table" Target="../tables/table536.xml"/><Relationship Id="rId17" Type="http://schemas.openxmlformats.org/officeDocument/2006/relationships/table" Target="../tables/table537.xml"/><Relationship Id="rId18" Type="http://schemas.openxmlformats.org/officeDocument/2006/relationships/table" Target="../tables/table538.xml"/><Relationship Id="rId19" Type="http://schemas.openxmlformats.org/officeDocument/2006/relationships/table" Target="../tables/table539.xml"/><Relationship Id="rId20" Type="http://schemas.openxmlformats.org/officeDocument/2006/relationships/table" Target="../tables/table540.xml"/><Relationship Id="rId21" Type="http://schemas.openxmlformats.org/officeDocument/2006/relationships/table" Target="../tables/table541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542.xml"/><Relationship Id="rId2" Type="http://schemas.openxmlformats.org/officeDocument/2006/relationships/table" Target="../tables/table543.xml"/><Relationship Id="rId3" Type="http://schemas.openxmlformats.org/officeDocument/2006/relationships/table" Target="../tables/table544.xml"/><Relationship Id="rId4" Type="http://schemas.openxmlformats.org/officeDocument/2006/relationships/table" Target="../tables/table545.xml"/><Relationship Id="rId5" Type="http://schemas.openxmlformats.org/officeDocument/2006/relationships/table" Target="../tables/table546.xml"/><Relationship Id="rId6" Type="http://schemas.openxmlformats.org/officeDocument/2006/relationships/table" Target="../tables/table54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548.xml"/><Relationship Id="rId2" Type="http://schemas.openxmlformats.org/officeDocument/2006/relationships/table" Target="../tables/table549.xml"/><Relationship Id="rId3" Type="http://schemas.openxmlformats.org/officeDocument/2006/relationships/table" Target="../tables/table550.xml"/><Relationship Id="rId4" Type="http://schemas.openxmlformats.org/officeDocument/2006/relationships/table" Target="../tables/table551.xml"/><Relationship Id="rId5" Type="http://schemas.openxmlformats.org/officeDocument/2006/relationships/table" Target="../tables/table552.xml"/><Relationship Id="rId6" Type="http://schemas.openxmlformats.org/officeDocument/2006/relationships/table" Target="../tables/table553.xml"/><Relationship Id="rId7" Type="http://schemas.openxmlformats.org/officeDocument/2006/relationships/table" Target="../tables/table554.xml"/><Relationship Id="rId8" Type="http://schemas.openxmlformats.org/officeDocument/2006/relationships/table" Target="../tables/table555.xml"/><Relationship Id="rId9" Type="http://schemas.openxmlformats.org/officeDocument/2006/relationships/table" Target="../tables/table556.xml"/><Relationship Id="rId10" Type="http://schemas.openxmlformats.org/officeDocument/2006/relationships/table" Target="../tables/table557.xml"/><Relationship Id="rId11" Type="http://schemas.openxmlformats.org/officeDocument/2006/relationships/table" Target="../tables/table558.xml"/><Relationship Id="rId12" Type="http://schemas.openxmlformats.org/officeDocument/2006/relationships/table" Target="../tables/table55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560.xml"/><Relationship Id="rId2" Type="http://schemas.openxmlformats.org/officeDocument/2006/relationships/table" Target="../tables/table561.xml"/><Relationship Id="rId3" Type="http://schemas.openxmlformats.org/officeDocument/2006/relationships/table" Target="../tables/table562.xml"/><Relationship Id="rId4" Type="http://schemas.openxmlformats.org/officeDocument/2006/relationships/table" Target="../tables/table563.xml"/><Relationship Id="rId5" Type="http://schemas.openxmlformats.org/officeDocument/2006/relationships/table" Target="../tables/table564.xml"/><Relationship Id="rId6" Type="http://schemas.openxmlformats.org/officeDocument/2006/relationships/table" Target="../tables/table565.xml"/><Relationship Id="rId7" Type="http://schemas.openxmlformats.org/officeDocument/2006/relationships/table" Target="../tables/table566.xml"/><Relationship Id="rId8" Type="http://schemas.openxmlformats.org/officeDocument/2006/relationships/table" Target="../tables/table567.xml"/><Relationship Id="rId9" Type="http://schemas.openxmlformats.org/officeDocument/2006/relationships/table" Target="../tables/table56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569.xml"/><Relationship Id="rId2" Type="http://schemas.openxmlformats.org/officeDocument/2006/relationships/table" Target="../tables/table570.xml"/><Relationship Id="rId3" Type="http://schemas.openxmlformats.org/officeDocument/2006/relationships/table" Target="../tables/table571.xml"/><Relationship Id="rId4" Type="http://schemas.openxmlformats.org/officeDocument/2006/relationships/table" Target="../tables/table572.xml"/><Relationship Id="rId5" Type="http://schemas.openxmlformats.org/officeDocument/2006/relationships/table" Target="../tables/table573.xml"/><Relationship Id="rId6" Type="http://schemas.openxmlformats.org/officeDocument/2006/relationships/table" Target="../tables/table574.xml"/><Relationship Id="rId7" Type="http://schemas.openxmlformats.org/officeDocument/2006/relationships/table" Target="../tables/table575.xml"/><Relationship Id="rId8" Type="http://schemas.openxmlformats.org/officeDocument/2006/relationships/table" Target="../tables/table576.xml"/><Relationship Id="rId9" Type="http://schemas.openxmlformats.org/officeDocument/2006/relationships/table" Target="../tables/table577.xml"/><Relationship Id="rId10" Type="http://schemas.openxmlformats.org/officeDocument/2006/relationships/table" Target="../tables/table578.xml"/><Relationship Id="rId11" Type="http://schemas.openxmlformats.org/officeDocument/2006/relationships/table" Target="../tables/table579.xml"/><Relationship Id="rId12" Type="http://schemas.openxmlformats.org/officeDocument/2006/relationships/table" Target="../tables/table580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581.xml"/><Relationship Id="rId2" Type="http://schemas.openxmlformats.org/officeDocument/2006/relationships/table" Target="../tables/table582.xml"/><Relationship Id="rId3" Type="http://schemas.openxmlformats.org/officeDocument/2006/relationships/table" Target="../tables/table583.xml"/><Relationship Id="rId4" Type="http://schemas.openxmlformats.org/officeDocument/2006/relationships/table" Target="../tables/table584.xml"/><Relationship Id="rId5" Type="http://schemas.openxmlformats.org/officeDocument/2006/relationships/table" Target="../tables/table585.xml"/><Relationship Id="rId6" Type="http://schemas.openxmlformats.org/officeDocument/2006/relationships/table" Target="../tables/table586.xml"/><Relationship Id="rId7" Type="http://schemas.openxmlformats.org/officeDocument/2006/relationships/table" Target="../tables/table587.xml"/><Relationship Id="rId8" Type="http://schemas.openxmlformats.org/officeDocument/2006/relationships/table" Target="../tables/table588.xml"/><Relationship Id="rId9" Type="http://schemas.openxmlformats.org/officeDocument/2006/relationships/table" Target="../tables/table589.xml"/><Relationship Id="rId10" Type="http://schemas.openxmlformats.org/officeDocument/2006/relationships/table" Target="../tables/table590.xml"/><Relationship Id="rId11" Type="http://schemas.openxmlformats.org/officeDocument/2006/relationships/table" Target="../tables/table591.xml"/><Relationship Id="rId12" Type="http://schemas.openxmlformats.org/officeDocument/2006/relationships/table" Target="../tables/table592.xml"/><Relationship Id="rId13" Type="http://schemas.openxmlformats.org/officeDocument/2006/relationships/table" Target="../tables/table593.xml"/><Relationship Id="rId14" Type="http://schemas.openxmlformats.org/officeDocument/2006/relationships/table" Target="../tables/table594.xml"/><Relationship Id="rId15" Type="http://schemas.openxmlformats.org/officeDocument/2006/relationships/table" Target="../tables/table595.xml"/><Relationship Id="rId16" Type="http://schemas.openxmlformats.org/officeDocument/2006/relationships/table" Target="../tables/table596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597.xml"/><Relationship Id="rId2" Type="http://schemas.openxmlformats.org/officeDocument/2006/relationships/table" Target="../tables/table598.xml"/><Relationship Id="rId3" Type="http://schemas.openxmlformats.org/officeDocument/2006/relationships/table" Target="../tables/table599.xml"/><Relationship Id="rId4" Type="http://schemas.openxmlformats.org/officeDocument/2006/relationships/table" Target="../tables/table600.xml"/><Relationship Id="rId5" Type="http://schemas.openxmlformats.org/officeDocument/2006/relationships/table" Target="../tables/table601.xml"/><Relationship Id="rId6" Type="http://schemas.openxmlformats.org/officeDocument/2006/relationships/table" Target="../tables/table602.xml"/><Relationship Id="rId7" Type="http://schemas.openxmlformats.org/officeDocument/2006/relationships/table" Target="../tables/table603.xml"/><Relationship Id="rId8" Type="http://schemas.openxmlformats.org/officeDocument/2006/relationships/table" Target="../tables/table604.xml"/><Relationship Id="rId9" Type="http://schemas.openxmlformats.org/officeDocument/2006/relationships/table" Target="../tables/table605.xml"/><Relationship Id="rId10" Type="http://schemas.openxmlformats.org/officeDocument/2006/relationships/table" Target="../tables/table606.xml"/><Relationship Id="rId11" Type="http://schemas.openxmlformats.org/officeDocument/2006/relationships/table" Target="../tables/table607.xml"/><Relationship Id="rId12" Type="http://schemas.openxmlformats.org/officeDocument/2006/relationships/table" Target="../tables/table608.xml"/><Relationship Id="rId13" Type="http://schemas.openxmlformats.org/officeDocument/2006/relationships/table" Target="../tables/table609.xml"/><Relationship Id="rId14" Type="http://schemas.openxmlformats.org/officeDocument/2006/relationships/table" Target="../tables/table610.xml"/><Relationship Id="rId15" Type="http://schemas.openxmlformats.org/officeDocument/2006/relationships/table" Target="../tables/table611.xml"/><Relationship Id="rId16" Type="http://schemas.openxmlformats.org/officeDocument/2006/relationships/table" Target="../tables/table612.xml"/><Relationship Id="rId17" Type="http://schemas.openxmlformats.org/officeDocument/2006/relationships/table" Target="../tables/table613.xml"/><Relationship Id="rId18" Type="http://schemas.openxmlformats.org/officeDocument/2006/relationships/table" Target="../tables/table614.xml"/><Relationship Id="rId19" Type="http://schemas.openxmlformats.org/officeDocument/2006/relationships/table" Target="../tables/table615.xml"/><Relationship Id="rId20" Type="http://schemas.openxmlformats.org/officeDocument/2006/relationships/table" Target="../tables/table616.xml"/><Relationship Id="rId21" Type="http://schemas.openxmlformats.org/officeDocument/2006/relationships/table" Target="../tables/table617.xml"/><Relationship Id="rId22" Type="http://schemas.openxmlformats.org/officeDocument/2006/relationships/table" Target="../tables/table618.xml"/><Relationship Id="rId23" Type="http://schemas.openxmlformats.org/officeDocument/2006/relationships/table" Target="../tables/table619.xml"/><Relationship Id="rId24" Type="http://schemas.openxmlformats.org/officeDocument/2006/relationships/table" Target="../tables/table620.xml"/><Relationship Id="rId25" Type="http://schemas.openxmlformats.org/officeDocument/2006/relationships/table" Target="../tables/table621.xml"/><Relationship Id="rId26" Type="http://schemas.openxmlformats.org/officeDocument/2006/relationships/table" Target="../tables/table622.xml"/><Relationship Id="rId27" Type="http://schemas.openxmlformats.org/officeDocument/2006/relationships/table" Target="../tables/table623.xml"/><Relationship Id="rId28" Type="http://schemas.openxmlformats.org/officeDocument/2006/relationships/table" Target="../tables/table624.xml"/><Relationship Id="rId29" Type="http://schemas.openxmlformats.org/officeDocument/2006/relationships/table" Target="../tables/table625.xml"/><Relationship Id="rId30" Type="http://schemas.openxmlformats.org/officeDocument/2006/relationships/table" Target="../tables/table626.xml"/><Relationship Id="rId31" Type="http://schemas.openxmlformats.org/officeDocument/2006/relationships/table" Target="../tables/table627.xml"/><Relationship Id="rId32" Type="http://schemas.openxmlformats.org/officeDocument/2006/relationships/table" Target="../tables/table628.xml"/><Relationship Id="rId33" Type="http://schemas.openxmlformats.org/officeDocument/2006/relationships/table" Target="../tables/table629.xml"/><Relationship Id="rId34" Type="http://schemas.openxmlformats.org/officeDocument/2006/relationships/table" Target="../tables/table630.xml"/><Relationship Id="rId35" Type="http://schemas.openxmlformats.org/officeDocument/2006/relationships/table" Target="../tables/table63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63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633.xml"/><Relationship Id="rId2" Type="http://schemas.openxmlformats.org/officeDocument/2006/relationships/table" Target="../tables/table634.xml"/><Relationship Id="rId3" Type="http://schemas.openxmlformats.org/officeDocument/2006/relationships/table" Target="../tables/table635.xml"/><Relationship Id="rId4" Type="http://schemas.openxmlformats.org/officeDocument/2006/relationships/table" Target="../tables/table636.xml"/><Relationship Id="rId5" Type="http://schemas.openxmlformats.org/officeDocument/2006/relationships/table" Target="../tables/table637.xml"/><Relationship Id="rId6" Type="http://schemas.openxmlformats.org/officeDocument/2006/relationships/table" Target="../tables/table638.xml"/><Relationship Id="rId7" Type="http://schemas.openxmlformats.org/officeDocument/2006/relationships/table" Target="../tables/table639.xml"/><Relationship Id="rId8" Type="http://schemas.openxmlformats.org/officeDocument/2006/relationships/table" Target="../tables/table640.xml"/><Relationship Id="rId9" Type="http://schemas.openxmlformats.org/officeDocument/2006/relationships/table" Target="../tables/table641.xml"/><Relationship Id="rId10" Type="http://schemas.openxmlformats.org/officeDocument/2006/relationships/table" Target="../tables/table642.xml"/><Relationship Id="rId11" Type="http://schemas.openxmlformats.org/officeDocument/2006/relationships/table" Target="../tables/table643.xml"/><Relationship Id="rId12" Type="http://schemas.openxmlformats.org/officeDocument/2006/relationships/table" Target="../tables/table644.xml"/><Relationship Id="rId13" Type="http://schemas.openxmlformats.org/officeDocument/2006/relationships/table" Target="../tables/table645.xml"/><Relationship Id="rId14" Type="http://schemas.openxmlformats.org/officeDocument/2006/relationships/table" Target="../tables/table646.xml"/><Relationship Id="rId15" Type="http://schemas.openxmlformats.org/officeDocument/2006/relationships/table" Target="../tables/table647.xml"/><Relationship Id="rId16" Type="http://schemas.openxmlformats.org/officeDocument/2006/relationships/table" Target="../tables/table648.xml"/><Relationship Id="rId17" Type="http://schemas.openxmlformats.org/officeDocument/2006/relationships/table" Target="../tables/table649.xml"/><Relationship Id="rId18" Type="http://schemas.openxmlformats.org/officeDocument/2006/relationships/table" Target="../tables/table650.xml"/><Relationship Id="rId19" Type="http://schemas.openxmlformats.org/officeDocument/2006/relationships/table" Target="../tables/table651.xml"/><Relationship Id="rId20" Type="http://schemas.openxmlformats.org/officeDocument/2006/relationships/table" Target="../tables/table652.xml"/><Relationship Id="rId21" Type="http://schemas.openxmlformats.org/officeDocument/2006/relationships/table" Target="../tables/table653.xml"/><Relationship Id="rId22" Type="http://schemas.openxmlformats.org/officeDocument/2006/relationships/table" Target="../tables/table654.xml"/><Relationship Id="rId23" Type="http://schemas.openxmlformats.org/officeDocument/2006/relationships/table" Target="../tables/table655.xml"/><Relationship Id="rId24" Type="http://schemas.openxmlformats.org/officeDocument/2006/relationships/table" Target="../tables/table656.xml"/><Relationship Id="rId25" Type="http://schemas.openxmlformats.org/officeDocument/2006/relationships/table" Target="../tables/table657.xml"/><Relationship Id="rId26" Type="http://schemas.openxmlformats.org/officeDocument/2006/relationships/table" Target="../tables/table658.xml"/><Relationship Id="rId27" Type="http://schemas.openxmlformats.org/officeDocument/2006/relationships/table" Target="../tables/table659.xml"/><Relationship Id="rId28" Type="http://schemas.openxmlformats.org/officeDocument/2006/relationships/table" Target="../tables/table660.xml"/><Relationship Id="rId29" Type="http://schemas.openxmlformats.org/officeDocument/2006/relationships/table" Target="../tables/table661.xml"/><Relationship Id="rId30" Type="http://schemas.openxmlformats.org/officeDocument/2006/relationships/table" Target="../tables/table662.xml"/><Relationship Id="rId31" Type="http://schemas.openxmlformats.org/officeDocument/2006/relationships/table" Target="../tables/table663.xml"/><Relationship Id="rId32" Type="http://schemas.openxmlformats.org/officeDocument/2006/relationships/table" Target="../tables/table664.xml"/><Relationship Id="rId33" Type="http://schemas.openxmlformats.org/officeDocument/2006/relationships/table" Target="../tables/table665.xml"/><Relationship Id="rId34" Type="http://schemas.openxmlformats.org/officeDocument/2006/relationships/table" Target="../tables/table666.xml"/><Relationship Id="rId35" Type="http://schemas.openxmlformats.org/officeDocument/2006/relationships/table" Target="../tables/table667.xml"/><Relationship Id="rId36" Type="http://schemas.openxmlformats.org/officeDocument/2006/relationships/table" Target="../tables/table668.xml"/><Relationship Id="rId37" Type="http://schemas.openxmlformats.org/officeDocument/2006/relationships/table" Target="../tables/table669.xml"/><Relationship Id="rId38" Type="http://schemas.openxmlformats.org/officeDocument/2006/relationships/table" Target="../tables/table670.xml"/><Relationship Id="rId39" Type="http://schemas.openxmlformats.org/officeDocument/2006/relationships/table" Target="../tables/table671.xml"/><Relationship Id="rId40" Type="http://schemas.openxmlformats.org/officeDocument/2006/relationships/table" Target="../tables/table672.xml"/><Relationship Id="rId41" Type="http://schemas.openxmlformats.org/officeDocument/2006/relationships/table" Target="../tables/table673.xml"/><Relationship Id="rId42" Type="http://schemas.openxmlformats.org/officeDocument/2006/relationships/table" Target="../tables/table674.xml"/><Relationship Id="rId43" Type="http://schemas.openxmlformats.org/officeDocument/2006/relationships/table" Target="../tables/table675.xml"/><Relationship Id="rId44" Type="http://schemas.openxmlformats.org/officeDocument/2006/relationships/table" Target="../tables/table676.xml"/><Relationship Id="rId45" Type="http://schemas.openxmlformats.org/officeDocument/2006/relationships/table" Target="../tables/table677.xml"/><Relationship Id="rId46" Type="http://schemas.openxmlformats.org/officeDocument/2006/relationships/table" Target="../tables/table678.xml"/><Relationship Id="rId47" Type="http://schemas.openxmlformats.org/officeDocument/2006/relationships/table" Target="../tables/table679.xml"/><Relationship Id="rId48" Type="http://schemas.openxmlformats.org/officeDocument/2006/relationships/table" Target="../tables/table680.xml"/><Relationship Id="rId49" Type="http://schemas.openxmlformats.org/officeDocument/2006/relationships/table" Target="../tables/table681.xml"/><Relationship Id="rId50" Type="http://schemas.openxmlformats.org/officeDocument/2006/relationships/table" Target="../tables/table682.xml"/><Relationship Id="rId51" Type="http://schemas.openxmlformats.org/officeDocument/2006/relationships/table" Target="../tables/table683.xml"/><Relationship Id="rId52" Type="http://schemas.openxmlformats.org/officeDocument/2006/relationships/table" Target="../tables/table684.xml"/><Relationship Id="rId53" Type="http://schemas.openxmlformats.org/officeDocument/2006/relationships/table" Target="../tables/table68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86.xml"/><Relationship Id="rId2" Type="http://schemas.openxmlformats.org/officeDocument/2006/relationships/table" Target="../tables/table687.xml"/><Relationship Id="rId3" Type="http://schemas.openxmlformats.org/officeDocument/2006/relationships/table" Target="../tables/table688.xml"/><Relationship Id="rId4" Type="http://schemas.openxmlformats.org/officeDocument/2006/relationships/table" Target="../tables/table689.xml"/><Relationship Id="rId5" Type="http://schemas.openxmlformats.org/officeDocument/2006/relationships/table" Target="../tables/table690.xml"/><Relationship Id="rId6" Type="http://schemas.openxmlformats.org/officeDocument/2006/relationships/table" Target="../tables/table691.xml"/><Relationship Id="rId7" Type="http://schemas.openxmlformats.org/officeDocument/2006/relationships/table" Target="../tables/table692.xml"/><Relationship Id="rId8" Type="http://schemas.openxmlformats.org/officeDocument/2006/relationships/table" Target="../tables/table693.xml"/><Relationship Id="rId9" Type="http://schemas.openxmlformats.org/officeDocument/2006/relationships/table" Target="../tables/table694.xml"/><Relationship Id="rId10" Type="http://schemas.openxmlformats.org/officeDocument/2006/relationships/table" Target="../tables/table695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96.xml"/><Relationship Id="rId2" Type="http://schemas.openxmlformats.org/officeDocument/2006/relationships/table" Target="../tables/table697.xml"/><Relationship Id="rId3" Type="http://schemas.openxmlformats.org/officeDocument/2006/relationships/table" Target="../tables/table698.xml"/><Relationship Id="rId4" Type="http://schemas.openxmlformats.org/officeDocument/2006/relationships/table" Target="../tables/table699.xml"/><Relationship Id="rId5" Type="http://schemas.openxmlformats.org/officeDocument/2006/relationships/table" Target="../tables/table700.xml"/><Relationship Id="rId6" Type="http://schemas.openxmlformats.org/officeDocument/2006/relationships/table" Target="../tables/table701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02.xml"/><Relationship Id="rId2" Type="http://schemas.openxmlformats.org/officeDocument/2006/relationships/table" Target="../tables/table703.xml"/><Relationship Id="rId3" Type="http://schemas.openxmlformats.org/officeDocument/2006/relationships/table" Target="../tables/table704.xml"/><Relationship Id="rId4" Type="http://schemas.openxmlformats.org/officeDocument/2006/relationships/table" Target="../tables/table705.xml"/><Relationship Id="rId5" Type="http://schemas.openxmlformats.org/officeDocument/2006/relationships/table" Target="../tables/table706.xml"/><Relationship Id="rId6" Type="http://schemas.openxmlformats.org/officeDocument/2006/relationships/table" Target="../tables/table707.xml"/><Relationship Id="rId7" Type="http://schemas.openxmlformats.org/officeDocument/2006/relationships/table" Target="../tables/table708.xml"/><Relationship Id="rId8" Type="http://schemas.openxmlformats.org/officeDocument/2006/relationships/table" Target="../tables/table709.xml"/><Relationship Id="rId9" Type="http://schemas.openxmlformats.org/officeDocument/2006/relationships/table" Target="../tables/table710.xml"/><Relationship Id="rId10" Type="http://schemas.openxmlformats.org/officeDocument/2006/relationships/table" Target="../tables/table711.xml"/><Relationship Id="rId11" Type="http://schemas.openxmlformats.org/officeDocument/2006/relationships/table" Target="../tables/table712.xml"/><Relationship Id="rId12" Type="http://schemas.openxmlformats.org/officeDocument/2006/relationships/table" Target="../tables/table713.xml"/><Relationship Id="rId13" Type="http://schemas.openxmlformats.org/officeDocument/2006/relationships/table" Target="../tables/table714.xml"/><Relationship Id="rId14" Type="http://schemas.openxmlformats.org/officeDocument/2006/relationships/table" Target="../tables/table715.xml"/><Relationship Id="rId15" Type="http://schemas.openxmlformats.org/officeDocument/2006/relationships/table" Target="../tables/table716.xml"/><Relationship Id="rId16" Type="http://schemas.openxmlformats.org/officeDocument/2006/relationships/table" Target="../tables/table717.xml"/><Relationship Id="rId17" Type="http://schemas.openxmlformats.org/officeDocument/2006/relationships/table" Target="../tables/table718.xml"/><Relationship Id="rId18" Type="http://schemas.openxmlformats.org/officeDocument/2006/relationships/table" Target="../tables/table719.xml"/><Relationship Id="rId19" Type="http://schemas.openxmlformats.org/officeDocument/2006/relationships/table" Target="../tables/table720.xml"/><Relationship Id="rId20" Type="http://schemas.openxmlformats.org/officeDocument/2006/relationships/table" Target="../tables/table721.xml"/><Relationship Id="rId21" Type="http://schemas.openxmlformats.org/officeDocument/2006/relationships/table" Target="../tables/table722.xml"/><Relationship Id="rId22" Type="http://schemas.openxmlformats.org/officeDocument/2006/relationships/table" Target="../tables/table723.xml"/><Relationship Id="rId23" Type="http://schemas.openxmlformats.org/officeDocument/2006/relationships/table" Target="../tables/table724.xml"/><Relationship Id="rId24" Type="http://schemas.openxmlformats.org/officeDocument/2006/relationships/table" Target="../tables/table725.xml"/><Relationship Id="rId25" Type="http://schemas.openxmlformats.org/officeDocument/2006/relationships/table" Target="../tables/table726.xml"/><Relationship Id="rId26" Type="http://schemas.openxmlformats.org/officeDocument/2006/relationships/table" Target="../tables/table727.xml"/><Relationship Id="rId27" Type="http://schemas.openxmlformats.org/officeDocument/2006/relationships/table" Target="../tables/table728.xml"/><Relationship Id="rId28" Type="http://schemas.openxmlformats.org/officeDocument/2006/relationships/table" Target="../tables/table729.xml"/><Relationship Id="rId29" Type="http://schemas.openxmlformats.org/officeDocument/2006/relationships/table" Target="../tables/table730.xml"/><Relationship Id="rId30" Type="http://schemas.openxmlformats.org/officeDocument/2006/relationships/table" Target="../tables/table731.xml"/><Relationship Id="rId31" Type="http://schemas.openxmlformats.org/officeDocument/2006/relationships/table" Target="../tables/table732.xml"/><Relationship Id="rId32" Type="http://schemas.openxmlformats.org/officeDocument/2006/relationships/table" Target="../tables/table733.xml"/><Relationship Id="rId33" Type="http://schemas.openxmlformats.org/officeDocument/2006/relationships/table" Target="../tables/table734.xml"/><Relationship Id="rId34" Type="http://schemas.openxmlformats.org/officeDocument/2006/relationships/table" Target="../tables/table735.xml"/><Relationship Id="rId35" Type="http://schemas.openxmlformats.org/officeDocument/2006/relationships/table" Target="../tables/table736.xml"/><Relationship Id="rId36" Type="http://schemas.openxmlformats.org/officeDocument/2006/relationships/table" Target="../tables/table737.xml"/><Relationship Id="rId37" Type="http://schemas.openxmlformats.org/officeDocument/2006/relationships/table" Target="../tables/table738.xml"/><Relationship Id="rId38" Type="http://schemas.openxmlformats.org/officeDocument/2006/relationships/table" Target="../tables/table739.xml"/><Relationship Id="rId39" Type="http://schemas.openxmlformats.org/officeDocument/2006/relationships/table" Target="../tables/table740.xml"/><Relationship Id="rId40" Type="http://schemas.openxmlformats.org/officeDocument/2006/relationships/table" Target="../tables/table741.xml"/><Relationship Id="rId41" Type="http://schemas.openxmlformats.org/officeDocument/2006/relationships/table" Target="../tables/table742.xml"/><Relationship Id="rId42" Type="http://schemas.openxmlformats.org/officeDocument/2006/relationships/table" Target="../tables/table743.xml"/><Relationship Id="rId43" Type="http://schemas.openxmlformats.org/officeDocument/2006/relationships/table" Target="../tables/table744.xml"/><Relationship Id="rId44" Type="http://schemas.openxmlformats.org/officeDocument/2006/relationships/table" Target="../tables/table745.xml"/><Relationship Id="rId45" Type="http://schemas.openxmlformats.org/officeDocument/2006/relationships/table" Target="../tables/table746.xml"/><Relationship Id="rId46" Type="http://schemas.openxmlformats.org/officeDocument/2006/relationships/table" Target="../tables/table747.xml"/><Relationship Id="rId47" Type="http://schemas.openxmlformats.org/officeDocument/2006/relationships/table" Target="../tables/table748.xml"/><Relationship Id="rId48" Type="http://schemas.openxmlformats.org/officeDocument/2006/relationships/table" Target="../tables/table749.xml"/><Relationship Id="rId49" Type="http://schemas.openxmlformats.org/officeDocument/2006/relationships/table" Target="../tables/table750.xml"/><Relationship Id="rId50" Type="http://schemas.openxmlformats.org/officeDocument/2006/relationships/table" Target="../tables/table751.xml"/><Relationship Id="rId51" Type="http://schemas.openxmlformats.org/officeDocument/2006/relationships/table" Target="../tables/table752.xml"/><Relationship Id="rId52" Type="http://schemas.openxmlformats.org/officeDocument/2006/relationships/table" Target="../tables/table753.xml"/><Relationship Id="rId53" Type="http://schemas.openxmlformats.org/officeDocument/2006/relationships/table" Target="../tables/table754.xml"/><Relationship Id="rId54" Type="http://schemas.openxmlformats.org/officeDocument/2006/relationships/table" Target="../tables/table755.xml"/><Relationship Id="rId55" Type="http://schemas.openxmlformats.org/officeDocument/2006/relationships/table" Target="../tables/table756.xml"/><Relationship Id="rId56" Type="http://schemas.openxmlformats.org/officeDocument/2006/relationships/table" Target="../tables/table757.xml"/><Relationship Id="rId57" Type="http://schemas.openxmlformats.org/officeDocument/2006/relationships/table" Target="../tables/table758.xml"/><Relationship Id="rId58" Type="http://schemas.openxmlformats.org/officeDocument/2006/relationships/table" Target="../tables/table759.xml"/><Relationship Id="rId59" Type="http://schemas.openxmlformats.org/officeDocument/2006/relationships/table" Target="../tables/table760.xml"/><Relationship Id="rId60" Type="http://schemas.openxmlformats.org/officeDocument/2006/relationships/table" Target="../tables/table761.xml"/><Relationship Id="rId61" Type="http://schemas.openxmlformats.org/officeDocument/2006/relationships/table" Target="../tables/table762.xml"/><Relationship Id="rId62" Type="http://schemas.openxmlformats.org/officeDocument/2006/relationships/table" Target="../tables/table763.xml"/><Relationship Id="rId63" Type="http://schemas.openxmlformats.org/officeDocument/2006/relationships/table" Target="../tables/table764.xml"/><Relationship Id="rId64" Type="http://schemas.openxmlformats.org/officeDocument/2006/relationships/table" Target="../tables/table765.xml"/><Relationship Id="rId65" Type="http://schemas.openxmlformats.org/officeDocument/2006/relationships/table" Target="../tables/table766.xml"/><Relationship Id="rId66" Type="http://schemas.openxmlformats.org/officeDocument/2006/relationships/table" Target="../tables/table767.xml"/><Relationship Id="rId67" Type="http://schemas.openxmlformats.org/officeDocument/2006/relationships/table" Target="../tables/table768.xml"/><Relationship Id="rId68" Type="http://schemas.openxmlformats.org/officeDocument/2006/relationships/table" Target="../tables/table769.xml"/><Relationship Id="rId69" Type="http://schemas.openxmlformats.org/officeDocument/2006/relationships/table" Target="../tables/table770.xml"/><Relationship Id="rId70" Type="http://schemas.openxmlformats.org/officeDocument/2006/relationships/table" Target="../tables/table771.xml"/><Relationship Id="rId71" Type="http://schemas.openxmlformats.org/officeDocument/2006/relationships/table" Target="../tables/table772.xml"/><Relationship Id="rId72" Type="http://schemas.openxmlformats.org/officeDocument/2006/relationships/table" Target="../tables/table773.xml"/><Relationship Id="rId73" Type="http://schemas.openxmlformats.org/officeDocument/2006/relationships/table" Target="../tables/table774.xml"/><Relationship Id="rId74" Type="http://schemas.openxmlformats.org/officeDocument/2006/relationships/table" Target="../tables/table775.xml"/><Relationship Id="rId75" Type="http://schemas.openxmlformats.org/officeDocument/2006/relationships/table" Target="../tables/table776.xml"/><Relationship Id="rId76" Type="http://schemas.openxmlformats.org/officeDocument/2006/relationships/table" Target="../tables/table777.xml"/><Relationship Id="rId77" Type="http://schemas.openxmlformats.org/officeDocument/2006/relationships/table" Target="../tables/table778.xml"/><Relationship Id="rId78" Type="http://schemas.openxmlformats.org/officeDocument/2006/relationships/table" Target="../tables/table779.xml"/><Relationship Id="rId79" Type="http://schemas.openxmlformats.org/officeDocument/2006/relationships/table" Target="../tables/table780.xml"/><Relationship Id="rId80" Type="http://schemas.openxmlformats.org/officeDocument/2006/relationships/table" Target="../tables/table781.xml"/><Relationship Id="rId81" Type="http://schemas.openxmlformats.org/officeDocument/2006/relationships/table" Target="../tables/table782.xml"/><Relationship Id="rId82" Type="http://schemas.openxmlformats.org/officeDocument/2006/relationships/table" Target="../tables/table783.xml"/><Relationship Id="rId83" Type="http://schemas.openxmlformats.org/officeDocument/2006/relationships/table" Target="../tables/table784.xml"/><Relationship Id="rId84" Type="http://schemas.openxmlformats.org/officeDocument/2006/relationships/table" Target="../tables/table785.xml"/><Relationship Id="rId85" Type="http://schemas.openxmlformats.org/officeDocument/2006/relationships/table" Target="../tables/table786.xml"/><Relationship Id="rId86" Type="http://schemas.openxmlformats.org/officeDocument/2006/relationships/table" Target="../tables/table787.xml"/><Relationship Id="rId87" Type="http://schemas.openxmlformats.org/officeDocument/2006/relationships/table" Target="../tables/table788.xml"/><Relationship Id="rId88" Type="http://schemas.openxmlformats.org/officeDocument/2006/relationships/table" Target="../tables/table789.xml"/><Relationship Id="rId89" Type="http://schemas.openxmlformats.org/officeDocument/2006/relationships/table" Target="../tables/table790.xml"/><Relationship Id="rId90" Type="http://schemas.openxmlformats.org/officeDocument/2006/relationships/table" Target="../tables/table791.xml"/><Relationship Id="rId91" Type="http://schemas.openxmlformats.org/officeDocument/2006/relationships/table" Target="../tables/table792.xml"/><Relationship Id="rId92" Type="http://schemas.openxmlformats.org/officeDocument/2006/relationships/table" Target="../tables/table793.xml"/><Relationship Id="rId93" Type="http://schemas.openxmlformats.org/officeDocument/2006/relationships/table" Target="../tables/table794.xml"/><Relationship Id="rId94" Type="http://schemas.openxmlformats.org/officeDocument/2006/relationships/table" Target="../tables/table795.xml"/><Relationship Id="rId95" Type="http://schemas.openxmlformats.org/officeDocument/2006/relationships/table" Target="../tables/table796.xml"/><Relationship Id="rId96" Type="http://schemas.openxmlformats.org/officeDocument/2006/relationships/table" Target="../tables/table797.xml"/><Relationship Id="rId97" Type="http://schemas.openxmlformats.org/officeDocument/2006/relationships/table" Target="../tables/table79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table" Target="../tables/table799.xml"/><Relationship Id="rId2" Type="http://schemas.openxmlformats.org/officeDocument/2006/relationships/table" Target="../tables/table800.xml"/><Relationship Id="rId3" Type="http://schemas.openxmlformats.org/officeDocument/2006/relationships/table" Target="../tables/table801.xml"/><Relationship Id="rId4" Type="http://schemas.openxmlformats.org/officeDocument/2006/relationships/table" Target="../tables/table802.xml"/><Relationship Id="rId5" Type="http://schemas.openxmlformats.org/officeDocument/2006/relationships/table" Target="../tables/table803.xml"/><Relationship Id="rId6" Type="http://schemas.openxmlformats.org/officeDocument/2006/relationships/table" Target="../tables/table804.xml"/><Relationship Id="rId7" Type="http://schemas.openxmlformats.org/officeDocument/2006/relationships/table" Target="../tables/table805.xml"/><Relationship Id="rId8" Type="http://schemas.openxmlformats.org/officeDocument/2006/relationships/table" Target="../tables/table806.xml"/><Relationship Id="rId9" Type="http://schemas.openxmlformats.org/officeDocument/2006/relationships/table" Target="../tables/table807.xml"/><Relationship Id="rId10" Type="http://schemas.openxmlformats.org/officeDocument/2006/relationships/table" Target="../tables/table808.xml"/><Relationship Id="rId11" Type="http://schemas.openxmlformats.org/officeDocument/2006/relationships/table" Target="../tables/table809.xml"/><Relationship Id="rId12" Type="http://schemas.openxmlformats.org/officeDocument/2006/relationships/table" Target="../tables/table810.xml"/><Relationship Id="rId13" Type="http://schemas.openxmlformats.org/officeDocument/2006/relationships/table" Target="../tables/table811.xml"/><Relationship Id="rId14" Type="http://schemas.openxmlformats.org/officeDocument/2006/relationships/table" Target="../tables/table812.xml"/><Relationship Id="rId15" Type="http://schemas.openxmlformats.org/officeDocument/2006/relationships/table" Target="../tables/table813.xml"/><Relationship Id="rId16" Type="http://schemas.openxmlformats.org/officeDocument/2006/relationships/table" Target="../tables/table814.xml"/><Relationship Id="rId17" Type="http://schemas.openxmlformats.org/officeDocument/2006/relationships/table" Target="../tables/table815.xml"/><Relationship Id="rId18" Type="http://schemas.openxmlformats.org/officeDocument/2006/relationships/table" Target="../tables/table816.xml"/><Relationship Id="rId19" Type="http://schemas.openxmlformats.org/officeDocument/2006/relationships/table" Target="../tables/table817.xml"/><Relationship Id="rId20" Type="http://schemas.openxmlformats.org/officeDocument/2006/relationships/table" Target="../tables/table818.xml"/><Relationship Id="rId21" Type="http://schemas.openxmlformats.org/officeDocument/2006/relationships/table" Target="../tables/table819.xml"/><Relationship Id="rId22" Type="http://schemas.openxmlformats.org/officeDocument/2006/relationships/table" Target="../tables/table820.xml"/><Relationship Id="rId23" Type="http://schemas.openxmlformats.org/officeDocument/2006/relationships/table" Target="../tables/table821.xml"/><Relationship Id="rId24" Type="http://schemas.openxmlformats.org/officeDocument/2006/relationships/table" Target="../tables/table822.xml"/><Relationship Id="rId25" Type="http://schemas.openxmlformats.org/officeDocument/2006/relationships/table" Target="../tables/table823.xml"/><Relationship Id="rId26" Type="http://schemas.openxmlformats.org/officeDocument/2006/relationships/table" Target="../tables/table824.xml"/><Relationship Id="rId27" Type="http://schemas.openxmlformats.org/officeDocument/2006/relationships/table" Target="../tables/table825.xml"/><Relationship Id="rId28" Type="http://schemas.openxmlformats.org/officeDocument/2006/relationships/table" Target="../tables/table826.xml"/><Relationship Id="rId29" Type="http://schemas.openxmlformats.org/officeDocument/2006/relationships/table" Target="../tables/table827.xml"/><Relationship Id="rId30" Type="http://schemas.openxmlformats.org/officeDocument/2006/relationships/table" Target="../tables/table828.xml"/><Relationship Id="rId31" Type="http://schemas.openxmlformats.org/officeDocument/2006/relationships/table" Target="../tables/table829.xml"/><Relationship Id="rId32" Type="http://schemas.openxmlformats.org/officeDocument/2006/relationships/table" Target="../tables/table830.xml"/><Relationship Id="rId33" Type="http://schemas.openxmlformats.org/officeDocument/2006/relationships/table" Target="../tables/table831.xml"/><Relationship Id="rId34" Type="http://schemas.openxmlformats.org/officeDocument/2006/relationships/table" Target="../tables/table832.xml"/><Relationship Id="rId35" Type="http://schemas.openxmlformats.org/officeDocument/2006/relationships/table" Target="../tables/table833.xml"/><Relationship Id="rId36" Type="http://schemas.openxmlformats.org/officeDocument/2006/relationships/table" Target="../tables/table834.xml"/><Relationship Id="rId37" Type="http://schemas.openxmlformats.org/officeDocument/2006/relationships/table" Target="../tables/table835.xml"/><Relationship Id="rId38" Type="http://schemas.openxmlformats.org/officeDocument/2006/relationships/table" Target="../tables/table836.xml"/><Relationship Id="rId39" Type="http://schemas.openxmlformats.org/officeDocument/2006/relationships/table" Target="../tables/table837.xml"/><Relationship Id="rId40" Type="http://schemas.openxmlformats.org/officeDocument/2006/relationships/table" Target="../tables/table838.xml"/><Relationship Id="rId41" Type="http://schemas.openxmlformats.org/officeDocument/2006/relationships/table" Target="../tables/table839.xml"/><Relationship Id="rId42" Type="http://schemas.openxmlformats.org/officeDocument/2006/relationships/table" Target="../tables/table840.xml"/><Relationship Id="rId43" Type="http://schemas.openxmlformats.org/officeDocument/2006/relationships/table" Target="../tables/table841.xml"/><Relationship Id="rId44" Type="http://schemas.openxmlformats.org/officeDocument/2006/relationships/table" Target="../tables/table842.xml"/><Relationship Id="rId45" Type="http://schemas.openxmlformats.org/officeDocument/2006/relationships/table" Target="../tables/table843.xml"/><Relationship Id="rId46" Type="http://schemas.openxmlformats.org/officeDocument/2006/relationships/table" Target="../tables/table844.xml"/><Relationship Id="rId47" Type="http://schemas.openxmlformats.org/officeDocument/2006/relationships/table" Target="../tables/table845.xml"/><Relationship Id="rId48" Type="http://schemas.openxmlformats.org/officeDocument/2006/relationships/table" Target="../tables/table846.xml"/><Relationship Id="rId49" Type="http://schemas.openxmlformats.org/officeDocument/2006/relationships/table" Target="../tables/table847.xml"/><Relationship Id="rId50" Type="http://schemas.openxmlformats.org/officeDocument/2006/relationships/table" Target="../tables/table848.xml"/><Relationship Id="rId51" Type="http://schemas.openxmlformats.org/officeDocument/2006/relationships/table" Target="../tables/table849.xml"/><Relationship Id="rId52" Type="http://schemas.openxmlformats.org/officeDocument/2006/relationships/table" Target="../tables/table850.xml"/><Relationship Id="rId53" Type="http://schemas.openxmlformats.org/officeDocument/2006/relationships/table" Target="../tables/table851.xml"/><Relationship Id="rId54" Type="http://schemas.openxmlformats.org/officeDocument/2006/relationships/table" Target="../tables/table852.xml"/><Relationship Id="rId55" Type="http://schemas.openxmlformats.org/officeDocument/2006/relationships/table" Target="../tables/table853.xml"/><Relationship Id="rId56" Type="http://schemas.openxmlformats.org/officeDocument/2006/relationships/table" Target="../tables/table854.xml"/><Relationship Id="rId57" Type="http://schemas.openxmlformats.org/officeDocument/2006/relationships/table" Target="../tables/table855.xml"/><Relationship Id="rId58" Type="http://schemas.openxmlformats.org/officeDocument/2006/relationships/table" Target="../tables/table856.xml"/><Relationship Id="rId59" Type="http://schemas.openxmlformats.org/officeDocument/2006/relationships/table" Target="../tables/table857.xml"/><Relationship Id="rId60" Type="http://schemas.openxmlformats.org/officeDocument/2006/relationships/table" Target="../tables/table858.xml"/><Relationship Id="rId61" Type="http://schemas.openxmlformats.org/officeDocument/2006/relationships/table" Target="../tables/table859.xml"/><Relationship Id="rId62" Type="http://schemas.openxmlformats.org/officeDocument/2006/relationships/table" Target="../tables/table860.xml"/><Relationship Id="rId63" Type="http://schemas.openxmlformats.org/officeDocument/2006/relationships/table" Target="../tables/table861.xml"/><Relationship Id="rId64" Type="http://schemas.openxmlformats.org/officeDocument/2006/relationships/table" Target="../tables/table862.xml"/><Relationship Id="rId65" Type="http://schemas.openxmlformats.org/officeDocument/2006/relationships/table" Target="../tables/table863.xml"/><Relationship Id="rId66" Type="http://schemas.openxmlformats.org/officeDocument/2006/relationships/table" Target="../tables/table864.xml"/><Relationship Id="rId67" Type="http://schemas.openxmlformats.org/officeDocument/2006/relationships/table" Target="../tables/table865.xml"/><Relationship Id="rId68" Type="http://schemas.openxmlformats.org/officeDocument/2006/relationships/table" Target="../tables/table866.xml"/><Relationship Id="rId69" Type="http://schemas.openxmlformats.org/officeDocument/2006/relationships/table" Target="../tables/table867.xml"/><Relationship Id="rId70" Type="http://schemas.openxmlformats.org/officeDocument/2006/relationships/table" Target="../tables/table868.xml"/><Relationship Id="rId71" Type="http://schemas.openxmlformats.org/officeDocument/2006/relationships/table" Target="../tables/table869.xml"/><Relationship Id="rId72" Type="http://schemas.openxmlformats.org/officeDocument/2006/relationships/table" Target="../tables/table870.xml"/><Relationship Id="rId73" Type="http://schemas.openxmlformats.org/officeDocument/2006/relationships/table" Target="../tables/table871.xml"/><Relationship Id="rId74" Type="http://schemas.openxmlformats.org/officeDocument/2006/relationships/table" Target="../tables/table872.xml"/><Relationship Id="rId75" Type="http://schemas.openxmlformats.org/officeDocument/2006/relationships/table" Target="../tables/table873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table" Target="../tables/table874.xml"/><Relationship Id="rId2" Type="http://schemas.openxmlformats.org/officeDocument/2006/relationships/table" Target="../tables/table875.xml"/><Relationship Id="rId3" Type="http://schemas.openxmlformats.org/officeDocument/2006/relationships/table" Target="../tables/table876.xml"/><Relationship Id="rId4" Type="http://schemas.openxmlformats.org/officeDocument/2006/relationships/table" Target="../tables/table877.xml"/><Relationship Id="rId5" Type="http://schemas.openxmlformats.org/officeDocument/2006/relationships/table" Target="../tables/table878.xml"/><Relationship Id="rId6" Type="http://schemas.openxmlformats.org/officeDocument/2006/relationships/table" Target="../tables/table879.xml"/><Relationship Id="rId7" Type="http://schemas.openxmlformats.org/officeDocument/2006/relationships/table" Target="../tables/table880.xml"/><Relationship Id="rId8" Type="http://schemas.openxmlformats.org/officeDocument/2006/relationships/table" Target="../tables/table881.xml"/><Relationship Id="rId9" Type="http://schemas.openxmlformats.org/officeDocument/2006/relationships/table" Target="../tables/table882.xml"/><Relationship Id="rId10" Type="http://schemas.openxmlformats.org/officeDocument/2006/relationships/table" Target="../tables/table883.xml"/><Relationship Id="rId11" Type="http://schemas.openxmlformats.org/officeDocument/2006/relationships/table" Target="../tables/table884.xml"/><Relationship Id="rId12" Type="http://schemas.openxmlformats.org/officeDocument/2006/relationships/table" Target="../tables/table885.xml"/><Relationship Id="rId13" Type="http://schemas.openxmlformats.org/officeDocument/2006/relationships/table" Target="../tables/table886.xml"/><Relationship Id="rId14" Type="http://schemas.openxmlformats.org/officeDocument/2006/relationships/table" Target="../tables/table887.xml"/><Relationship Id="rId15" Type="http://schemas.openxmlformats.org/officeDocument/2006/relationships/table" Target="../tables/table888.xml"/><Relationship Id="rId16" Type="http://schemas.openxmlformats.org/officeDocument/2006/relationships/table" Target="../tables/table889.xml"/><Relationship Id="rId17" Type="http://schemas.openxmlformats.org/officeDocument/2006/relationships/table" Target="../tables/table890.xml"/><Relationship Id="rId18" Type="http://schemas.openxmlformats.org/officeDocument/2006/relationships/table" Target="../tables/table891.xml"/><Relationship Id="rId19" Type="http://schemas.openxmlformats.org/officeDocument/2006/relationships/table" Target="../tables/table892.xml"/><Relationship Id="rId20" Type="http://schemas.openxmlformats.org/officeDocument/2006/relationships/table" Target="../tables/table893.xml"/><Relationship Id="rId21" Type="http://schemas.openxmlformats.org/officeDocument/2006/relationships/table" Target="../tables/table894.xml"/><Relationship Id="rId22" Type="http://schemas.openxmlformats.org/officeDocument/2006/relationships/table" Target="../tables/table895.xml"/><Relationship Id="rId23" Type="http://schemas.openxmlformats.org/officeDocument/2006/relationships/table" Target="../tables/table896.xml"/><Relationship Id="rId24" Type="http://schemas.openxmlformats.org/officeDocument/2006/relationships/table" Target="../tables/table897.xml"/><Relationship Id="rId25" Type="http://schemas.openxmlformats.org/officeDocument/2006/relationships/table" Target="../tables/table898.xml"/><Relationship Id="rId26" Type="http://schemas.openxmlformats.org/officeDocument/2006/relationships/table" Target="../tables/table899.xml"/><Relationship Id="rId27" Type="http://schemas.openxmlformats.org/officeDocument/2006/relationships/table" Target="../tables/table900.xml"/><Relationship Id="rId28" Type="http://schemas.openxmlformats.org/officeDocument/2006/relationships/table" Target="../tables/table901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table" Target="../tables/table902.xml"/><Relationship Id="rId2" Type="http://schemas.openxmlformats.org/officeDocument/2006/relationships/table" Target="../tables/table903.xml"/><Relationship Id="rId3" Type="http://schemas.openxmlformats.org/officeDocument/2006/relationships/table" Target="../tables/table904.xml"/><Relationship Id="rId4" Type="http://schemas.openxmlformats.org/officeDocument/2006/relationships/table" Target="../tables/table905.xml"/><Relationship Id="rId5" Type="http://schemas.openxmlformats.org/officeDocument/2006/relationships/table" Target="../tables/table906.xml"/><Relationship Id="rId6" Type="http://schemas.openxmlformats.org/officeDocument/2006/relationships/table" Target="../tables/table907.xml"/><Relationship Id="rId7" Type="http://schemas.openxmlformats.org/officeDocument/2006/relationships/table" Target="../tables/table908.xml"/><Relationship Id="rId8" Type="http://schemas.openxmlformats.org/officeDocument/2006/relationships/table" Target="../tables/table909.xml"/><Relationship Id="rId9" Type="http://schemas.openxmlformats.org/officeDocument/2006/relationships/table" Target="../tables/table910.xml"/><Relationship Id="rId10" Type="http://schemas.openxmlformats.org/officeDocument/2006/relationships/table" Target="../tables/table91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table" Target="../tables/table912.xml"/><Relationship Id="rId2" Type="http://schemas.openxmlformats.org/officeDocument/2006/relationships/table" Target="../tables/table913.xml"/><Relationship Id="rId3" Type="http://schemas.openxmlformats.org/officeDocument/2006/relationships/table" Target="../tables/table914.xml"/><Relationship Id="rId4" Type="http://schemas.openxmlformats.org/officeDocument/2006/relationships/table" Target="../tables/table915.xml"/><Relationship Id="rId5" Type="http://schemas.openxmlformats.org/officeDocument/2006/relationships/table" Target="../tables/table916.xml"/><Relationship Id="rId6" Type="http://schemas.openxmlformats.org/officeDocument/2006/relationships/table" Target="../tables/table917.xml"/><Relationship Id="rId7" Type="http://schemas.openxmlformats.org/officeDocument/2006/relationships/table" Target="../tables/table918.xml"/><Relationship Id="rId8" Type="http://schemas.openxmlformats.org/officeDocument/2006/relationships/table" Target="../tables/table919.xml"/><Relationship Id="rId9" Type="http://schemas.openxmlformats.org/officeDocument/2006/relationships/table" Target="../tables/table920.xml"/><Relationship Id="rId10" Type="http://schemas.openxmlformats.org/officeDocument/2006/relationships/table" Target="../tables/table921.xml"/><Relationship Id="rId11" Type="http://schemas.openxmlformats.org/officeDocument/2006/relationships/table" Target="../tables/table922.xml"/><Relationship Id="rId12" Type="http://schemas.openxmlformats.org/officeDocument/2006/relationships/table" Target="../tables/table923.xml"/><Relationship Id="rId13" Type="http://schemas.openxmlformats.org/officeDocument/2006/relationships/table" Target="../tables/table924.xml"/><Relationship Id="rId14" Type="http://schemas.openxmlformats.org/officeDocument/2006/relationships/table" Target="../tables/table925.xml"/><Relationship Id="rId15" Type="http://schemas.openxmlformats.org/officeDocument/2006/relationships/table" Target="../tables/table926.xml"/><Relationship Id="rId16" Type="http://schemas.openxmlformats.org/officeDocument/2006/relationships/table" Target="../tables/table927.xml"/><Relationship Id="rId17" Type="http://schemas.openxmlformats.org/officeDocument/2006/relationships/table" Target="../tables/table928.xml"/><Relationship Id="rId18" Type="http://schemas.openxmlformats.org/officeDocument/2006/relationships/table" Target="../tables/table929.xml"/><Relationship Id="rId19" Type="http://schemas.openxmlformats.org/officeDocument/2006/relationships/table" Target="../tables/table930.xml"/><Relationship Id="rId20" Type="http://schemas.openxmlformats.org/officeDocument/2006/relationships/table" Target="../tables/table931.xml"/><Relationship Id="rId21" Type="http://schemas.openxmlformats.org/officeDocument/2006/relationships/table" Target="../tables/table932.xml"/><Relationship Id="rId22" Type="http://schemas.openxmlformats.org/officeDocument/2006/relationships/table" Target="../tables/table933.xml"/><Relationship Id="rId23" Type="http://schemas.openxmlformats.org/officeDocument/2006/relationships/table" Target="../tables/table934.xml"/><Relationship Id="rId24" Type="http://schemas.openxmlformats.org/officeDocument/2006/relationships/table" Target="../tables/table935.xml"/><Relationship Id="rId25" Type="http://schemas.openxmlformats.org/officeDocument/2006/relationships/table" Target="../tables/table936.xml"/><Relationship Id="rId26" Type="http://schemas.openxmlformats.org/officeDocument/2006/relationships/table" Target="../tables/table937.xml"/><Relationship Id="rId27" Type="http://schemas.openxmlformats.org/officeDocument/2006/relationships/table" Target="../tables/table938.xml"/><Relationship Id="rId28" Type="http://schemas.openxmlformats.org/officeDocument/2006/relationships/table" Target="../tables/table939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table" Target="../tables/table940.xml"/><Relationship Id="rId2" Type="http://schemas.openxmlformats.org/officeDocument/2006/relationships/table" Target="../tables/table941.xml"/><Relationship Id="rId3" Type="http://schemas.openxmlformats.org/officeDocument/2006/relationships/table" Target="../tables/table942.xml"/><Relationship Id="rId4" Type="http://schemas.openxmlformats.org/officeDocument/2006/relationships/table" Target="../tables/table943.xml"/><Relationship Id="rId5" Type="http://schemas.openxmlformats.org/officeDocument/2006/relationships/table" Target="../tables/table944.xml"/><Relationship Id="rId6" Type="http://schemas.openxmlformats.org/officeDocument/2006/relationships/table" Target="../tables/table945.xml"/><Relationship Id="rId7" Type="http://schemas.openxmlformats.org/officeDocument/2006/relationships/table" Target="../tables/table946.xml"/><Relationship Id="rId8" Type="http://schemas.openxmlformats.org/officeDocument/2006/relationships/table" Target="../tables/table947.xml"/><Relationship Id="rId9" Type="http://schemas.openxmlformats.org/officeDocument/2006/relationships/table" Target="../tables/table948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table" Target="../tables/table949.xml"/><Relationship Id="rId2" Type="http://schemas.openxmlformats.org/officeDocument/2006/relationships/table" Target="../tables/table950.xml"/><Relationship Id="rId3" Type="http://schemas.openxmlformats.org/officeDocument/2006/relationships/table" Target="../tables/table951.xml"/><Relationship Id="rId4" Type="http://schemas.openxmlformats.org/officeDocument/2006/relationships/table" Target="../tables/table952.xml"/><Relationship Id="rId5" Type="http://schemas.openxmlformats.org/officeDocument/2006/relationships/table" Target="../tables/table953.xml"/><Relationship Id="rId6" Type="http://schemas.openxmlformats.org/officeDocument/2006/relationships/table" Target="../tables/table954.xml"/><Relationship Id="rId7" Type="http://schemas.openxmlformats.org/officeDocument/2006/relationships/table" Target="../tables/table955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table" Target="../tables/table956.xml"/><Relationship Id="rId2" Type="http://schemas.openxmlformats.org/officeDocument/2006/relationships/table" Target="../tables/table957.xml"/><Relationship Id="rId3" Type="http://schemas.openxmlformats.org/officeDocument/2006/relationships/table" Target="../tables/table958.xml"/><Relationship Id="rId4" Type="http://schemas.openxmlformats.org/officeDocument/2006/relationships/table" Target="../tables/table959.xml"/><Relationship Id="rId5" Type="http://schemas.openxmlformats.org/officeDocument/2006/relationships/table" Target="../tables/table960.xml"/><Relationship Id="rId6" Type="http://schemas.openxmlformats.org/officeDocument/2006/relationships/table" Target="../tables/table961.xml"/><Relationship Id="rId7" Type="http://schemas.openxmlformats.org/officeDocument/2006/relationships/table" Target="../tables/table962.xml"/><Relationship Id="rId8" Type="http://schemas.openxmlformats.org/officeDocument/2006/relationships/table" Target="../tables/table963.xml"/><Relationship Id="rId9" Type="http://schemas.openxmlformats.org/officeDocument/2006/relationships/table" Target="../tables/table964.xml"/><Relationship Id="rId10" Type="http://schemas.openxmlformats.org/officeDocument/2006/relationships/table" Target="../tables/table965.xml"/><Relationship Id="rId11" Type="http://schemas.openxmlformats.org/officeDocument/2006/relationships/table" Target="../tables/table966.xml"/><Relationship Id="rId12" Type="http://schemas.openxmlformats.org/officeDocument/2006/relationships/table" Target="../tables/table967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table" Target="../tables/table968.xml"/><Relationship Id="rId2" Type="http://schemas.openxmlformats.org/officeDocument/2006/relationships/table" Target="../tables/table969.xml"/><Relationship Id="rId3" Type="http://schemas.openxmlformats.org/officeDocument/2006/relationships/table" Target="../tables/table970.xml"/><Relationship Id="rId4" Type="http://schemas.openxmlformats.org/officeDocument/2006/relationships/table" Target="../tables/table971.xml"/><Relationship Id="rId5" Type="http://schemas.openxmlformats.org/officeDocument/2006/relationships/table" Target="../tables/table972.xml"/><Relationship Id="rId6" Type="http://schemas.openxmlformats.org/officeDocument/2006/relationships/table" Target="../tables/table973.xml"/><Relationship Id="rId7" Type="http://schemas.openxmlformats.org/officeDocument/2006/relationships/table" Target="../tables/table974.xml"/><Relationship Id="rId8" Type="http://schemas.openxmlformats.org/officeDocument/2006/relationships/table" Target="../tables/table975.xml"/><Relationship Id="rId9" Type="http://schemas.openxmlformats.org/officeDocument/2006/relationships/table" Target="../tables/table976.xml"/><Relationship Id="rId10" Type="http://schemas.openxmlformats.org/officeDocument/2006/relationships/table" Target="../tables/table977.xml"/><Relationship Id="rId11" Type="http://schemas.openxmlformats.org/officeDocument/2006/relationships/table" Target="../tables/table978.xml"/><Relationship Id="rId12" Type="http://schemas.openxmlformats.org/officeDocument/2006/relationships/table" Target="../tables/table979.xml"/><Relationship Id="rId13" Type="http://schemas.openxmlformats.org/officeDocument/2006/relationships/table" Target="../tables/table980.xml"/><Relationship Id="rId14" Type="http://schemas.openxmlformats.org/officeDocument/2006/relationships/table" Target="../tables/table981.xml"/><Relationship Id="rId15" Type="http://schemas.openxmlformats.org/officeDocument/2006/relationships/table" Target="../tables/table982.xml"/><Relationship Id="rId16" Type="http://schemas.openxmlformats.org/officeDocument/2006/relationships/table" Target="../tables/table983.xml"/><Relationship Id="rId17" Type="http://schemas.openxmlformats.org/officeDocument/2006/relationships/table" Target="../tables/table984.xml"/><Relationship Id="rId18" Type="http://schemas.openxmlformats.org/officeDocument/2006/relationships/table" Target="../tables/table985.xml"/><Relationship Id="rId19" Type="http://schemas.openxmlformats.org/officeDocument/2006/relationships/table" Target="../tables/table986.xml"/><Relationship Id="rId20" Type="http://schemas.openxmlformats.org/officeDocument/2006/relationships/table" Target="../tables/table987.xml"/><Relationship Id="rId21" Type="http://schemas.openxmlformats.org/officeDocument/2006/relationships/table" Target="../tables/table988.xml"/><Relationship Id="rId22" Type="http://schemas.openxmlformats.org/officeDocument/2006/relationships/table" Target="../tables/table989.xml"/><Relationship Id="rId23" Type="http://schemas.openxmlformats.org/officeDocument/2006/relationships/table" Target="../tables/table990.xml"/><Relationship Id="rId24" Type="http://schemas.openxmlformats.org/officeDocument/2006/relationships/table" Target="../tables/table991.xml"/><Relationship Id="rId25" Type="http://schemas.openxmlformats.org/officeDocument/2006/relationships/table" Target="../tables/table992.xml"/><Relationship Id="rId26" Type="http://schemas.openxmlformats.org/officeDocument/2006/relationships/table" Target="../tables/table993.xml"/><Relationship Id="rId27" Type="http://schemas.openxmlformats.org/officeDocument/2006/relationships/table" Target="../tables/table994.xml"/><Relationship Id="rId28" Type="http://schemas.openxmlformats.org/officeDocument/2006/relationships/table" Target="../tables/table995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table" Target="../tables/table996.xml"/><Relationship Id="rId2" Type="http://schemas.openxmlformats.org/officeDocument/2006/relationships/table" Target="../tables/table997.xml"/><Relationship Id="rId3" Type="http://schemas.openxmlformats.org/officeDocument/2006/relationships/table" Target="../tables/table998.xml"/><Relationship Id="rId4" Type="http://schemas.openxmlformats.org/officeDocument/2006/relationships/table" Target="../tables/table999.xml"/><Relationship Id="rId5" Type="http://schemas.openxmlformats.org/officeDocument/2006/relationships/table" Target="../tables/table1000.xml"/><Relationship Id="rId6" Type="http://schemas.openxmlformats.org/officeDocument/2006/relationships/table" Target="../tables/table1001.xml"/><Relationship Id="rId7" Type="http://schemas.openxmlformats.org/officeDocument/2006/relationships/table" Target="../tables/table1002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03.xml"/><Relationship Id="rId2" Type="http://schemas.openxmlformats.org/officeDocument/2006/relationships/table" Target="../tables/table1004.xml"/><Relationship Id="rId3" Type="http://schemas.openxmlformats.org/officeDocument/2006/relationships/table" Target="../tables/table1005.xml"/><Relationship Id="rId4" Type="http://schemas.openxmlformats.org/officeDocument/2006/relationships/table" Target="../tables/table1006.xml"/><Relationship Id="rId5" Type="http://schemas.openxmlformats.org/officeDocument/2006/relationships/table" Target="../tables/table1007.xml"/><Relationship Id="rId6" Type="http://schemas.openxmlformats.org/officeDocument/2006/relationships/table" Target="../tables/table1008.xml"/><Relationship Id="rId7" Type="http://schemas.openxmlformats.org/officeDocument/2006/relationships/table" Target="../tables/table1009.xml"/><Relationship Id="rId8" Type="http://schemas.openxmlformats.org/officeDocument/2006/relationships/table" Target="../tables/table1010.xml"/><Relationship Id="rId9" Type="http://schemas.openxmlformats.org/officeDocument/2006/relationships/table" Target="../tables/table1011.xml"/><Relationship Id="rId10" Type="http://schemas.openxmlformats.org/officeDocument/2006/relationships/table" Target="../tables/table1012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13.xml"/><Relationship Id="rId2" Type="http://schemas.openxmlformats.org/officeDocument/2006/relationships/table" Target="../tables/table1014.xml"/><Relationship Id="rId3" Type="http://schemas.openxmlformats.org/officeDocument/2006/relationships/table" Target="../tables/table1015.xml"/><Relationship Id="rId4" Type="http://schemas.openxmlformats.org/officeDocument/2006/relationships/table" Target="../tables/table1016.xml"/><Relationship Id="rId5" Type="http://schemas.openxmlformats.org/officeDocument/2006/relationships/table" Target="../tables/table1017.xml"/><Relationship Id="rId6" Type="http://schemas.openxmlformats.org/officeDocument/2006/relationships/table" Target="../tables/table1018.xml"/><Relationship Id="rId7" Type="http://schemas.openxmlformats.org/officeDocument/2006/relationships/table" Target="../tables/table1019.xml"/><Relationship Id="rId8" Type="http://schemas.openxmlformats.org/officeDocument/2006/relationships/table" Target="../tables/table1020.xml"/><Relationship Id="rId9" Type="http://schemas.openxmlformats.org/officeDocument/2006/relationships/table" Target="../tables/table1021.xml"/><Relationship Id="rId10" Type="http://schemas.openxmlformats.org/officeDocument/2006/relationships/table" Target="../tables/table1022.xml"/><Relationship Id="rId11" Type="http://schemas.openxmlformats.org/officeDocument/2006/relationships/table" Target="../tables/table1023.xml"/><Relationship Id="rId12" Type="http://schemas.openxmlformats.org/officeDocument/2006/relationships/table" Target="../tables/table1024.xml"/><Relationship Id="rId13" Type="http://schemas.openxmlformats.org/officeDocument/2006/relationships/table" Target="../tables/table1025.xml"/><Relationship Id="rId14" Type="http://schemas.openxmlformats.org/officeDocument/2006/relationships/table" Target="../tables/table1026.xml"/><Relationship Id="rId15" Type="http://schemas.openxmlformats.org/officeDocument/2006/relationships/table" Target="../tables/table1027.xml"/><Relationship Id="rId16" Type="http://schemas.openxmlformats.org/officeDocument/2006/relationships/table" Target="../tables/table1028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29.xml"/><Relationship Id="rId2" Type="http://schemas.openxmlformats.org/officeDocument/2006/relationships/table" Target="../tables/table1030.xml"/><Relationship Id="rId3" Type="http://schemas.openxmlformats.org/officeDocument/2006/relationships/table" Target="../tables/table1031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32.xml"/><Relationship Id="rId2" Type="http://schemas.openxmlformats.org/officeDocument/2006/relationships/table" Target="../tables/table1033.xml"/><Relationship Id="rId3" Type="http://schemas.openxmlformats.org/officeDocument/2006/relationships/table" Target="../tables/table1034.xml"/><Relationship Id="rId4" Type="http://schemas.openxmlformats.org/officeDocument/2006/relationships/table" Target="../tables/table1035.xml"/><Relationship Id="rId5" Type="http://schemas.openxmlformats.org/officeDocument/2006/relationships/table" Target="../tables/table1036.xml"/><Relationship Id="rId6" Type="http://schemas.openxmlformats.org/officeDocument/2006/relationships/table" Target="../tables/table1037.xml"/><Relationship Id="rId7" Type="http://schemas.openxmlformats.org/officeDocument/2006/relationships/table" Target="../tables/table1038.xml"/><Relationship Id="rId8" Type="http://schemas.openxmlformats.org/officeDocument/2006/relationships/table" Target="../tables/table1039.xml"/><Relationship Id="rId9" Type="http://schemas.openxmlformats.org/officeDocument/2006/relationships/table" Target="../tables/table1040.xml"/><Relationship Id="rId10" Type="http://schemas.openxmlformats.org/officeDocument/2006/relationships/table" Target="../tables/table1041.xml"/><Relationship Id="rId11" Type="http://schemas.openxmlformats.org/officeDocument/2006/relationships/table" Target="../tables/table1042.xml"/><Relationship Id="rId12" Type="http://schemas.openxmlformats.org/officeDocument/2006/relationships/table" Target="../tables/table1043.xml"/><Relationship Id="rId13" Type="http://schemas.openxmlformats.org/officeDocument/2006/relationships/table" Target="../tables/table1044.xml"/><Relationship Id="rId14" Type="http://schemas.openxmlformats.org/officeDocument/2006/relationships/table" Target="../tables/table1045.xml"/><Relationship Id="rId15" Type="http://schemas.openxmlformats.org/officeDocument/2006/relationships/table" Target="../tables/table1046.xml"/><Relationship Id="rId16" Type="http://schemas.openxmlformats.org/officeDocument/2006/relationships/table" Target="../tables/table1047.xml"/><Relationship Id="rId17" Type="http://schemas.openxmlformats.org/officeDocument/2006/relationships/table" Target="../tables/table1048.xml"/><Relationship Id="rId18" Type="http://schemas.openxmlformats.org/officeDocument/2006/relationships/table" Target="../tables/table1049.xml"/><Relationship Id="rId19" Type="http://schemas.openxmlformats.org/officeDocument/2006/relationships/table" Target="../tables/table1050.xml"/><Relationship Id="rId20" Type="http://schemas.openxmlformats.org/officeDocument/2006/relationships/table" Target="../tables/table1051.xml"/><Relationship Id="rId21" Type="http://schemas.openxmlformats.org/officeDocument/2006/relationships/table" Target="../tables/table1052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53.xml"/><Relationship Id="rId2" Type="http://schemas.openxmlformats.org/officeDocument/2006/relationships/table" Target="../tables/table1054.xml"/><Relationship Id="rId3" Type="http://schemas.openxmlformats.org/officeDocument/2006/relationships/table" Target="../tables/table1055.xml"/><Relationship Id="rId4" Type="http://schemas.openxmlformats.org/officeDocument/2006/relationships/table" Target="../tables/table1056.xml"/><Relationship Id="rId5" Type="http://schemas.openxmlformats.org/officeDocument/2006/relationships/table" Target="../tables/table1057.xml"/><Relationship Id="rId6" Type="http://schemas.openxmlformats.org/officeDocument/2006/relationships/table" Target="../tables/table1058.xml"/><Relationship Id="rId7" Type="http://schemas.openxmlformats.org/officeDocument/2006/relationships/table" Target="../tables/table1059.xml"/><Relationship Id="rId8" Type="http://schemas.openxmlformats.org/officeDocument/2006/relationships/table" Target="../tables/table1060.xml"/><Relationship Id="rId9" Type="http://schemas.openxmlformats.org/officeDocument/2006/relationships/table" Target="../tables/table1061.xml"/><Relationship Id="rId10" Type="http://schemas.openxmlformats.org/officeDocument/2006/relationships/table" Target="../tables/table1062.xml"/><Relationship Id="rId11" Type="http://schemas.openxmlformats.org/officeDocument/2006/relationships/table" Target="../tables/table1063.xml"/><Relationship Id="rId12" Type="http://schemas.openxmlformats.org/officeDocument/2006/relationships/table" Target="../tables/table1064.xml"/><Relationship Id="rId13" Type="http://schemas.openxmlformats.org/officeDocument/2006/relationships/table" Target="../tables/table1065.xml"/><Relationship Id="rId14" Type="http://schemas.openxmlformats.org/officeDocument/2006/relationships/table" Target="../tables/table1066.xml"/><Relationship Id="rId15" Type="http://schemas.openxmlformats.org/officeDocument/2006/relationships/table" Target="../tables/table1067.xml"/><Relationship Id="rId16" Type="http://schemas.openxmlformats.org/officeDocument/2006/relationships/table" Target="../tables/table1068.xml"/><Relationship Id="rId17" Type="http://schemas.openxmlformats.org/officeDocument/2006/relationships/table" Target="../tables/table1069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70.xml"/><Relationship Id="rId2" Type="http://schemas.openxmlformats.org/officeDocument/2006/relationships/table" Target="../tables/table1071.xml"/><Relationship Id="rId3" Type="http://schemas.openxmlformats.org/officeDocument/2006/relationships/table" Target="../tables/table1072.xml"/><Relationship Id="rId4" Type="http://schemas.openxmlformats.org/officeDocument/2006/relationships/table" Target="../tables/table1073.xml"/><Relationship Id="rId5" Type="http://schemas.openxmlformats.org/officeDocument/2006/relationships/table" Target="../tables/table1074.xml"/><Relationship Id="rId6" Type="http://schemas.openxmlformats.org/officeDocument/2006/relationships/table" Target="../tables/table1075.xml"/><Relationship Id="rId7" Type="http://schemas.openxmlformats.org/officeDocument/2006/relationships/table" Target="../tables/table1076.xml"/><Relationship Id="rId8" Type="http://schemas.openxmlformats.org/officeDocument/2006/relationships/table" Target="../tables/table1077.xml"/><Relationship Id="rId9" Type="http://schemas.openxmlformats.org/officeDocument/2006/relationships/table" Target="../tables/table1078.xml"/><Relationship Id="rId10" Type="http://schemas.openxmlformats.org/officeDocument/2006/relationships/table" Target="../tables/table1079.xml"/><Relationship Id="rId11" Type="http://schemas.openxmlformats.org/officeDocument/2006/relationships/table" Target="../tables/table1080.xml"/><Relationship Id="rId12" Type="http://schemas.openxmlformats.org/officeDocument/2006/relationships/table" Target="../tables/table1081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82.xml"/><Relationship Id="rId2" Type="http://schemas.openxmlformats.org/officeDocument/2006/relationships/table" Target="../tables/table1083.xml"/><Relationship Id="rId3" Type="http://schemas.openxmlformats.org/officeDocument/2006/relationships/table" Target="../tables/table1084.xml"/><Relationship Id="rId4" Type="http://schemas.openxmlformats.org/officeDocument/2006/relationships/table" Target="../tables/table1085.xml"/><Relationship Id="rId5" Type="http://schemas.openxmlformats.org/officeDocument/2006/relationships/table" Target="../tables/table1086.xml"/><Relationship Id="rId6" Type="http://schemas.openxmlformats.org/officeDocument/2006/relationships/table" Target="../tables/table1087.xml"/><Relationship Id="rId7" Type="http://schemas.openxmlformats.org/officeDocument/2006/relationships/table" Target="../tables/table1088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89.xml"/><Relationship Id="rId2" Type="http://schemas.openxmlformats.org/officeDocument/2006/relationships/table" Target="../tables/table1090.xml"/><Relationship Id="rId3" Type="http://schemas.openxmlformats.org/officeDocument/2006/relationships/table" Target="../tables/table1091.xml"/><Relationship Id="rId4" Type="http://schemas.openxmlformats.org/officeDocument/2006/relationships/table" Target="../tables/table1092.xml"/><Relationship Id="rId5" Type="http://schemas.openxmlformats.org/officeDocument/2006/relationships/table" Target="../tables/table1093.xml"/><Relationship Id="rId6" Type="http://schemas.openxmlformats.org/officeDocument/2006/relationships/table" Target="../tables/table1094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95.xml"/><Relationship Id="rId2" Type="http://schemas.openxmlformats.org/officeDocument/2006/relationships/table" Target="../tables/table1096.xml"/><Relationship Id="rId3" Type="http://schemas.openxmlformats.org/officeDocument/2006/relationships/table" Target="../tables/table1097.xml"/><Relationship Id="rId4" Type="http://schemas.openxmlformats.org/officeDocument/2006/relationships/table" Target="../tables/table1098.xml"/><Relationship Id="rId5" Type="http://schemas.openxmlformats.org/officeDocument/2006/relationships/table" Target="../tables/table1099.xml"/><Relationship Id="rId6" Type="http://schemas.openxmlformats.org/officeDocument/2006/relationships/table" Target="../tables/table1100.xml"/><Relationship Id="rId7" Type="http://schemas.openxmlformats.org/officeDocument/2006/relationships/table" Target="../tables/table1101.xml"/><Relationship Id="rId8" Type="http://schemas.openxmlformats.org/officeDocument/2006/relationships/table" Target="../tables/table1102.xml"/><Relationship Id="rId9" Type="http://schemas.openxmlformats.org/officeDocument/2006/relationships/table" Target="../tables/table1103.xml"/><Relationship Id="rId10" Type="http://schemas.openxmlformats.org/officeDocument/2006/relationships/table" Target="../tables/table1104.xml"/><Relationship Id="rId11" Type="http://schemas.openxmlformats.org/officeDocument/2006/relationships/table" Target="../tables/table1105.xml"/><Relationship Id="rId12" Type="http://schemas.openxmlformats.org/officeDocument/2006/relationships/table" Target="../tables/table1106.xml"/><Relationship Id="rId13" Type="http://schemas.openxmlformats.org/officeDocument/2006/relationships/table" Target="../tables/table1107.xml"/><Relationship Id="rId14" Type="http://schemas.openxmlformats.org/officeDocument/2006/relationships/table" Target="../tables/table1108.xml"/><Relationship Id="rId15" Type="http://schemas.openxmlformats.org/officeDocument/2006/relationships/table" Target="../tables/table1109.xml"/><Relationship Id="rId16" Type="http://schemas.openxmlformats.org/officeDocument/2006/relationships/table" Target="../tables/table1110.xml"/><Relationship Id="rId17" Type="http://schemas.openxmlformats.org/officeDocument/2006/relationships/table" Target="../tables/table1111.xml"/><Relationship Id="rId18" Type="http://schemas.openxmlformats.org/officeDocument/2006/relationships/table" Target="../tables/table1112.xml"/><Relationship Id="rId19" Type="http://schemas.openxmlformats.org/officeDocument/2006/relationships/table" Target="../tables/table1113.xml"/><Relationship Id="rId20" Type="http://schemas.openxmlformats.org/officeDocument/2006/relationships/table" Target="../tables/table1114.xml"/><Relationship Id="rId21" Type="http://schemas.openxmlformats.org/officeDocument/2006/relationships/table" Target="../tables/table1115.xml"/><Relationship Id="rId22" Type="http://schemas.openxmlformats.org/officeDocument/2006/relationships/table" Target="../tables/table1116.xml"/><Relationship Id="rId23" Type="http://schemas.openxmlformats.org/officeDocument/2006/relationships/table" Target="../tables/table1117.xml"/><Relationship Id="rId24" Type="http://schemas.openxmlformats.org/officeDocument/2006/relationships/table" Target="../tables/table1118.xml"/><Relationship Id="rId25" Type="http://schemas.openxmlformats.org/officeDocument/2006/relationships/table" Target="../tables/table1119.xml"/><Relationship Id="rId26" Type="http://schemas.openxmlformats.org/officeDocument/2006/relationships/table" Target="../tables/table1120.xml"/><Relationship Id="rId27" Type="http://schemas.openxmlformats.org/officeDocument/2006/relationships/table" Target="../tables/table1121.xml"/><Relationship Id="rId28" Type="http://schemas.openxmlformats.org/officeDocument/2006/relationships/table" Target="../tables/table1122.xml"/><Relationship Id="rId29" Type="http://schemas.openxmlformats.org/officeDocument/2006/relationships/table" Target="../tables/table1123.xml"/><Relationship Id="rId30" Type="http://schemas.openxmlformats.org/officeDocument/2006/relationships/table" Target="../tables/table1124.xml"/><Relationship Id="rId31" Type="http://schemas.openxmlformats.org/officeDocument/2006/relationships/table" Target="../tables/table1125.xml"/><Relationship Id="rId32" Type="http://schemas.openxmlformats.org/officeDocument/2006/relationships/table" Target="../tables/table1126.xml"/><Relationship Id="rId33" Type="http://schemas.openxmlformats.org/officeDocument/2006/relationships/table" Target="../tables/table1127.xml"/><Relationship Id="rId34" Type="http://schemas.openxmlformats.org/officeDocument/2006/relationships/table" Target="../tables/table1128.xml"/><Relationship Id="rId35" Type="http://schemas.openxmlformats.org/officeDocument/2006/relationships/table" Target="../tables/table1129.xml"/><Relationship Id="rId36" Type="http://schemas.openxmlformats.org/officeDocument/2006/relationships/table" Target="../tables/table1130.xml"/><Relationship Id="rId37" Type="http://schemas.openxmlformats.org/officeDocument/2006/relationships/table" Target="../tables/table1131.xml"/><Relationship Id="rId38" Type="http://schemas.openxmlformats.org/officeDocument/2006/relationships/table" Target="../tables/table1132.xml"/><Relationship Id="rId39" Type="http://schemas.openxmlformats.org/officeDocument/2006/relationships/table" Target="../tables/table1133.xml"/><Relationship Id="rId40" Type="http://schemas.openxmlformats.org/officeDocument/2006/relationships/table" Target="../tables/table1134.xml"/><Relationship Id="rId41" Type="http://schemas.openxmlformats.org/officeDocument/2006/relationships/table" Target="../tables/table1135.xml"/><Relationship Id="rId42" Type="http://schemas.openxmlformats.org/officeDocument/2006/relationships/table" Target="../tables/table1136.xml"/><Relationship Id="rId43" Type="http://schemas.openxmlformats.org/officeDocument/2006/relationships/table" Target="../tables/table1137.xml"/><Relationship Id="rId44" Type="http://schemas.openxmlformats.org/officeDocument/2006/relationships/table" Target="../tables/table1138.xml"/><Relationship Id="rId45" Type="http://schemas.openxmlformats.org/officeDocument/2006/relationships/table" Target="../tables/table1139.xml"/><Relationship Id="rId46" Type="http://schemas.openxmlformats.org/officeDocument/2006/relationships/table" Target="../tables/table1140.xml"/><Relationship Id="rId47" Type="http://schemas.openxmlformats.org/officeDocument/2006/relationships/table" Target="../tables/table1141.xml"/><Relationship Id="rId48" Type="http://schemas.openxmlformats.org/officeDocument/2006/relationships/table" Target="../tables/table1142.xml"/><Relationship Id="rId49" Type="http://schemas.openxmlformats.org/officeDocument/2006/relationships/table" Target="../tables/table1143.xml"/><Relationship Id="rId50" Type="http://schemas.openxmlformats.org/officeDocument/2006/relationships/table" Target="../tables/table1144.xml"/><Relationship Id="rId51" Type="http://schemas.openxmlformats.org/officeDocument/2006/relationships/table" Target="../tables/table1145.xml"/><Relationship Id="rId52" Type="http://schemas.openxmlformats.org/officeDocument/2006/relationships/table" Target="../tables/table1146.xml"/><Relationship Id="rId53" Type="http://schemas.openxmlformats.org/officeDocument/2006/relationships/table" Target="../tables/table1147.xml"/><Relationship Id="rId54" Type="http://schemas.openxmlformats.org/officeDocument/2006/relationships/table" Target="../tables/table1148.xml"/><Relationship Id="rId55" Type="http://schemas.openxmlformats.org/officeDocument/2006/relationships/table" Target="../tables/table1149.xml"/><Relationship Id="rId56" Type="http://schemas.openxmlformats.org/officeDocument/2006/relationships/table" Target="../tables/table1150.xml"/><Relationship Id="rId57" Type="http://schemas.openxmlformats.org/officeDocument/2006/relationships/table" Target="../tables/table1151.xml"/><Relationship Id="rId58" Type="http://schemas.openxmlformats.org/officeDocument/2006/relationships/table" Target="../tables/table1152.xml"/><Relationship Id="rId59" Type="http://schemas.openxmlformats.org/officeDocument/2006/relationships/table" Target="../tables/table1153.xml"/><Relationship Id="rId60" Type="http://schemas.openxmlformats.org/officeDocument/2006/relationships/table" Target="../tables/table1154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55.xml"/><Relationship Id="rId2" Type="http://schemas.openxmlformats.org/officeDocument/2006/relationships/table" Target="../tables/table1156.xml"/><Relationship Id="rId3" Type="http://schemas.openxmlformats.org/officeDocument/2006/relationships/table" Target="../tables/table1157.xml"/><Relationship Id="rId4" Type="http://schemas.openxmlformats.org/officeDocument/2006/relationships/table" Target="../tables/table1158.xml"/><Relationship Id="rId5" Type="http://schemas.openxmlformats.org/officeDocument/2006/relationships/table" Target="../tables/table1159.xml"/><Relationship Id="rId6" Type="http://schemas.openxmlformats.org/officeDocument/2006/relationships/table" Target="../tables/table1160.xml"/><Relationship Id="rId7" Type="http://schemas.openxmlformats.org/officeDocument/2006/relationships/table" Target="../tables/table1161.xml"/><Relationship Id="rId8" Type="http://schemas.openxmlformats.org/officeDocument/2006/relationships/table" Target="../tables/table1162.xml"/><Relationship Id="rId9" Type="http://schemas.openxmlformats.org/officeDocument/2006/relationships/table" Target="../tables/table1163.xml"/><Relationship Id="rId10" Type="http://schemas.openxmlformats.org/officeDocument/2006/relationships/table" Target="../tables/table1164.xml"/><Relationship Id="rId11" Type="http://schemas.openxmlformats.org/officeDocument/2006/relationships/table" Target="../tables/table1165.xml"/><Relationship Id="rId12" Type="http://schemas.openxmlformats.org/officeDocument/2006/relationships/table" Target="../tables/table1166.xml"/><Relationship Id="rId13" Type="http://schemas.openxmlformats.org/officeDocument/2006/relationships/table" Target="../tables/table1167.xml"/><Relationship Id="rId14" Type="http://schemas.openxmlformats.org/officeDocument/2006/relationships/table" Target="../tables/table1168.xml"/><Relationship Id="rId15" Type="http://schemas.openxmlformats.org/officeDocument/2006/relationships/table" Target="../tables/table1169.xml"/><Relationship Id="rId16" Type="http://schemas.openxmlformats.org/officeDocument/2006/relationships/table" Target="../tables/table1170.xml"/><Relationship Id="rId17" Type="http://schemas.openxmlformats.org/officeDocument/2006/relationships/table" Target="../tables/table1171.xml"/><Relationship Id="rId18" Type="http://schemas.openxmlformats.org/officeDocument/2006/relationships/table" Target="../tables/table1172.xml"/><Relationship Id="rId19" Type="http://schemas.openxmlformats.org/officeDocument/2006/relationships/table" Target="../tables/table1173.xml"/><Relationship Id="rId20" Type="http://schemas.openxmlformats.org/officeDocument/2006/relationships/table" Target="../tables/table1174.xml"/><Relationship Id="rId21" Type="http://schemas.openxmlformats.org/officeDocument/2006/relationships/table" Target="../tables/table1175.xml"/><Relationship Id="rId22" Type="http://schemas.openxmlformats.org/officeDocument/2006/relationships/table" Target="../tables/table1176.xml"/><Relationship Id="rId23" Type="http://schemas.openxmlformats.org/officeDocument/2006/relationships/table" Target="../tables/table1177.xml"/><Relationship Id="rId24" Type="http://schemas.openxmlformats.org/officeDocument/2006/relationships/table" Target="../tables/table1178.xml"/><Relationship Id="rId25" Type="http://schemas.openxmlformats.org/officeDocument/2006/relationships/table" Target="../tables/table1179.xml"/><Relationship Id="rId26" Type="http://schemas.openxmlformats.org/officeDocument/2006/relationships/table" Target="../tables/table1180.xml"/><Relationship Id="rId27" Type="http://schemas.openxmlformats.org/officeDocument/2006/relationships/table" Target="../tables/table1181.xml"/><Relationship Id="rId28" Type="http://schemas.openxmlformats.org/officeDocument/2006/relationships/table" Target="../tables/table1182.xml"/><Relationship Id="rId29" Type="http://schemas.openxmlformats.org/officeDocument/2006/relationships/table" Target="../tables/table1183.xml"/><Relationship Id="rId30" Type="http://schemas.openxmlformats.org/officeDocument/2006/relationships/table" Target="../tables/table1184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85.xml"/><Relationship Id="rId2" Type="http://schemas.openxmlformats.org/officeDocument/2006/relationships/table" Target="../tables/table1186.xml"/><Relationship Id="rId3" Type="http://schemas.openxmlformats.org/officeDocument/2006/relationships/table" Target="../tables/table1187.xml"/><Relationship Id="rId4" Type="http://schemas.openxmlformats.org/officeDocument/2006/relationships/table" Target="../tables/table1188.xml"/><Relationship Id="rId5" Type="http://schemas.openxmlformats.org/officeDocument/2006/relationships/table" Target="../tables/table1189.xml"/><Relationship Id="rId6" Type="http://schemas.openxmlformats.org/officeDocument/2006/relationships/table" Target="../tables/table1190.xml"/><Relationship Id="rId7" Type="http://schemas.openxmlformats.org/officeDocument/2006/relationships/table" Target="../tables/table1191.xml"/><Relationship Id="rId8" Type="http://schemas.openxmlformats.org/officeDocument/2006/relationships/table" Target="../tables/table1192.xml"/><Relationship Id="rId9" Type="http://schemas.openxmlformats.org/officeDocument/2006/relationships/table" Target="../tables/table1193.xml"/><Relationship Id="rId10" Type="http://schemas.openxmlformats.org/officeDocument/2006/relationships/table" Target="../tables/table1194.xml"/><Relationship Id="rId11" Type="http://schemas.openxmlformats.org/officeDocument/2006/relationships/table" Target="../tables/table1195.xml"/><Relationship Id="rId12" Type="http://schemas.openxmlformats.org/officeDocument/2006/relationships/table" Target="../tables/table1196.xml"/><Relationship Id="rId13" Type="http://schemas.openxmlformats.org/officeDocument/2006/relationships/table" Target="../tables/table1197.xml"/><Relationship Id="rId14" Type="http://schemas.openxmlformats.org/officeDocument/2006/relationships/table" Target="../tables/table1198.xml"/><Relationship Id="rId15" Type="http://schemas.openxmlformats.org/officeDocument/2006/relationships/table" Target="../tables/table1199.xml"/><Relationship Id="rId16" Type="http://schemas.openxmlformats.org/officeDocument/2006/relationships/table" Target="../tables/table1200.xml"/><Relationship Id="rId17" Type="http://schemas.openxmlformats.org/officeDocument/2006/relationships/table" Target="../tables/table1201.xml"/><Relationship Id="rId18" Type="http://schemas.openxmlformats.org/officeDocument/2006/relationships/table" Target="../tables/table1202.xml"/><Relationship Id="rId19" Type="http://schemas.openxmlformats.org/officeDocument/2006/relationships/table" Target="../tables/table1203.xml"/><Relationship Id="rId20" Type="http://schemas.openxmlformats.org/officeDocument/2006/relationships/table" Target="../tables/table1204.xml"/><Relationship Id="rId21" Type="http://schemas.openxmlformats.org/officeDocument/2006/relationships/table" Target="../tables/table1205.xml"/><Relationship Id="rId22" Type="http://schemas.openxmlformats.org/officeDocument/2006/relationships/table" Target="../tables/table1206.xml"/><Relationship Id="rId23" Type="http://schemas.openxmlformats.org/officeDocument/2006/relationships/table" Target="../tables/table1207.xml"/><Relationship Id="rId24" Type="http://schemas.openxmlformats.org/officeDocument/2006/relationships/table" Target="../tables/table1208.xml"/><Relationship Id="rId25" Type="http://schemas.openxmlformats.org/officeDocument/2006/relationships/table" Target="../tables/table1209.xml"/><Relationship Id="rId26" Type="http://schemas.openxmlformats.org/officeDocument/2006/relationships/table" Target="../tables/table1210.xml"/><Relationship Id="rId27" Type="http://schemas.openxmlformats.org/officeDocument/2006/relationships/table" Target="../tables/table1211.xml"/><Relationship Id="rId28" Type="http://schemas.openxmlformats.org/officeDocument/2006/relationships/table" Target="../tables/table1212.xml"/><Relationship Id="rId29" Type="http://schemas.openxmlformats.org/officeDocument/2006/relationships/table" Target="../tables/table1213.xml"/><Relationship Id="rId30" Type="http://schemas.openxmlformats.org/officeDocument/2006/relationships/table" Target="../tables/table1214.xml"/><Relationship Id="rId31" Type="http://schemas.openxmlformats.org/officeDocument/2006/relationships/table" Target="../tables/table1215.xml"/><Relationship Id="rId32" Type="http://schemas.openxmlformats.org/officeDocument/2006/relationships/table" Target="../tables/table1216.xml"/><Relationship Id="rId33" Type="http://schemas.openxmlformats.org/officeDocument/2006/relationships/table" Target="../tables/table1217.xml"/><Relationship Id="rId34" Type="http://schemas.openxmlformats.org/officeDocument/2006/relationships/table" Target="../tables/table1218.xml"/><Relationship Id="rId35" Type="http://schemas.openxmlformats.org/officeDocument/2006/relationships/table" Target="../tables/table1219.xml"/><Relationship Id="rId36" Type="http://schemas.openxmlformats.org/officeDocument/2006/relationships/table" Target="../tables/table1220.xml"/><Relationship Id="rId37" Type="http://schemas.openxmlformats.org/officeDocument/2006/relationships/table" Target="../tables/table1221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22.xml"/><Relationship Id="rId2" Type="http://schemas.openxmlformats.org/officeDocument/2006/relationships/table" Target="../tables/table1223.xml"/><Relationship Id="rId3" Type="http://schemas.openxmlformats.org/officeDocument/2006/relationships/table" Target="../tables/table1224.xml"/><Relationship Id="rId4" Type="http://schemas.openxmlformats.org/officeDocument/2006/relationships/table" Target="../tables/table1225.xml"/><Relationship Id="rId5" Type="http://schemas.openxmlformats.org/officeDocument/2006/relationships/table" Target="../tables/table1226.xml"/><Relationship Id="rId6" Type="http://schemas.openxmlformats.org/officeDocument/2006/relationships/table" Target="../tables/table1227.xml"/><Relationship Id="rId7" Type="http://schemas.openxmlformats.org/officeDocument/2006/relationships/table" Target="../tables/table1228.xml"/><Relationship Id="rId8" Type="http://schemas.openxmlformats.org/officeDocument/2006/relationships/table" Target="../tables/table1229.xml"/><Relationship Id="rId9" Type="http://schemas.openxmlformats.org/officeDocument/2006/relationships/table" Target="../tables/table1230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31.xml"/><Relationship Id="rId2" Type="http://schemas.openxmlformats.org/officeDocument/2006/relationships/table" Target="../tables/table1232.xml"/><Relationship Id="rId3" Type="http://schemas.openxmlformats.org/officeDocument/2006/relationships/table" Target="../tables/table1233.xml"/><Relationship Id="rId4" Type="http://schemas.openxmlformats.org/officeDocument/2006/relationships/table" Target="../tables/table1234.xml"/><Relationship Id="rId5" Type="http://schemas.openxmlformats.org/officeDocument/2006/relationships/table" Target="../tables/table1235.xml"/><Relationship Id="rId6" Type="http://schemas.openxmlformats.org/officeDocument/2006/relationships/table" Target="../tables/table1236.xml"/><Relationship Id="rId7" Type="http://schemas.openxmlformats.org/officeDocument/2006/relationships/table" Target="../tables/table1237.xml"/><Relationship Id="rId8" Type="http://schemas.openxmlformats.org/officeDocument/2006/relationships/table" Target="../tables/table1238.xml"/><Relationship Id="rId9" Type="http://schemas.openxmlformats.org/officeDocument/2006/relationships/table" Target="../tables/table1239.xml"/><Relationship Id="rId10" Type="http://schemas.openxmlformats.org/officeDocument/2006/relationships/table" Target="../tables/table1240.xml"/><Relationship Id="rId11" Type="http://schemas.openxmlformats.org/officeDocument/2006/relationships/table" Target="../tables/table1241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42.xml"/><Relationship Id="rId2" Type="http://schemas.openxmlformats.org/officeDocument/2006/relationships/table" Target="../tables/table1243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44.xml"/><Relationship Id="rId2" Type="http://schemas.openxmlformats.org/officeDocument/2006/relationships/table" Target="../tables/table1245.xml"/><Relationship Id="rId3" Type="http://schemas.openxmlformats.org/officeDocument/2006/relationships/table" Target="../tables/table1246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47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58" style="1" customWidth="1"/>
    <col min="5" max="5" width="18" customWidth="1"/>
    <col min="6" max="6" width="16" style="2" customWidth="1"/>
    <col min="7" max="7" width="90" style="1" customWidth="1"/>
    <col min="8" max="8" width="22" customWidth="1"/>
    <col min="9" max="9" width="24" customWidth="1"/>
    <col min="11" max="11" width="30" customWidth="1"/>
    <col min="12" max="12" width="26" customWidth="1"/>
    <col min="13" max="13" width="30" customWidth="1"/>
    <col min="14" max="14" width="22" customWidth="1"/>
    <col min="15" max="15" width="30" customWidth="1"/>
    <col min="16" max="16" width="34" customWidth="1"/>
  </cols>
  <sheetData>
    <row r="1" spans="1:7" x14ac:dyDescent="0.25">
      <c r="A1" s="3" t="s">
        <v>0</v>
      </c>
      <c r="C1" s="1"/>
      <c r="F1" s="2"/>
      <c r="G1" s="1"/>
    </row>
    <row r="2" spans="1:7" x14ac:dyDescent="0.25">
      <c r="A2" s="4" t="s">
        <v>1</v>
      </c>
      <c r="C2" s="1"/>
      <c r="F2" s="2"/>
      <c r="G2" s="1"/>
    </row>
    <row r="3" spans="1:16" x14ac:dyDescent="0.25">
      <c r="A3" t="s">
        <v>2</v>
      </c>
      <c r="B3" t="s">
        <v>3</v>
      </c>
      <c r="C3" s="1" t="s">
        <v>4</v>
      </c>
      <c r="D3" t="s">
        <v>5</v>
      </c>
      <c r="E3" t="s">
        <v>6</v>
      </c>
      <c r="F3" s="2" t="s">
        <v>7</v>
      </c>
      <c r="G3" s="1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25">
      <c r="A4" t="s">
        <v>18</v>
      </c>
      <c r="B4" t="s">
        <v>19</v>
      </c>
      <c r="C4" s="1" t="s">
        <v>20</v>
      </c>
      <c r="D4" t="s">
        <v>21</v>
      </c>
      <c r="E4" t="s">
        <v>22</v>
      </c>
      <c r="F4" s="2">
        <v>7482.91</v>
      </c>
      <c r="G4" s="1" t="s">
        <v>23</v>
      </c>
      <c r="H4" t="s">
        <v>24</v>
      </c>
      <c r="I4" t="s">
        <v>25</v>
      </c>
      <c r="J4">
        <v>2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</row>
    <row r="5" spans="1:16" x14ac:dyDescent="0.25">
      <c r="A5" t="s">
        <v>32</v>
      </c>
      <c r="B5" t="s">
        <v>19</v>
      </c>
      <c r="C5" s="1" t="s">
        <v>33</v>
      </c>
      <c r="D5" t="s">
        <v>34</v>
      </c>
      <c r="E5" t="s">
        <v>35</v>
      </c>
      <c r="F5" s="2">
        <v>1722.5</v>
      </c>
      <c r="G5" s="1" t="s">
        <v>36</v>
      </c>
      <c r="H5" t="s">
        <v>24</v>
      </c>
      <c r="I5" t="s">
        <v>37</v>
      </c>
      <c r="J5">
        <v>1</v>
      </c>
      <c r="K5" t="s">
        <v>26</v>
      </c>
      <c r="L5" t="s">
        <v>38</v>
      </c>
      <c r="M5" t="s">
        <v>28</v>
      </c>
      <c r="N5" t="s">
        <v>29</v>
      </c>
      <c r="O5" t="s">
        <v>39</v>
      </c>
      <c r="P5" t="s">
        <v>31</v>
      </c>
    </row>
    <row r="6" spans="1:16" x14ac:dyDescent="0.25">
      <c r="A6" t="s">
        <v>40</v>
      </c>
      <c r="B6" t="s">
        <v>19</v>
      </c>
      <c r="C6" s="1" t="s">
        <v>41</v>
      </c>
      <c r="D6" t="s">
        <v>42</v>
      </c>
      <c r="E6" t="s">
        <v>43</v>
      </c>
      <c r="F6" s="2">
        <v>32774.69</v>
      </c>
      <c r="G6" s="1" t="s">
        <v>44</v>
      </c>
      <c r="H6" t="s">
        <v>24</v>
      </c>
      <c r="I6" t="s">
        <v>45</v>
      </c>
      <c r="J6">
        <v>6</v>
      </c>
      <c r="K6" t="s">
        <v>26</v>
      </c>
      <c r="L6" t="s">
        <v>46</v>
      </c>
      <c r="M6" t="s">
        <v>28</v>
      </c>
      <c r="N6" t="s">
        <v>29</v>
      </c>
      <c r="O6" t="s">
        <v>47</v>
      </c>
      <c r="P6" t="s">
        <v>31</v>
      </c>
    </row>
    <row r="7" spans="1:16" x14ac:dyDescent="0.25">
      <c r="A7" t="s">
        <v>48</v>
      </c>
      <c r="B7" t="s">
        <v>19</v>
      </c>
      <c r="C7" s="1" t="s">
        <v>49</v>
      </c>
      <c r="D7" t="s">
        <v>42</v>
      </c>
      <c r="E7" t="s">
        <v>43</v>
      </c>
      <c r="F7" s="2">
        <v>53090.74</v>
      </c>
      <c r="G7" s="1" t="s">
        <v>50</v>
      </c>
      <c r="H7" t="s">
        <v>24</v>
      </c>
      <c r="I7" t="s">
        <v>45</v>
      </c>
      <c r="J7">
        <v>6</v>
      </c>
      <c r="K7" t="s">
        <v>26</v>
      </c>
      <c r="L7" t="s">
        <v>46</v>
      </c>
      <c r="M7" t="s">
        <v>28</v>
      </c>
      <c r="N7" t="s">
        <v>29</v>
      </c>
      <c r="O7" t="s">
        <v>47</v>
      </c>
      <c r="P7" t="s">
        <v>31</v>
      </c>
    </row>
    <row r="8" spans="1:16" x14ac:dyDescent="0.25">
      <c r="A8" t="s">
        <v>51</v>
      </c>
      <c r="B8" t="s">
        <v>19</v>
      </c>
      <c r="C8" s="1" t="s">
        <v>52</v>
      </c>
      <c r="D8" t="s">
        <v>21</v>
      </c>
      <c r="E8" t="s">
        <v>22</v>
      </c>
      <c r="F8" s="2">
        <v>1115.35</v>
      </c>
      <c r="G8" s="1" t="s">
        <v>53</v>
      </c>
      <c r="H8" t="s">
        <v>24</v>
      </c>
      <c r="I8" t="s">
        <v>54</v>
      </c>
      <c r="J8">
        <v>4</v>
      </c>
      <c r="K8" t="s">
        <v>26</v>
      </c>
      <c r="L8" t="s">
        <v>46</v>
      </c>
      <c r="M8" t="s">
        <v>28</v>
      </c>
      <c r="N8" t="s">
        <v>29</v>
      </c>
      <c r="O8" t="s">
        <v>47</v>
      </c>
      <c r="P8" t="s">
        <v>31</v>
      </c>
    </row>
    <row r="9" spans="1:16" x14ac:dyDescent="0.25">
      <c r="A9" t="s">
        <v>55</v>
      </c>
      <c r="B9" t="s">
        <v>19</v>
      </c>
      <c r="C9" s="1" t="s">
        <v>56</v>
      </c>
      <c r="D9" t="s">
        <v>21</v>
      </c>
      <c r="E9" t="s">
        <v>22</v>
      </c>
      <c r="F9" s="2">
        <v>6405.63</v>
      </c>
      <c r="G9" s="1" t="s">
        <v>57</v>
      </c>
      <c r="H9" t="s">
        <v>24</v>
      </c>
      <c r="I9" t="s">
        <v>58</v>
      </c>
      <c r="J9">
        <v>6</v>
      </c>
      <c r="K9" t="s">
        <v>26</v>
      </c>
      <c r="L9" t="s">
        <v>59</v>
      </c>
      <c r="M9" t="s">
        <v>28</v>
      </c>
      <c r="N9" t="s">
        <v>29</v>
      </c>
      <c r="O9" t="s">
        <v>60</v>
      </c>
      <c r="P9" t="s">
        <v>31</v>
      </c>
    </row>
    <row r="10" spans="1:16" x14ac:dyDescent="0.25">
      <c r="A10" t="s">
        <v>61</v>
      </c>
      <c r="B10" t="s">
        <v>19</v>
      </c>
      <c r="C10" s="1" t="s">
        <v>62</v>
      </c>
      <c r="D10" t="s">
        <v>63</v>
      </c>
      <c r="E10" t="s">
        <v>64</v>
      </c>
      <c r="F10" s="2">
        <v>90816.22</v>
      </c>
      <c r="G10" s="1" t="s">
        <v>65</v>
      </c>
      <c r="H10" t="s">
        <v>24</v>
      </c>
      <c r="I10" t="s">
        <v>66</v>
      </c>
      <c r="J10">
        <v>5</v>
      </c>
      <c r="K10" t="s">
        <v>26</v>
      </c>
      <c r="L10" t="s">
        <v>67</v>
      </c>
      <c r="M10" t="s">
        <v>28</v>
      </c>
      <c r="N10" t="s">
        <v>29</v>
      </c>
      <c r="O10" t="s">
        <v>68</v>
      </c>
      <c r="P10" t="s">
        <v>31</v>
      </c>
    </row>
    <row r="11" spans="1:16" x14ac:dyDescent="0.25">
      <c r="A11" t="s">
        <v>69</v>
      </c>
      <c r="B11" t="s">
        <v>19</v>
      </c>
      <c r="C11" s="1" t="s">
        <v>70</v>
      </c>
      <c r="D11" t="s">
        <v>63</v>
      </c>
      <c r="E11" t="s">
        <v>64</v>
      </c>
      <c r="F11" s="2">
        <v>5219.06</v>
      </c>
      <c r="G11" s="1" t="s">
        <v>71</v>
      </c>
      <c r="H11" t="s">
        <v>24</v>
      </c>
      <c r="I11" t="s">
        <v>66</v>
      </c>
      <c r="J11">
        <v>2</v>
      </c>
      <c r="K11" t="s">
        <v>26</v>
      </c>
      <c r="L11" t="s">
        <v>67</v>
      </c>
      <c r="M11" t="s">
        <v>28</v>
      </c>
      <c r="N11" t="s">
        <v>29</v>
      </c>
      <c r="O11" t="s">
        <v>68</v>
      </c>
      <c r="P11" t="s">
        <v>31</v>
      </c>
    </row>
    <row r="12" spans="1:16" x14ac:dyDescent="0.25">
      <c r="A12" t="s">
        <v>72</v>
      </c>
      <c r="B12" t="s">
        <v>19</v>
      </c>
      <c r="C12" s="1" t="s">
        <v>73</v>
      </c>
      <c r="D12" t="s">
        <v>42</v>
      </c>
      <c r="E12" t="s">
        <v>43</v>
      </c>
      <c r="F12" s="2">
        <v>17080.55</v>
      </c>
      <c r="G12" s="1" t="s">
        <v>74</v>
      </c>
      <c r="H12" t="s">
        <v>24</v>
      </c>
      <c r="I12" t="s">
        <v>66</v>
      </c>
      <c r="J12">
        <v>2</v>
      </c>
      <c r="K12" t="s">
        <v>26</v>
      </c>
      <c r="L12" t="s">
        <v>67</v>
      </c>
      <c r="M12" t="s">
        <v>28</v>
      </c>
      <c r="N12" t="s">
        <v>29</v>
      </c>
      <c r="O12" t="s">
        <v>68</v>
      </c>
      <c r="P12" t="s">
        <v>31</v>
      </c>
    </row>
    <row r="13" spans="1:16" x14ac:dyDescent="0.25">
      <c r="A13" t="s">
        <v>75</v>
      </c>
      <c r="B13" t="s">
        <v>19</v>
      </c>
      <c r="C13" s="1" t="s">
        <v>76</v>
      </c>
      <c r="D13" t="s">
        <v>34</v>
      </c>
      <c r="E13" t="s">
        <v>35</v>
      </c>
      <c r="F13" s="2">
        <v>172783.75</v>
      </c>
      <c r="G13" s="1" t="s">
        <v>77</v>
      </c>
      <c r="H13" t="s">
        <v>24</v>
      </c>
      <c r="I13" t="s">
        <v>25</v>
      </c>
      <c r="J13">
        <v>3</v>
      </c>
      <c r="K13" t="s">
        <v>26</v>
      </c>
      <c r="L13" t="s">
        <v>78</v>
      </c>
      <c r="M13" t="s">
        <v>28</v>
      </c>
      <c r="N13" t="s">
        <v>29</v>
      </c>
      <c r="O13" t="s">
        <v>30</v>
      </c>
      <c r="P13" t="s">
        <v>79</v>
      </c>
    </row>
    <row r="14" spans="1:16" x14ac:dyDescent="0.25">
      <c r="A14" t="s">
        <v>80</v>
      </c>
      <c r="B14" t="s">
        <v>19</v>
      </c>
      <c r="C14" s="1" t="s">
        <v>81</v>
      </c>
      <c r="D14" t="s">
        <v>42</v>
      </c>
      <c r="E14" t="s">
        <v>43</v>
      </c>
      <c r="F14" s="2">
        <v>4676.81</v>
      </c>
      <c r="G14" s="1" t="s">
        <v>82</v>
      </c>
      <c r="H14" t="s">
        <v>24</v>
      </c>
      <c r="I14" t="s">
        <v>25</v>
      </c>
      <c r="J14">
        <v>2</v>
      </c>
      <c r="K14" t="s">
        <v>26</v>
      </c>
      <c r="L14" t="s">
        <v>78</v>
      </c>
      <c r="M14" t="s">
        <v>28</v>
      </c>
      <c r="N14" t="s">
        <v>29</v>
      </c>
      <c r="O14" t="s">
        <v>30</v>
      </c>
      <c r="P14" t="s">
        <v>79</v>
      </c>
    </row>
    <row r="15" spans="1:16" x14ac:dyDescent="0.25">
      <c r="A15" t="s">
        <v>83</v>
      </c>
      <c r="B15" t="s">
        <v>19</v>
      </c>
      <c r="C15" s="1" t="s">
        <v>84</v>
      </c>
      <c r="D15" t="s">
        <v>42</v>
      </c>
      <c r="E15" t="s">
        <v>43</v>
      </c>
      <c r="F15" s="2">
        <v>3321.22</v>
      </c>
      <c r="G15" s="1" t="s">
        <v>85</v>
      </c>
      <c r="H15" t="s">
        <v>24</v>
      </c>
      <c r="I15" t="s">
        <v>25</v>
      </c>
      <c r="J15">
        <v>2</v>
      </c>
      <c r="K15" t="s">
        <v>26</v>
      </c>
      <c r="L15" t="s">
        <v>78</v>
      </c>
      <c r="M15" t="s">
        <v>28</v>
      </c>
      <c r="N15" t="s">
        <v>29</v>
      </c>
      <c r="O15" t="s">
        <v>30</v>
      </c>
      <c r="P15" t="s">
        <v>79</v>
      </c>
    </row>
    <row r="16" spans="1:16" x14ac:dyDescent="0.25">
      <c r="A16" t="s">
        <v>86</v>
      </c>
      <c r="B16" t="s">
        <v>19</v>
      </c>
      <c r="C16" s="1" t="s">
        <v>87</v>
      </c>
      <c r="D16" t="s">
        <v>21</v>
      </c>
      <c r="E16" t="s">
        <v>22</v>
      </c>
      <c r="F16" s="2">
        <v>16281.5</v>
      </c>
      <c r="G16" s="1" t="s">
        <v>88</v>
      </c>
      <c r="H16" t="s">
        <v>24</v>
      </c>
      <c r="I16" t="s">
        <v>25</v>
      </c>
      <c r="J16">
        <v>4</v>
      </c>
      <c r="K16" t="s">
        <v>26</v>
      </c>
      <c r="L16" t="s">
        <v>78</v>
      </c>
      <c r="M16" t="s">
        <v>28</v>
      </c>
      <c r="N16" t="s">
        <v>29</v>
      </c>
      <c r="O16" t="s">
        <v>30</v>
      </c>
      <c r="P16" t="s">
        <v>79</v>
      </c>
    </row>
    <row r="17" spans="1:16" x14ac:dyDescent="0.25">
      <c r="A17" t="s">
        <v>89</v>
      </c>
      <c r="B17" t="s">
        <v>19</v>
      </c>
      <c r="C17" s="1" t="s">
        <v>90</v>
      </c>
      <c r="D17" t="s">
        <v>21</v>
      </c>
      <c r="E17" t="s">
        <v>22</v>
      </c>
      <c r="F17" s="2">
        <v>11093.31</v>
      </c>
      <c r="G17" s="1" t="s">
        <v>91</v>
      </c>
      <c r="H17" t="s">
        <v>24</v>
      </c>
      <c r="I17" t="s">
        <v>25</v>
      </c>
      <c r="J17">
        <v>4</v>
      </c>
      <c r="K17" t="s">
        <v>26</v>
      </c>
      <c r="L17" t="s">
        <v>78</v>
      </c>
      <c r="M17" t="s">
        <v>28</v>
      </c>
      <c r="N17" t="s">
        <v>29</v>
      </c>
      <c r="O17" t="s">
        <v>30</v>
      </c>
      <c r="P17" t="s">
        <v>79</v>
      </c>
    </row>
    <row r="18" spans="1:16" x14ac:dyDescent="0.25">
      <c r="A18" t="s">
        <v>92</v>
      </c>
      <c r="B18" t="s">
        <v>19</v>
      </c>
      <c r="C18" s="1" t="s">
        <v>93</v>
      </c>
      <c r="D18" t="s">
        <v>63</v>
      </c>
      <c r="E18" t="s">
        <v>64</v>
      </c>
      <c r="F18" s="2">
        <v>12335.96</v>
      </c>
      <c r="G18" s="1" t="s">
        <v>94</v>
      </c>
      <c r="H18" t="s">
        <v>24</v>
      </c>
      <c r="I18" t="s">
        <v>25</v>
      </c>
      <c r="J18">
        <v>2</v>
      </c>
      <c r="K18" t="s">
        <v>26</v>
      </c>
      <c r="L18" t="s">
        <v>78</v>
      </c>
      <c r="M18" t="s">
        <v>28</v>
      </c>
      <c r="N18" t="s">
        <v>29</v>
      </c>
      <c r="O18" t="s">
        <v>30</v>
      </c>
      <c r="P18" t="s">
        <v>79</v>
      </c>
    </row>
    <row r="19" spans="1:16" x14ac:dyDescent="0.25">
      <c r="A19" t="s">
        <v>95</v>
      </c>
      <c r="B19" t="s">
        <v>19</v>
      </c>
      <c r="C19" s="1" t="s">
        <v>96</v>
      </c>
      <c r="D19" t="s">
        <v>21</v>
      </c>
      <c r="E19" t="s">
        <v>22</v>
      </c>
      <c r="F19" s="2">
        <v>14380.28</v>
      </c>
      <c r="G19" s="1" t="s">
        <v>97</v>
      </c>
      <c r="H19" t="s">
        <v>24</v>
      </c>
      <c r="I19" t="s">
        <v>25</v>
      </c>
      <c r="J19">
        <v>4</v>
      </c>
      <c r="K19" t="s">
        <v>26</v>
      </c>
      <c r="L19" t="s">
        <v>78</v>
      </c>
      <c r="M19" t="s">
        <v>28</v>
      </c>
      <c r="N19" t="s">
        <v>29</v>
      </c>
      <c r="O19" t="s">
        <v>30</v>
      </c>
      <c r="P19" t="s">
        <v>79</v>
      </c>
    </row>
    <row r="20" spans="1:16" x14ac:dyDescent="0.25">
      <c r="A20" t="s">
        <v>98</v>
      </c>
      <c r="B20" t="s">
        <v>19</v>
      </c>
      <c r="C20" s="1" t="s">
        <v>99</v>
      </c>
      <c r="D20" t="s">
        <v>21</v>
      </c>
      <c r="E20" t="s">
        <v>22</v>
      </c>
      <c r="F20" s="2">
        <v>2679.63</v>
      </c>
      <c r="G20" s="1" t="s">
        <v>100</v>
      </c>
      <c r="H20" t="s">
        <v>24</v>
      </c>
      <c r="I20" t="s">
        <v>25</v>
      </c>
      <c r="J20">
        <v>3</v>
      </c>
      <c r="K20" t="s">
        <v>26</v>
      </c>
      <c r="L20" t="s">
        <v>78</v>
      </c>
      <c r="M20" t="s">
        <v>28</v>
      </c>
      <c r="N20" t="s">
        <v>29</v>
      </c>
      <c r="O20" t="s">
        <v>30</v>
      </c>
      <c r="P20" t="s">
        <v>79</v>
      </c>
    </row>
    <row r="21" spans="1:16" x14ac:dyDescent="0.25">
      <c r="A21" t="s">
        <v>101</v>
      </c>
      <c r="B21" t="s">
        <v>19</v>
      </c>
      <c r="C21" s="1" t="s">
        <v>102</v>
      </c>
      <c r="D21" t="s">
        <v>34</v>
      </c>
      <c r="E21" t="s">
        <v>35</v>
      </c>
      <c r="F21" s="2">
        <v>190045.06</v>
      </c>
      <c r="G21" s="1" t="s">
        <v>103</v>
      </c>
      <c r="H21" t="s">
        <v>24</v>
      </c>
      <c r="I21" t="s">
        <v>25</v>
      </c>
      <c r="J21">
        <v>4</v>
      </c>
      <c r="K21" t="s">
        <v>26</v>
      </c>
      <c r="L21" t="s">
        <v>78</v>
      </c>
      <c r="M21" t="s">
        <v>28</v>
      </c>
      <c r="N21" t="s">
        <v>29</v>
      </c>
      <c r="O21" t="s">
        <v>30</v>
      </c>
      <c r="P21" t="s">
        <v>79</v>
      </c>
    </row>
    <row r="22" spans="1:16" x14ac:dyDescent="0.25">
      <c r="A22" t="s">
        <v>104</v>
      </c>
      <c r="B22" t="s">
        <v>19</v>
      </c>
      <c r="C22" s="1" t="s">
        <v>105</v>
      </c>
      <c r="D22" t="s">
        <v>34</v>
      </c>
      <c r="E22" t="s">
        <v>35</v>
      </c>
      <c r="F22" s="2">
        <v>194118.47</v>
      </c>
      <c r="G22" s="1" t="s">
        <v>106</v>
      </c>
      <c r="H22" t="s">
        <v>24</v>
      </c>
      <c r="I22" t="s">
        <v>25</v>
      </c>
      <c r="J22">
        <v>4</v>
      </c>
      <c r="K22" t="s">
        <v>26</v>
      </c>
      <c r="L22" t="s">
        <v>78</v>
      </c>
      <c r="M22" t="s">
        <v>28</v>
      </c>
      <c r="N22" t="s">
        <v>29</v>
      </c>
      <c r="O22" t="s">
        <v>30</v>
      </c>
      <c r="P22" t="s">
        <v>79</v>
      </c>
    </row>
    <row r="23" spans="1:16" x14ac:dyDescent="0.25">
      <c r="A23" t="s">
        <v>107</v>
      </c>
      <c r="B23" t="s">
        <v>19</v>
      </c>
      <c r="C23" s="1" t="s">
        <v>108</v>
      </c>
      <c r="D23" t="s">
        <v>42</v>
      </c>
      <c r="E23" t="s">
        <v>43</v>
      </c>
      <c r="F23" s="2">
        <v>5154.44</v>
      </c>
      <c r="G23" s="1" t="s">
        <v>109</v>
      </c>
      <c r="H23" t="s">
        <v>24</v>
      </c>
      <c r="I23" t="s">
        <v>25</v>
      </c>
      <c r="J23">
        <v>2</v>
      </c>
      <c r="K23" t="s">
        <v>26</v>
      </c>
      <c r="L23" t="s">
        <v>78</v>
      </c>
      <c r="M23" t="s">
        <v>28</v>
      </c>
      <c r="N23" t="s">
        <v>29</v>
      </c>
      <c r="O23" t="s">
        <v>30</v>
      </c>
      <c r="P23" t="s">
        <v>79</v>
      </c>
    </row>
    <row r="24" spans="1:16" x14ac:dyDescent="0.25">
      <c r="A24" t="s">
        <v>110</v>
      </c>
      <c r="B24" t="s">
        <v>19</v>
      </c>
      <c r="C24" s="1" t="s">
        <v>111</v>
      </c>
      <c r="D24" t="s">
        <v>21</v>
      </c>
      <c r="E24" t="s">
        <v>22</v>
      </c>
      <c r="F24" s="2">
        <v>28611.96</v>
      </c>
      <c r="G24" s="1" t="s">
        <v>112</v>
      </c>
      <c r="H24" t="s">
        <v>24</v>
      </c>
      <c r="I24" t="s">
        <v>25</v>
      </c>
      <c r="J24">
        <v>5</v>
      </c>
      <c r="K24" t="s">
        <v>26</v>
      </c>
      <c r="L24" t="s">
        <v>78</v>
      </c>
      <c r="M24" t="s">
        <v>28</v>
      </c>
      <c r="N24" t="s">
        <v>29</v>
      </c>
      <c r="O24" t="s">
        <v>30</v>
      </c>
      <c r="P24" t="s">
        <v>79</v>
      </c>
    </row>
    <row r="25" spans="1:16" x14ac:dyDescent="0.25">
      <c r="A25" t="s">
        <v>113</v>
      </c>
      <c r="B25" t="s">
        <v>19</v>
      </c>
      <c r="C25" s="1" t="s">
        <v>114</v>
      </c>
      <c r="D25" t="s">
        <v>63</v>
      </c>
      <c r="E25" t="s">
        <v>64</v>
      </c>
      <c r="F25" s="2">
        <v>18801.08</v>
      </c>
      <c r="G25" s="1" t="s">
        <v>115</v>
      </c>
      <c r="H25" t="s">
        <v>24</v>
      </c>
      <c r="I25" t="s">
        <v>25</v>
      </c>
      <c r="J25">
        <v>3</v>
      </c>
      <c r="K25" t="s">
        <v>26</v>
      </c>
      <c r="L25" t="s">
        <v>78</v>
      </c>
      <c r="M25" t="s">
        <v>28</v>
      </c>
      <c r="N25" t="s">
        <v>29</v>
      </c>
      <c r="O25" t="s">
        <v>30</v>
      </c>
      <c r="P25" t="s">
        <v>79</v>
      </c>
    </row>
    <row r="26" spans="1:16" x14ac:dyDescent="0.25">
      <c r="A26" t="s">
        <v>116</v>
      </c>
      <c r="B26" t="s">
        <v>19</v>
      </c>
      <c r="C26" s="1" t="s">
        <v>117</v>
      </c>
      <c r="D26" t="s">
        <v>21</v>
      </c>
      <c r="E26" t="s">
        <v>22</v>
      </c>
      <c r="F26" s="2">
        <v>36918.85</v>
      </c>
      <c r="G26" s="1" t="s">
        <v>118</v>
      </c>
      <c r="H26" t="s">
        <v>24</v>
      </c>
      <c r="I26" t="s">
        <v>25</v>
      </c>
      <c r="J26">
        <v>6</v>
      </c>
      <c r="K26" t="s">
        <v>26</v>
      </c>
      <c r="L26" t="s">
        <v>78</v>
      </c>
      <c r="M26" t="s">
        <v>28</v>
      </c>
      <c r="N26" t="s">
        <v>29</v>
      </c>
      <c r="O26" t="s">
        <v>30</v>
      </c>
      <c r="P26" t="s">
        <v>79</v>
      </c>
    </row>
    <row r="27" spans="1:16" x14ac:dyDescent="0.25">
      <c r="A27" t="s">
        <v>119</v>
      </c>
      <c r="B27" t="s">
        <v>19</v>
      </c>
      <c r="C27" s="1" t="s">
        <v>120</v>
      </c>
      <c r="D27" t="s">
        <v>21</v>
      </c>
      <c r="E27" t="s">
        <v>22</v>
      </c>
      <c r="F27" s="2">
        <v>7225.35</v>
      </c>
      <c r="G27" s="1" t="s">
        <v>121</v>
      </c>
      <c r="H27" t="s">
        <v>24</v>
      </c>
      <c r="I27" t="s">
        <v>25</v>
      </c>
      <c r="J27">
        <v>2</v>
      </c>
      <c r="K27" t="s">
        <v>26</v>
      </c>
      <c r="L27" t="s">
        <v>78</v>
      </c>
      <c r="M27" t="s">
        <v>28</v>
      </c>
      <c r="N27" t="s">
        <v>29</v>
      </c>
      <c r="O27" t="s">
        <v>30</v>
      </c>
      <c r="P27" t="s">
        <v>79</v>
      </c>
    </row>
    <row r="28" spans="1:16" x14ac:dyDescent="0.25">
      <c r="A28" t="s">
        <v>122</v>
      </c>
      <c r="B28" t="s">
        <v>19</v>
      </c>
      <c r="C28" s="1" t="s">
        <v>123</v>
      </c>
      <c r="D28" t="s">
        <v>34</v>
      </c>
      <c r="E28" t="s">
        <v>35</v>
      </c>
      <c r="F28" s="2">
        <v>31529.11</v>
      </c>
      <c r="G28" s="1" t="s">
        <v>124</v>
      </c>
      <c r="H28" t="s">
        <v>24</v>
      </c>
      <c r="I28" t="s">
        <v>25</v>
      </c>
      <c r="J28">
        <v>3</v>
      </c>
      <c r="K28" t="s">
        <v>26</v>
      </c>
      <c r="L28" t="s">
        <v>78</v>
      </c>
      <c r="M28" t="s">
        <v>28</v>
      </c>
      <c r="N28" t="s">
        <v>29</v>
      </c>
      <c r="O28" t="s">
        <v>30</v>
      </c>
      <c r="P28" t="s">
        <v>79</v>
      </c>
    </row>
    <row r="29" spans="1:16" x14ac:dyDescent="0.25">
      <c r="A29" t="s">
        <v>125</v>
      </c>
      <c r="B29" t="s">
        <v>19</v>
      </c>
      <c r="C29" s="1" t="s">
        <v>126</v>
      </c>
      <c r="D29" t="s">
        <v>42</v>
      </c>
      <c r="E29" t="s">
        <v>43</v>
      </c>
      <c r="F29" s="2">
        <v>1825.54</v>
      </c>
      <c r="G29" s="1" t="s">
        <v>127</v>
      </c>
      <c r="H29" t="s">
        <v>24</v>
      </c>
      <c r="I29" t="s">
        <v>25</v>
      </c>
      <c r="J29">
        <v>2</v>
      </c>
      <c r="K29" t="s">
        <v>26</v>
      </c>
      <c r="L29" t="s">
        <v>78</v>
      </c>
      <c r="M29" t="s">
        <v>28</v>
      </c>
      <c r="N29" t="s">
        <v>29</v>
      </c>
      <c r="O29" t="s">
        <v>30</v>
      </c>
      <c r="P29" t="s">
        <v>79</v>
      </c>
    </row>
    <row r="30" spans="1:16" x14ac:dyDescent="0.25">
      <c r="A30" t="s">
        <v>128</v>
      </c>
      <c r="B30" t="s">
        <v>19</v>
      </c>
      <c r="C30" s="1" t="s">
        <v>129</v>
      </c>
      <c r="D30" t="s">
        <v>63</v>
      </c>
      <c r="E30" t="s">
        <v>64</v>
      </c>
      <c r="F30" s="2">
        <v>36185.47</v>
      </c>
      <c r="G30" s="1" t="s">
        <v>130</v>
      </c>
      <c r="H30" t="s">
        <v>24</v>
      </c>
      <c r="I30" t="s">
        <v>25</v>
      </c>
      <c r="J30">
        <v>2</v>
      </c>
      <c r="K30" t="s">
        <v>26</v>
      </c>
      <c r="L30" t="s">
        <v>78</v>
      </c>
      <c r="M30" t="s">
        <v>28</v>
      </c>
      <c r="N30" t="s">
        <v>29</v>
      </c>
      <c r="O30" t="s">
        <v>30</v>
      </c>
      <c r="P30" t="s">
        <v>79</v>
      </c>
    </row>
    <row r="31" spans="1:16" x14ac:dyDescent="0.25">
      <c r="A31" t="s">
        <v>131</v>
      </c>
      <c r="B31" t="s">
        <v>19</v>
      </c>
      <c r="C31" s="1" t="s">
        <v>132</v>
      </c>
      <c r="D31" t="s">
        <v>21</v>
      </c>
      <c r="E31" t="s">
        <v>22</v>
      </c>
      <c r="F31" s="2">
        <v>25254.82</v>
      </c>
      <c r="G31" s="1" t="s">
        <v>133</v>
      </c>
      <c r="H31" t="s">
        <v>24</v>
      </c>
      <c r="I31" t="s">
        <v>25</v>
      </c>
      <c r="J31">
        <v>2</v>
      </c>
      <c r="K31" t="s">
        <v>26</v>
      </c>
      <c r="L31" t="s">
        <v>78</v>
      </c>
      <c r="M31" t="s">
        <v>28</v>
      </c>
      <c r="N31" t="s">
        <v>29</v>
      </c>
      <c r="O31" t="s">
        <v>30</v>
      </c>
      <c r="P31" t="s">
        <v>79</v>
      </c>
    </row>
    <row r="32" spans="1:16" x14ac:dyDescent="0.25">
      <c r="A32" t="s">
        <v>134</v>
      </c>
      <c r="B32" t="s">
        <v>19</v>
      </c>
      <c r="C32" s="1" t="s">
        <v>135</v>
      </c>
      <c r="D32" t="s">
        <v>21</v>
      </c>
      <c r="E32" t="s">
        <v>22</v>
      </c>
      <c r="F32" s="2">
        <v>2372.3</v>
      </c>
      <c r="G32" s="1" t="s">
        <v>136</v>
      </c>
      <c r="H32" t="s">
        <v>24</v>
      </c>
      <c r="I32" t="s">
        <v>25</v>
      </c>
      <c r="J32">
        <v>2</v>
      </c>
      <c r="K32" t="s">
        <v>26</v>
      </c>
      <c r="L32" t="s">
        <v>78</v>
      </c>
      <c r="M32" t="s">
        <v>28</v>
      </c>
      <c r="N32" t="s">
        <v>29</v>
      </c>
      <c r="O32" t="s">
        <v>30</v>
      </c>
      <c r="P32" t="s">
        <v>79</v>
      </c>
    </row>
    <row r="33" spans="1:16" x14ac:dyDescent="0.25">
      <c r="A33" t="s">
        <v>137</v>
      </c>
      <c r="B33" t="s">
        <v>19</v>
      </c>
      <c r="C33" s="1" t="s">
        <v>138</v>
      </c>
      <c r="D33" t="s">
        <v>21</v>
      </c>
      <c r="E33" t="s">
        <v>22</v>
      </c>
      <c r="F33" s="2">
        <v>66374.08</v>
      </c>
      <c r="G33" s="1" t="s">
        <v>139</v>
      </c>
      <c r="H33" t="s">
        <v>24</v>
      </c>
      <c r="I33" t="s">
        <v>25</v>
      </c>
      <c r="J33">
        <v>4</v>
      </c>
      <c r="K33" t="s">
        <v>26</v>
      </c>
      <c r="L33" t="s">
        <v>78</v>
      </c>
      <c r="M33" t="s">
        <v>28</v>
      </c>
      <c r="N33" t="s">
        <v>29</v>
      </c>
      <c r="O33" t="s">
        <v>30</v>
      </c>
      <c r="P33" t="s">
        <v>79</v>
      </c>
    </row>
    <row r="34" spans="1:16" x14ac:dyDescent="0.25">
      <c r="A34" t="s">
        <v>140</v>
      </c>
      <c r="B34" t="s">
        <v>19</v>
      </c>
      <c r="C34" s="1" t="s">
        <v>141</v>
      </c>
      <c r="D34" t="s">
        <v>21</v>
      </c>
      <c r="E34" t="s">
        <v>22</v>
      </c>
      <c r="F34" s="2">
        <v>30577.64</v>
      </c>
      <c r="G34" s="1" t="s">
        <v>142</v>
      </c>
      <c r="H34" t="s">
        <v>24</v>
      </c>
      <c r="I34" t="s">
        <v>25</v>
      </c>
      <c r="J34">
        <v>4</v>
      </c>
      <c r="K34" t="s">
        <v>26</v>
      </c>
      <c r="L34" t="s">
        <v>78</v>
      </c>
      <c r="M34" t="s">
        <v>28</v>
      </c>
      <c r="N34" t="s">
        <v>29</v>
      </c>
      <c r="O34" t="s">
        <v>30</v>
      </c>
      <c r="P34" t="s">
        <v>79</v>
      </c>
    </row>
    <row r="35" spans="1:16" x14ac:dyDescent="0.25">
      <c r="A35" t="s">
        <v>143</v>
      </c>
      <c r="B35" t="s">
        <v>19</v>
      </c>
      <c r="C35" s="1" t="s">
        <v>144</v>
      </c>
      <c r="D35" t="s">
        <v>21</v>
      </c>
      <c r="E35" t="s">
        <v>22</v>
      </c>
      <c r="F35" s="2">
        <v>11860.17</v>
      </c>
      <c r="G35" s="1" t="s">
        <v>145</v>
      </c>
      <c r="H35" t="s">
        <v>24</v>
      </c>
      <c r="I35" t="s">
        <v>25</v>
      </c>
      <c r="J35">
        <v>3</v>
      </c>
      <c r="K35" t="s">
        <v>26</v>
      </c>
      <c r="L35" t="s">
        <v>78</v>
      </c>
      <c r="M35" t="s">
        <v>28</v>
      </c>
      <c r="N35" t="s">
        <v>29</v>
      </c>
      <c r="O35" t="s">
        <v>30</v>
      </c>
      <c r="P35" t="s">
        <v>79</v>
      </c>
    </row>
    <row r="36" spans="1:16" x14ac:dyDescent="0.25">
      <c r="A36" t="s">
        <v>146</v>
      </c>
      <c r="B36" t="s">
        <v>19</v>
      </c>
      <c r="C36" s="1" t="s">
        <v>147</v>
      </c>
      <c r="D36" t="s">
        <v>21</v>
      </c>
      <c r="E36" t="s">
        <v>22</v>
      </c>
      <c r="F36" s="2">
        <v>10313.19</v>
      </c>
      <c r="G36" s="1" t="s">
        <v>148</v>
      </c>
      <c r="H36" t="s">
        <v>24</v>
      </c>
      <c r="I36" t="s">
        <v>25</v>
      </c>
      <c r="J36">
        <v>3</v>
      </c>
      <c r="K36" t="s">
        <v>26</v>
      </c>
      <c r="L36" t="s">
        <v>78</v>
      </c>
      <c r="M36" t="s">
        <v>28</v>
      </c>
      <c r="N36" t="s">
        <v>29</v>
      </c>
      <c r="O36" t="s">
        <v>30</v>
      </c>
      <c r="P36" t="s">
        <v>79</v>
      </c>
    </row>
    <row r="37" spans="1:16" x14ac:dyDescent="0.25">
      <c r="A37" t="s">
        <v>149</v>
      </c>
      <c r="B37" t="s">
        <v>19</v>
      </c>
      <c r="C37" s="1" t="s">
        <v>150</v>
      </c>
      <c r="D37" t="s">
        <v>21</v>
      </c>
      <c r="E37" t="s">
        <v>22</v>
      </c>
      <c r="F37" s="2">
        <v>4609.03</v>
      </c>
      <c r="G37" s="1" t="s">
        <v>151</v>
      </c>
      <c r="H37" t="s">
        <v>24</v>
      </c>
      <c r="I37" t="s">
        <v>25</v>
      </c>
      <c r="J37">
        <v>2</v>
      </c>
      <c r="K37" t="s">
        <v>26</v>
      </c>
      <c r="L37" t="s">
        <v>78</v>
      </c>
      <c r="M37" t="s">
        <v>28</v>
      </c>
      <c r="N37" t="s">
        <v>29</v>
      </c>
      <c r="O37" t="s">
        <v>30</v>
      </c>
      <c r="P37" t="s">
        <v>79</v>
      </c>
    </row>
    <row r="38" spans="1:16" x14ac:dyDescent="0.25">
      <c r="A38" t="s">
        <v>152</v>
      </c>
      <c r="B38" t="s">
        <v>19</v>
      </c>
      <c r="C38" s="1" t="s">
        <v>153</v>
      </c>
      <c r="D38" t="s">
        <v>21</v>
      </c>
      <c r="E38" t="s">
        <v>22</v>
      </c>
      <c r="F38" s="2">
        <v>5069.94</v>
      </c>
      <c r="G38" s="1" t="s">
        <v>154</v>
      </c>
      <c r="H38" t="s">
        <v>24</v>
      </c>
      <c r="I38" t="s">
        <v>25</v>
      </c>
      <c r="J38">
        <v>2</v>
      </c>
      <c r="K38" t="s">
        <v>26</v>
      </c>
      <c r="L38" t="s">
        <v>78</v>
      </c>
      <c r="M38" t="s">
        <v>28</v>
      </c>
      <c r="N38" t="s">
        <v>29</v>
      </c>
      <c r="O38" t="s">
        <v>30</v>
      </c>
      <c r="P38" t="s">
        <v>79</v>
      </c>
    </row>
    <row r="39" spans="1:16" x14ac:dyDescent="0.25">
      <c r="A39" t="s">
        <v>155</v>
      </c>
      <c r="B39" t="s">
        <v>19</v>
      </c>
      <c r="C39" s="1" t="s">
        <v>156</v>
      </c>
      <c r="D39" t="s">
        <v>21</v>
      </c>
      <c r="E39" t="s">
        <v>22</v>
      </c>
      <c r="F39" s="2">
        <v>2372.3</v>
      </c>
      <c r="G39" s="1" t="s">
        <v>136</v>
      </c>
      <c r="H39" t="s">
        <v>24</v>
      </c>
      <c r="I39" t="s">
        <v>25</v>
      </c>
      <c r="J39">
        <v>2</v>
      </c>
      <c r="K39" t="s">
        <v>26</v>
      </c>
      <c r="L39" t="s">
        <v>78</v>
      </c>
      <c r="M39" t="s">
        <v>28</v>
      </c>
      <c r="N39" t="s">
        <v>29</v>
      </c>
      <c r="O39" t="s">
        <v>30</v>
      </c>
      <c r="P39" t="s">
        <v>79</v>
      </c>
    </row>
    <row r="40" spans="1:16" x14ac:dyDescent="0.25">
      <c r="A40" t="s">
        <v>157</v>
      </c>
      <c r="B40" t="s">
        <v>19</v>
      </c>
      <c r="C40" s="1" t="s">
        <v>158</v>
      </c>
      <c r="D40" t="s">
        <v>21</v>
      </c>
      <c r="E40" t="s">
        <v>22</v>
      </c>
      <c r="F40" s="2">
        <v>3444.12</v>
      </c>
      <c r="G40" s="1" t="s">
        <v>159</v>
      </c>
      <c r="H40" t="s">
        <v>24</v>
      </c>
      <c r="I40" t="s">
        <v>25</v>
      </c>
      <c r="J40">
        <v>2</v>
      </c>
      <c r="K40" t="s">
        <v>26</v>
      </c>
      <c r="L40" t="s">
        <v>78</v>
      </c>
      <c r="M40" t="s">
        <v>28</v>
      </c>
      <c r="N40" t="s">
        <v>29</v>
      </c>
      <c r="O40" t="s">
        <v>30</v>
      </c>
      <c r="P40" t="s">
        <v>79</v>
      </c>
    </row>
    <row r="41" spans="1:16" x14ac:dyDescent="0.25">
      <c r="A41" t="s">
        <v>160</v>
      </c>
      <c r="B41" t="s">
        <v>19</v>
      </c>
      <c r="C41" s="1" t="s">
        <v>161</v>
      </c>
      <c r="D41" t="s">
        <v>21</v>
      </c>
      <c r="E41" t="s">
        <v>22</v>
      </c>
      <c r="F41" s="2">
        <v>46878.88</v>
      </c>
      <c r="G41" s="1" t="s">
        <v>162</v>
      </c>
      <c r="H41" t="s">
        <v>24</v>
      </c>
      <c r="I41" t="s">
        <v>25</v>
      </c>
      <c r="J41">
        <v>4</v>
      </c>
      <c r="K41" t="s">
        <v>26</v>
      </c>
      <c r="L41" t="s">
        <v>78</v>
      </c>
      <c r="M41" t="s">
        <v>28</v>
      </c>
      <c r="N41" t="s">
        <v>29</v>
      </c>
      <c r="O41" t="s">
        <v>30</v>
      </c>
      <c r="P41" t="s">
        <v>79</v>
      </c>
    </row>
    <row r="42" spans="1:16" x14ac:dyDescent="0.25">
      <c r="A42" t="s">
        <v>163</v>
      </c>
      <c r="B42" t="s">
        <v>19</v>
      </c>
      <c r="C42" s="1" t="s">
        <v>164</v>
      </c>
      <c r="D42" t="s">
        <v>21</v>
      </c>
      <c r="E42" t="s">
        <v>22</v>
      </c>
      <c r="F42" s="2">
        <v>26686.31</v>
      </c>
      <c r="G42" s="1" t="s">
        <v>165</v>
      </c>
      <c r="H42" t="s">
        <v>24</v>
      </c>
      <c r="I42" t="s">
        <v>25</v>
      </c>
      <c r="J42">
        <v>4</v>
      </c>
      <c r="K42" t="s">
        <v>26</v>
      </c>
      <c r="L42" t="s">
        <v>78</v>
      </c>
      <c r="M42" t="s">
        <v>28</v>
      </c>
      <c r="N42" t="s">
        <v>29</v>
      </c>
      <c r="O42" t="s">
        <v>30</v>
      </c>
      <c r="P42" t="s">
        <v>79</v>
      </c>
    </row>
    <row r="43" spans="1:16" x14ac:dyDescent="0.25">
      <c r="A43" t="s">
        <v>166</v>
      </c>
      <c r="B43" t="s">
        <v>19</v>
      </c>
      <c r="C43" s="1" t="s">
        <v>167</v>
      </c>
      <c r="D43" t="s">
        <v>21</v>
      </c>
      <c r="E43" t="s">
        <v>22</v>
      </c>
      <c r="F43" s="2">
        <v>44145.71</v>
      </c>
      <c r="G43" s="1" t="s">
        <v>168</v>
      </c>
      <c r="H43" t="s">
        <v>24</v>
      </c>
      <c r="I43" t="s">
        <v>25</v>
      </c>
      <c r="J43">
        <v>4</v>
      </c>
      <c r="K43" t="s">
        <v>26</v>
      </c>
      <c r="L43" t="s">
        <v>78</v>
      </c>
      <c r="M43" t="s">
        <v>28</v>
      </c>
      <c r="N43" t="s">
        <v>29</v>
      </c>
      <c r="O43" t="s">
        <v>30</v>
      </c>
      <c r="P43" t="s">
        <v>79</v>
      </c>
    </row>
    <row r="44" spans="1:16" x14ac:dyDescent="0.25">
      <c r="A44" t="s">
        <v>169</v>
      </c>
      <c r="B44" t="s">
        <v>19</v>
      </c>
      <c r="C44" s="1" t="s">
        <v>170</v>
      </c>
      <c r="D44" t="s">
        <v>21</v>
      </c>
      <c r="E44" t="s">
        <v>22</v>
      </c>
      <c r="F44" s="2">
        <v>36297.24</v>
      </c>
      <c r="G44" s="1" t="s">
        <v>171</v>
      </c>
      <c r="H44" t="s">
        <v>24</v>
      </c>
      <c r="I44" t="s">
        <v>25</v>
      </c>
      <c r="J44">
        <v>4</v>
      </c>
      <c r="K44" t="s">
        <v>26</v>
      </c>
      <c r="L44" t="s">
        <v>78</v>
      </c>
      <c r="M44" t="s">
        <v>28</v>
      </c>
      <c r="N44" t="s">
        <v>29</v>
      </c>
      <c r="O44" t="s">
        <v>30</v>
      </c>
      <c r="P44" t="s">
        <v>79</v>
      </c>
    </row>
    <row r="45" spans="1:16" x14ac:dyDescent="0.25">
      <c r="A45" t="s">
        <v>172</v>
      </c>
      <c r="B45" t="s">
        <v>19</v>
      </c>
      <c r="C45" s="1" t="s">
        <v>173</v>
      </c>
      <c r="D45" t="s">
        <v>42</v>
      </c>
      <c r="E45" t="s">
        <v>43</v>
      </c>
      <c r="F45" s="2">
        <v>5610.96</v>
      </c>
      <c r="G45" s="1" t="s">
        <v>174</v>
      </c>
      <c r="H45" t="s">
        <v>24</v>
      </c>
      <c r="I45" t="s">
        <v>25</v>
      </c>
      <c r="J45">
        <v>4</v>
      </c>
      <c r="K45" t="s">
        <v>26</v>
      </c>
      <c r="L45" t="s">
        <v>78</v>
      </c>
      <c r="M45" t="s">
        <v>28</v>
      </c>
      <c r="N45" t="s">
        <v>29</v>
      </c>
      <c r="O45" t="s">
        <v>30</v>
      </c>
      <c r="P45" t="s">
        <v>79</v>
      </c>
    </row>
    <row r="46" spans="1:16" x14ac:dyDescent="0.25">
      <c r="A46" t="s">
        <v>175</v>
      </c>
      <c r="B46" t="s">
        <v>19</v>
      </c>
      <c r="C46" s="1" t="s">
        <v>176</v>
      </c>
      <c r="D46" t="s">
        <v>42</v>
      </c>
      <c r="E46" t="s">
        <v>43</v>
      </c>
      <c r="F46" s="2">
        <v>16107.94</v>
      </c>
      <c r="G46" s="1" t="s">
        <v>177</v>
      </c>
      <c r="H46" t="s">
        <v>24</v>
      </c>
      <c r="I46" t="s">
        <v>25</v>
      </c>
      <c r="J46">
        <v>4</v>
      </c>
      <c r="K46" t="s">
        <v>26</v>
      </c>
      <c r="L46" t="s">
        <v>78</v>
      </c>
      <c r="M46" t="s">
        <v>28</v>
      </c>
      <c r="N46" t="s">
        <v>29</v>
      </c>
      <c r="O46" t="s">
        <v>30</v>
      </c>
      <c r="P46" t="s">
        <v>79</v>
      </c>
    </row>
    <row r="47" spans="1:16" x14ac:dyDescent="0.25">
      <c r="A47" t="s">
        <v>178</v>
      </c>
      <c r="B47" t="s">
        <v>19</v>
      </c>
      <c r="C47" s="1" t="s">
        <v>179</v>
      </c>
      <c r="D47" t="s">
        <v>42</v>
      </c>
      <c r="E47" t="s">
        <v>43</v>
      </c>
      <c r="F47" s="2">
        <v>5951.2</v>
      </c>
      <c r="G47" s="1" t="s">
        <v>180</v>
      </c>
      <c r="H47" t="s">
        <v>24</v>
      </c>
      <c r="I47" t="s">
        <v>25</v>
      </c>
      <c r="J47">
        <v>4</v>
      </c>
      <c r="K47" t="s">
        <v>26</v>
      </c>
      <c r="L47" t="s">
        <v>78</v>
      </c>
      <c r="M47" t="s">
        <v>28</v>
      </c>
      <c r="N47" t="s">
        <v>29</v>
      </c>
      <c r="O47" t="s">
        <v>30</v>
      </c>
      <c r="P47" t="s">
        <v>79</v>
      </c>
    </row>
    <row r="48" spans="1:16" x14ac:dyDescent="0.25">
      <c r="A48" t="s">
        <v>181</v>
      </c>
      <c r="B48" t="s">
        <v>19</v>
      </c>
      <c r="C48" s="1" t="s">
        <v>182</v>
      </c>
      <c r="D48" t="s">
        <v>42</v>
      </c>
      <c r="E48" t="s">
        <v>43</v>
      </c>
      <c r="F48" s="2">
        <v>8849.64</v>
      </c>
      <c r="G48" s="1" t="s">
        <v>183</v>
      </c>
      <c r="H48" t="s">
        <v>24</v>
      </c>
      <c r="I48" t="s">
        <v>25</v>
      </c>
      <c r="J48">
        <v>4</v>
      </c>
      <c r="K48" t="s">
        <v>26</v>
      </c>
      <c r="L48" t="s">
        <v>78</v>
      </c>
      <c r="M48" t="s">
        <v>28</v>
      </c>
      <c r="N48" t="s">
        <v>29</v>
      </c>
      <c r="O48" t="s">
        <v>30</v>
      </c>
      <c r="P48" t="s">
        <v>79</v>
      </c>
    </row>
    <row r="49" spans="1:16" x14ac:dyDescent="0.25">
      <c r="A49" t="s">
        <v>184</v>
      </c>
      <c r="B49" t="s">
        <v>19</v>
      </c>
      <c r="C49" s="1" t="s">
        <v>185</v>
      </c>
      <c r="D49" t="s">
        <v>21</v>
      </c>
      <c r="E49" t="s">
        <v>22</v>
      </c>
      <c r="F49" s="2">
        <v>8052.73</v>
      </c>
      <c r="G49" s="1" t="s">
        <v>186</v>
      </c>
      <c r="H49" t="s">
        <v>24</v>
      </c>
      <c r="I49" t="s">
        <v>58</v>
      </c>
      <c r="J49">
        <v>5</v>
      </c>
      <c r="K49" t="s">
        <v>26</v>
      </c>
      <c r="L49" t="s">
        <v>59</v>
      </c>
      <c r="M49" t="s">
        <v>28</v>
      </c>
      <c r="N49" t="s">
        <v>29</v>
      </c>
      <c r="O49" t="s">
        <v>60</v>
      </c>
      <c r="P49" t="s">
        <v>31</v>
      </c>
    </row>
    <row r="50" spans="1:16" x14ac:dyDescent="0.25">
      <c r="A50" t="s">
        <v>187</v>
      </c>
      <c r="B50" t="s">
        <v>19</v>
      </c>
      <c r="C50" s="1" t="s">
        <v>188</v>
      </c>
      <c r="D50" t="s">
        <v>21</v>
      </c>
      <c r="E50" t="s">
        <v>22</v>
      </c>
      <c r="F50" s="2">
        <v>3588.73</v>
      </c>
      <c r="G50" s="1" t="s">
        <v>189</v>
      </c>
      <c r="H50" t="s">
        <v>24</v>
      </c>
      <c r="I50" t="s">
        <v>25</v>
      </c>
      <c r="J50">
        <v>2</v>
      </c>
      <c r="K50" t="s">
        <v>26</v>
      </c>
      <c r="L50" t="s">
        <v>78</v>
      </c>
      <c r="M50" t="s">
        <v>28</v>
      </c>
      <c r="N50" t="s">
        <v>29</v>
      </c>
      <c r="O50" t="s">
        <v>30</v>
      </c>
      <c r="P50" t="s">
        <v>79</v>
      </c>
    </row>
    <row r="51" spans="1:16" x14ac:dyDescent="0.25">
      <c r="A51" t="s">
        <v>190</v>
      </c>
      <c r="B51" t="s">
        <v>19</v>
      </c>
      <c r="C51" s="1" t="s">
        <v>191</v>
      </c>
      <c r="D51" t="s">
        <v>42</v>
      </c>
      <c r="E51" t="s">
        <v>43</v>
      </c>
      <c r="F51" s="2">
        <v>7591.52</v>
      </c>
      <c r="G51" s="1" t="s">
        <v>192</v>
      </c>
      <c r="H51" t="s">
        <v>24</v>
      </c>
      <c r="I51" t="s">
        <v>25</v>
      </c>
      <c r="J51">
        <v>2</v>
      </c>
      <c r="K51" t="s">
        <v>26</v>
      </c>
      <c r="L51" t="s">
        <v>78</v>
      </c>
      <c r="M51" t="s">
        <v>28</v>
      </c>
      <c r="N51" t="s">
        <v>29</v>
      </c>
      <c r="O51" t="s">
        <v>30</v>
      </c>
      <c r="P51" t="s">
        <v>79</v>
      </c>
    </row>
    <row r="52" spans="1:16" x14ac:dyDescent="0.25">
      <c r="A52" t="s">
        <v>193</v>
      </c>
      <c r="B52" t="s">
        <v>19</v>
      </c>
      <c r="C52" s="1" t="s">
        <v>194</v>
      </c>
      <c r="D52" t="s">
        <v>42</v>
      </c>
      <c r="E52" t="s">
        <v>43</v>
      </c>
      <c r="F52" s="2">
        <v>5017.13</v>
      </c>
      <c r="G52" s="1" t="s">
        <v>195</v>
      </c>
      <c r="H52" t="s">
        <v>24</v>
      </c>
      <c r="I52" t="s">
        <v>25</v>
      </c>
      <c r="J52">
        <v>4</v>
      </c>
      <c r="K52" t="s">
        <v>26</v>
      </c>
      <c r="L52" t="s">
        <v>78</v>
      </c>
      <c r="M52" t="s">
        <v>28</v>
      </c>
      <c r="N52" t="s">
        <v>29</v>
      </c>
      <c r="O52" t="s">
        <v>30</v>
      </c>
      <c r="P52" t="s">
        <v>79</v>
      </c>
    </row>
    <row r="53" spans="1:16" x14ac:dyDescent="0.25">
      <c r="A53" t="s">
        <v>196</v>
      </c>
      <c r="B53" t="s">
        <v>19</v>
      </c>
      <c r="C53" s="1" t="s">
        <v>197</v>
      </c>
      <c r="D53" t="s">
        <v>21</v>
      </c>
      <c r="E53" t="s">
        <v>22</v>
      </c>
      <c r="F53" s="2">
        <v>5674.58</v>
      </c>
      <c r="G53" s="1" t="s">
        <v>198</v>
      </c>
      <c r="H53" t="s">
        <v>24</v>
      </c>
      <c r="I53" t="s">
        <v>25</v>
      </c>
      <c r="J53">
        <v>4</v>
      </c>
      <c r="K53" t="s">
        <v>26</v>
      </c>
      <c r="L53" t="s">
        <v>78</v>
      </c>
      <c r="M53" t="s">
        <v>28</v>
      </c>
      <c r="N53" t="s">
        <v>29</v>
      </c>
      <c r="O53" t="s">
        <v>30</v>
      </c>
      <c r="P53" t="s">
        <v>79</v>
      </c>
    </row>
    <row r="54" spans="1:16" x14ac:dyDescent="0.25">
      <c r="A54" t="s">
        <v>199</v>
      </c>
      <c r="B54" t="s">
        <v>19</v>
      </c>
      <c r="C54" s="1" t="s">
        <v>200</v>
      </c>
      <c r="D54" t="s">
        <v>42</v>
      </c>
      <c r="E54" t="s">
        <v>43</v>
      </c>
      <c r="F54" s="2">
        <v>4817.02</v>
      </c>
      <c r="G54" s="1" t="s">
        <v>201</v>
      </c>
      <c r="H54" t="s">
        <v>24</v>
      </c>
      <c r="I54" t="s">
        <v>25</v>
      </c>
      <c r="J54">
        <v>3</v>
      </c>
      <c r="K54" t="s">
        <v>26</v>
      </c>
      <c r="L54" t="s">
        <v>78</v>
      </c>
      <c r="M54" t="s">
        <v>28</v>
      </c>
      <c r="N54" t="s">
        <v>29</v>
      </c>
      <c r="O54" t="s">
        <v>30</v>
      </c>
      <c r="P54" t="s">
        <v>79</v>
      </c>
    </row>
    <row r="55" spans="1:16" x14ac:dyDescent="0.25">
      <c r="A55" t="s">
        <v>202</v>
      </c>
      <c r="B55" t="s">
        <v>19</v>
      </c>
      <c r="C55" s="1" t="s">
        <v>203</v>
      </c>
      <c r="D55" t="s">
        <v>42</v>
      </c>
      <c r="E55" t="s">
        <v>43</v>
      </c>
      <c r="F55" s="2">
        <v>4733.83</v>
      </c>
      <c r="G55" s="1" t="s">
        <v>204</v>
      </c>
      <c r="H55" t="s">
        <v>24</v>
      </c>
      <c r="I55" t="s">
        <v>25</v>
      </c>
      <c r="J55">
        <v>3</v>
      </c>
      <c r="K55" t="s">
        <v>26</v>
      </c>
      <c r="L55" t="s">
        <v>78</v>
      </c>
      <c r="M55" t="s">
        <v>28</v>
      </c>
      <c r="N55" t="s">
        <v>29</v>
      </c>
      <c r="O55" t="s">
        <v>30</v>
      </c>
      <c r="P55" t="s">
        <v>79</v>
      </c>
    </row>
    <row r="56" spans="1:16" x14ac:dyDescent="0.25">
      <c r="A56" t="s">
        <v>205</v>
      </c>
      <c r="B56" t="s">
        <v>19</v>
      </c>
      <c r="C56" s="1" t="s">
        <v>206</v>
      </c>
      <c r="D56" t="s">
        <v>21</v>
      </c>
      <c r="E56" t="s">
        <v>22</v>
      </c>
      <c r="F56" s="2">
        <v>28295.48</v>
      </c>
      <c r="G56" s="1" t="s">
        <v>207</v>
      </c>
      <c r="H56" t="s">
        <v>24</v>
      </c>
      <c r="I56" t="s">
        <v>25</v>
      </c>
      <c r="J56">
        <v>4</v>
      </c>
      <c r="K56" t="s">
        <v>26</v>
      </c>
      <c r="L56" t="s">
        <v>78</v>
      </c>
      <c r="M56" t="s">
        <v>28</v>
      </c>
      <c r="N56" t="s">
        <v>29</v>
      </c>
      <c r="O56" t="s">
        <v>30</v>
      </c>
      <c r="P56" t="s">
        <v>79</v>
      </c>
    </row>
    <row r="57" spans="1:16" x14ac:dyDescent="0.25">
      <c r="A57" t="s">
        <v>208</v>
      </c>
      <c r="B57" t="s">
        <v>19</v>
      </c>
      <c r="C57" s="1" t="s">
        <v>209</v>
      </c>
      <c r="D57" t="s">
        <v>21</v>
      </c>
      <c r="E57" t="s">
        <v>22</v>
      </c>
      <c r="F57" s="2">
        <v>9523.9</v>
      </c>
      <c r="G57" s="1" t="s">
        <v>210</v>
      </c>
      <c r="H57" t="s">
        <v>24</v>
      </c>
      <c r="I57" t="s">
        <v>25</v>
      </c>
      <c r="J57">
        <v>4</v>
      </c>
      <c r="K57" t="s">
        <v>26</v>
      </c>
      <c r="L57" t="s">
        <v>78</v>
      </c>
      <c r="M57" t="s">
        <v>28</v>
      </c>
      <c r="N57" t="s">
        <v>29</v>
      </c>
      <c r="O57" t="s">
        <v>30</v>
      </c>
      <c r="P57" t="s">
        <v>79</v>
      </c>
    </row>
    <row r="58" spans="1:16" x14ac:dyDescent="0.25">
      <c r="A58" t="s">
        <v>211</v>
      </c>
      <c r="B58" t="s">
        <v>19</v>
      </c>
      <c r="C58" s="1" t="s">
        <v>212</v>
      </c>
      <c r="D58" t="s">
        <v>21</v>
      </c>
      <c r="E58" t="s">
        <v>22</v>
      </c>
      <c r="F58" s="2">
        <v>7149.66</v>
      </c>
      <c r="G58" s="1" t="s">
        <v>213</v>
      </c>
      <c r="H58" t="s">
        <v>24</v>
      </c>
      <c r="I58" t="s">
        <v>25</v>
      </c>
      <c r="J58">
        <v>4</v>
      </c>
      <c r="K58" t="s">
        <v>26</v>
      </c>
      <c r="L58" t="s">
        <v>78</v>
      </c>
      <c r="M58" t="s">
        <v>28</v>
      </c>
      <c r="N58" t="s">
        <v>29</v>
      </c>
      <c r="O58" t="s">
        <v>30</v>
      </c>
      <c r="P58" t="s">
        <v>79</v>
      </c>
    </row>
    <row r="59" spans="1:16" x14ac:dyDescent="0.25">
      <c r="A59" t="s">
        <v>214</v>
      </c>
      <c r="B59" t="s">
        <v>19</v>
      </c>
      <c r="C59" s="1" t="s">
        <v>215</v>
      </c>
      <c r="D59" t="s">
        <v>21</v>
      </c>
      <c r="E59" t="s">
        <v>22</v>
      </c>
      <c r="F59" s="2">
        <v>13741.58</v>
      </c>
      <c r="G59" s="1" t="s">
        <v>216</v>
      </c>
      <c r="H59" t="s">
        <v>24</v>
      </c>
      <c r="I59" t="s">
        <v>25</v>
      </c>
      <c r="J59">
        <v>4</v>
      </c>
      <c r="K59" t="s">
        <v>26</v>
      </c>
      <c r="L59" t="s">
        <v>78</v>
      </c>
      <c r="M59" t="s">
        <v>28</v>
      </c>
      <c r="N59" t="s">
        <v>29</v>
      </c>
      <c r="O59" t="s">
        <v>30</v>
      </c>
      <c r="P59" t="s">
        <v>79</v>
      </c>
    </row>
    <row r="60" spans="1:16" x14ac:dyDescent="0.25">
      <c r="A60" t="s">
        <v>217</v>
      </c>
      <c r="B60" t="s">
        <v>19</v>
      </c>
      <c r="C60" s="1" t="s">
        <v>218</v>
      </c>
      <c r="D60" t="s">
        <v>21</v>
      </c>
      <c r="E60" t="s">
        <v>22</v>
      </c>
      <c r="F60" s="2">
        <v>4598.2</v>
      </c>
      <c r="G60" s="1" t="s">
        <v>219</v>
      </c>
      <c r="H60" t="s">
        <v>24</v>
      </c>
      <c r="I60" t="s">
        <v>25</v>
      </c>
      <c r="J60">
        <v>2</v>
      </c>
      <c r="K60" t="s">
        <v>26</v>
      </c>
      <c r="L60" t="s">
        <v>78</v>
      </c>
      <c r="M60" t="s">
        <v>28</v>
      </c>
      <c r="N60" t="s">
        <v>29</v>
      </c>
      <c r="O60" t="s">
        <v>30</v>
      </c>
      <c r="P60" t="s">
        <v>79</v>
      </c>
    </row>
    <row r="61" spans="1:16" x14ac:dyDescent="0.25">
      <c r="A61" t="s">
        <v>220</v>
      </c>
      <c r="B61" t="s">
        <v>19</v>
      </c>
      <c r="C61" s="1" t="s">
        <v>221</v>
      </c>
      <c r="D61" t="s">
        <v>21</v>
      </c>
      <c r="E61" t="s">
        <v>22</v>
      </c>
      <c r="F61" s="2">
        <v>5938.95</v>
      </c>
      <c r="G61" s="1" t="s">
        <v>222</v>
      </c>
      <c r="H61" t="s">
        <v>24</v>
      </c>
      <c r="I61" t="s">
        <v>25</v>
      </c>
      <c r="J61">
        <v>4</v>
      </c>
      <c r="K61" t="s">
        <v>26</v>
      </c>
      <c r="L61" t="s">
        <v>78</v>
      </c>
      <c r="M61" t="s">
        <v>28</v>
      </c>
      <c r="N61" t="s">
        <v>29</v>
      </c>
      <c r="O61" t="s">
        <v>30</v>
      </c>
      <c r="P61" t="s">
        <v>79</v>
      </c>
    </row>
    <row r="62" spans="1:16" x14ac:dyDescent="0.25">
      <c r="A62" t="s">
        <v>223</v>
      </c>
      <c r="B62" t="s">
        <v>19</v>
      </c>
      <c r="C62" s="1" t="s">
        <v>224</v>
      </c>
      <c r="D62" t="s">
        <v>21</v>
      </c>
      <c r="E62" t="s">
        <v>22</v>
      </c>
      <c r="F62" s="2">
        <v>8113.06</v>
      </c>
      <c r="G62" s="1" t="s">
        <v>225</v>
      </c>
      <c r="H62" t="s">
        <v>24</v>
      </c>
      <c r="I62" t="s">
        <v>25</v>
      </c>
      <c r="J62">
        <v>4</v>
      </c>
      <c r="K62" t="s">
        <v>26</v>
      </c>
      <c r="L62" t="s">
        <v>78</v>
      </c>
      <c r="M62" t="s">
        <v>28</v>
      </c>
      <c r="N62" t="s">
        <v>29</v>
      </c>
      <c r="O62" t="s">
        <v>30</v>
      </c>
      <c r="P62" t="s">
        <v>79</v>
      </c>
    </row>
    <row r="63" spans="1:16" x14ac:dyDescent="0.25">
      <c r="A63" t="s">
        <v>226</v>
      </c>
      <c r="B63" t="s">
        <v>19</v>
      </c>
      <c r="C63" s="1" t="s">
        <v>227</v>
      </c>
      <c r="D63" t="s">
        <v>21</v>
      </c>
      <c r="E63" t="s">
        <v>22</v>
      </c>
      <c r="F63" s="2">
        <v>13134.13</v>
      </c>
      <c r="G63" s="1" t="s">
        <v>228</v>
      </c>
      <c r="H63" t="s">
        <v>24</v>
      </c>
      <c r="I63" t="s">
        <v>25</v>
      </c>
      <c r="J63">
        <v>4</v>
      </c>
      <c r="K63" t="s">
        <v>26</v>
      </c>
      <c r="L63" t="s">
        <v>78</v>
      </c>
      <c r="M63" t="s">
        <v>28</v>
      </c>
      <c r="N63" t="s">
        <v>29</v>
      </c>
      <c r="O63" t="s">
        <v>30</v>
      </c>
      <c r="P63" t="s">
        <v>79</v>
      </c>
    </row>
    <row r="64" spans="1:16" x14ac:dyDescent="0.25">
      <c r="A64" t="s">
        <v>229</v>
      </c>
      <c r="B64" t="s">
        <v>19</v>
      </c>
      <c r="C64" s="1" t="s">
        <v>230</v>
      </c>
      <c r="D64" t="s">
        <v>231</v>
      </c>
      <c r="E64" t="s">
        <v>232</v>
      </c>
      <c r="F64" s="2">
        <v>3394.45</v>
      </c>
      <c r="G64" s="1" t="s">
        <v>233</v>
      </c>
      <c r="H64" t="s">
        <v>24</v>
      </c>
      <c r="I64" t="s">
        <v>25</v>
      </c>
      <c r="J64">
        <v>6</v>
      </c>
      <c r="K64" t="s">
        <v>26</v>
      </c>
      <c r="L64" t="s">
        <v>78</v>
      </c>
      <c r="M64" t="s">
        <v>28</v>
      </c>
      <c r="N64" t="s">
        <v>29</v>
      </c>
      <c r="O64" t="s">
        <v>30</v>
      </c>
      <c r="P64" t="s">
        <v>79</v>
      </c>
    </row>
    <row r="65" spans="1:16" x14ac:dyDescent="0.25">
      <c r="A65" t="s">
        <v>234</v>
      </c>
      <c r="B65" t="s">
        <v>19</v>
      </c>
      <c r="C65" s="1" t="s">
        <v>235</v>
      </c>
      <c r="D65" t="s">
        <v>42</v>
      </c>
      <c r="E65" t="s">
        <v>43</v>
      </c>
      <c r="F65" s="2">
        <v>3687.23</v>
      </c>
      <c r="G65" s="1" t="s">
        <v>236</v>
      </c>
      <c r="H65" t="s">
        <v>24</v>
      </c>
      <c r="I65" t="s">
        <v>25</v>
      </c>
      <c r="J65">
        <v>2</v>
      </c>
      <c r="K65" t="s">
        <v>26</v>
      </c>
      <c r="L65" t="s">
        <v>78</v>
      </c>
      <c r="M65" t="s">
        <v>28</v>
      </c>
      <c r="N65" t="s">
        <v>29</v>
      </c>
      <c r="O65" t="s">
        <v>30</v>
      </c>
      <c r="P65" t="s">
        <v>79</v>
      </c>
    </row>
    <row r="66" spans="1:16" x14ac:dyDescent="0.25">
      <c r="A66" t="s">
        <v>237</v>
      </c>
      <c r="B66" t="s">
        <v>19</v>
      </c>
      <c r="C66" s="1" t="s">
        <v>238</v>
      </c>
      <c r="D66" t="s">
        <v>21</v>
      </c>
      <c r="E66" t="s">
        <v>22</v>
      </c>
      <c r="F66" s="2">
        <v>10313.19</v>
      </c>
      <c r="G66" s="1" t="s">
        <v>148</v>
      </c>
      <c r="H66" t="s">
        <v>24</v>
      </c>
      <c r="I66" t="s">
        <v>25</v>
      </c>
      <c r="J66">
        <v>3</v>
      </c>
      <c r="K66" t="s">
        <v>26</v>
      </c>
      <c r="L66" t="s">
        <v>78</v>
      </c>
      <c r="M66" t="s">
        <v>28</v>
      </c>
      <c r="N66" t="s">
        <v>29</v>
      </c>
      <c r="O66" t="s">
        <v>30</v>
      </c>
      <c r="P66" t="s">
        <v>79</v>
      </c>
    </row>
    <row r="67" spans="1:16" x14ac:dyDescent="0.25">
      <c r="A67" t="s">
        <v>239</v>
      </c>
      <c r="B67" t="s">
        <v>19</v>
      </c>
      <c r="C67" s="1" t="s">
        <v>240</v>
      </c>
      <c r="D67" t="s">
        <v>21</v>
      </c>
      <c r="E67" t="s">
        <v>22</v>
      </c>
      <c r="F67" s="2">
        <v>10912.58</v>
      </c>
      <c r="G67" s="1" t="s">
        <v>241</v>
      </c>
      <c r="H67" t="s">
        <v>24</v>
      </c>
      <c r="I67" t="s">
        <v>25</v>
      </c>
      <c r="J67">
        <v>2</v>
      </c>
      <c r="K67" t="s">
        <v>26</v>
      </c>
      <c r="L67" t="s">
        <v>78</v>
      </c>
      <c r="M67" t="s">
        <v>28</v>
      </c>
      <c r="N67" t="s">
        <v>29</v>
      </c>
      <c r="O67" t="s">
        <v>30</v>
      </c>
      <c r="P67" t="s">
        <v>79</v>
      </c>
    </row>
    <row r="68" spans="1:16" x14ac:dyDescent="0.25">
      <c r="A68" t="s">
        <v>242</v>
      </c>
      <c r="B68" t="s">
        <v>19</v>
      </c>
      <c r="C68" s="1" t="s">
        <v>243</v>
      </c>
      <c r="D68" t="s">
        <v>21</v>
      </c>
      <c r="E68" t="s">
        <v>22</v>
      </c>
      <c r="F68" s="2">
        <v>2304.52</v>
      </c>
      <c r="G68" s="1" t="s">
        <v>244</v>
      </c>
      <c r="H68" t="s">
        <v>24</v>
      </c>
      <c r="I68" t="s">
        <v>25</v>
      </c>
      <c r="J68">
        <v>2</v>
      </c>
      <c r="K68" t="s">
        <v>26</v>
      </c>
      <c r="L68" t="s">
        <v>78</v>
      </c>
      <c r="M68" t="s">
        <v>28</v>
      </c>
      <c r="N68" t="s">
        <v>29</v>
      </c>
      <c r="O68" t="s">
        <v>30</v>
      </c>
      <c r="P68" t="s">
        <v>79</v>
      </c>
    </row>
    <row r="69" spans="1:16" x14ac:dyDescent="0.25">
      <c r="A69" t="s">
        <v>245</v>
      </c>
      <c r="B69" t="s">
        <v>19</v>
      </c>
      <c r="C69" s="1" t="s">
        <v>246</v>
      </c>
      <c r="D69" t="s">
        <v>247</v>
      </c>
      <c r="E69" t="s">
        <v>248</v>
      </c>
      <c r="F69" s="2">
        <v>92000</v>
      </c>
      <c r="G69" s="1" t="s">
        <v>249</v>
      </c>
      <c r="H69" t="s">
        <v>24</v>
      </c>
      <c r="I69" t="s">
        <v>250</v>
      </c>
      <c r="J69">
        <v>1</v>
      </c>
      <c r="K69" t="s">
        <v>26</v>
      </c>
      <c r="L69" t="s">
        <v>251</v>
      </c>
      <c r="M69" t="s">
        <v>28</v>
      </c>
      <c r="N69" t="s">
        <v>29</v>
      </c>
      <c r="O69" t="s">
        <v>252</v>
      </c>
      <c r="P69" t="s">
        <v>253</v>
      </c>
    </row>
    <row r="70" spans="1:16" x14ac:dyDescent="0.25">
      <c r="A70" t="s">
        <v>254</v>
      </c>
      <c r="B70" t="s">
        <v>19</v>
      </c>
      <c r="C70" s="1" t="s">
        <v>255</v>
      </c>
      <c r="D70" t="s">
        <v>247</v>
      </c>
      <c r="E70" t="s">
        <v>248</v>
      </c>
      <c r="F70" s="2">
        <v>103500</v>
      </c>
      <c r="G70" s="1" t="s">
        <v>256</v>
      </c>
      <c r="H70" t="s">
        <v>24</v>
      </c>
      <c r="I70" t="s">
        <v>257</v>
      </c>
      <c r="J70">
        <v>1</v>
      </c>
      <c r="K70" t="s">
        <v>26</v>
      </c>
      <c r="L70" t="s">
        <v>258</v>
      </c>
      <c r="M70" t="s">
        <v>28</v>
      </c>
      <c r="N70" t="s">
        <v>29</v>
      </c>
      <c r="O70" t="s">
        <v>259</v>
      </c>
      <c r="P70" t="s">
        <v>253</v>
      </c>
    </row>
    <row r="71" spans="1:16" x14ac:dyDescent="0.25">
      <c r="A71" t="s">
        <v>260</v>
      </c>
      <c r="B71" t="s">
        <v>19</v>
      </c>
      <c r="C71" s="1" t="s">
        <v>261</v>
      </c>
      <c r="D71" t="s">
        <v>21</v>
      </c>
      <c r="E71" t="s">
        <v>22</v>
      </c>
      <c r="F71" s="2">
        <v>4829.44</v>
      </c>
      <c r="G71" s="1" t="s">
        <v>262</v>
      </c>
      <c r="H71" t="s">
        <v>24</v>
      </c>
      <c r="I71" t="s">
        <v>54</v>
      </c>
      <c r="J71">
        <v>6</v>
      </c>
      <c r="K71" t="s">
        <v>26</v>
      </c>
      <c r="L71" t="s">
        <v>46</v>
      </c>
      <c r="M71" t="s">
        <v>28</v>
      </c>
      <c r="N71" t="s">
        <v>29</v>
      </c>
      <c r="O71" t="s">
        <v>47</v>
      </c>
      <c r="P71" t="s">
        <v>31</v>
      </c>
    </row>
    <row r="72" spans="1:16" x14ac:dyDescent="0.25">
      <c r="A72" t="s">
        <v>263</v>
      </c>
      <c r="B72" t="s">
        <v>19</v>
      </c>
      <c r="C72" s="1" t="s">
        <v>264</v>
      </c>
      <c r="D72" t="s">
        <v>21</v>
      </c>
      <c r="E72" t="s">
        <v>22</v>
      </c>
      <c r="F72" s="2">
        <v>3397.67</v>
      </c>
      <c r="G72" s="1" t="s">
        <v>265</v>
      </c>
      <c r="H72" t="s">
        <v>24</v>
      </c>
      <c r="I72" t="s">
        <v>54</v>
      </c>
      <c r="J72">
        <v>6</v>
      </c>
      <c r="K72" t="s">
        <v>26</v>
      </c>
      <c r="L72" t="s">
        <v>46</v>
      </c>
      <c r="M72" t="s">
        <v>28</v>
      </c>
      <c r="N72" t="s">
        <v>29</v>
      </c>
      <c r="O72" t="s">
        <v>47</v>
      </c>
      <c r="P72" t="s">
        <v>31</v>
      </c>
    </row>
    <row r="73" spans="1:16" x14ac:dyDescent="0.25">
      <c r="A73" t="s">
        <v>266</v>
      </c>
      <c r="B73" t="s">
        <v>19</v>
      </c>
      <c r="C73" s="1" t="s">
        <v>267</v>
      </c>
      <c r="D73" t="s">
        <v>63</v>
      </c>
      <c r="E73" t="s">
        <v>64</v>
      </c>
      <c r="F73" s="2">
        <v>2098477.98</v>
      </c>
      <c r="G73" s="1" t="s">
        <v>268</v>
      </c>
      <c r="H73" t="s">
        <v>24</v>
      </c>
      <c r="I73" t="s">
        <v>257</v>
      </c>
      <c r="J73">
        <v>9</v>
      </c>
      <c r="K73" t="s">
        <v>26</v>
      </c>
      <c r="L73" t="s">
        <v>269</v>
      </c>
      <c r="M73" t="s">
        <v>28</v>
      </c>
      <c r="N73" t="s">
        <v>29</v>
      </c>
      <c r="O73" t="s">
        <v>259</v>
      </c>
      <c r="P73" t="s">
        <v>31</v>
      </c>
    </row>
    <row r="74" spans="1:16" x14ac:dyDescent="0.25">
      <c r="A74" t="s">
        <v>270</v>
      </c>
      <c r="B74" t="s">
        <v>19</v>
      </c>
      <c r="C74" s="1" t="s">
        <v>271</v>
      </c>
      <c r="D74" t="s">
        <v>42</v>
      </c>
      <c r="E74" t="s">
        <v>43</v>
      </c>
      <c r="F74" s="2">
        <v>1597.8</v>
      </c>
      <c r="G74" s="1" t="s">
        <v>272</v>
      </c>
      <c r="H74" t="s">
        <v>24</v>
      </c>
      <c r="I74" t="s">
        <v>25</v>
      </c>
      <c r="J74">
        <v>2</v>
      </c>
      <c r="K74" t="s">
        <v>26</v>
      </c>
      <c r="L74" t="s">
        <v>27</v>
      </c>
      <c r="M74" t="s">
        <v>28</v>
      </c>
      <c r="N74" t="s">
        <v>29</v>
      </c>
      <c r="O74" t="s">
        <v>30</v>
      </c>
      <c r="P74" t="s">
        <v>31</v>
      </c>
    </row>
    <row r="75" spans="1:16" x14ac:dyDescent="0.25">
      <c r="A75" t="s">
        <v>273</v>
      </c>
      <c r="B75" t="s">
        <v>19</v>
      </c>
      <c r="C75" s="1" t="s">
        <v>274</v>
      </c>
      <c r="D75" t="s">
        <v>42</v>
      </c>
      <c r="E75" t="s">
        <v>43</v>
      </c>
      <c r="F75" s="2">
        <v>2268.9</v>
      </c>
      <c r="G75" s="1" t="s">
        <v>275</v>
      </c>
      <c r="H75" t="s">
        <v>24</v>
      </c>
      <c r="I75" t="s">
        <v>25</v>
      </c>
      <c r="J75">
        <v>3</v>
      </c>
      <c r="K75" t="s">
        <v>26</v>
      </c>
      <c r="L75" t="s">
        <v>78</v>
      </c>
      <c r="M75" t="s">
        <v>28</v>
      </c>
      <c r="N75" t="s">
        <v>29</v>
      </c>
      <c r="O75" t="s">
        <v>30</v>
      </c>
      <c r="P75" t="s">
        <v>79</v>
      </c>
    </row>
    <row r="76" spans="1:16" x14ac:dyDescent="0.25">
      <c r="A76" t="s">
        <v>276</v>
      </c>
      <c r="B76" t="s">
        <v>19</v>
      </c>
      <c r="C76" s="1" t="s">
        <v>277</v>
      </c>
      <c r="D76" t="s">
        <v>42</v>
      </c>
      <c r="E76" t="s">
        <v>43</v>
      </c>
      <c r="F76" s="2">
        <v>4654.22</v>
      </c>
      <c r="G76" s="1" t="s">
        <v>278</v>
      </c>
      <c r="H76" t="s">
        <v>24</v>
      </c>
      <c r="I76" t="s">
        <v>25</v>
      </c>
      <c r="J76">
        <v>2</v>
      </c>
      <c r="K76" t="s">
        <v>26</v>
      </c>
      <c r="L76" t="s">
        <v>78</v>
      </c>
      <c r="M76" t="s">
        <v>28</v>
      </c>
      <c r="N76" t="s">
        <v>29</v>
      </c>
      <c r="O76" t="s">
        <v>30</v>
      </c>
      <c r="P76" t="s">
        <v>79</v>
      </c>
    </row>
    <row r="77" spans="1:16" x14ac:dyDescent="0.25">
      <c r="A77" t="s">
        <v>279</v>
      </c>
      <c r="B77" t="s">
        <v>19</v>
      </c>
      <c r="C77" s="1" t="s">
        <v>280</v>
      </c>
      <c r="D77" t="s">
        <v>42</v>
      </c>
      <c r="E77" t="s">
        <v>43</v>
      </c>
      <c r="F77" s="2">
        <v>17456.79</v>
      </c>
      <c r="G77" s="1" t="s">
        <v>281</v>
      </c>
      <c r="H77" t="s">
        <v>24</v>
      </c>
      <c r="I77" t="s">
        <v>25</v>
      </c>
      <c r="J77">
        <v>3</v>
      </c>
      <c r="K77" t="s">
        <v>26</v>
      </c>
      <c r="L77" t="s">
        <v>78</v>
      </c>
      <c r="M77" t="s">
        <v>28</v>
      </c>
      <c r="N77" t="s">
        <v>29</v>
      </c>
      <c r="O77" t="s">
        <v>30</v>
      </c>
      <c r="P77" t="s">
        <v>79</v>
      </c>
    </row>
    <row r="78" spans="1:16" x14ac:dyDescent="0.25">
      <c r="A78" t="s">
        <v>282</v>
      </c>
      <c r="B78" t="s">
        <v>19</v>
      </c>
      <c r="C78" s="1" t="s">
        <v>283</v>
      </c>
      <c r="D78" t="s">
        <v>21</v>
      </c>
      <c r="E78" t="s">
        <v>22</v>
      </c>
      <c r="F78" s="2">
        <v>7808.25</v>
      </c>
      <c r="G78" s="1" t="s">
        <v>284</v>
      </c>
      <c r="H78" t="s">
        <v>24</v>
      </c>
      <c r="I78" t="s">
        <v>25</v>
      </c>
      <c r="J78">
        <v>2</v>
      </c>
      <c r="K78" t="s">
        <v>26</v>
      </c>
      <c r="L78" t="s">
        <v>27</v>
      </c>
      <c r="M78" t="s">
        <v>28</v>
      </c>
      <c r="N78" t="s">
        <v>29</v>
      </c>
      <c r="O78" t="s">
        <v>30</v>
      </c>
      <c r="P78" t="s">
        <v>31</v>
      </c>
    </row>
    <row r="79" spans="1:16" x14ac:dyDescent="0.25">
      <c r="A79" t="s">
        <v>285</v>
      </c>
      <c r="B79" t="s">
        <v>19</v>
      </c>
      <c r="C79" s="1" t="s">
        <v>286</v>
      </c>
      <c r="D79" t="s">
        <v>287</v>
      </c>
      <c r="E79" t="s">
        <v>288</v>
      </c>
      <c r="F79" s="2">
        <v>57796.26</v>
      </c>
      <c r="G79" s="1" t="s">
        <v>289</v>
      </c>
      <c r="H79" t="s">
        <v>24</v>
      </c>
      <c r="I79" t="s">
        <v>37</v>
      </c>
      <c r="J79">
        <v>2</v>
      </c>
      <c r="K79" t="s">
        <v>26</v>
      </c>
      <c r="L79" t="s">
        <v>290</v>
      </c>
      <c r="M79" t="s">
        <v>28</v>
      </c>
      <c r="N79" t="s">
        <v>29</v>
      </c>
      <c r="O79" t="s">
        <v>39</v>
      </c>
      <c r="P79" t="s">
        <v>291</v>
      </c>
    </row>
    <row r="80" spans="1:16" x14ac:dyDescent="0.25">
      <c r="A80" t="s">
        <v>292</v>
      </c>
      <c r="B80" t="s">
        <v>19</v>
      </c>
      <c r="C80" s="1" t="s">
        <v>293</v>
      </c>
      <c r="D80" t="s">
        <v>287</v>
      </c>
      <c r="E80" t="s">
        <v>288</v>
      </c>
      <c r="F80" s="2">
        <v>63576.95</v>
      </c>
      <c r="G80" s="1" t="s">
        <v>294</v>
      </c>
      <c r="H80" t="s">
        <v>24</v>
      </c>
      <c r="I80" t="s">
        <v>37</v>
      </c>
      <c r="J80">
        <v>2</v>
      </c>
      <c r="K80" t="s">
        <v>26</v>
      </c>
      <c r="L80" t="s">
        <v>290</v>
      </c>
      <c r="M80" t="s">
        <v>28</v>
      </c>
      <c r="N80" t="s">
        <v>29</v>
      </c>
      <c r="O80" t="s">
        <v>39</v>
      </c>
      <c r="P80" t="s">
        <v>291</v>
      </c>
    </row>
    <row r="81" spans="1:16" x14ac:dyDescent="0.25">
      <c r="A81" t="s">
        <v>295</v>
      </c>
      <c r="B81" t="s">
        <v>296</v>
      </c>
      <c r="C81" s="1" t="s">
        <v>297</v>
      </c>
      <c r="D81" t="s">
        <v>21</v>
      </c>
      <c r="E81" t="s">
        <v>22</v>
      </c>
      <c r="F81" s="2">
        <v>29930.32</v>
      </c>
      <c r="G81" s="1" t="s">
        <v>298</v>
      </c>
      <c r="H81" t="s">
        <v>299</v>
      </c>
      <c r="I81" t="s">
        <v>300</v>
      </c>
      <c r="J81">
        <v>4</v>
      </c>
      <c r="K81" t="s">
        <v>26</v>
      </c>
      <c r="L81" t="s">
        <v>301</v>
      </c>
      <c r="M81" t="s">
        <v>28</v>
      </c>
      <c r="N81" t="s">
        <v>302</v>
      </c>
      <c r="O81" t="s">
        <v>303</v>
      </c>
      <c r="P81" t="s">
        <v>31</v>
      </c>
    </row>
    <row r="82" spans="1:16" x14ac:dyDescent="0.25">
      <c r="A82" t="s">
        <v>304</v>
      </c>
      <c r="B82" t="s">
        <v>296</v>
      </c>
      <c r="C82" s="1" t="s">
        <v>305</v>
      </c>
      <c r="D82" t="s">
        <v>63</v>
      </c>
      <c r="E82" t="s">
        <v>64</v>
      </c>
      <c r="F82" s="2">
        <v>593114.34</v>
      </c>
      <c r="G82" s="1" t="s">
        <v>306</v>
      </c>
      <c r="H82" t="s">
        <v>307</v>
      </c>
      <c r="I82" t="s">
        <v>308</v>
      </c>
      <c r="J82">
        <v>9</v>
      </c>
      <c r="K82" t="s">
        <v>26</v>
      </c>
      <c r="L82" t="s">
        <v>309</v>
      </c>
      <c r="M82" t="s">
        <v>28</v>
      </c>
      <c r="N82" t="s">
        <v>310</v>
      </c>
      <c r="O82" t="s">
        <v>252</v>
      </c>
      <c r="P82" t="s">
        <v>31</v>
      </c>
    </row>
    <row r="83" spans="1:16" x14ac:dyDescent="0.25">
      <c r="A83" t="s">
        <v>311</v>
      </c>
      <c r="B83" t="s">
        <v>296</v>
      </c>
      <c r="C83" s="1" t="s">
        <v>312</v>
      </c>
      <c r="D83" t="s">
        <v>63</v>
      </c>
      <c r="E83" t="s">
        <v>64</v>
      </c>
      <c r="F83" s="2">
        <v>787551.83</v>
      </c>
      <c r="G83" s="1" t="s">
        <v>313</v>
      </c>
      <c r="H83" t="s">
        <v>307</v>
      </c>
      <c r="I83" t="s">
        <v>308</v>
      </c>
      <c r="J83">
        <v>9</v>
      </c>
      <c r="K83" t="s">
        <v>26</v>
      </c>
      <c r="L83" t="s">
        <v>309</v>
      </c>
      <c r="M83" t="s">
        <v>28</v>
      </c>
      <c r="N83" t="s">
        <v>310</v>
      </c>
      <c r="O83" t="s">
        <v>252</v>
      </c>
      <c r="P83" t="s">
        <v>31</v>
      </c>
    </row>
    <row r="84" spans="1:16" x14ac:dyDescent="0.25">
      <c r="A84" t="s">
        <v>314</v>
      </c>
      <c r="B84" t="s">
        <v>296</v>
      </c>
      <c r="C84" s="1" t="s">
        <v>315</v>
      </c>
      <c r="D84" t="s">
        <v>63</v>
      </c>
      <c r="E84" t="s">
        <v>64</v>
      </c>
      <c r="F84" s="2">
        <v>342016.05</v>
      </c>
      <c r="G84" s="1" t="s">
        <v>316</v>
      </c>
      <c r="H84" t="s">
        <v>307</v>
      </c>
      <c r="I84" t="s">
        <v>308</v>
      </c>
      <c r="J84">
        <v>9</v>
      </c>
      <c r="K84" t="s">
        <v>26</v>
      </c>
      <c r="L84" t="s">
        <v>309</v>
      </c>
      <c r="M84" t="s">
        <v>28</v>
      </c>
      <c r="N84" t="s">
        <v>310</v>
      </c>
      <c r="O84" t="s">
        <v>252</v>
      </c>
      <c r="P84" t="s">
        <v>31</v>
      </c>
    </row>
    <row r="85" spans="1:16" x14ac:dyDescent="0.25">
      <c r="A85" t="s">
        <v>317</v>
      </c>
      <c r="B85" t="s">
        <v>296</v>
      </c>
      <c r="C85" s="1" t="s">
        <v>318</v>
      </c>
      <c r="D85" t="s">
        <v>63</v>
      </c>
      <c r="E85" t="s">
        <v>64</v>
      </c>
      <c r="F85" s="2">
        <v>492495.89</v>
      </c>
      <c r="G85" s="1" t="s">
        <v>319</v>
      </c>
      <c r="H85" t="s">
        <v>307</v>
      </c>
      <c r="I85" t="s">
        <v>308</v>
      </c>
      <c r="J85">
        <v>9</v>
      </c>
      <c r="K85" t="s">
        <v>26</v>
      </c>
      <c r="L85" t="s">
        <v>309</v>
      </c>
      <c r="M85" t="s">
        <v>28</v>
      </c>
      <c r="N85" t="s">
        <v>310</v>
      </c>
      <c r="O85" t="s">
        <v>252</v>
      </c>
      <c r="P85" t="s">
        <v>31</v>
      </c>
    </row>
    <row r="86" spans="1:16" x14ac:dyDescent="0.25">
      <c r="A86" t="s">
        <v>320</v>
      </c>
      <c r="B86" t="s">
        <v>296</v>
      </c>
      <c r="C86" s="1" t="s">
        <v>321</v>
      </c>
      <c r="D86" t="s">
        <v>34</v>
      </c>
      <c r="E86" t="s">
        <v>35</v>
      </c>
      <c r="F86" s="2">
        <v>336420.67</v>
      </c>
      <c r="G86" s="1" t="s">
        <v>322</v>
      </c>
      <c r="H86" t="s">
        <v>299</v>
      </c>
      <c r="I86" t="s">
        <v>300</v>
      </c>
      <c r="J86">
        <v>6</v>
      </c>
      <c r="K86" t="s">
        <v>26</v>
      </c>
      <c r="L86" t="s">
        <v>301</v>
      </c>
      <c r="M86" t="s">
        <v>28</v>
      </c>
      <c r="N86" t="s">
        <v>302</v>
      </c>
      <c r="O86" t="s">
        <v>303</v>
      </c>
      <c r="P86" t="s">
        <v>31</v>
      </c>
    </row>
    <row r="87" spans="1:16" x14ac:dyDescent="0.25">
      <c r="A87" t="s">
        <v>323</v>
      </c>
      <c r="B87" t="s">
        <v>296</v>
      </c>
      <c r="C87" s="1" t="s">
        <v>324</v>
      </c>
      <c r="D87" t="s">
        <v>34</v>
      </c>
      <c r="E87" t="s">
        <v>35</v>
      </c>
      <c r="F87" s="2">
        <v>389522.57</v>
      </c>
      <c r="G87" s="1" t="s">
        <v>325</v>
      </c>
      <c r="H87" t="s">
        <v>299</v>
      </c>
      <c r="I87" t="s">
        <v>300</v>
      </c>
      <c r="J87">
        <v>6</v>
      </c>
      <c r="K87" t="s">
        <v>26</v>
      </c>
      <c r="L87" t="s">
        <v>301</v>
      </c>
      <c r="M87" t="s">
        <v>28</v>
      </c>
      <c r="N87" t="s">
        <v>302</v>
      </c>
      <c r="O87" t="s">
        <v>303</v>
      </c>
      <c r="P87" t="s">
        <v>31</v>
      </c>
    </row>
    <row r="88" spans="1:16" x14ac:dyDescent="0.25">
      <c r="A88" t="s">
        <v>326</v>
      </c>
      <c r="B88" t="s">
        <v>296</v>
      </c>
      <c r="C88" s="1" t="s">
        <v>327</v>
      </c>
      <c r="D88" t="s">
        <v>34</v>
      </c>
      <c r="E88" t="s">
        <v>35</v>
      </c>
      <c r="F88" s="2">
        <v>405865.21</v>
      </c>
      <c r="G88" s="1" t="s">
        <v>328</v>
      </c>
      <c r="H88" t="s">
        <v>299</v>
      </c>
      <c r="I88" t="s">
        <v>300</v>
      </c>
      <c r="J88">
        <v>6</v>
      </c>
      <c r="K88" t="s">
        <v>26</v>
      </c>
      <c r="L88" t="s">
        <v>301</v>
      </c>
      <c r="M88" t="s">
        <v>28</v>
      </c>
      <c r="N88" t="s">
        <v>302</v>
      </c>
      <c r="O88" t="s">
        <v>303</v>
      </c>
      <c r="P88" t="s">
        <v>31</v>
      </c>
    </row>
    <row r="89" spans="1:16" x14ac:dyDescent="0.25">
      <c r="A89" t="s">
        <v>329</v>
      </c>
      <c r="B89" t="s">
        <v>296</v>
      </c>
      <c r="C89" s="1" t="s">
        <v>330</v>
      </c>
      <c r="D89" t="s">
        <v>34</v>
      </c>
      <c r="E89" t="s">
        <v>35</v>
      </c>
      <c r="F89" s="2">
        <v>421022</v>
      </c>
      <c r="G89" s="1" t="s">
        <v>331</v>
      </c>
      <c r="H89" t="s">
        <v>299</v>
      </c>
      <c r="I89" t="s">
        <v>300</v>
      </c>
      <c r="J89">
        <v>6</v>
      </c>
      <c r="K89" t="s">
        <v>26</v>
      </c>
      <c r="L89" t="s">
        <v>301</v>
      </c>
      <c r="M89" t="s">
        <v>28</v>
      </c>
      <c r="N89" t="s">
        <v>302</v>
      </c>
      <c r="O89" t="s">
        <v>303</v>
      </c>
      <c r="P89" t="s">
        <v>31</v>
      </c>
    </row>
    <row r="90" spans="1:16" x14ac:dyDescent="0.25">
      <c r="A90" t="s">
        <v>332</v>
      </c>
      <c r="B90" t="s">
        <v>296</v>
      </c>
      <c r="C90" s="1" t="s">
        <v>333</v>
      </c>
      <c r="D90" t="s">
        <v>34</v>
      </c>
      <c r="E90" t="s">
        <v>35</v>
      </c>
      <c r="F90" s="2">
        <v>700084.61</v>
      </c>
      <c r="G90" s="1" t="s">
        <v>334</v>
      </c>
      <c r="H90" t="s">
        <v>299</v>
      </c>
      <c r="I90" t="s">
        <v>300</v>
      </c>
      <c r="J90">
        <v>5</v>
      </c>
      <c r="K90" t="s">
        <v>26</v>
      </c>
      <c r="L90" t="s">
        <v>301</v>
      </c>
      <c r="M90" t="s">
        <v>28</v>
      </c>
      <c r="N90" t="s">
        <v>302</v>
      </c>
      <c r="O90" t="s">
        <v>303</v>
      </c>
      <c r="P90" t="s">
        <v>31</v>
      </c>
    </row>
    <row r="91" spans="1:16" x14ac:dyDescent="0.25">
      <c r="A91" t="s">
        <v>335</v>
      </c>
      <c r="B91" t="s">
        <v>296</v>
      </c>
      <c r="C91" s="1" t="s">
        <v>336</v>
      </c>
      <c r="D91" t="s">
        <v>34</v>
      </c>
      <c r="E91" t="s">
        <v>35</v>
      </c>
      <c r="F91" s="2">
        <v>712761.2</v>
      </c>
      <c r="G91" s="1" t="s">
        <v>337</v>
      </c>
      <c r="H91" t="s">
        <v>299</v>
      </c>
      <c r="I91" t="s">
        <v>300</v>
      </c>
      <c r="J91">
        <v>8</v>
      </c>
      <c r="K91" t="s">
        <v>26</v>
      </c>
      <c r="L91" t="s">
        <v>301</v>
      </c>
      <c r="M91" t="s">
        <v>28</v>
      </c>
      <c r="N91" t="s">
        <v>302</v>
      </c>
      <c r="O91" t="s">
        <v>303</v>
      </c>
      <c r="P91" t="s">
        <v>31</v>
      </c>
    </row>
    <row r="92" spans="1:16" x14ac:dyDescent="0.25">
      <c r="A92" t="s">
        <v>338</v>
      </c>
      <c r="B92" t="s">
        <v>296</v>
      </c>
      <c r="C92" s="1" t="s">
        <v>339</v>
      </c>
      <c r="D92" t="s">
        <v>34</v>
      </c>
      <c r="E92" t="s">
        <v>35</v>
      </c>
      <c r="F92" s="2">
        <v>698080.81</v>
      </c>
      <c r="G92" s="1" t="s">
        <v>340</v>
      </c>
      <c r="H92" t="s">
        <v>299</v>
      </c>
      <c r="I92" t="s">
        <v>300</v>
      </c>
      <c r="J92">
        <v>9</v>
      </c>
      <c r="K92" t="s">
        <v>26</v>
      </c>
      <c r="L92" t="s">
        <v>301</v>
      </c>
      <c r="M92" t="s">
        <v>28</v>
      </c>
      <c r="N92" t="s">
        <v>302</v>
      </c>
      <c r="O92" t="s">
        <v>303</v>
      </c>
      <c r="P92" t="s">
        <v>31</v>
      </c>
    </row>
    <row r="93" spans="1:16" x14ac:dyDescent="0.25">
      <c r="A93" t="s">
        <v>341</v>
      </c>
      <c r="B93" t="s">
        <v>296</v>
      </c>
      <c r="C93" s="1" t="s">
        <v>342</v>
      </c>
      <c r="D93" t="s">
        <v>34</v>
      </c>
      <c r="E93" t="s">
        <v>35</v>
      </c>
      <c r="F93" s="2">
        <v>682168.64</v>
      </c>
      <c r="G93" s="1" t="s">
        <v>343</v>
      </c>
      <c r="H93" t="s">
        <v>299</v>
      </c>
      <c r="I93" t="s">
        <v>300</v>
      </c>
      <c r="J93">
        <v>9</v>
      </c>
      <c r="K93" t="s">
        <v>26</v>
      </c>
      <c r="L93" t="s">
        <v>301</v>
      </c>
      <c r="M93" t="s">
        <v>28</v>
      </c>
      <c r="N93" t="s">
        <v>302</v>
      </c>
      <c r="O93" t="s">
        <v>303</v>
      </c>
      <c r="P93" t="s">
        <v>31</v>
      </c>
    </row>
    <row r="94" spans="1:16" x14ac:dyDescent="0.25">
      <c r="A94" t="s">
        <v>344</v>
      </c>
      <c r="B94" t="s">
        <v>296</v>
      </c>
      <c r="C94" s="1" t="s">
        <v>345</v>
      </c>
      <c r="D94" t="s">
        <v>34</v>
      </c>
      <c r="E94" t="s">
        <v>35</v>
      </c>
      <c r="F94" s="2">
        <v>211610.7</v>
      </c>
      <c r="G94" s="1" t="s">
        <v>346</v>
      </c>
      <c r="H94" t="s">
        <v>299</v>
      </c>
      <c r="I94" t="s">
        <v>45</v>
      </c>
      <c r="J94">
        <v>9</v>
      </c>
      <c r="K94" t="s">
        <v>26</v>
      </c>
      <c r="L94" t="s">
        <v>347</v>
      </c>
      <c r="M94" t="s">
        <v>28</v>
      </c>
      <c r="N94" t="s">
        <v>302</v>
      </c>
      <c r="O94" t="s">
        <v>47</v>
      </c>
      <c r="P94" t="s">
        <v>31</v>
      </c>
    </row>
    <row r="95" spans="1:16" x14ac:dyDescent="0.25">
      <c r="A95" t="s">
        <v>348</v>
      </c>
      <c r="B95" t="s">
        <v>296</v>
      </c>
      <c r="C95" s="1" t="s">
        <v>349</v>
      </c>
      <c r="D95" t="s">
        <v>34</v>
      </c>
      <c r="E95" t="s">
        <v>35</v>
      </c>
      <c r="F95" s="2">
        <v>16320.25</v>
      </c>
      <c r="G95" s="1" t="s">
        <v>350</v>
      </c>
      <c r="H95" t="s">
        <v>351</v>
      </c>
      <c r="I95" t="s">
        <v>37</v>
      </c>
      <c r="J95">
        <v>6</v>
      </c>
      <c r="K95" t="s">
        <v>26</v>
      </c>
      <c r="L95" t="s">
        <v>352</v>
      </c>
      <c r="M95" t="s">
        <v>28</v>
      </c>
      <c r="N95" t="s">
        <v>353</v>
      </c>
      <c r="O95" t="s">
        <v>39</v>
      </c>
      <c r="P95" t="s">
        <v>31</v>
      </c>
    </row>
    <row r="96" spans="1:16" x14ac:dyDescent="0.25">
      <c r="A96" t="s">
        <v>354</v>
      </c>
      <c r="B96" t="s">
        <v>296</v>
      </c>
      <c r="C96" s="1" t="s">
        <v>355</v>
      </c>
      <c r="D96" t="s">
        <v>34</v>
      </c>
      <c r="E96" t="s">
        <v>35</v>
      </c>
      <c r="F96" s="2">
        <v>12450.65</v>
      </c>
      <c r="G96" s="1" t="s">
        <v>356</v>
      </c>
      <c r="H96" t="s">
        <v>351</v>
      </c>
      <c r="I96" t="s">
        <v>37</v>
      </c>
      <c r="J96">
        <v>3</v>
      </c>
      <c r="K96" t="s">
        <v>26</v>
      </c>
      <c r="L96" t="s">
        <v>352</v>
      </c>
      <c r="M96" t="s">
        <v>28</v>
      </c>
      <c r="N96" t="s">
        <v>353</v>
      </c>
      <c r="O96" t="s">
        <v>39</v>
      </c>
      <c r="P96" t="s">
        <v>31</v>
      </c>
    </row>
    <row r="97" spans="1:16" x14ac:dyDescent="0.25">
      <c r="A97" t="s">
        <v>357</v>
      </c>
      <c r="B97" t="s">
        <v>296</v>
      </c>
      <c r="C97" s="1" t="s">
        <v>358</v>
      </c>
      <c r="D97" t="s">
        <v>34</v>
      </c>
      <c r="E97" t="s">
        <v>35</v>
      </c>
      <c r="F97" s="2">
        <v>66142.29</v>
      </c>
      <c r="G97" s="1" t="s">
        <v>359</v>
      </c>
      <c r="H97" t="s">
        <v>351</v>
      </c>
      <c r="I97" t="s">
        <v>25</v>
      </c>
      <c r="J97">
        <v>4</v>
      </c>
      <c r="K97" t="s">
        <v>26</v>
      </c>
      <c r="L97" t="s">
        <v>360</v>
      </c>
      <c r="M97" t="s">
        <v>28</v>
      </c>
      <c r="N97" t="s">
        <v>353</v>
      </c>
      <c r="O97" t="s">
        <v>30</v>
      </c>
      <c r="P97" t="s">
        <v>79</v>
      </c>
    </row>
    <row r="98" spans="1:16" x14ac:dyDescent="0.25">
      <c r="A98" t="s">
        <v>361</v>
      </c>
      <c r="B98" t="s">
        <v>296</v>
      </c>
      <c r="C98" s="1" t="s">
        <v>362</v>
      </c>
      <c r="D98" t="s">
        <v>34</v>
      </c>
      <c r="E98" t="s">
        <v>35</v>
      </c>
      <c r="F98" s="2">
        <v>123234.84</v>
      </c>
      <c r="G98" s="1" t="s">
        <v>363</v>
      </c>
      <c r="H98" t="s">
        <v>351</v>
      </c>
      <c r="I98" t="s">
        <v>25</v>
      </c>
      <c r="J98">
        <v>6</v>
      </c>
      <c r="K98" t="s">
        <v>26</v>
      </c>
      <c r="L98" t="s">
        <v>360</v>
      </c>
      <c r="M98" t="s">
        <v>28</v>
      </c>
      <c r="N98" t="s">
        <v>353</v>
      </c>
      <c r="O98" t="s">
        <v>30</v>
      </c>
      <c r="P98" t="s">
        <v>79</v>
      </c>
    </row>
    <row r="99" spans="1:16" x14ac:dyDescent="0.25">
      <c r="A99" t="s">
        <v>364</v>
      </c>
      <c r="B99" t="s">
        <v>296</v>
      </c>
      <c r="C99" s="1" t="s">
        <v>365</v>
      </c>
      <c r="D99" t="s">
        <v>21</v>
      </c>
      <c r="E99" t="s">
        <v>22</v>
      </c>
      <c r="F99" s="2">
        <v>132554.35</v>
      </c>
      <c r="G99" s="1" t="s">
        <v>366</v>
      </c>
      <c r="H99" t="s">
        <v>299</v>
      </c>
      <c r="I99" t="s">
        <v>300</v>
      </c>
      <c r="J99">
        <v>10</v>
      </c>
      <c r="K99" t="s">
        <v>26</v>
      </c>
      <c r="L99" t="s">
        <v>301</v>
      </c>
      <c r="M99" t="s">
        <v>28</v>
      </c>
      <c r="N99" t="s">
        <v>302</v>
      </c>
      <c r="O99" t="s">
        <v>303</v>
      </c>
      <c r="P99" t="s">
        <v>31</v>
      </c>
    </row>
    <row r="100" spans="1:16" x14ac:dyDescent="0.25">
      <c r="A100" t="s">
        <v>367</v>
      </c>
      <c r="B100" t="s">
        <v>296</v>
      </c>
      <c r="C100" s="1" t="s">
        <v>368</v>
      </c>
      <c r="D100" t="s">
        <v>21</v>
      </c>
      <c r="E100" t="s">
        <v>22</v>
      </c>
      <c r="F100" s="2">
        <v>83364.2</v>
      </c>
      <c r="G100" s="1" t="s">
        <v>369</v>
      </c>
      <c r="H100" t="s">
        <v>299</v>
      </c>
      <c r="I100" t="s">
        <v>300</v>
      </c>
      <c r="J100">
        <v>9</v>
      </c>
      <c r="K100" t="s">
        <v>26</v>
      </c>
      <c r="L100" t="s">
        <v>301</v>
      </c>
      <c r="M100" t="s">
        <v>28</v>
      </c>
      <c r="N100" t="s">
        <v>302</v>
      </c>
      <c r="O100" t="s">
        <v>303</v>
      </c>
      <c r="P100" t="s">
        <v>31</v>
      </c>
    </row>
    <row r="101" spans="1:16" x14ac:dyDescent="0.25">
      <c r="A101" t="s">
        <v>370</v>
      </c>
      <c r="B101" t="s">
        <v>296</v>
      </c>
      <c r="C101" s="1" t="s">
        <v>371</v>
      </c>
      <c r="D101" t="s">
        <v>21</v>
      </c>
      <c r="E101" t="s">
        <v>22</v>
      </c>
      <c r="F101" s="2">
        <v>105798.88</v>
      </c>
      <c r="G101" s="1" t="s">
        <v>372</v>
      </c>
      <c r="H101" t="s">
        <v>299</v>
      </c>
      <c r="I101" t="s">
        <v>300</v>
      </c>
      <c r="J101">
        <v>9</v>
      </c>
      <c r="K101" t="s">
        <v>26</v>
      </c>
      <c r="L101" t="s">
        <v>301</v>
      </c>
      <c r="M101" t="s">
        <v>28</v>
      </c>
      <c r="N101" t="s">
        <v>302</v>
      </c>
      <c r="O101" t="s">
        <v>303</v>
      </c>
      <c r="P101" t="s">
        <v>31</v>
      </c>
    </row>
    <row r="102" spans="1:16" x14ac:dyDescent="0.25">
      <c r="A102" t="s">
        <v>373</v>
      </c>
      <c r="B102" t="s">
        <v>296</v>
      </c>
      <c r="C102" s="1" t="s">
        <v>374</v>
      </c>
      <c r="D102" t="s">
        <v>21</v>
      </c>
      <c r="E102" t="s">
        <v>22</v>
      </c>
      <c r="F102" s="2">
        <v>136370.5</v>
      </c>
      <c r="G102" s="1" t="s">
        <v>375</v>
      </c>
      <c r="H102" t="s">
        <v>299</v>
      </c>
      <c r="I102" t="s">
        <v>300</v>
      </c>
      <c r="J102">
        <v>9</v>
      </c>
      <c r="K102" t="s">
        <v>26</v>
      </c>
      <c r="L102" t="s">
        <v>301</v>
      </c>
      <c r="M102" t="s">
        <v>28</v>
      </c>
      <c r="N102" t="s">
        <v>302</v>
      </c>
      <c r="O102" t="s">
        <v>303</v>
      </c>
      <c r="P102" t="s">
        <v>31</v>
      </c>
    </row>
    <row r="103" spans="1:16" x14ac:dyDescent="0.25">
      <c r="A103" t="s">
        <v>376</v>
      </c>
      <c r="B103" t="s">
        <v>296</v>
      </c>
      <c r="C103" s="1" t="s">
        <v>377</v>
      </c>
      <c r="D103" t="s">
        <v>34</v>
      </c>
      <c r="E103" t="s">
        <v>35</v>
      </c>
      <c r="F103" s="2">
        <v>593384.86</v>
      </c>
      <c r="G103" s="1" t="s">
        <v>378</v>
      </c>
      <c r="H103" t="s">
        <v>299</v>
      </c>
      <c r="I103" t="s">
        <v>300</v>
      </c>
      <c r="J103">
        <v>11</v>
      </c>
      <c r="K103" t="s">
        <v>26</v>
      </c>
      <c r="L103" t="s">
        <v>301</v>
      </c>
      <c r="M103" t="s">
        <v>28</v>
      </c>
      <c r="N103" t="s">
        <v>302</v>
      </c>
      <c r="O103" t="s">
        <v>303</v>
      </c>
      <c r="P103" t="s">
        <v>31</v>
      </c>
    </row>
    <row r="104" spans="1:16" x14ac:dyDescent="0.25">
      <c r="A104" t="s">
        <v>379</v>
      </c>
      <c r="B104" t="s">
        <v>296</v>
      </c>
      <c r="C104" s="1" t="s">
        <v>380</v>
      </c>
      <c r="D104" t="s">
        <v>34</v>
      </c>
      <c r="E104" t="s">
        <v>35</v>
      </c>
      <c r="F104" s="2">
        <v>816987.21</v>
      </c>
      <c r="G104" s="1" t="s">
        <v>381</v>
      </c>
      <c r="H104" t="s">
        <v>299</v>
      </c>
      <c r="I104" t="s">
        <v>300</v>
      </c>
      <c r="J104">
        <v>11</v>
      </c>
      <c r="K104" t="s">
        <v>26</v>
      </c>
      <c r="L104" t="s">
        <v>301</v>
      </c>
      <c r="M104" t="s">
        <v>28</v>
      </c>
      <c r="N104" t="s">
        <v>302</v>
      </c>
      <c r="O104" t="s">
        <v>303</v>
      </c>
      <c r="P104" t="s">
        <v>31</v>
      </c>
    </row>
    <row r="105" spans="1:16" x14ac:dyDescent="0.25">
      <c r="A105" t="s">
        <v>382</v>
      </c>
      <c r="B105" t="s">
        <v>296</v>
      </c>
      <c r="C105" s="1" t="s">
        <v>383</v>
      </c>
      <c r="D105" t="s">
        <v>34</v>
      </c>
      <c r="E105" t="s">
        <v>35</v>
      </c>
      <c r="F105" s="2">
        <v>866119.14</v>
      </c>
      <c r="G105" s="1" t="s">
        <v>384</v>
      </c>
      <c r="H105" t="s">
        <v>299</v>
      </c>
      <c r="I105" t="s">
        <v>300</v>
      </c>
      <c r="J105">
        <v>12</v>
      </c>
      <c r="K105" t="s">
        <v>26</v>
      </c>
      <c r="L105" t="s">
        <v>301</v>
      </c>
      <c r="M105" t="s">
        <v>28</v>
      </c>
      <c r="N105" t="s">
        <v>302</v>
      </c>
      <c r="O105" t="s">
        <v>303</v>
      </c>
      <c r="P105" t="s">
        <v>31</v>
      </c>
    </row>
    <row r="106" spans="1:16" x14ac:dyDescent="0.25">
      <c r="A106" t="s">
        <v>385</v>
      </c>
      <c r="B106" t="s">
        <v>296</v>
      </c>
      <c r="C106" s="1" t="s">
        <v>386</v>
      </c>
      <c r="D106" t="s">
        <v>34</v>
      </c>
      <c r="E106" t="s">
        <v>35</v>
      </c>
      <c r="F106" s="2">
        <v>629504.25</v>
      </c>
      <c r="G106" s="1" t="s">
        <v>387</v>
      </c>
      <c r="H106" t="s">
        <v>299</v>
      </c>
      <c r="I106" t="s">
        <v>300</v>
      </c>
      <c r="J106">
        <v>9</v>
      </c>
      <c r="K106" t="s">
        <v>26</v>
      </c>
      <c r="L106" t="s">
        <v>301</v>
      </c>
      <c r="M106" t="s">
        <v>28</v>
      </c>
      <c r="N106" t="s">
        <v>302</v>
      </c>
      <c r="O106" t="s">
        <v>303</v>
      </c>
      <c r="P106" t="s">
        <v>31</v>
      </c>
    </row>
    <row r="107" spans="1:16" x14ac:dyDescent="0.25">
      <c r="A107" t="s">
        <v>388</v>
      </c>
      <c r="B107" t="s">
        <v>296</v>
      </c>
      <c r="C107" s="1" t="s">
        <v>389</v>
      </c>
      <c r="D107" t="s">
        <v>34</v>
      </c>
      <c r="E107" t="s">
        <v>35</v>
      </c>
      <c r="F107" s="2">
        <v>18981.44</v>
      </c>
      <c r="G107" s="1" t="s">
        <v>390</v>
      </c>
      <c r="H107" t="s">
        <v>351</v>
      </c>
      <c r="I107" t="s">
        <v>58</v>
      </c>
      <c r="J107">
        <v>4</v>
      </c>
      <c r="K107" t="s">
        <v>26</v>
      </c>
      <c r="L107" t="s">
        <v>391</v>
      </c>
      <c r="M107" t="s">
        <v>28</v>
      </c>
      <c r="N107" t="s">
        <v>353</v>
      </c>
      <c r="O107" t="s">
        <v>60</v>
      </c>
      <c r="P107" t="s">
        <v>31</v>
      </c>
    </row>
    <row r="108" spans="1:16" x14ac:dyDescent="0.25">
      <c r="A108" t="s">
        <v>392</v>
      </c>
      <c r="B108" t="s">
        <v>296</v>
      </c>
      <c r="C108" s="1" t="s">
        <v>393</v>
      </c>
      <c r="D108" t="s">
        <v>21</v>
      </c>
      <c r="E108" t="s">
        <v>22</v>
      </c>
      <c r="F108" s="2">
        <v>28716.43</v>
      </c>
      <c r="G108" s="1" t="s">
        <v>394</v>
      </c>
      <c r="H108" t="s">
        <v>299</v>
      </c>
      <c r="I108" t="s">
        <v>300</v>
      </c>
      <c r="J108">
        <v>4</v>
      </c>
      <c r="K108" t="s">
        <v>26</v>
      </c>
      <c r="L108" t="s">
        <v>301</v>
      </c>
      <c r="M108" t="s">
        <v>28</v>
      </c>
      <c r="N108" t="s">
        <v>302</v>
      </c>
      <c r="O108" t="s">
        <v>303</v>
      </c>
      <c r="P108" t="s">
        <v>31</v>
      </c>
    </row>
    <row r="109" spans="1:16" x14ac:dyDescent="0.25">
      <c r="A109" t="s">
        <v>395</v>
      </c>
      <c r="B109" t="s">
        <v>296</v>
      </c>
      <c r="C109" s="1" t="s">
        <v>396</v>
      </c>
      <c r="D109" t="s">
        <v>21</v>
      </c>
      <c r="E109" t="s">
        <v>22</v>
      </c>
      <c r="F109" s="2">
        <v>37250.48</v>
      </c>
      <c r="G109" s="1" t="s">
        <v>397</v>
      </c>
      <c r="H109" t="s">
        <v>299</v>
      </c>
      <c r="I109" t="s">
        <v>300</v>
      </c>
      <c r="J109">
        <v>4</v>
      </c>
      <c r="K109" t="s">
        <v>26</v>
      </c>
      <c r="L109" t="s">
        <v>301</v>
      </c>
      <c r="M109" t="s">
        <v>28</v>
      </c>
      <c r="N109" t="s">
        <v>302</v>
      </c>
      <c r="O109" t="s">
        <v>303</v>
      </c>
      <c r="P109" t="s">
        <v>31</v>
      </c>
    </row>
    <row r="110" spans="1:16" x14ac:dyDescent="0.25">
      <c r="A110" t="s">
        <v>398</v>
      </c>
      <c r="B110" t="s">
        <v>296</v>
      </c>
      <c r="C110" s="1" t="s">
        <v>399</v>
      </c>
      <c r="D110" t="s">
        <v>231</v>
      </c>
      <c r="E110" t="s">
        <v>232</v>
      </c>
      <c r="F110" s="2">
        <v>6169.77</v>
      </c>
      <c r="G110" s="1" t="s">
        <v>400</v>
      </c>
      <c r="H110" t="s">
        <v>299</v>
      </c>
      <c r="I110" t="s">
        <v>401</v>
      </c>
      <c r="J110">
        <v>4</v>
      </c>
      <c r="K110" t="s">
        <v>26</v>
      </c>
      <c r="L110" t="s">
        <v>402</v>
      </c>
      <c r="M110" t="s">
        <v>28</v>
      </c>
      <c r="N110" t="s">
        <v>302</v>
      </c>
      <c r="O110" t="s">
        <v>403</v>
      </c>
      <c r="P110" t="s">
        <v>404</v>
      </c>
    </row>
    <row r="111" spans="1:16" x14ac:dyDescent="0.25">
      <c r="A111" t="s">
        <v>405</v>
      </c>
      <c r="B111" t="s">
        <v>296</v>
      </c>
      <c r="C111" s="1" t="s">
        <v>406</v>
      </c>
      <c r="D111" t="s">
        <v>42</v>
      </c>
      <c r="E111" t="s">
        <v>43</v>
      </c>
      <c r="F111" s="2">
        <v>50633.48</v>
      </c>
      <c r="G111" s="1" t="s">
        <v>407</v>
      </c>
      <c r="H111" t="s">
        <v>307</v>
      </c>
      <c r="I111" t="s">
        <v>308</v>
      </c>
      <c r="J111">
        <v>7</v>
      </c>
      <c r="K111" t="s">
        <v>26</v>
      </c>
      <c r="L111" t="s">
        <v>408</v>
      </c>
      <c r="M111" t="s">
        <v>28</v>
      </c>
      <c r="N111" t="s">
        <v>310</v>
      </c>
      <c r="O111" t="s">
        <v>252</v>
      </c>
      <c r="P111" t="s">
        <v>404</v>
      </c>
    </row>
    <row r="112" spans="1:16" x14ac:dyDescent="0.25">
      <c r="A112" t="s">
        <v>409</v>
      </c>
      <c r="B112" t="s">
        <v>296</v>
      </c>
      <c r="C112" s="1" t="s">
        <v>410</v>
      </c>
      <c r="D112" t="s">
        <v>42</v>
      </c>
      <c r="E112" t="s">
        <v>43</v>
      </c>
      <c r="F112" s="2">
        <v>28134.71</v>
      </c>
      <c r="G112" s="1" t="s">
        <v>411</v>
      </c>
      <c r="H112" t="s">
        <v>307</v>
      </c>
      <c r="I112" t="s">
        <v>308</v>
      </c>
      <c r="J112">
        <v>7</v>
      </c>
      <c r="K112" t="s">
        <v>26</v>
      </c>
      <c r="L112" t="s">
        <v>408</v>
      </c>
      <c r="M112" t="s">
        <v>28</v>
      </c>
      <c r="N112" t="s">
        <v>310</v>
      </c>
      <c r="O112" t="s">
        <v>252</v>
      </c>
      <c r="P112" t="s">
        <v>404</v>
      </c>
    </row>
    <row r="113" spans="1:16" x14ac:dyDescent="0.25">
      <c r="A113" t="s">
        <v>412</v>
      </c>
      <c r="B113" t="s">
        <v>296</v>
      </c>
      <c r="C113" s="1" t="s">
        <v>413</v>
      </c>
      <c r="D113" t="s">
        <v>42</v>
      </c>
      <c r="E113" t="s">
        <v>43</v>
      </c>
      <c r="F113" s="2">
        <v>24604.21</v>
      </c>
      <c r="G113" s="1" t="s">
        <v>414</v>
      </c>
      <c r="H113" t="s">
        <v>307</v>
      </c>
      <c r="I113" t="s">
        <v>250</v>
      </c>
      <c r="J113">
        <v>4</v>
      </c>
      <c r="K113" t="s">
        <v>26</v>
      </c>
      <c r="L113" t="s">
        <v>408</v>
      </c>
      <c r="M113" t="s">
        <v>28</v>
      </c>
      <c r="N113" t="s">
        <v>310</v>
      </c>
      <c r="O113" t="s">
        <v>252</v>
      </c>
      <c r="P113" t="s">
        <v>404</v>
      </c>
    </row>
    <row r="114" spans="1:16" x14ac:dyDescent="0.25">
      <c r="A114" t="s">
        <v>415</v>
      </c>
      <c r="B114" t="s">
        <v>296</v>
      </c>
      <c r="C114" s="1" t="s">
        <v>416</v>
      </c>
      <c r="D114" t="s">
        <v>42</v>
      </c>
      <c r="E114" t="s">
        <v>43</v>
      </c>
      <c r="F114" s="2">
        <v>43095.21</v>
      </c>
      <c r="G114" s="1" t="s">
        <v>417</v>
      </c>
      <c r="H114" t="s">
        <v>307</v>
      </c>
      <c r="I114" t="s">
        <v>250</v>
      </c>
      <c r="J114">
        <v>4</v>
      </c>
      <c r="K114" t="s">
        <v>26</v>
      </c>
      <c r="L114" t="s">
        <v>408</v>
      </c>
      <c r="M114" t="s">
        <v>28</v>
      </c>
      <c r="N114" t="s">
        <v>310</v>
      </c>
      <c r="O114" t="s">
        <v>252</v>
      </c>
      <c r="P114" t="s">
        <v>404</v>
      </c>
    </row>
    <row r="115" spans="1:16" x14ac:dyDescent="0.25">
      <c r="A115" t="s">
        <v>418</v>
      </c>
      <c r="B115" t="s">
        <v>296</v>
      </c>
      <c r="C115" s="1" t="s">
        <v>419</v>
      </c>
      <c r="D115" t="s">
        <v>42</v>
      </c>
      <c r="E115" t="s">
        <v>43</v>
      </c>
      <c r="F115" s="2">
        <v>74535.43</v>
      </c>
      <c r="G115" s="1" t="s">
        <v>420</v>
      </c>
      <c r="H115" t="s">
        <v>307</v>
      </c>
      <c r="I115" t="s">
        <v>250</v>
      </c>
      <c r="J115">
        <v>5</v>
      </c>
      <c r="K115" t="s">
        <v>26</v>
      </c>
      <c r="L115" t="s">
        <v>408</v>
      </c>
      <c r="M115" t="s">
        <v>28</v>
      </c>
      <c r="N115" t="s">
        <v>310</v>
      </c>
      <c r="O115" t="s">
        <v>252</v>
      </c>
      <c r="P115" t="s">
        <v>404</v>
      </c>
    </row>
    <row r="116" spans="1:16" x14ac:dyDescent="0.25">
      <c r="A116" t="s">
        <v>421</v>
      </c>
      <c r="B116" t="s">
        <v>296</v>
      </c>
      <c r="C116" s="1" t="s">
        <v>422</v>
      </c>
      <c r="D116" t="s">
        <v>42</v>
      </c>
      <c r="E116" t="s">
        <v>43</v>
      </c>
      <c r="F116" s="2">
        <v>70608.43</v>
      </c>
      <c r="G116" s="1" t="s">
        <v>423</v>
      </c>
      <c r="H116" t="s">
        <v>307</v>
      </c>
      <c r="I116" t="s">
        <v>250</v>
      </c>
      <c r="J116">
        <v>4</v>
      </c>
      <c r="K116" t="s">
        <v>26</v>
      </c>
      <c r="L116" t="s">
        <v>408</v>
      </c>
      <c r="M116" t="s">
        <v>28</v>
      </c>
      <c r="N116" t="s">
        <v>310</v>
      </c>
      <c r="O116" t="s">
        <v>252</v>
      </c>
      <c r="P116" t="s">
        <v>404</v>
      </c>
    </row>
    <row r="117" spans="1:16" x14ac:dyDescent="0.25">
      <c r="A117" t="s">
        <v>424</v>
      </c>
      <c r="B117" t="s">
        <v>296</v>
      </c>
      <c r="C117" s="1" t="s">
        <v>425</v>
      </c>
      <c r="D117" t="s">
        <v>42</v>
      </c>
      <c r="E117" t="s">
        <v>43</v>
      </c>
      <c r="F117" s="2">
        <v>18029.77</v>
      </c>
      <c r="G117" s="1" t="s">
        <v>426</v>
      </c>
      <c r="H117" t="s">
        <v>307</v>
      </c>
      <c r="I117" t="s">
        <v>308</v>
      </c>
      <c r="J117">
        <v>6</v>
      </c>
      <c r="K117" t="s">
        <v>26</v>
      </c>
      <c r="L117" t="s">
        <v>408</v>
      </c>
      <c r="M117" t="s">
        <v>28</v>
      </c>
      <c r="N117" t="s">
        <v>310</v>
      </c>
      <c r="O117" t="s">
        <v>252</v>
      </c>
      <c r="P117" t="s">
        <v>404</v>
      </c>
    </row>
    <row r="118" spans="1:16" x14ac:dyDescent="0.25">
      <c r="A118" t="s">
        <v>427</v>
      </c>
      <c r="B118" t="s">
        <v>296</v>
      </c>
      <c r="C118" s="1" t="s">
        <v>428</v>
      </c>
      <c r="D118" t="s">
        <v>42</v>
      </c>
      <c r="E118" t="s">
        <v>43</v>
      </c>
      <c r="F118" s="2">
        <v>22980.97</v>
      </c>
      <c r="G118" s="1" t="s">
        <v>429</v>
      </c>
      <c r="H118" t="s">
        <v>307</v>
      </c>
      <c r="I118" t="s">
        <v>308</v>
      </c>
      <c r="J118">
        <v>6</v>
      </c>
      <c r="K118" t="s">
        <v>26</v>
      </c>
      <c r="L118" t="s">
        <v>408</v>
      </c>
      <c r="M118" t="s">
        <v>28</v>
      </c>
      <c r="N118" t="s">
        <v>310</v>
      </c>
      <c r="O118" t="s">
        <v>252</v>
      </c>
      <c r="P118" t="s">
        <v>404</v>
      </c>
    </row>
    <row r="119" spans="1:16" x14ac:dyDescent="0.25">
      <c r="A119" t="s">
        <v>430</v>
      </c>
      <c r="B119" t="s">
        <v>296</v>
      </c>
      <c r="C119" s="1" t="s">
        <v>431</v>
      </c>
      <c r="D119" t="s">
        <v>42</v>
      </c>
      <c r="E119" t="s">
        <v>43</v>
      </c>
      <c r="F119" s="2">
        <v>22485.91</v>
      </c>
      <c r="G119" s="1" t="s">
        <v>432</v>
      </c>
      <c r="H119" t="s">
        <v>307</v>
      </c>
      <c r="I119" t="s">
        <v>308</v>
      </c>
      <c r="J119">
        <v>7</v>
      </c>
      <c r="K119" t="s">
        <v>26</v>
      </c>
      <c r="L119" t="s">
        <v>408</v>
      </c>
      <c r="M119" t="s">
        <v>28</v>
      </c>
      <c r="N119" t="s">
        <v>310</v>
      </c>
      <c r="O119" t="s">
        <v>252</v>
      </c>
      <c r="P119" t="s">
        <v>404</v>
      </c>
    </row>
    <row r="120" spans="1:16" x14ac:dyDescent="0.25">
      <c r="A120" t="s">
        <v>433</v>
      </c>
      <c r="B120" t="s">
        <v>296</v>
      </c>
      <c r="C120" s="1" t="s">
        <v>434</v>
      </c>
      <c r="D120" t="s">
        <v>42</v>
      </c>
      <c r="E120" t="s">
        <v>43</v>
      </c>
      <c r="F120" s="2">
        <v>40414.31</v>
      </c>
      <c r="G120" s="1" t="s">
        <v>435</v>
      </c>
      <c r="H120" t="s">
        <v>307</v>
      </c>
      <c r="I120" t="s">
        <v>308</v>
      </c>
      <c r="J120">
        <v>7</v>
      </c>
      <c r="K120" t="s">
        <v>26</v>
      </c>
      <c r="L120" t="s">
        <v>408</v>
      </c>
      <c r="M120" t="s">
        <v>28</v>
      </c>
      <c r="N120" t="s">
        <v>310</v>
      </c>
      <c r="O120" t="s">
        <v>252</v>
      </c>
      <c r="P120" t="s">
        <v>404</v>
      </c>
    </row>
    <row r="121" spans="1:16" x14ac:dyDescent="0.25">
      <c r="A121" t="s">
        <v>436</v>
      </c>
      <c r="B121" t="s">
        <v>296</v>
      </c>
      <c r="C121" s="1" t="s">
        <v>437</v>
      </c>
      <c r="D121" t="s">
        <v>231</v>
      </c>
      <c r="E121" t="s">
        <v>232</v>
      </c>
      <c r="F121" s="2">
        <v>4170.69</v>
      </c>
      <c r="G121" s="1" t="s">
        <v>438</v>
      </c>
      <c r="H121" t="s">
        <v>299</v>
      </c>
      <c r="I121" t="s">
        <v>401</v>
      </c>
      <c r="J121">
        <v>6</v>
      </c>
      <c r="K121" t="s">
        <v>26</v>
      </c>
      <c r="L121" t="s">
        <v>439</v>
      </c>
      <c r="M121" t="s">
        <v>28</v>
      </c>
      <c r="N121" t="s">
        <v>302</v>
      </c>
      <c r="O121" t="s">
        <v>403</v>
      </c>
      <c r="P121" t="s">
        <v>440</v>
      </c>
    </row>
    <row r="122" spans="1:16" x14ac:dyDescent="0.25">
      <c r="A122" t="s">
        <v>441</v>
      </c>
      <c r="B122" t="s">
        <v>296</v>
      </c>
      <c r="C122" s="1" t="s">
        <v>442</v>
      </c>
      <c r="D122" t="s">
        <v>231</v>
      </c>
      <c r="E122" t="s">
        <v>232</v>
      </c>
      <c r="F122" s="2">
        <v>4427.28</v>
      </c>
      <c r="G122" s="1" t="s">
        <v>443</v>
      </c>
      <c r="H122" t="s">
        <v>299</v>
      </c>
      <c r="I122" t="s">
        <v>401</v>
      </c>
      <c r="J122">
        <v>6</v>
      </c>
      <c r="K122" t="s">
        <v>26</v>
      </c>
      <c r="L122" t="s">
        <v>439</v>
      </c>
      <c r="M122" t="s">
        <v>28</v>
      </c>
      <c r="N122" t="s">
        <v>302</v>
      </c>
      <c r="O122" t="s">
        <v>403</v>
      </c>
      <c r="P122" t="s">
        <v>440</v>
      </c>
    </row>
    <row r="123" spans="1:16" x14ac:dyDescent="0.25">
      <c r="A123" t="s">
        <v>444</v>
      </c>
      <c r="B123" t="s">
        <v>445</v>
      </c>
      <c r="C123" s="1" t="s">
        <v>446</v>
      </c>
      <c r="D123" t="s">
        <v>34</v>
      </c>
      <c r="E123" t="s">
        <v>35</v>
      </c>
      <c r="F123" s="2">
        <v>1184917.93</v>
      </c>
      <c r="G123" s="1" t="s">
        <v>447</v>
      </c>
      <c r="H123" t="s">
        <v>448</v>
      </c>
      <c r="I123" t="s">
        <v>300</v>
      </c>
      <c r="J123">
        <v>11</v>
      </c>
      <c r="K123" t="s">
        <v>26</v>
      </c>
      <c r="L123" t="s">
        <v>449</v>
      </c>
      <c r="M123" t="s">
        <v>28</v>
      </c>
      <c r="N123" t="s">
        <v>450</v>
      </c>
      <c r="O123" t="s">
        <v>303</v>
      </c>
      <c r="P123" t="s">
        <v>31</v>
      </c>
    </row>
    <row r="124" spans="1:16" x14ac:dyDescent="0.25">
      <c r="A124" t="s">
        <v>451</v>
      </c>
      <c r="B124" t="s">
        <v>445</v>
      </c>
      <c r="C124" s="1" t="s">
        <v>452</v>
      </c>
      <c r="D124" t="s">
        <v>34</v>
      </c>
      <c r="E124" t="s">
        <v>35</v>
      </c>
      <c r="F124" s="2">
        <v>1238546.75</v>
      </c>
      <c r="G124" s="1" t="s">
        <v>453</v>
      </c>
      <c r="H124" t="s">
        <v>448</v>
      </c>
      <c r="I124" t="s">
        <v>300</v>
      </c>
      <c r="J124">
        <v>10</v>
      </c>
      <c r="K124" t="s">
        <v>26</v>
      </c>
      <c r="L124" t="s">
        <v>449</v>
      </c>
      <c r="M124" t="s">
        <v>28</v>
      </c>
      <c r="N124" t="s">
        <v>450</v>
      </c>
      <c r="O124" t="s">
        <v>303</v>
      </c>
      <c r="P124" t="s">
        <v>31</v>
      </c>
    </row>
    <row r="125" spans="1:16" x14ac:dyDescent="0.25">
      <c r="A125" t="s">
        <v>454</v>
      </c>
      <c r="B125" t="s">
        <v>445</v>
      </c>
      <c r="C125" s="1" t="s">
        <v>455</v>
      </c>
      <c r="D125" t="s">
        <v>34</v>
      </c>
      <c r="E125" t="s">
        <v>35</v>
      </c>
      <c r="F125" s="2">
        <v>1152855.06</v>
      </c>
      <c r="G125" s="1" t="s">
        <v>456</v>
      </c>
      <c r="H125" t="s">
        <v>448</v>
      </c>
      <c r="I125" t="s">
        <v>300</v>
      </c>
      <c r="J125">
        <v>11</v>
      </c>
      <c r="K125" t="s">
        <v>26</v>
      </c>
      <c r="L125" t="s">
        <v>449</v>
      </c>
      <c r="M125" t="s">
        <v>28</v>
      </c>
      <c r="N125" t="s">
        <v>450</v>
      </c>
      <c r="O125" t="s">
        <v>303</v>
      </c>
      <c r="P125" t="s">
        <v>31</v>
      </c>
    </row>
    <row r="126" spans="1:16" x14ac:dyDescent="0.25">
      <c r="A126" t="s">
        <v>457</v>
      </c>
      <c r="B126" t="s">
        <v>445</v>
      </c>
      <c r="C126" s="1" t="s">
        <v>458</v>
      </c>
      <c r="D126" t="s">
        <v>34</v>
      </c>
      <c r="E126" t="s">
        <v>35</v>
      </c>
      <c r="F126" s="2">
        <v>1174436.45</v>
      </c>
      <c r="G126" s="1" t="s">
        <v>459</v>
      </c>
      <c r="H126" t="s">
        <v>448</v>
      </c>
      <c r="I126" t="s">
        <v>300</v>
      </c>
      <c r="J126">
        <v>12</v>
      </c>
      <c r="K126" t="s">
        <v>26</v>
      </c>
      <c r="L126" t="s">
        <v>449</v>
      </c>
      <c r="M126" t="s">
        <v>28</v>
      </c>
      <c r="N126" t="s">
        <v>450</v>
      </c>
      <c r="O126" t="s">
        <v>303</v>
      </c>
      <c r="P126" t="s">
        <v>31</v>
      </c>
    </row>
    <row r="127" spans="1:16" x14ac:dyDescent="0.25">
      <c r="A127" t="s">
        <v>460</v>
      </c>
      <c r="B127" t="s">
        <v>445</v>
      </c>
      <c r="C127" s="1" t="s">
        <v>461</v>
      </c>
      <c r="D127" t="s">
        <v>34</v>
      </c>
      <c r="E127" t="s">
        <v>35</v>
      </c>
      <c r="F127" s="2">
        <v>1216130</v>
      </c>
      <c r="G127" s="1" t="s">
        <v>462</v>
      </c>
      <c r="H127" t="s">
        <v>448</v>
      </c>
      <c r="I127" t="s">
        <v>300</v>
      </c>
      <c r="J127">
        <v>12</v>
      </c>
      <c r="K127" t="s">
        <v>26</v>
      </c>
      <c r="L127" t="s">
        <v>449</v>
      </c>
      <c r="M127" t="s">
        <v>28</v>
      </c>
      <c r="N127" t="s">
        <v>450</v>
      </c>
      <c r="O127" t="s">
        <v>303</v>
      </c>
      <c r="P127" t="s">
        <v>31</v>
      </c>
    </row>
    <row r="128" spans="1:16" x14ac:dyDescent="0.25">
      <c r="A128" t="s">
        <v>463</v>
      </c>
      <c r="B128" t="s">
        <v>445</v>
      </c>
      <c r="C128" s="1" t="s">
        <v>464</v>
      </c>
      <c r="D128" t="s">
        <v>34</v>
      </c>
      <c r="E128" t="s">
        <v>35</v>
      </c>
      <c r="F128" s="2">
        <v>1230801.29</v>
      </c>
      <c r="G128" s="1" t="s">
        <v>465</v>
      </c>
      <c r="H128" t="s">
        <v>448</v>
      </c>
      <c r="I128" t="s">
        <v>300</v>
      </c>
      <c r="J128">
        <v>10</v>
      </c>
      <c r="K128" t="s">
        <v>26</v>
      </c>
      <c r="L128" t="s">
        <v>449</v>
      </c>
      <c r="M128" t="s">
        <v>28</v>
      </c>
      <c r="N128" t="s">
        <v>450</v>
      </c>
      <c r="O128" t="s">
        <v>303</v>
      </c>
      <c r="P128" t="s">
        <v>31</v>
      </c>
    </row>
    <row r="129" spans="1:16" x14ac:dyDescent="0.25">
      <c r="A129" t="s">
        <v>466</v>
      </c>
      <c r="B129" t="s">
        <v>445</v>
      </c>
      <c r="C129" s="1" t="s">
        <v>467</v>
      </c>
      <c r="D129" t="s">
        <v>21</v>
      </c>
      <c r="E129" t="s">
        <v>22</v>
      </c>
      <c r="F129" s="2">
        <v>184943.7</v>
      </c>
      <c r="G129" s="1" t="s">
        <v>468</v>
      </c>
      <c r="H129" t="s">
        <v>448</v>
      </c>
      <c r="I129" t="s">
        <v>300</v>
      </c>
      <c r="J129">
        <v>11</v>
      </c>
      <c r="K129" t="s">
        <v>26</v>
      </c>
      <c r="L129" t="s">
        <v>449</v>
      </c>
      <c r="M129" t="s">
        <v>28</v>
      </c>
      <c r="N129" t="s">
        <v>450</v>
      </c>
      <c r="O129" t="s">
        <v>303</v>
      </c>
      <c r="P129" t="s">
        <v>31</v>
      </c>
    </row>
    <row r="130" spans="1:16" x14ac:dyDescent="0.25">
      <c r="A130" t="s">
        <v>469</v>
      </c>
      <c r="B130" t="s">
        <v>445</v>
      </c>
      <c r="C130" s="1" t="s">
        <v>470</v>
      </c>
      <c r="D130" t="s">
        <v>21</v>
      </c>
      <c r="E130" t="s">
        <v>22</v>
      </c>
      <c r="F130" s="2">
        <v>179486.14</v>
      </c>
      <c r="G130" s="1" t="s">
        <v>471</v>
      </c>
      <c r="H130" t="s">
        <v>448</v>
      </c>
      <c r="I130" t="s">
        <v>300</v>
      </c>
      <c r="J130">
        <v>11</v>
      </c>
      <c r="K130" t="s">
        <v>26</v>
      </c>
      <c r="L130" t="s">
        <v>449</v>
      </c>
      <c r="M130" t="s">
        <v>28</v>
      </c>
      <c r="N130" t="s">
        <v>450</v>
      </c>
      <c r="O130" t="s">
        <v>303</v>
      </c>
      <c r="P130" t="s">
        <v>31</v>
      </c>
    </row>
    <row r="131" spans="1:16" x14ac:dyDescent="0.25">
      <c r="A131" t="s">
        <v>472</v>
      </c>
      <c r="B131" t="s">
        <v>445</v>
      </c>
      <c r="C131" s="1" t="s">
        <v>473</v>
      </c>
      <c r="D131" t="s">
        <v>21</v>
      </c>
      <c r="E131" t="s">
        <v>22</v>
      </c>
      <c r="F131" s="2">
        <v>202242.48</v>
      </c>
      <c r="G131" s="1" t="s">
        <v>474</v>
      </c>
      <c r="H131" t="s">
        <v>448</v>
      </c>
      <c r="I131" t="s">
        <v>300</v>
      </c>
      <c r="J131">
        <v>11</v>
      </c>
      <c r="K131" t="s">
        <v>26</v>
      </c>
      <c r="L131" t="s">
        <v>449</v>
      </c>
      <c r="M131" t="s">
        <v>28</v>
      </c>
      <c r="N131" t="s">
        <v>450</v>
      </c>
      <c r="O131" t="s">
        <v>303</v>
      </c>
      <c r="P131" t="s">
        <v>31</v>
      </c>
    </row>
    <row r="132" spans="1:16" x14ac:dyDescent="0.25">
      <c r="A132" t="s">
        <v>475</v>
      </c>
      <c r="B132" t="s">
        <v>445</v>
      </c>
      <c r="C132" s="1" t="s">
        <v>476</v>
      </c>
      <c r="D132" t="s">
        <v>21</v>
      </c>
      <c r="E132" t="s">
        <v>22</v>
      </c>
      <c r="F132" s="2">
        <v>195875.32</v>
      </c>
      <c r="G132" s="1" t="s">
        <v>477</v>
      </c>
      <c r="H132" t="s">
        <v>448</v>
      </c>
      <c r="I132" t="s">
        <v>300</v>
      </c>
      <c r="J132">
        <v>11</v>
      </c>
      <c r="K132" t="s">
        <v>26</v>
      </c>
      <c r="L132" t="s">
        <v>449</v>
      </c>
      <c r="M132" t="s">
        <v>28</v>
      </c>
      <c r="N132" t="s">
        <v>450</v>
      </c>
      <c r="O132" t="s">
        <v>303</v>
      </c>
      <c r="P132" t="s">
        <v>31</v>
      </c>
    </row>
    <row r="133" spans="1:16" x14ac:dyDescent="0.25">
      <c r="A133" t="s">
        <v>478</v>
      </c>
      <c r="B133" t="s">
        <v>445</v>
      </c>
      <c r="C133" s="1" t="s">
        <v>479</v>
      </c>
      <c r="D133" t="s">
        <v>21</v>
      </c>
      <c r="E133" t="s">
        <v>22</v>
      </c>
      <c r="F133" s="2">
        <v>204050.39</v>
      </c>
      <c r="G133" s="1" t="s">
        <v>480</v>
      </c>
      <c r="H133" t="s">
        <v>448</v>
      </c>
      <c r="I133" t="s">
        <v>300</v>
      </c>
      <c r="J133">
        <v>11</v>
      </c>
      <c r="K133" t="s">
        <v>26</v>
      </c>
      <c r="L133" t="s">
        <v>449</v>
      </c>
      <c r="M133" t="s">
        <v>28</v>
      </c>
      <c r="N133" t="s">
        <v>450</v>
      </c>
      <c r="O133" t="s">
        <v>303</v>
      </c>
      <c r="P133" t="s">
        <v>31</v>
      </c>
    </row>
    <row r="134" spans="1:16" x14ac:dyDescent="0.25">
      <c r="A134" t="s">
        <v>481</v>
      </c>
      <c r="B134" t="s">
        <v>445</v>
      </c>
      <c r="C134" s="1" t="s">
        <v>482</v>
      </c>
      <c r="D134" t="s">
        <v>21</v>
      </c>
      <c r="E134" t="s">
        <v>22</v>
      </c>
      <c r="F134" s="2">
        <v>210872.35</v>
      </c>
      <c r="G134" s="1" t="s">
        <v>483</v>
      </c>
      <c r="H134" t="s">
        <v>448</v>
      </c>
      <c r="I134" t="s">
        <v>300</v>
      </c>
      <c r="J134">
        <v>11</v>
      </c>
      <c r="K134" t="s">
        <v>26</v>
      </c>
      <c r="L134" t="s">
        <v>449</v>
      </c>
      <c r="M134" t="s">
        <v>28</v>
      </c>
      <c r="N134" t="s">
        <v>450</v>
      </c>
      <c r="O134" t="s">
        <v>303</v>
      </c>
      <c r="P134" t="s">
        <v>31</v>
      </c>
    </row>
    <row r="135" spans="1:16" x14ac:dyDescent="0.25">
      <c r="A135" t="s">
        <v>484</v>
      </c>
      <c r="B135" t="s">
        <v>445</v>
      </c>
      <c r="C135" s="1" t="s">
        <v>485</v>
      </c>
      <c r="D135" t="s">
        <v>21</v>
      </c>
      <c r="E135" t="s">
        <v>22</v>
      </c>
      <c r="F135" s="2">
        <v>103271.25</v>
      </c>
      <c r="G135" s="1" t="s">
        <v>486</v>
      </c>
      <c r="H135" t="s">
        <v>448</v>
      </c>
      <c r="I135" t="s">
        <v>300</v>
      </c>
      <c r="J135">
        <v>8</v>
      </c>
      <c r="K135" t="s">
        <v>26</v>
      </c>
      <c r="L135" t="s">
        <v>449</v>
      </c>
      <c r="M135" t="s">
        <v>28</v>
      </c>
      <c r="N135" t="s">
        <v>450</v>
      </c>
      <c r="O135" t="s">
        <v>303</v>
      </c>
      <c r="P135" t="s">
        <v>31</v>
      </c>
    </row>
    <row r="136" spans="1:16" x14ac:dyDescent="0.25">
      <c r="A136" t="s">
        <v>487</v>
      </c>
      <c r="B136" t="s">
        <v>445</v>
      </c>
      <c r="C136" s="1" t="s">
        <v>488</v>
      </c>
      <c r="D136" t="s">
        <v>21</v>
      </c>
      <c r="E136" t="s">
        <v>22</v>
      </c>
      <c r="F136" s="2">
        <v>106682.23</v>
      </c>
      <c r="G136" s="1" t="s">
        <v>489</v>
      </c>
      <c r="H136" t="s">
        <v>448</v>
      </c>
      <c r="I136" t="s">
        <v>300</v>
      </c>
      <c r="J136">
        <v>8</v>
      </c>
      <c r="K136" t="s">
        <v>26</v>
      </c>
      <c r="L136" t="s">
        <v>449</v>
      </c>
      <c r="M136" t="s">
        <v>28</v>
      </c>
      <c r="N136" t="s">
        <v>450</v>
      </c>
      <c r="O136" t="s">
        <v>303</v>
      </c>
      <c r="P136" t="s">
        <v>31</v>
      </c>
    </row>
    <row r="137" spans="1:16" x14ac:dyDescent="0.25">
      <c r="A137" t="s">
        <v>490</v>
      </c>
      <c r="B137" t="s">
        <v>445</v>
      </c>
      <c r="C137" s="1" t="s">
        <v>491</v>
      </c>
      <c r="D137" t="s">
        <v>21</v>
      </c>
      <c r="E137" t="s">
        <v>22</v>
      </c>
      <c r="F137" s="2">
        <v>304864.75</v>
      </c>
      <c r="G137" s="1" t="s">
        <v>492</v>
      </c>
      <c r="H137" t="s">
        <v>448</v>
      </c>
      <c r="I137" t="s">
        <v>300</v>
      </c>
      <c r="J137">
        <v>14</v>
      </c>
      <c r="K137" t="s">
        <v>26</v>
      </c>
      <c r="L137" t="s">
        <v>449</v>
      </c>
      <c r="M137" t="s">
        <v>28</v>
      </c>
      <c r="N137" t="s">
        <v>450</v>
      </c>
      <c r="O137" t="s">
        <v>303</v>
      </c>
      <c r="P137" t="s">
        <v>31</v>
      </c>
    </row>
    <row r="138" spans="1:16" x14ac:dyDescent="0.25">
      <c r="A138" t="s">
        <v>493</v>
      </c>
      <c r="B138" t="s">
        <v>445</v>
      </c>
      <c r="C138" s="1" t="s">
        <v>494</v>
      </c>
      <c r="D138" t="s">
        <v>21</v>
      </c>
      <c r="E138" t="s">
        <v>22</v>
      </c>
      <c r="F138" s="2">
        <v>259368.38</v>
      </c>
      <c r="G138" s="1" t="s">
        <v>495</v>
      </c>
      <c r="H138" t="s">
        <v>448</v>
      </c>
      <c r="I138" t="s">
        <v>300</v>
      </c>
      <c r="J138">
        <v>13</v>
      </c>
      <c r="K138" t="s">
        <v>26</v>
      </c>
      <c r="L138" t="s">
        <v>449</v>
      </c>
      <c r="M138" t="s">
        <v>28</v>
      </c>
      <c r="N138" t="s">
        <v>450</v>
      </c>
      <c r="O138" t="s">
        <v>303</v>
      </c>
      <c r="P138" t="s">
        <v>31</v>
      </c>
    </row>
    <row r="139" spans="1:16" x14ac:dyDescent="0.25">
      <c r="A139" t="s">
        <v>496</v>
      </c>
      <c r="B139" t="s">
        <v>445</v>
      </c>
      <c r="C139" s="1" t="s">
        <v>497</v>
      </c>
      <c r="D139" t="s">
        <v>21</v>
      </c>
      <c r="E139" t="s">
        <v>22</v>
      </c>
      <c r="F139" s="2">
        <v>236248.29</v>
      </c>
      <c r="G139" s="1" t="s">
        <v>498</v>
      </c>
      <c r="H139" t="s">
        <v>448</v>
      </c>
      <c r="I139" t="s">
        <v>300</v>
      </c>
      <c r="J139">
        <v>9</v>
      </c>
      <c r="K139" t="s">
        <v>26</v>
      </c>
      <c r="L139" t="s">
        <v>449</v>
      </c>
      <c r="M139" t="s">
        <v>28</v>
      </c>
      <c r="N139" t="s">
        <v>450</v>
      </c>
      <c r="O139" t="s">
        <v>303</v>
      </c>
      <c r="P139" t="s">
        <v>31</v>
      </c>
    </row>
    <row r="140" spans="1:16" x14ac:dyDescent="0.25">
      <c r="A140" t="s">
        <v>499</v>
      </c>
      <c r="B140" t="s">
        <v>445</v>
      </c>
      <c r="C140" s="1" t="s">
        <v>500</v>
      </c>
      <c r="D140" t="s">
        <v>21</v>
      </c>
      <c r="E140" t="s">
        <v>22</v>
      </c>
      <c r="F140" s="2">
        <v>238832.05</v>
      </c>
      <c r="G140" s="1" t="s">
        <v>501</v>
      </c>
      <c r="H140" t="s">
        <v>448</v>
      </c>
      <c r="I140" t="s">
        <v>300</v>
      </c>
      <c r="J140">
        <v>9</v>
      </c>
      <c r="K140" t="s">
        <v>26</v>
      </c>
      <c r="L140" t="s">
        <v>449</v>
      </c>
      <c r="M140" t="s">
        <v>28</v>
      </c>
      <c r="N140" t="s">
        <v>450</v>
      </c>
      <c r="O140" t="s">
        <v>303</v>
      </c>
      <c r="P140" t="s">
        <v>31</v>
      </c>
    </row>
    <row r="141" spans="1:16" x14ac:dyDescent="0.25">
      <c r="A141" t="s">
        <v>502</v>
      </c>
      <c r="B141" t="s">
        <v>445</v>
      </c>
      <c r="C141" s="1" t="s">
        <v>503</v>
      </c>
      <c r="D141" t="s">
        <v>21</v>
      </c>
      <c r="E141" t="s">
        <v>22</v>
      </c>
      <c r="F141" s="2">
        <v>252952.38</v>
      </c>
      <c r="G141" s="1" t="s">
        <v>504</v>
      </c>
      <c r="H141" t="s">
        <v>448</v>
      </c>
      <c r="I141" t="s">
        <v>300</v>
      </c>
      <c r="J141">
        <v>6</v>
      </c>
      <c r="K141" t="s">
        <v>26</v>
      </c>
      <c r="L141" t="s">
        <v>449</v>
      </c>
      <c r="M141" t="s">
        <v>28</v>
      </c>
      <c r="N141" t="s">
        <v>450</v>
      </c>
      <c r="O141" t="s">
        <v>303</v>
      </c>
      <c r="P141" t="s">
        <v>31</v>
      </c>
    </row>
    <row r="142" spans="1:16" x14ac:dyDescent="0.25">
      <c r="A142" t="s">
        <v>505</v>
      </c>
      <c r="B142" t="s">
        <v>445</v>
      </c>
      <c r="C142" s="1" t="s">
        <v>506</v>
      </c>
      <c r="D142" t="s">
        <v>21</v>
      </c>
      <c r="E142" t="s">
        <v>22</v>
      </c>
      <c r="F142" s="2">
        <v>257305.92</v>
      </c>
      <c r="G142" s="1" t="s">
        <v>507</v>
      </c>
      <c r="H142" t="s">
        <v>448</v>
      </c>
      <c r="I142" t="s">
        <v>300</v>
      </c>
      <c r="J142">
        <v>6</v>
      </c>
      <c r="K142" t="s">
        <v>26</v>
      </c>
      <c r="L142" t="s">
        <v>449</v>
      </c>
      <c r="M142" t="s">
        <v>28</v>
      </c>
      <c r="N142" t="s">
        <v>450</v>
      </c>
      <c r="O142" t="s">
        <v>303</v>
      </c>
      <c r="P142" t="s">
        <v>31</v>
      </c>
    </row>
    <row r="143" spans="1:16" x14ac:dyDescent="0.25">
      <c r="A143" t="s">
        <v>508</v>
      </c>
      <c r="B143" t="s">
        <v>445</v>
      </c>
      <c r="C143" s="1" t="s">
        <v>509</v>
      </c>
      <c r="D143" t="s">
        <v>21</v>
      </c>
      <c r="E143" t="s">
        <v>22</v>
      </c>
      <c r="F143" s="2">
        <v>297354.11</v>
      </c>
      <c r="G143" s="1" t="s">
        <v>510</v>
      </c>
      <c r="H143" t="s">
        <v>448</v>
      </c>
      <c r="I143" t="s">
        <v>300</v>
      </c>
      <c r="J143">
        <v>6</v>
      </c>
      <c r="K143" t="s">
        <v>26</v>
      </c>
      <c r="L143" t="s">
        <v>449</v>
      </c>
      <c r="M143" t="s">
        <v>28</v>
      </c>
      <c r="N143" t="s">
        <v>450</v>
      </c>
      <c r="O143" t="s">
        <v>303</v>
      </c>
      <c r="P143" t="s">
        <v>31</v>
      </c>
    </row>
    <row r="144" spans="1:16" x14ac:dyDescent="0.25">
      <c r="A144" t="s">
        <v>511</v>
      </c>
      <c r="B144" t="s">
        <v>445</v>
      </c>
      <c r="C144" s="1" t="s">
        <v>512</v>
      </c>
      <c r="D144" t="s">
        <v>231</v>
      </c>
      <c r="E144" t="s">
        <v>232</v>
      </c>
      <c r="F144" s="2">
        <v>4814.83</v>
      </c>
      <c r="G144" s="1" t="s">
        <v>513</v>
      </c>
      <c r="H144" t="s">
        <v>448</v>
      </c>
      <c r="I144" t="s">
        <v>401</v>
      </c>
      <c r="J144">
        <v>5</v>
      </c>
      <c r="K144" t="s">
        <v>26</v>
      </c>
      <c r="L144" t="s">
        <v>514</v>
      </c>
      <c r="M144" t="s">
        <v>28</v>
      </c>
      <c r="N144" t="s">
        <v>450</v>
      </c>
      <c r="O144" t="s">
        <v>403</v>
      </c>
      <c r="P144" t="s">
        <v>31</v>
      </c>
    </row>
    <row r="145" spans="1:16" x14ac:dyDescent="0.25">
      <c r="A145" t="s">
        <v>515</v>
      </c>
      <c r="B145" t="s">
        <v>445</v>
      </c>
      <c r="C145" s="1" t="s">
        <v>516</v>
      </c>
      <c r="D145" t="s">
        <v>34</v>
      </c>
      <c r="E145" t="s">
        <v>35</v>
      </c>
      <c r="F145" s="2">
        <v>1166084.99</v>
      </c>
      <c r="G145" s="1" t="s">
        <v>517</v>
      </c>
      <c r="H145" t="s">
        <v>448</v>
      </c>
      <c r="I145" t="s">
        <v>300</v>
      </c>
      <c r="J145">
        <v>10</v>
      </c>
      <c r="K145" t="s">
        <v>26</v>
      </c>
      <c r="L145" t="s">
        <v>449</v>
      </c>
      <c r="M145" t="s">
        <v>28</v>
      </c>
      <c r="N145" t="s">
        <v>450</v>
      </c>
      <c r="O145" t="s">
        <v>303</v>
      </c>
      <c r="P145" t="s">
        <v>31</v>
      </c>
    </row>
    <row r="146" spans="1:16" x14ac:dyDescent="0.25">
      <c r="A146" t="s">
        <v>518</v>
      </c>
      <c r="B146" t="s">
        <v>445</v>
      </c>
      <c r="C146" s="1" t="s">
        <v>519</v>
      </c>
      <c r="D146" t="s">
        <v>34</v>
      </c>
      <c r="E146" t="s">
        <v>35</v>
      </c>
      <c r="F146" s="2">
        <v>857778.46</v>
      </c>
      <c r="G146" s="1" t="s">
        <v>520</v>
      </c>
      <c r="H146" t="s">
        <v>448</v>
      </c>
      <c r="I146" t="s">
        <v>300</v>
      </c>
      <c r="J146">
        <v>9</v>
      </c>
      <c r="K146" t="s">
        <v>26</v>
      </c>
      <c r="L146" t="s">
        <v>449</v>
      </c>
      <c r="M146" t="s">
        <v>28</v>
      </c>
      <c r="N146" t="s">
        <v>450</v>
      </c>
      <c r="O146" t="s">
        <v>303</v>
      </c>
      <c r="P146" t="s">
        <v>31</v>
      </c>
    </row>
    <row r="147" spans="1:16" x14ac:dyDescent="0.25">
      <c r="A147" t="s">
        <v>521</v>
      </c>
      <c r="B147" t="s">
        <v>445</v>
      </c>
      <c r="C147" s="1" t="s">
        <v>522</v>
      </c>
      <c r="D147" t="s">
        <v>34</v>
      </c>
      <c r="E147" t="s">
        <v>35</v>
      </c>
      <c r="F147" s="2">
        <v>1289564.24</v>
      </c>
      <c r="G147" s="1" t="s">
        <v>523</v>
      </c>
      <c r="H147" t="s">
        <v>448</v>
      </c>
      <c r="I147" t="s">
        <v>300</v>
      </c>
      <c r="J147">
        <v>8</v>
      </c>
      <c r="K147" t="s">
        <v>26</v>
      </c>
      <c r="L147" t="s">
        <v>449</v>
      </c>
      <c r="M147" t="s">
        <v>28</v>
      </c>
      <c r="N147" t="s">
        <v>450</v>
      </c>
      <c r="O147" t="s">
        <v>303</v>
      </c>
      <c r="P147" t="s">
        <v>31</v>
      </c>
    </row>
    <row r="148" spans="1:16" x14ac:dyDescent="0.25">
      <c r="A148" t="s">
        <v>524</v>
      </c>
      <c r="B148" t="s">
        <v>445</v>
      </c>
      <c r="C148" s="1" t="s">
        <v>525</v>
      </c>
      <c r="D148" t="s">
        <v>34</v>
      </c>
      <c r="E148" t="s">
        <v>35</v>
      </c>
      <c r="F148" s="2">
        <v>1350574.14</v>
      </c>
      <c r="G148" s="1" t="s">
        <v>526</v>
      </c>
      <c r="H148" t="s">
        <v>448</v>
      </c>
      <c r="I148" t="s">
        <v>300</v>
      </c>
      <c r="J148">
        <v>8</v>
      </c>
      <c r="K148" t="s">
        <v>26</v>
      </c>
      <c r="L148" t="s">
        <v>449</v>
      </c>
      <c r="M148" t="s">
        <v>28</v>
      </c>
      <c r="N148" t="s">
        <v>450</v>
      </c>
      <c r="O148" t="s">
        <v>303</v>
      </c>
      <c r="P148" t="s">
        <v>31</v>
      </c>
    </row>
    <row r="149" spans="1:16" x14ac:dyDescent="0.25">
      <c r="A149" t="s">
        <v>527</v>
      </c>
      <c r="B149" t="s">
        <v>528</v>
      </c>
      <c r="C149" s="1" t="s">
        <v>529</v>
      </c>
      <c r="D149" t="s">
        <v>42</v>
      </c>
      <c r="E149" t="s">
        <v>43</v>
      </c>
      <c r="F149" s="2">
        <v>33733.88</v>
      </c>
      <c r="G149" s="1" t="s">
        <v>530</v>
      </c>
      <c r="H149" t="s">
        <v>531</v>
      </c>
      <c r="I149" t="s">
        <v>401</v>
      </c>
      <c r="J149">
        <v>10</v>
      </c>
      <c r="K149" t="s">
        <v>26</v>
      </c>
      <c r="L149" t="s">
        <v>532</v>
      </c>
      <c r="M149" t="s">
        <v>28</v>
      </c>
      <c r="N149" t="s">
        <v>533</v>
      </c>
      <c r="O149" t="s">
        <v>403</v>
      </c>
      <c r="P149" t="s">
        <v>31</v>
      </c>
    </row>
    <row r="150" spans="1:16" x14ac:dyDescent="0.25">
      <c r="A150" t="s">
        <v>534</v>
      </c>
      <c r="B150" t="s">
        <v>528</v>
      </c>
      <c r="C150" s="1" t="s">
        <v>535</v>
      </c>
      <c r="D150" t="s">
        <v>42</v>
      </c>
      <c r="E150" t="s">
        <v>43</v>
      </c>
      <c r="F150" s="2">
        <v>57252.64</v>
      </c>
      <c r="G150" s="1" t="s">
        <v>536</v>
      </c>
      <c r="H150" t="s">
        <v>531</v>
      </c>
      <c r="I150" t="s">
        <v>401</v>
      </c>
      <c r="J150">
        <v>10</v>
      </c>
      <c r="K150" t="s">
        <v>26</v>
      </c>
      <c r="L150" t="s">
        <v>532</v>
      </c>
      <c r="M150" t="s">
        <v>28</v>
      </c>
      <c r="N150" t="s">
        <v>533</v>
      </c>
      <c r="O150" t="s">
        <v>403</v>
      </c>
      <c r="P150" t="s">
        <v>31</v>
      </c>
    </row>
    <row r="151" spans="1:16" x14ac:dyDescent="0.25">
      <c r="A151" t="s">
        <v>537</v>
      </c>
      <c r="B151" t="s">
        <v>528</v>
      </c>
      <c r="C151" s="1" t="s">
        <v>538</v>
      </c>
      <c r="D151" t="s">
        <v>42</v>
      </c>
      <c r="E151" t="s">
        <v>43</v>
      </c>
      <c r="F151" s="2">
        <v>38715.88</v>
      </c>
      <c r="G151" s="1" t="s">
        <v>539</v>
      </c>
      <c r="H151" t="s">
        <v>531</v>
      </c>
      <c r="I151" t="s">
        <v>540</v>
      </c>
      <c r="J151">
        <v>5</v>
      </c>
      <c r="K151" t="s">
        <v>26</v>
      </c>
      <c r="L151" t="s">
        <v>541</v>
      </c>
      <c r="M151" t="s">
        <v>28</v>
      </c>
      <c r="N151" t="s">
        <v>533</v>
      </c>
      <c r="O151" t="s">
        <v>542</v>
      </c>
      <c r="P151" t="s">
        <v>31</v>
      </c>
    </row>
    <row r="152" spans="1:16" x14ac:dyDescent="0.25">
      <c r="A152" t="s">
        <v>543</v>
      </c>
      <c r="B152" t="s">
        <v>528</v>
      </c>
      <c r="C152" s="1" t="s">
        <v>544</v>
      </c>
      <c r="D152" t="s">
        <v>42</v>
      </c>
      <c r="E152" t="s">
        <v>43</v>
      </c>
      <c r="F152" s="2">
        <v>25368.04</v>
      </c>
      <c r="G152" s="1" t="s">
        <v>545</v>
      </c>
      <c r="H152" t="s">
        <v>531</v>
      </c>
      <c r="I152" t="s">
        <v>540</v>
      </c>
      <c r="J152">
        <v>8</v>
      </c>
      <c r="K152" t="s">
        <v>26</v>
      </c>
      <c r="L152" t="s">
        <v>541</v>
      </c>
      <c r="M152" t="s">
        <v>28</v>
      </c>
      <c r="N152" t="s">
        <v>533</v>
      </c>
      <c r="O152" t="s">
        <v>542</v>
      </c>
      <c r="P152" t="s">
        <v>31</v>
      </c>
    </row>
    <row r="153" spans="1:16" x14ac:dyDescent="0.25">
      <c r="A153" t="s">
        <v>546</v>
      </c>
      <c r="B153" t="s">
        <v>528</v>
      </c>
      <c r="C153" s="1" t="s">
        <v>547</v>
      </c>
      <c r="D153" t="s">
        <v>42</v>
      </c>
      <c r="E153" t="s">
        <v>43</v>
      </c>
      <c r="F153" s="2">
        <v>46965.96</v>
      </c>
      <c r="G153" s="1" t="s">
        <v>548</v>
      </c>
      <c r="H153" t="s">
        <v>531</v>
      </c>
      <c r="I153" t="s">
        <v>401</v>
      </c>
      <c r="J153">
        <v>8</v>
      </c>
      <c r="K153" t="s">
        <v>26</v>
      </c>
      <c r="L153" t="s">
        <v>532</v>
      </c>
      <c r="M153" t="s">
        <v>28</v>
      </c>
      <c r="N153" t="s">
        <v>533</v>
      </c>
      <c r="O153" t="s">
        <v>403</v>
      </c>
      <c r="P153" t="s">
        <v>31</v>
      </c>
    </row>
    <row r="154" spans="1:16" x14ac:dyDescent="0.25">
      <c r="A154" t="s">
        <v>549</v>
      </c>
      <c r="B154" t="s">
        <v>528</v>
      </c>
      <c r="C154" s="1" t="s">
        <v>550</v>
      </c>
      <c r="D154" t="s">
        <v>21</v>
      </c>
      <c r="E154" t="s">
        <v>22</v>
      </c>
      <c r="F154" s="2">
        <v>93206.49</v>
      </c>
      <c r="G154" s="1" t="s">
        <v>551</v>
      </c>
      <c r="H154" t="s">
        <v>531</v>
      </c>
      <c r="I154" t="s">
        <v>540</v>
      </c>
      <c r="J154">
        <v>8</v>
      </c>
      <c r="K154" t="s">
        <v>26</v>
      </c>
      <c r="L154" t="s">
        <v>541</v>
      </c>
      <c r="M154" t="s">
        <v>28</v>
      </c>
      <c r="N154" t="s">
        <v>533</v>
      </c>
      <c r="O154" t="s">
        <v>542</v>
      </c>
      <c r="P154" t="s">
        <v>31</v>
      </c>
    </row>
    <row r="155" spans="1:16" x14ac:dyDescent="0.25">
      <c r="A155" t="s">
        <v>552</v>
      </c>
      <c r="B155" t="s">
        <v>528</v>
      </c>
      <c r="C155" s="1" t="s">
        <v>553</v>
      </c>
      <c r="D155" t="s">
        <v>21</v>
      </c>
      <c r="E155" t="s">
        <v>22</v>
      </c>
      <c r="F155" s="2">
        <v>6995.01</v>
      </c>
      <c r="G155" s="1" t="s">
        <v>554</v>
      </c>
      <c r="H155" t="s">
        <v>531</v>
      </c>
      <c r="I155" t="s">
        <v>555</v>
      </c>
      <c r="J155">
        <v>5</v>
      </c>
      <c r="K155" t="s">
        <v>26</v>
      </c>
      <c r="L155" t="s">
        <v>556</v>
      </c>
      <c r="M155" t="s">
        <v>28</v>
      </c>
      <c r="N155" t="s">
        <v>533</v>
      </c>
      <c r="O155" t="s">
        <v>47</v>
      </c>
      <c r="P155" t="s">
        <v>31</v>
      </c>
    </row>
    <row r="156" spans="1:16" x14ac:dyDescent="0.25">
      <c r="A156" t="s">
        <v>557</v>
      </c>
      <c r="B156" t="s">
        <v>528</v>
      </c>
      <c r="C156" s="1" t="s">
        <v>558</v>
      </c>
      <c r="D156" t="s">
        <v>21</v>
      </c>
      <c r="E156" t="s">
        <v>22</v>
      </c>
      <c r="F156" s="2">
        <v>135066.67</v>
      </c>
      <c r="G156" s="1" t="s">
        <v>559</v>
      </c>
      <c r="H156" t="s">
        <v>531</v>
      </c>
      <c r="I156" t="s">
        <v>401</v>
      </c>
      <c r="J156">
        <v>9</v>
      </c>
      <c r="K156" t="s">
        <v>26</v>
      </c>
      <c r="L156" t="s">
        <v>532</v>
      </c>
      <c r="M156" t="s">
        <v>28</v>
      </c>
      <c r="N156" t="s">
        <v>533</v>
      </c>
      <c r="O156" t="s">
        <v>403</v>
      </c>
      <c r="P156" t="s">
        <v>31</v>
      </c>
    </row>
    <row r="157" spans="1:16" x14ac:dyDescent="0.25">
      <c r="A157" t="s">
        <v>560</v>
      </c>
      <c r="B157" t="s">
        <v>528</v>
      </c>
      <c r="C157" s="1" t="s">
        <v>561</v>
      </c>
      <c r="D157" t="s">
        <v>21</v>
      </c>
      <c r="E157" t="s">
        <v>22</v>
      </c>
      <c r="F157" s="2">
        <v>230511.65</v>
      </c>
      <c r="G157" s="1" t="s">
        <v>562</v>
      </c>
      <c r="H157" t="s">
        <v>531</v>
      </c>
      <c r="I157" t="s">
        <v>540</v>
      </c>
      <c r="J157">
        <v>5</v>
      </c>
      <c r="K157" t="s">
        <v>26</v>
      </c>
      <c r="L157" t="s">
        <v>541</v>
      </c>
      <c r="M157" t="s">
        <v>28</v>
      </c>
      <c r="N157" t="s">
        <v>533</v>
      </c>
      <c r="O157" t="s">
        <v>542</v>
      </c>
      <c r="P157" t="s">
        <v>31</v>
      </c>
    </row>
    <row r="158" spans="1:16" x14ac:dyDescent="0.25">
      <c r="A158" t="s">
        <v>563</v>
      </c>
      <c r="B158" t="s">
        <v>528</v>
      </c>
      <c r="C158" s="1" t="s">
        <v>564</v>
      </c>
      <c r="D158" t="s">
        <v>21</v>
      </c>
      <c r="E158" t="s">
        <v>22</v>
      </c>
      <c r="F158" s="2">
        <v>129815.46</v>
      </c>
      <c r="G158" s="1" t="s">
        <v>565</v>
      </c>
      <c r="H158" t="s">
        <v>531</v>
      </c>
      <c r="I158" t="s">
        <v>540</v>
      </c>
      <c r="J158">
        <v>10</v>
      </c>
      <c r="K158" t="s">
        <v>26</v>
      </c>
      <c r="L158" t="s">
        <v>541</v>
      </c>
      <c r="M158" t="s">
        <v>28</v>
      </c>
      <c r="N158" t="s">
        <v>533</v>
      </c>
      <c r="O158" t="s">
        <v>542</v>
      </c>
      <c r="P158" t="s">
        <v>31</v>
      </c>
    </row>
    <row r="159" spans="1:16" x14ac:dyDescent="0.25">
      <c r="A159" t="s">
        <v>566</v>
      </c>
      <c r="B159" t="s">
        <v>528</v>
      </c>
      <c r="C159" s="1" t="s">
        <v>567</v>
      </c>
      <c r="D159" t="s">
        <v>21</v>
      </c>
      <c r="E159" t="s">
        <v>22</v>
      </c>
      <c r="F159" s="2">
        <v>66420.41</v>
      </c>
      <c r="G159" s="1" t="s">
        <v>568</v>
      </c>
      <c r="H159" t="s">
        <v>531</v>
      </c>
      <c r="I159" t="s">
        <v>300</v>
      </c>
      <c r="J159">
        <v>4</v>
      </c>
      <c r="K159" t="s">
        <v>26</v>
      </c>
      <c r="L159" t="s">
        <v>569</v>
      </c>
      <c r="M159" t="s">
        <v>28</v>
      </c>
      <c r="N159" t="s">
        <v>533</v>
      </c>
      <c r="O159" t="s">
        <v>303</v>
      </c>
      <c r="P159" t="s">
        <v>31</v>
      </c>
    </row>
    <row r="160" spans="1:16" x14ac:dyDescent="0.25">
      <c r="A160" t="s">
        <v>570</v>
      </c>
      <c r="B160" t="s">
        <v>528</v>
      </c>
      <c r="C160" s="1" t="s">
        <v>571</v>
      </c>
      <c r="D160" t="s">
        <v>21</v>
      </c>
      <c r="E160" t="s">
        <v>22</v>
      </c>
      <c r="F160" s="2">
        <v>84920.95</v>
      </c>
      <c r="G160" s="1" t="s">
        <v>572</v>
      </c>
      <c r="H160" t="s">
        <v>531</v>
      </c>
      <c r="I160" t="s">
        <v>300</v>
      </c>
      <c r="J160">
        <v>4</v>
      </c>
      <c r="K160" t="s">
        <v>26</v>
      </c>
      <c r="L160" t="s">
        <v>569</v>
      </c>
      <c r="M160" t="s">
        <v>28</v>
      </c>
      <c r="N160" t="s">
        <v>533</v>
      </c>
      <c r="O160" t="s">
        <v>303</v>
      </c>
      <c r="P160" t="s">
        <v>31</v>
      </c>
    </row>
    <row r="161" spans="1:16" x14ac:dyDescent="0.25">
      <c r="A161" t="s">
        <v>573</v>
      </c>
      <c r="B161" t="s">
        <v>528</v>
      </c>
      <c r="C161" s="1" t="s">
        <v>574</v>
      </c>
      <c r="D161" t="s">
        <v>21</v>
      </c>
      <c r="E161" t="s">
        <v>22</v>
      </c>
      <c r="F161" s="2">
        <v>38644.67</v>
      </c>
      <c r="G161" s="1" t="s">
        <v>575</v>
      </c>
      <c r="H161" t="s">
        <v>531</v>
      </c>
      <c r="I161" t="s">
        <v>540</v>
      </c>
      <c r="J161">
        <v>5</v>
      </c>
      <c r="K161" t="s">
        <v>26</v>
      </c>
      <c r="L161" t="s">
        <v>541</v>
      </c>
      <c r="M161" t="s">
        <v>28</v>
      </c>
      <c r="N161" t="s">
        <v>533</v>
      </c>
      <c r="O161" t="s">
        <v>542</v>
      </c>
      <c r="P161" t="s">
        <v>31</v>
      </c>
    </row>
    <row r="162" spans="1:16" x14ac:dyDescent="0.25">
      <c r="A162" t="s">
        <v>576</v>
      </c>
      <c r="B162" t="s">
        <v>528</v>
      </c>
      <c r="C162" s="1" t="s">
        <v>577</v>
      </c>
      <c r="D162" t="s">
        <v>21</v>
      </c>
      <c r="E162" t="s">
        <v>22</v>
      </c>
      <c r="F162" s="2">
        <v>101473.58</v>
      </c>
      <c r="G162" s="1" t="s">
        <v>578</v>
      </c>
      <c r="H162" t="s">
        <v>531</v>
      </c>
      <c r="I162" t="s">
        <v>540</v>
      </c>
      <c r="J162">
        <v>5</v>
      </c>
      <c r="K162" t="s">
        <v>26</v>
      </c>
      <c r="L162" t="s">
        <v>541</v>
      </c>
      <c r="M162" t="s">
        <v>28</v>
      </c>
      <c r="N162" t="s">
        <v>533</v>
      </c>
      <c r="O162" t="s">
        <v>542</v>
      </c>
      <c r="P162" t="s">
        <v>31</v>
      </c>
    </row>
    <row r="163" spans="1:16" x14ac:dyDescent="0.25">
      <c r="A163" t="s">
        <v>579</v>
      </c>
      <c r="B163" t="s">
        <v>528</v>
      </c>
      <c r="C163" s="1" t="s">
        <v>580</v>
      </c>
      <c r="D163" t="s">
        <v>21</v>
      </c>
      <c r="E163" t="s">
        <v>22</v>
      </c>
      <c r="F163" s="2">
        <v>36971.25</v>
      </c>
      <c r="G163" s="1" t="s">
        <v>581</v>
      </c>
      <c r="H163" t="s">
        <v>531</v>
      </c>
      <c r="I163" t="s">
        <v>540</v>
      </c>
      <c r="J163">
        <v>5</v>
      </c>
      <c r="K163" t="s">
        <v>26</v>
      </c>
      <c r="L163" t="s">
        <v>541</v>
      </c>
      <c r="M163" t="s">
        <v>28</v>
      </c>
      <c r="N163" t="s">
        <v>533</v>
      </c>
      <c r="O163" t="s">
        <v>542</v>
      </c>
      <c r="P163" t="s">
        <v>31</v>
      </c>
    </row>
    <row r="164" spans="1:16" x14ac:dyDescent="0.25">
      <c r="A164" t="s">
        <v>582</v>
      </c>
      <c r="B164" t="s">
        <v>528</v>
      </c>
      <c r="C164" s="1" t="s">
        <v>583</v>
      </c>
      <c r="D164" t="s">
        <v>21</v>
      </c>
      <c r="E164" t="s">
        <v>22</v>
      </c>
      <c r="F164" s="2">
        <v>67495.21</v>
      </c>
      <c r="G164" s="1" t="s">
        <v>584</v>
      </c>
      <c r="H164" t="s">
        <v>531</v>
      </c>
      <c r="I164" t="s">
        <v>540</v>
      </c>
      <c r="J164">
        <v>5</v>
      </c>
      <c r="K164" t="s">
        <v>26</v>
      </c>
      <c r="L164" t="s">
        <v>541</v>
      </c>
      <c r="M164" t="s">
        <v>28</v>
      </c>
      <c r="N164" t="s">
        <v>533</v>
      </c>
      <c r="O164" t="s">
        <v>542</v>
      </c>
      <c r="P164" t="s">
        <v>31</v>
      </c>
    </row>
    <row r="165" spans="1:16" x14ac:dyDescent="0.25">
      <c r="A165" t="s">
        <v>585</v>
      </c>
      <c r="B165" t="s">
        <v>528</v>
      </c>
      <c r="C165" s="1" t="s">
        <v>586</v>
      </c>
      <c r="D165" t="s">
        <v>21</v>
      </c>
      <c r="E165" t="s">
        <v>22</v>
      </c>
      <c r="F165" s="2">
        <v>56348.21</v>
      </c>
      <c r="G165" s="1" t="s">
        <v>587</v>
      </c>
      <c r="H165" t="s">
        <v>531</v>
      </c>
      <c r="I165" t="s">
        <v>540</v>
      </c>
      <c r="J165">
        <v>13</v>
      </c>
      <c r="K165" t="s">
        <v>26</v>
      </c>
      <c r="L165" t="s">
        <v>541</v>
      </c>
      <c r="M165" t="s">
        <v>28</v>
      </c>
      <c r="N165" t="s">
        <v>533</v>
      </c>
      <c r="O165" t="s">
        <v>542</v>
      </c>
      <c r="P165" t="s">
        <v>31</v>
      </c>
    </row>
    <row r="166" spans="1:16" x14ac:dyDescent="0.25">
      <c r="A166" t="s">
        <v>588</v>
      </c>
      <c r="B166" t="s">
        <v>528</v>
      </c>
      <c r="C166" s="1" t="s">
        <v>589</v>
      </c>
      <c r="D166" t="s">
        <v>21</v>
      </c>
      <c r="E166" t="s">
        <v>22</v>
      </c>
      <c r="F166" s="2">
        <v>56257.54</v>
      </c>
      <c r="G166" s="1" t="s">
        <v>590</v>
      </c>
      <c r="H166" t="s">
        <v>531</v>
      </c>
      <c r="I166" t="s">
        <v>540</v>
      </c>
      <c r="J166">
        <v>13</v>
      </c>
      <c r="K166" t="s">
        <v>26</v>
      </c>
      <c r="L166" t="s">
        <v>541</v>
      </c>
      <c r="M166" t="s">
        <v>28</v>
      </c>
      <c r="N166" t="s">
        <v>533</v>
      </c>
      <c r="O166" t="s">
        <v>542</v>
      </c>
      <c r="P166" t="s">
        <v>31</v>
      </c>
    </row>
    <row r="167" spans="1:16" x14ac:dyDescent="0.25">
      <c r="A167" t="s">
        <v>591</v>
      </c>
      <c r="B167" t="s">
        <v>528</v>
      </c>
      <c r="C167" s="1" t="s">
        <v>592</v>
      </c>
      <c r="D167" t="s">
        <v>21</v>
      </c>
      <c r="E167" t="s">
        <v>22</v>
      </c>
      <c r="F167" s="2">
        <v>96985.22</v>
      </c>
      <c r="G167" s="1" t="s">
        <v>593</v>
      </c>
      <c r="H167" t="s">
        <v>531</v>
      </c>
      <c r="I167" t="s">
        <v>540</v>
      </c>
      <c r="J167">
        <v>9</v>
      </c>
      <c r="K167" t="s">
        <v>26</v>
      </c>
      <c r="L167" t="s">
        <v>541</v>
      </c>
      <c r="M167" t="s">
        <v>28</v>
      </c>
      <c r="N167" t="s">
        <v>533</v>
      </c>
      <c r="O167" t="s">
        <v>542</v>
      </c>
      <c r="P167" t="s">
        <v>31</v>
      </c>
    </row>
    <row r="168" spans="1:16" x14ac:dyDescent="0.25">
      <c r="A168" t="s">
        <v>594</v>
      </c>
      <c r="B168" t="s">
        <v>528</v>
      </c>
      <c r="C168" s="1" t="s">
        <v>595</v>
      </c>
      <c r="D168" t="s">
        <v>21</v>
      </c>
      <c r="E168" t="s">
        <v>22</v>
      </c>
      <c r="F168" s="2">
        <v>309782.32</v>
      </c>
      <c r="G168" s="1" t="s">
        <v>596</v>
      </c>
      <c r="H168" t="s">
        <v>531</v>
      </c>
      <c r="I168" t="s">
        <v>540</v>
      </c>
      <c r="J168">
        <v>8</v>
      </c>
      <c r="K168" t="s">
        <v>26</v>
      </c>
      <c r="L168" t="s">
        <v>541</v>
      </c>
      <c r="M168" t="s">
        <v>28</v>
      </c>
      <c r="N168" t="s">
        <v>533</v>
      </c>
      <c r="O168" t="s">
        <v>542</v>
      </c>
      <c r="P168" t="s">
        <v>31</v>
      </c>
    </row>
    <row r="169" spans="1:16" x14ac:dyDescent="0.25">
      <c r="A169" t="s">
        <v>597</v>
      </c>
      <c r="B169" t="s">
        <v>528</v>
      </c>
      <c r="C169" s="1" t="s">
        <v>598</v>
      </c>
      <c r="D169" t="s">
        <v>21</v>
      </c>
      <c r="E169" t="s">
        <v>22</v>
      </c>
      <c r="F169" s="2">
        <v>131374.55</v>
      </c>
      <c r="G169" s="1" t="s">
        <v>599</v>
      </c>
      <c r="H169" t="s">
        <v>531</v>
      </c>
      <c r="I169" t="s">
        <v>540</v>
      </c>
      <c r="J169">
        <v>5</v>
      </c>
      <c r="K169" t="s">
        <v>26</v>
      </c>
      <c r="L169" t="s">
        <v>541</v>
      </c>
      <c r="M169" t="s">
        <v>28</v>
      </c>
      <c r="N169" t="s">
        <v>533</v>
      </c>
      <c r="O169" t="s">
        <v>542</v>
      </c>
      <c r="P169" t="s">
        <v>31</v>
      </c>
    </row>
    <row r="170" spans="1:16" x14ac:dyDescent="0.25">
      <c r="A170" t="s">
        <v>600</v>
      </c>
      <c r="B170" t="s">
        <v>528</v>
      </c>
      <c r="C170" s="1" t="s">
        <v>601</v>
      </c>
      <c r="D170" t="s">
        <v>21</v>
      </c>
      <c r="E170" t="s">
        <v>22</v>
      </c>
      <c r="F170" s="2">
        <v>165495.34</v>
      </c>
      <c r="G170" s="1" t="s">
        <v>602</v>
      </c>
      <c r="H170" t="s">
        <v>531</v>
      </c>
      <c r="I170" t="s">
        <v>540</v>
      </c>
      <c r="J170">
        <v>4</v>
      </c>
      <c r="K170" t="s">
        <v>26</v>
      </c>
      <c r="L170" t="s">
        <v>541</v>
      </c>
      <c r="M170" t="s">
        <v>28</v>
      </c>
      <c r="N170" t="s">
        <v>533</v>
      </c>
      <c r="O170" t="s">
        <v>542</v>
      </c>
      <c r="P170" t="s">
        <v>31</v>
      </c>
    </row>
    <row r="171" spans="1:16" x14ac:dyDescent="0.25">
      <c r="A171" t="s">
        <v>603</v>
      </c>
      <c r="B171" t="s">
        <v>528</v>
      </c>
      <c r="C171" s="1" t="s">
        <v>604</v>
      </c>
      <c r="D171" t="s">
        <v>21</v>
      </c>
      <c r="E171" t="s">
        <v>22</v>
      </c>
      <c r="F171" s="2">
        <v>162412.71</v>
      </c>
      <c r="G171" s="1" t="s">
        <v>605</v>
      </c>
      <c r="H171" t="s">
        <v>531</v>
      </c>
      <c r="I171" t="s">
        <v>540</v>
      </c>
      <c r="J171">
        <v>4</v>
      </c>
      <c r="K171" t="s">
        <v>26</v>
      </c>
      <c r="L171" t="s">
        <v>541</v>
      </c>
      <c r="M171" t="s">
        <v>28</v>
      </c>
      <c r="N171" t="s">
        <v>533</v>
      </c>
      <c r="O171" t="s">
        <v>542</v>
      </c>
      <c r="P171" t="s">
        <v>31</v>
      </c>
    </row>
    <row r="172" spans="1:16" x14ac:dyDescent="0.25">
      <c r="A172" t="s">
        <v>606</v>
      </c>
      <c r="B172" t="s">
        <v>528</v>
      </c>
      <c r="C172" s="1" t="s">
        <v>607</v>
      </c>
      <c r="D172" t="s">
        <v>21</v>
      </c>
      <c r="E172" t="s">
        <v>22</v>
      </c>
      <c r="F172" s="2">
        <v>82849.72</v>
      </c>
      <c r="G172" s="1" t="s">
        <v>608</v>
      </c>
      <c r="H172" t="s">
        <v>531</v>
      </c>
      <c r="I172" t="s">
        <v>540</v>
      </c>
      <c r="J172">
        <v>5</v>
      </c>
      <c r="K172" t="s">
        <v>26</v>
      </c>
      <c r="L172" t="s">
        <v>541</v>
      </c>
      <c r="M172" t="s">
        <v>28</v>
      </c>
      <c r="N172" t="s">
        <v>533</v>
      </c>
      <c r="O172" t="s">
        <v>542</v>
      </c>
      <c r="P172" t="s">
        <v>31</v>
      </c>
    </row>
    <row r="173" spans="1:16" x14ac:dyDescent="0.25">
      <c r="A173" t="s">
        <v>609</v>
      </c>
      <c r="B173" t="s">
        <v>528</v>
      </c>
      <c r="C173" s="1" t="s">
        <v>610</v>
      </c>
      <c r="D173" t="s">
        <v>21</v>
      </c>
      <c r="E173" t="s">
        <v>22</v>
      </c>
      <c r="F173" s="2">
        <v>165495.34</v>
      </c>
      <c r="G173" s="1" t="s">
        <v>611</v>
      </c>
      <c r="H173" t="s">
        <v>531</v>
      </c>
      <c r="I173" t="s">
        <v>540</v>
      </c>
      <c r="J173">
        <v>5</v>
      </c>
      <c r="K173" t="s">
        <v>26</v>
      </c>
      <c r="L173" t="s">
        <v>541</v>
      </c>
      <c r="M173" t="s">
        <v>28</v>
      </c>
      <c r="N173" t="s">
        <v>533</v>
      </c>
      <c r="O173" t="s">
        <v>542</v>
      </c>
      <c r="P173" t="s">
        <v>31</v>
      </c>
    </row>
    <row r="174" spans="1:16" x14ac:dyDescent="0.25">
      <c r="A174" t="s">
        <v>612</v>
      </c>
      <c r="B174" t="s">
        <v>528</v>
      </c>
      <c r="C174" s="1" t="s">
        <v>613</v>
      </c>
      <c r="D174" t="s">
        <v>21</v>
      </c>
      <c r="E174" t="s">
        <v>22</v>
      </c>
      <c r="F174" s="2">
        <v>78827.72</v>
      </c>
      <c r="G174" s="1" t="s">
        <v>614</v>
      </c>
      <c r="H174" t="s">
        <v>531</v>
      </c>
      <c r="I174" t="s">
        <v>540</v>
      </c>
      <c r="J174">
        <v>5</v>
      </c>
      <c r="K174" t="s">
        <v>26</v>
      </c>
      <c r="L174" t="s">
        <v>541</v>
      </c>
      <c r="M174" t="s">
        <v>28</v>
      </c>
      <c r="N174" t="s">
        <v>533</v>
      </c>
      <c r="O174" t="s">
        <v>542</v>
      </c>
      <c r="P174" t="s">
        <v>31</v>
      </c>
    </row>
    <row r="175" spans="1:16" x14ac:dyDescent="0.25">
      <c r="A175" t="s">
        <v>615</v>
      </c>
      <c r="B175" t="s">
        <v>528</v>
      </c>
      <c r="C175" s="1" t="s">
        <v>616</v>
      </c>
      <c r="D175" t="s">
        <v>21</v>
      </c>
      <c r="E175" t="s">
        <v>22</v>
      </c>
      <c r="F175" s="2">
        <v>152515.34</v>
      </c>
      <c r="G175" s="1" t="s">
        <v>617</v>
      </c>
      <c r="H175" t="s">
        <v>531</v>
      </c>
      <c r="I175" t="s">
        <v>540</v>
      </c>
      <c r="J175">
        <v>5</v>
      </c>
      <c r="K175" t="s">
        <v>26</v>
      </c>
      <c r="L175" t="s">
        <v>541</v>
      </c>
      <c r="M175" t="s">
        <v>28</v>
      </c>
      <c r="N175" t="s">
        <v>533</v>
      </c>
      <c r="O175" t="s">
        <v>542</v>
      </c>
      <c r="P175" t="s">
        <v>31</v>
      </c>
    </row>
    <row r="176" spans="1:16" x14ac:dyDescent="0.25">
      <c r="A176" t="s">
        <v>618</v>
      </c>
      <c r="B176" t="s">
        <v>528</v>
      </c>
      <c r="C176" s="1" t="s">
        <v>619</v>
      </c>
      <c r="D176" t="s">
        <v>21</v>
      </c>
      <c r="E176" t="s">
        <v>22</v>
      </c>
      <c r="F176" s="2">
        <v>82198.22</v>
      </c>
      <c r="G176" s="1" t="s">
        <v>620</v>
      </c>
      <c r="H176" t="s">
        <v>531</v>
      </c>
      <c r="I176" t="s">
        <v>540</v>
      </c>
      <c r="J176">
        <v>9</v>
      </c>
      <c r="K176" t="s">
        <v>26</v>
      </c>
      <c r="L176" t="s">
        <v>541</v>
      </c>
      <c r="M176" t="s">
        <v>28</v>
      </c>
      <c r="N176" t="s">
        <v>533</v>
      </c>
      <c r="O176" t="s">
        <v>542</v>
      </c>
      <c r="P176" t="s">
        <v>31</v>
      </c>
    </row>
    <row r="177" spans="1:16" x14ac:dyDescent="0.25">
      <c r="A177" t="s">
        <v>621</v>
      </c>
      <c r="B177" t="s">
        <v>528</v>
      </c>
      <c r="C177" s="1" t="s">
        <v>622</v>
      </c>
      <c r="D177" t="s">
        <v>21</v>
      </c>
      <c r="E177" t="s">
        <v>22</v>
      </c>
      <c r="F177" s="2">
        <v>38776.79</v>
      </c>
      <c r="G177" s="1" t="s">
        <v>623</v>
      </c>
      <c r="H177" t="s">
        <v>531</v>
      </c>
      <c r="I177" t="s">
        <v>540</v>
      </c>
      <c r="J177">
        <v>5</v>
      </c>
      <c r="K177" t="s">
        <v>26</v>
      </c>
      <c r="L177" t="s">
        <v>541</v>
      </c>
      <c r="M177" t="s">
        <v>28</v>
      </c>
      <c r="N177" t="s">
        <v>533</v>
      </c>
      <c r="O177" t="s">
        <v>542</v>
      </c>
      <c r="P177" t="s">
        <v>31</v>
      </c>
    </row>
    <row r="178" spans="1:16" x14ac:dyDescent="0.25">
      <c r="A178" t="s">
        <v>624</v>
      </c>
      <c r="B178" t="s">
        <v>528</v>
      </c>
      <c r="C178" s="1" t="s">
        <v>625</v>
      </c>
      <c r="D178" t="s">
        <v>21</v>
      </c>
      <c r="E178" t="s">
        <v>22</v>
      </c>
      <c r="F178" s="2">
        <v>50043.99</v>
      </c>
      <c r="G178" s="1" t="s">
        <v>626</v>
      </c>
      <c r="H178" t="s">
        <v>531</v>
      </c>
      <c r="I178" t="s">
        <v>540</v>
      </c>
      <c r="J178">
        <v>5</v>
      </c>
      <c r="K178" t="s">
        <v>26</v>
      </c>
      <c r="L178" t="s">
        <v>541</v>
      </c>
      <c r="M178" t="s">
        <v>28</v>
      </c>
      <c r="N178" t="s">
        <v>533</v>
      </c>
      <c r="O178" t="s">
        <v>542</v>
      </c>
      <c r="P178" t="s">
        <v>31</v>
      </c>
    </row>
    <row r="179" spans="1:16" x14ac:dyDescent="0.25">
      <c r="A179" t="s">
        <v>627</v>
      </c>
      <c r="B179" t="s">
        <v>528</v>
      </c>
      <c r="C179" s="1" t="s">
        <v>628</v>
      </c>
      <c r="D179" t="s">
        <v>21</v>
      </c>
      <c r="E179" t="s">
        <v>22</v>
      </c>
      <c r="F179" s="2">
        <v>96013.04</v>
      </c>
      <c r="G179" s="1" t="s">
        <v>629</v>
      </c>
      <c r="H179" t="s">
        <v>531</v>
      </c>
      <c r="I179" t="s">
        <v>540</v>
      </c>
      <c r="J179">
        <v>5</v>
      </c>
      <c r="K179" t="s">
        <v>26</v>
      </c>
      <c r="L179" t="s">
        <v>541</v>
      </c>
      <c r="M179" t="s">
        <v>28</v>
      </c>
      <c r="N179" t="s">
        <v>533</v>
      </c>
      <c r="O179" t="s">
        <v>542</v>
      </c>
      <c r="P179" t="s">
        <v>31</v>
      </c>
    </row>
    <row r="180" spans="1:16" x14ac:dyDescent="0.25">
      <c r="A180" t="s">
        <v>630</v>
      </c>
      <c r="B180" t="s">
        <v>528</v>
      </c>
      <c r="C180" s="1" t="s">
        <v>631</v>
      </c>
      <c r="D180" t="s">
        <v>42</v>
      </c>
      <c r="E180" t="s">
        <v>43</v>
      </c>
      <c r="F180" s="2">
        <v>71457.35</v>
      </c>
      <c r="G180" s="1" t="s">
        <v>632</v>
      </c>
      <c r="H180" t="s">
        <v>531</v>
      </c>
      <c r="I180" t="s">
        <v>401</v>
      </c>
      <c r="J180">
        <v>10</v>
      </c>
      <c r="K180" t="s">
        <v>26</v>
      </c>
      <c r="L180" t="s">
        <v>532</v>
      </c>
      <c r="M180" t="s">
        <v>28</v>
      </c>
      <c r="N180" t="s">
        <v>533</v>
      </c>
      <c r="O180" t="s">
        <v>403</v>
      </c>
      <c r="P180" t="s">
        <v>31</v>
      </c>
    </row>
    <row r="181" spans="1:16" x14ac:dyDescent="0.25">
      <c r="A181" t="s">
        <v>633</v>
      </c>
      <c r="B181" t="s">
        <v>528</v>
      </c>
      <c r="C181" s="1" t="s">
        <v>634</v>
      </c>
      <c r="D181" t="s">
        <v>42</v>
      </c>
      <c r="E181" t="s">
        <v>43</v>
      </c>
      <c r="F181" s="2">
        <v>40729.6</v>
      </c>
      <c r="G181" s="1" t="s">
        <v>635</v>
      </c>
      <c r="H181" t="s">
        <v>531</v>
      </c>
      <c r="I181" t="s">
        <v>540</v>
      </c>
      <c r="J181">
        <v>6</v>
      </c>
      <c r="K181" t="s">
        <v>26</v>
      </c>
      <c r="L181" t="s">
        <v>541</v>
      </c>
      <c r="M181" t="s">
        <v>28</v>
      </c>
      <c r="N181" t="s">
        <v>533</v>
      </c>
      <c r="O181" t="s">
        <v>542</v>
      </c>
      <c r="P181" t="s">
        <v>31</v>
      </c>
    </row>
    <row r="182" spans="1:16" x14ac:dyDescent="0.25">
      <c r="A182" t="s">
        <v>636</v>
      </c>
      <c r="B182" t="s">
        <v>528</v>
      </c>
      <c r="C182" s="1" t="s">
        <v>637</v>
      </c>
      <c r="D182" t="s">
        <v>42</v>
      </c>
      <c r="E182" t="s">
        <v>43</v>
      </c>
      <c r="F182" s="2">
        <v>54691.86</v>
      </c>
      <c r="G182" s="1" t="s">
        <v>638</v>
      </c>
      <c r="H182" t="s">
        <v>531</v>
      </c>
      <c r="I182" t="s">
        <v>540</v>
      </c>
      <c r="J182">
        <v>6</v>
      </c>
      <c r="K182" t="s">
        <v>26</v>
      </c>
      <c r="L182" t="s">
        <v>541</v>
      </c>
      <c r="M182" t="s">
        <v>28</v>
      </c>
      <c r="N182" t="s">
        <v>533</v>
      </c>
      <c r="O182" t="s">
        <v>542</v>
      </c>
      <c r="P182" t="s">
        <v>31</v>
      </c>
    </row>
    <row r="183" spans="1:16" x14ac:dyDescent="0.25">
      <c r="A183" t="s">
        <v>639</v>
      </c>
      <c r="B183" t="s">
        <v>528</v>
      </c>
      <c r="C183" s="1" t="s">
        <v>640</v>
      </c>
      <c r="D183" t="s">
        <v>42</v>
      </c>
      <c r="E183" t="s">
        <v>43</v>
      </c>
      <c r="F183" s="2">
        <v>64142.15</v>
      </c>
      <c r="G183" s="1" t="s">
        <v>641</v>
      </c>
      <c r="H183" t="s">
        <v>531</v>
      </c>
      <c r="I183" t="s">
        <v>540</v>
      </c>
      <c r="J183">
        <v>7</v>
      </c>
      <c r="K183" t="s">
        <v>26</v>
      </c>
      <c r="L183" t="s">
        <v>541</v>
      </c>
      <c r="M183" t="s">
        <v>28</v>
      </c>
      <c r="N183" t="s">
        <v>533</v>
      </c>
      <c r="O183" t="s">
        <v>542</v>
      </c>
      <c r="P183" t="s">
        <v>31</v>
      </c>
    </row>
    <row r="184" spans="1:16" x14ac:dyDescent="0.25">
      <c r="A184" t="s">
        <v>642</v>
      </c>
      <c r="B184" t="s">
        <v>528</v>
      </c>
      <c r="C184" s="1" t="s">
        <v>643</v>
      </c>
      <c r="D184" t="s">
        <v>21</v>
      </c>
      <c r="E184" t="s">
        <v>22</v>
      </c>
      <c r="F184" s="2">
        <v>76567.19</v>
      </c>
      <c r="G184" s="1" t="s">
        <v>644</v>
      </c>
      <c r="H184" t="s">
        <v>531</v>
      </c>
      <c r="I184" t="s">
        <v>540</v>
      </c>
      <c r="J184">
        <v>6</v>
      </c>
      <c r="K184" t="s">
        <v>26</v>
      </c>
      <c r="L184" t="s">
        <v>541</v>
      </c>
      <c r="M184" t="s">
        <v>28</v>
      </c>
      <c r="N184" t="s">
        <v>533</v>
      </c>
      <c r="O184" t="s">
        <v>542</v>
      </c>
      <c r="P184" t="s">
        <v>31</v>
      </c>
    </row>
    <row r="185" spans="1:16" x14ac:dyDescent="0.25">
      <c r="A185" t="s">
        <v>645</v>
      </c>
      <c r="B185" t="s">
        <v>528</v>
      </c>
      <c r="C185" s="1" t="s">
        <v>646</v>
      </c>
      <c r="D185" t="s">
        <v>21</v>
      </c>
      <c r="E185" t="s">
        <v>22</v>
      </c>
      <c r="F185" s="2">
        <v>103691.6</v>
      </c>
      <c r="G185" s="1" t="s">
        <v>647</v>
      </c>
      <c r="H185" t="s">
        <v>531</v>
      </c>
      <c r="I185" t="s">
        <v>648</v>
      </c>
      <c r="J185">
        <v>13</v>
      </c>
      <c r="K185" t="s">
        <v>26</v>
      </c>
      <c r="L185" t="s">
        <v>649</v>
      </c>
      <c r="M185" t="s">
        <v>28</v>
      </c>
      <c r="N185" t="s">
        <v>533</v>
      </c>
      <c r="O185" t="s">
        <v>650</v>
      </c>
      <c r="P185" t="s">
        <v>404</v>
      </c>
    </row>
    <row r="186" spans="1:16" x14ac:dyDescent="0.25">
      <c r="A186" t="s">
        <v>651</v>
      </c>
      <c r="B186" t="s">
        <v>652</v>
      </c>
      <c r="C186" s="1" t="s">
        <v>653</v>
      </c>
      <c r="D186" t="s">
        <v>42</v>
      </c>
      <c r="E186" t="s">
        <v>43</v>
      </c>
      <c r="F186" s="2">
        <v>25682.33</v>
      </c>
      <c r="G186" s="1" t="s">
        <v>654</v>
      </c>
      <c r="H186" t="s">
        <v>655</v>
      </c>
      <c r="I186" t="s">
        <v>648</v>
      </c>
      <c r="J186">
        <v>4</v>
      </c>
      <c r="K186" t="s">
        <v>26</v>
      </c>
      <c r="L186" t="s">
        <v>656</v>
      </c>
      <c r="M186" t="s">
        <v>28</v>
      </c>
      <c r="N186" t="s">
        <v>657</v>
      </c>
      <c r="O186" t="s">
        <v>650</v>
      </c>
      <c r="P186" t="s">
        <v>31</v>
      </c>
    </row>
    <row r="187" spans="1:16" x14ac:dyDescent="0.25">
      <c r="A187" t="s">
        <v>658</v>
      </c>
      <c r="B187" t="s">
        <v>652</v>
      </c>
      <c r="C187" s="1" t="s">
        <v>659</v>
      </c>
      <c r="D187" t="s">
        <v>42</v>
      </c>
      <c r="E187" t="s">
        <v>43</v>
      </c>
      <c r="F187" s="2">
        <v>8004.28</v>
      </c>
      <c r="G187" s="1" t="s">
        <v>660</v>
      </c>
      <c r="H187" t="s">
        <v>655</v>
      </c>
      <c r="I187" t="s">
        <v>661</v>
      </c>
      <c r="J187">
        <v>5</v>
      </c>
      <c r="K187" t="s">
        <v>26</v>
      </c>
      <c r="L187" t="s">
        <v>662</v>
      </c>
      <c r="M187" t="s">
        <v>28</v>
      </c>
      <c r="N187" t="s">
        <v>657</v>
      </c>
      <c r="O187" t="s">
        <v>663</v>
      </c>
      <c r="P187" t="s">
        <v>31</v>
      </c>
    </row>
    <row r="188" spans="1:16" x14ac:dyDescent="0.25">
      <c r="A188" t="s">
        <v>664</v>
      </c>
      <c r="B188" t="s">
        <v>652</v>
      </c>
      <c r="C188" s="1" t="s">
        <v>665</v>
      </c>
      <c r="D188" t="s">
        <v>21</v>
      </c>
      <c r="E188" t="s">
        <v>22</v>
      </c>
      <c r="F188" s="2">
        <v>10076.74</v>
      </c>
      <c r="G188" s="1" t="s">
        <v>666</v>
      </c>
      <c r="H188" t="s">
        <v>655</v>
      </c>
      <c r="I188" t="s">
        <v>661</v>
      </c>
      <c r="J188">
        <v>5</v>
      </c>
      <c r="K188" t="s">
        <v>26</v>
      </c>
      <c r="L188" t="s">
        <v>662</v>
      </c>
      <c r="M188" t="s">
        <v>28</v>
      </c>
      <c r="N188" t="s">
        <v>657</v>
      </c>
      <c r="O188" t="s">
        <v>663</v>
      </c>
      <c r="P188" t="s">
        <v>31</v>
      </c>
    </row>
    <row r="189" spans="1:16" x14ac:dyDescent="0.25">
      <c r="A189" t="s">
        <v>667</v>
      </c>
      <c r="B189" t="s">
        <v>652</v>
      </c>
      <c r="C189" s="1" t="s">
        <v>668</v>
      </c>
      <c r="D189" t="s">
        <v>21</v>
      </c>
      <c r="E189" t="s">
        <v>22</v>
      </c>
      <c r="F189" s="2">
        <v>22382</v>
      </c>
      <c r="G189" s="1" t="s">
        <v>669</v>
      </c>
      <c r="H189" t="s">
        <v>655</v>
      </c>
      <c r="I189" t="s">
        <v>648</v>
      </c>
      <c r="J189">
        <v>5</v>
      </c>
      <c r="K189" t="s">
        <v>26</v>
      </c>
      <c r="L189" t="s">
        <v>656</v>
      </c>
      <c r="M189" t="s">
        <v>28</v>
      </c>
      <c r="N189" t="s">
        <v>657</v>
      </c>
      <c r="O189" t="s">
        <v>650</v>
      </c>
      <c r="P189" t="s">
        <v>31</v>
      </c>
    </row>
    <row r="190" spans="1:16" x14ac:dyDescent="0.25">
      <c r="A190" t="s">
        <v>670</v>
      </c>
      <c r="B190" t="s">
        <v>652</v>
      </c>
      <c r="C190" s="1" t="s">
        <v>671</v>
      </c>
      <c r="D190" t="s">
        <v>21</v>
      </c>
      <c r="E190" t="s">
        <v>22</v>
      </c>
      <c r="F190" s="2">
        <v>14651.86</v>
      </c>
      <c r="G190" s="1" t="s">
        <v>672</v>
      </c>
      <c r="H190" t="s">
        <v>655</v>
      </c>
      <c r="I190" t="s">
        <v>648</v>
      </c>
      <c r="J190">
        <v>4</v>
      </c>
      <c r="K190" t="s">
        <v>26</v>
      </c>
      <c r="L190" t="s">
        <v>656</v>
      </c>
      <c r="M190" t="s">
        <v>28</v>
      </c>
      <c r="N190" t="s">
        <v>657</v>
      </c>
      <c r="O190" t="s">
        <v>650</v>
      </c>
      <c r="P190" t="s">
        <v>31</v>
      </c>
    </row>
    <row r="191" spans="1:16" x14ac:dyDescent="0.25">
      <c r="A191" t="s">
        <v>673</v>
      </c>
      <c r="B191" t="s">
        <v>652</v>
      </c>
      <c r="C191" s="1" t="s">
        <v>674</v>
      </c>
      <c r="D191" t="s">
        <v>21</v>
      </c>
      <c r="E191" t="s">
        <v>22</v>
      </c>
      <c r="F191" s="2">
        <v>23528.14</v>
      </c>
      <c r="G191" s="1" t="s">
        <v>675</v>
      </c>
      <c r="H191" t="s">
        <v>655</v>
      </c>
      <c r="I191" t="s">
        <v>661</v>
      </c>
      <c r="J191">
        <v>5</v>
      </c>
      <c r="K191" t="s">
        <v>26</v>
      </c>
      <c r="L191" t="s">
        <v>662</v>
      </c>
      <c r="M191" t="s">
        <v>28</v>
      </c>
      <c r="N191" t="s">
        <v>657</v>
      </c>
      <c r="O191" t="s">
        <v>663</v>
      </c>
      <c r="P191" t="s">
        <v>31</v>
      </c>
    </row>
    <row r="192" spans="1:16" x14ac:dyDescent="0.25">
      <c r="A192" t="s">
        <v>676</v>
      </c>
      <c r="B192" t="s">
        <v>652</v>
      </c>
      <c r="C192" s="1" t="s">
        <v>677</v>
      </c>
      <c r="D192" t="s">
        <v>21</v>
      </c>
      <c r="E192" t="s">
        <v>22</v>
      </c>
      <c r="F192" s="2">
        <v>22676.67</v>
      </c>
      <c r="G192" s="1" t="s">
        <v>678</v>
      </c>
      <c r="H192" t="s">
        <v>655</v>
      </c>
      <c r="I192" t="s">
        <v>661</v>
      </c>
      <c r="J192">
        <v>5</v>
      </c>
      <c r="K192" t="s">
        <v>26</v>
      </c>
      <c r="L192" t="s">
        <v>662</v>
      </c>
      <c r="M192" t="s">
        <v>28</v>
      </c>
      <c r="N192" t="s">
        <v>657</v>
      </c>
      <c r="O192" t="s">
        <v>663</v>
      </c>
      <c r="P192" t="s">
        <v>31</v>
      </c>
    </row>
    <row r="193" spans="1:16" x14ac:dyDescent="0.25">
      <c r="A193" t="s">
        <v>679</v>
      </c>
      <c r="B193" t="s">
        <v>652</v>
      </c>
      <c r="C193" s="1" t="s">
        <v>680</v>
      </c>
      <c r="D193" t="s">
        <v>21</v>
      </c>
      <c r="E193" t="s">
        <v>22</v>
      </c>
      <c r="F193" s="2">
        <v>23671.78</v>
      </c>
      <c r="G193" s="1" t="s">
        <v>681</v>
      </c>
      <c r="H193" t="s">
        <v>655</v>
      </c>
      <c r="I193" t="s">
        <v>661</v>
      </c>
      <c r="J193">
        <v>7</v>
      </c>
      <c r="K193" t="s">
        <v>26</v>
      </c>
      <c r="L193" t="s">
        <v>662</v>
      </c>
      <c r="M193" t="s">
        <v>28</v>
      </c>
      <c r="N193" t="s">
        <v>657</v>
      </c>
      <c r="O193" t="s">
        <v>663</v>
      </c>
      <c r="P193" t="s">
        <v>31</v>
      </c>
    </row>
    <row r="194" spans="1:16" x14ac:dyDescent="0.25">
      <c r="A194" t="s">
        <v>682</v>
      </c>
      <c r="B194" t="s">
        <v>652</v>
      </c>
      <c r="C194" s="1" t="s">
        <v>683</v>
      </c>
      <c r="D194" t="s">
        <v>21</v>
      </c>
      <c r="E194" t="s">
        <v>22</v>
      </c>
      <c r="F194" s="2">
        <v>27458.85</v>
      </c>
      <c r="G194" s="1" t="s">
        <v>684</v>
      </c>
      <c r="H194" t="s">
        <v>655</v>
      </c>
      <c r="I194" t="s">
        <v>300</v>
      </c>
      <c r="J194">
        <v>7</v>
      </c>
      <c r="K194" t="s">
        <v>26</v>
      </c>
      <c r="L194" t="s">
        <v>685</v>
      </c>
      <c r="M194" t="s">
        <v>28</v>
      </c>
      <c r="N194" t="s">
        <v>657</v>
      </c>
      <c r="O194" t="s">
        <v>303</v>
      </c>
      <c r="P194" t="s">
        <v>31</v>
      </c>
    </row>
    <row r="195" spans="1:16" x14ac:dyDescent="0.25">
      <c r="A195" t="s">
        <v>686</v>
      </c>
      <c r="B195" t="s">
        <v>652</v>
      </c>
      <c r="C195" s="1" t="s">
        <v>687</v>
      </c>
      <c r="D195" t="s">
        <v>21</v>
      </c>
      <c r="E195" t="s">
        <v>22</v>
      </c>
      <c r="F195" s="2">
        <v>30895.99</v>
      </c>
      <c r="G195" s="1" t="s">
        <v>688</v>
      </c>
      <c r="H195" t="s">
        <v>655</v>
      </c>
      <c r="I195" t="s">
        <v>661</v>
      </c>
      <c r="J195">
        <v>6</v>
      </c>
      <c r="K195" t="s">
        <v>26</v>
      </c>
      <c r="L195" t="s">
        <v>662</v>
      </c>
      <c r="M195" t="s">
        <v>28</v>
      </c>
      <c r="N195" t="s">
        <v>657</v>
      </c>
      <c r="O195" t="s">
        <v>663</v>
      </c>
      <c r="P195" t="s">
        <v>31</v>
      </c>
    </row>
    <row r="196" spans="1:16" x14ac:dyDescent="0.25">
      <c r="A196" t="s">
        <v>689</v>
      </c>
      <c r="B196" t="s">
        <v>652</v>
      </c>
      <c r="C196" s="1" t="s">
        <v>690</v>
      </c>
      <c r="D196" t="s">
        <v>21</v>
      </c>
      <c r="E196" t="s">
        <v>22</v>
      </c>
      <c r="F196" s="2">
        <v>31336.03</v>
      </c>
      <c r="G196" s="1" t="s">
        <v>691</v>
      </c>
      <c r="H196" t="s">
        <v>655</v>
      </c>
      <c r="I196" t="s">
        <v>661</v>
      </c>
      <c r="J196">
        <v>6</v>
      </c>
      <c r="K196" t="s">
        <v>26</v>
      </c>
      <c r="L196" t="s">
        <v>662</v>
      </c>
      <c r="M196" t="s">
        <v>28</v>
      </c>
      <c r="N196" t="s">
        <v>657</v>
      </c>
      <c r="O196" t="s">
        <v>663</v>
      </c>
      <c r="P196" t="s">
        <v>31</v>
      </c>
    </row>
    <row r="197" spans="1:16" x14ac:dyDescent="0.25">
      <c r="A197" t="s">
        <v>692</v>
      </c>
      <c r="B197" t="s">
        <v>652</v>
      </c>
      <c r="C197" s="1" t="s">
        <v>693</v>
      </c>
      <c r="D197" t="s">
        <v>21</v>
      </c>
      <c r="E197" t="s">
        <v>22</v>
      </c>
      <c r="F197" s="2">
        <v>31844.19</v>
      </c>
      <c r="G197" s="1" t="s">
        <v>694</v>
      </c>
      <c r="H197" t="s">
        <v>655</v>
      </c>
      <c r="I197" t="s">
        <v>661</v>
      </c>
      <c r="J197">
        <v>6</v>
      </c>
      <c r="K197" t="s">
        <v>26</v>
      </c>
      <c r="L197" t="s">
        <v>662</v>
      </c>
      <c r="M197" t="s">
        <v>28</v>
      </c>
      <c r="N197" t="s">
        <v>657</v>
      </c>
      <c r="O197" t="s">
        <v>663</v>
      </c>
      <c r="P197" t="s">
        <v>31</v>
      </c>
    </row>
    <row r="198" spans="1:16" x14ac:dyDescent="0.25">
      <c r="A198" t="s">
        <v>695</v>
      </c>
      <c r="B198" t="s">
        <v>652</v>
      </c>
      <c r="C198" s="1" t="s">
        <v>696</v>
      </c>
      <c r="D198" t="s">
        <v>21</v>
      </c>
      <c r="E198" t="s">
        <v>22</v>
      </c>
      <c r="F198" s="2">
        <v>20187.71</v>
      </c>
      <c r="G198" s="1" t="s">
        <v>697</v>
      </c>
      <c r="H198" t="s">
        <v>655</v>
      </c>
      <c r="I198" t="s">
        <v>540</v>
      </c>
      <c r="J198">
        <v>5</v>
      </c>
      <c r="K198" t="s">
        <v>26</v>
      </c>
      <c r="L198" t="s">
        <v>698</v>
      </c>
      <c r="M198" t="s">
        <v>28</v>
      </c>
      <c r="N198" t="s">
        <v>657</v>
      </c>
      <c r="O198" t="s">
        <v>542</v>
      </c>
      <c r="P198" t="s">
        <v>31</v>
      </c>
    </row>
    <row r="199" spans="1:16" x14ac:dyDescent="0.25">
      <c r="A199" t="s">
        <v>699</v>
      </c>
      <c r="B199" t="s">
        <v>652</v>
      </c>
      <c r="C199" s="1" t="s">
        <v>700</v>
      </c>
      <c r="D199" t="s">
        <v>21</v>
      </c>
      <c r="E199" t="s">
        <v>22</v>
      </c>
      <c r="F199" s="2">
        <v>19306.96</v>
      </c>
      <c r="G199" s="1" t="s">
        <v>701</v>
      </c>
      <c r="H199" t="s">
        <v>655</v>
      </c>
      <c r="I199" t="s">
        <v>540</v>
      </c>
      <c r="J199">
        <v>5</v>
      </c>
      <c r="K199" t="s">
        <v>26</v>
      </c>
      <c r="L199" t="s">
        <v>698</v>
      </c>
      <c r="M199" t="s">
        <v>28</v>
      </c>
      <c r="N199" t="s">
        <v>657</v>
      </c>
      <c r="O199" t="s">
        <v>542</v>
      </c>
      <c r="P199" t="s">
        <v>31</v>
      </c>
    </row>
    <row r="200" spans="1:16" x14ac:dyDescent="0.25">
      <c r="A200" t="s">
        <v>702</v>
      </c>
      <c r="B200" t="s">
        <v>652</v>
      </c>
      <c r="C200" s="1" t="s">
        <v>703</v>
      </c>
      <c r="D200" t="s">
        <v>21</v>
      </c>
      <c r="E200" t="s">
        <v>22</v>
      </c>
      <c r="F200" s="2">
        <v>26930.3</v>
      </c>
      <c r="G200" s="1" t="s">
        <v>704</v>
      </c>
      <c r="H200" t="s">
        <v>655</v>
      </c>
      <c r="I200" t="s">
        <v>540</v>
      </c>
      <c r="J200">
        <v>6</v>
      </c>
      <c r="K200" t="s">
        <v>26</v>
      </c>
      <c r="L200" t="s">
        <v>698</v>
      </c>
      <c r="M200" t="s">
        <v>28</v>
      </c>
      <c r="N200" t="s">
        <v>657</v>
      </c>
      <c r="O200" t="s">
        <v>542</v>
      </c>
      <c r="P200" t="s">
        <v>31</v>
      </c>
    </row>
    <row r="201" spans="1:16" x14ac:dyDescent="0.25">
      <c r="A201" t="s">
        <v>705</v>
      </c>
      <c r="B201" t="s">
        <v>652</v>
      </c>
      <c r="C201" s="1" t="s">
        <v>706</v>
      </c>
      <c r="D201" t="s">
        <v>21</v>
      </c>
      <c r="E201" t="s">
        <v>22</v>
      </c>
      <c r="F201" s="2">
        <v>25296.18</v>
      </c>
      <c r="G201" s="1" t="s">
        <v>707</v>
      </c>
      <c r="H201" t="s">
        <v>655</v>
      </c>
      <c r="I201" t="s">
        <v>300</v>
      </c>
      <c r="J201">
        <v>5</v>
      </c>
      <c r="K201" t="s">
        <v>26</v>
      </c>
      <c r="L201" t="s">
        <v>685</v>
      </c>
      <c r="M201" t="s">
        <v>28</v>
      </c>
      <c r="N201" t="s">
        <v>657</v>
      </c>
      <c r="O201" t="s">
        <v>303</v>
      </c>
      <c r="P201" t="s">
        <v>31</v>
      </c>
    </row>
    <row r="202" spans="1:16" x14ac:dyDescent="0.25">
      <c r="A202" t="s">
        <v>708</v>
      </c>
      <c r="B202" t="s">
        <v>709</v>
      </c>
      <c r="C202" s="1" t="s">
        <v>710</v>
      </c>
      <c r="D202" t="s">
        <v>63</v>
      </c>
      <c r="E202" t="s">
        <v>64</v>
      </c>
      <c r="F202" s="2">
        <v>130115.55</v>
      </c>
      <c r="G202" s="1" t="s">
        <v>711</v>
      </c>
      <c r="H202" t="s">
        <v>307</v>
      </c>
      <c r="I202" t="s">
        <v>712</v>
      </c>
      <c r="J202">
        <v>6</v>
      </c>
      <c r="K202" t="s">
        <v>26</v>
      </c>
      <c r="L202" t="s">
        <v>408</v>
      </c>
      <c r="M202" t="s">
        <v>28</v>
      </c>
      <c r="N202" t="s">
        <v>310</v>
      </c>
      <c r="O202" t="s">
        <v>252</v>
      </c>
      <c r="P202" t="s">
        <v>404</v>
      </c>
    </row>
    <row r="203" spans="1:16" x14ac:dyDescent="0.25">
      <c r="A203" t="s">
        <v>713</v>
      </c>
      <c r="B203" t="s">
        <v>709</v>
      </c>
      <c r="C203" s="1" t="s">
        <v>714</v>
      </c>
      <c r="D203" t="s">
        <v>63</v>
      </c>
      <c r="E203" t="s">
        <v>64</v>
      </c>
      <c r="F203" s="2">
        <v>41349.88</v>
      </c>
      <c r="G203" s="1" t="s">
        <v>715</v>
      </c>
      <c r="H203" t="s">
        <v>307</v>
      </c>
      <c r="I203" t="s">
        <v>308</v>
      </c>
      <c r="J203">
        <v>6</v>
      </c>
      <c r="K203" t="s">
        <v>26</v>
      </c>
      <c r="L203" t="s">
        <v>408</v>
      </c>
      <c r="M203" t="s">
        <v>28</v>
      </c>
      <c r="N203" t="s">
        <v>310</v>
      </c>
      <c r="O203" t="s">
        <v>252</v>
      </c>
      <c r="P203" t="s">
        <v>404</v>
      </c>
    </row>
    <row r="204" spans="1:16" x14ac:dyDescent="0.25">
      <c r="A204" t="s">
        <v>716</v>
      </c>
      <c r="B204" t="s">
        <v>709</v>
      </c>
      <c r="C204" s="1" t="s">
        <v>717</v>
      </c>
      <c r="D204" t="s">
        <v>42</v>
      </c>
      <c r="E204" t="s">
        <v>43</v>
      </c>
      <c r="F204" s="2">
        <v>65185.29</v>
      </c>
      <c r="G204" s="1" t="s">
        <v>718</v>
      </c>
      <c r="H204" t="s">
        <v>307</v>
      </c>
      <c r="I204" t="s">
        <v>308</v>
      </c>
      <c r="J204">
        <v>7</v>
      </c>
      <c r="K204" t="s">
        <v>26</v>
      </c>
      <c r="L204" t="s">
        <v>408</v>
      </c>
      <c r="M204" t="s">
        <v>28</v>
      </c>
      <c r="N204" t="s">
        <v>310</v>
      </c>
      <c r="O204" t="s">
        <v>252</v>
      </c>
      <c r="P204" t="s">
        <v>404</v>
      </c>
    </row>
    <row r="205" spans="1:16" x14ac:dyDescent="0.25">
      <c r="A205" t="s">
        <v>719</v>
      </c>
      <c r="B205" t="s">
        <v>709</v>
      </c>
      <c r="C205" s="1" t="s">
        <v>720</v>
      </c>
      <c r="D205" t="s">
        <v>42</v>
      </c>
      <c r="E205" t="s">
        <v>43</v>
      </c>
      <c r="F205" s="2">
        <v>40694.33</v>
      </c>
      <c r="G205" s="1" t="s">
        <v>721</v>
      </c>
      <c r="H205" t="s">
        <v>307</v>
      </c>
      <c r="I205" t="s">
        <v>250</v>
      </c>
      <c r="J205">
        <v>7</v>
      </c>
      <c r="K205" t="s">
        <v>26</v>
      </c>
      <c r="L205" t="s">
        <v>408</v>
      </c>
      <c r="M205" t="s">
        <v>28</v>
      </c>
      <c r="N205" t="s">
        <v>310</v>
      </c>
      <c r="O205" t="s">
        <v>252</v>
      </c>
      <c r="P205" t="s">
        <v>404</v>
      </c>
    </row>
    <row r="206" spans="1:16" x14ac:dyDescent="0.25">
      <c r="A206" t="s">
        <v>722</v>
      </c>
      <c r="B206" t="s">
        <v>709</v>
      </c>
      <c r="C206" s="1" t="s">
        <v>723</v>
      </c>
      <c r="D206" t="s">
        <v>42</v>
      </c>
      <c r="E206" t="s">
        <v>43</v>
      </c>
      <c r="F206" s="2">
        <v>35245.7</v>
      </c>
      <c r="G206" s="1" t="s">
        <v>724</v>
      </c>
      <c r="H206" t="s">
        <v>307</v>
      </c>
      <c r="I206" t="s">
        <v>250</v>
      </c>
      <c r="J206">
        <v>7</v>
      </c>
      <c r="K206" t="s">
        <v>26</v>
      </c>
      <c r="L206" t="s">
        <v>408</v>
      </c>
      <c r="M206" t="s">
        <v>28</v>
      </c>
      <c r="N206" t="s">
        <v>310</v>
      </c>
      <c r="O206" t="s">
        <v>252</v>
      </c>
      <c r="P206" t="s">
        <v>404</v>
      </c>
    </row>
    <row r="207" spans="1:16" x14ac:dyDescent="0.25">
      <c r="A207" t="s">
        <v>725</v>
      </c>
      <c r="B207" t="s">
        <v>709</v>
      </c>
      <c r="C207" s="1" t="s">
        <v>726</v>
      </c>
      <c r="D207" t="s">
        <v>42</v>
      </c>
      <c r="E207" t="s">
        <v>43</v>
      </c>
      <c r="F207" s="2">
        <v>32626.65</v>
      </c>
      <c r="G207" s="1" t="s">
        <v>727</v>
      </c>
      <c r="H207" t="s">
        <v>307</v>
      </c>
      <c r="I207" t="s">
        <v>250</v>
      </c>
      <c r="J207">
        <v>7</v>
      </c>
      <c r="K207" t="s">
        <v>26</v>
      </c>
      <c r="L207" t="s">
        <v>408</v>
      </c>
      <c r="M207" t="s">
        <v>28</v>
      </c>
      <c r="N207" t="s">
        <v>310</v>
      </c>
      <c r="O207" t="s">
        <v>252</v>
      </c>
      <c r="P207" t="s">
        <v>404</v>
      </c>
    </row>
    <row r="208" spans="1:16" x14ac:dyDescent="0.25">
      <c r="A208" t="s">
        <v>728</v>
      </c>
      <c r="B208" t="s">
        <v>709</v>
      </c>
      <c r="C208" s="1" t="s">
        <v>729</v>
      </c>
      <c r="D208" t="s">
        <v>42</v>
      </c>
      <c r="E208" t="s">
        <v>43</v>
      </c>
      <c r="F208" s="2">
        <v>46290.83</v>
      </c>
      <c r="G208" s="1" t="s">
        <v>730</v>
      </c>
      <c r="H208" t="s">
        <v>307</v>
      </c>
      <c r="I208" t="s">
        <v>250</v>
      </c>
      <c r="J208">
        <v>7</v>
      </c>
      <c r="K208" t="s">
        <v>26</v>
      </c>
      <c r="L208" t="s">
        <v>408</v>
      </c>
      <c r="M208" t="s">
        <v>28</v>
      </c>
      <c r="N208" t="s">
        <v>310</v>
      </c>
      <c r="O208" t="s">
        <v>252</v>
      </c>
      <c r="P208" t="s">
        <v>404</v>
      </c>
    </row>
    <row r="209" spans="1:16" x14ac:dyDescent="0.25">
      <c r="A209" t="s">
        <v>731</v>
      </c>
      <c r="B209" t="s">
        <v>709</v>
      </c>
      <c r="C209" s="1" t="s">
        <v>732</v>
      </c>
      <c r="D209" t="s">
        <v>42</v>
      </c>
      <c r="E209" t="s">
        <v>43</v>
      </c>
      <c r="F209" s="2">
        <v>76462.1</v>
      </c>
      <c r="G209" s="1" t="s">
        <v>733</v>
      </c>
      <c r="H209" t="s">
        <v>307</v>
      </c>
      <c r="I209" t="s">
        <v>250</v>
      </c>
      <c r="J209">
        <v>7</v>
      </c>
      <c r="K209" t="s">
        <v>26</v>
      </c>
      <c r="L209" t="s">
        <v>408</v>
      </c>
      <c r="M209" t="s">
        <v>28</v>
      </c>
      <c r="N209" t="s">
        <v>310</v>
      </c>
      <c r="O209" t="s">
        <v>252</v>
      </c>
      <c r="P209" t="s">
        <v>404</v>
      </c>
    </row>
    <row r="210" spans="1:16" x14ac:dyDescent="0.25">
      <c r="A210" t="s">
        <v>734</v>
      </c>
      <c r="B210" t="s">
        <v>709</v>
      </c>
      <c r="C210" s="1" t="s">
        <v>735</v>
      </c>
      <c r="D210" t="s">
        <v>42</v>
      </c>
      <c r="E210" t="s">
        <v>43</v>
      </c>
      <c r="F210" s="2">
        <v>75218.32</v>
      </c>
      <c r="G210" s="1" t="s">
        <v>736</v>
      </c>
      <c r="H210" t="s">
        <v>307</v>
      </c>
      <c r="I210" t="s">
        <v>737</v>
      </c>
      <c r="J210">
        <v>6</v>
      </c>
      <c r="K210" t="s">
        <v>26</v>
      </c>
      <c r="L210" t="s">
        <v>738</v>
      </c>
      <c r="M210" t="s">
        <v>28</v>
      </c>
      <c r="N210" t="s">
        <v>310</v>
      </c>
      <c r="O210" t="s">
        <v>739</v>
      </c>
      <c r="P210" t="s">
        <v>404</v>
      </c>
    </row>
    <row r="211" spans="1:16" x14ac:dyDescent="0.25">
      <c r="A211" t="s">
        <v>740</v>
      </c>
      <c r="B211" t="s">
        <v>709</v>
      </c>
      <c r="C211" s="1" t="s">
        <v>741</v>
      </c>
      <c r="D211" t="s">
        <v>42</v>
      </c>
      <c r="E211" t="s">
        <v>43</v>
      </c>
      <c r="F211" s="2">
        <v>65897.63</v>
      </c>
      <c r="G211" s="1" t="s">
        <v>742</v>
      </c>
      <c r="H211" t="s">
        <v>307</v>
      </c>
      <c r="I211" t="s">
        <v>743</v>
      </c>
      <c r="J211">
        <v>6</v>
      </c>
      <c r="K211" t="s">
        <v>26</v>
      </c>
      <c r="L211" t="s">
        <v>744</v>
      </c>
      <c r="M211" t="s">
        <v>28</v>
      </c>
      <c r="N211" t="s">
        <v>310</v>
      </c>
      <c r="O211" t="s">
        <v>745</v>
      </c>
      <c r="P211" t="s">
        <v>404</v>
      </c>
    </row>
    <row r="212" spans="1:16" x14ac:dyDescent="0.25">
      <c r="A212" t="s">
        <v>746</v>
      </c>
      <c r="B212" t="s">
        <v>709</v>
      </c>
      <c r="C212" s="1" t="s">
        <v>747</v>
      </c>
      <c r="D212" t="s">
        <v>63</v>
      </c>
      <c r="E212" t="s">
        <v>64</v>
      </c>
      <c r="F212" s="2">
        <v>489944.74</v>
      </c>
      <c r="G212" s="1" t="s">
        <v>748</v>
      </c>
      <c r="H212" t="s">
        <v>307</v>
      </c>
      <c r="I212" t="s">
        <v>250</v>
      </c>
      <c r="J212">
        <v>11</v>
      </c>
      <c r="K212" t="s">
        <v>26</v>
      </c>
      <c r="L212" t="s">
        <v>309</v>
      </c>
      <c r="M212" t="s">
        <v>28</v>
      </c>
      <c r="N212" t="s">
        <v>310</v>
      </c>
      <c r="O212" t="s">
        <v>252</v>
      </c>
      <c r="P212" t="s">
        <v>31</v>
      </c>
    </row>
    <row r="213" spans="1:16" x14ac:dyDescent="0.25">
      <c r="A213" t="s">
        <v>749</v>
      </c>
      <c r="B213" t="s">
        <v>709</v>
      </c>
      <c r="C213" s="1" t="s">
        <v>750</v>
      </c>
      <c r="D213" t="s">
        <v>63</v>
      </c>
      <c r="E213" t="s">
        <v>64</v>
      </c>
      <c r="F213" s="2">
        <v>58989.32</v>
      </c>
      <c r="G213" s="1" t="s">
        <v>751</v>
      </c>
      <c r="H213" t="s">
        <v>307</v>
      </c>
      <c r="I213" t="s">
        <v>712</v>
      </c>
      <c r="J213">
        <v>5</v>
      </c>
      <c r="K213" t="s">
        <v>26</v>
      </c>
      <c r="L213" t="s">
        <v>752</v>
      </c>
      <c r="M213" t="s">
        <v>28</v>
      </c>
      <c r="N213" t="s">
        <v>310</v>
      </c>
      <c r="O213" t="s">
        <v>252</v>
      </c>
      <c r="P213" t="s">
        <v>253</v>
      </c>
    </row>
    <row r="214" spans="1:16" x14ac:dyDescent="0.25">
      <c r="A214" t="s">
        <v>753</v>
      </c>
      <c r="B214" t="s">
        <v>709</v>
      </c>
      <c r="C214" s="1" t="s">
        <v>754</v>
      </c>
      <c r="D214" t="s">
        <v>63</v>
      </c>
      <c r="E214" t="s">
        <v>64</v>
      </c>
      <c r="F214" s="2">
        <v>115446.95</v>
      </c>
      <c r="G214" s="1" t="s">
        <v>755</v>
      </c>
      <c r="H214" t="s">
        <v>307</v>
      </c>
      <c r="I214" t="s">
        <v>250</v>
      </c>
      <c r="J214">
        <v>11</v>
      </c>
      <c r="K214" t="s">
        <v>26</v>
      </c>
      <c r="L214" t="s">
        <v>309</v>
      </c>
      <c r="M214" t="s">
        <v>28</v>
      </c>
      <c r="N214" t="s">
        <v>310</v>
      </c>
      <c r="O214" t="s">
        <v>252</v>
      </c>
      <c r="P214" t="s">
        <v>31</v>
      </c>
    </row>
    <row r="215" spans="1:16" x14ac:dyDescent="0.25">
      <c r="A215" t="s">
        <v>756</v>
      </c>
      <c r="B215" t="s">
        <v>709</v>
      </c>
      <c r="C215" s="1" t="s">
        <v>757</v>
      </c>
      <c r="D215" t="s">
        <v>63</v>
      </c>
      <c r="E215" t="s">
        <v>64</v>
      </c>
      <c r="F215" s="2">
        <v>86775.57</v>
      </c>
      <c r="G215" s="1" t="s">
        <v>758</v>
      </c>
      <c r="H215" t="s">
        <v>307</v>
      </c>
      <c r="I215" t="s">
        <v>250</v>
      </c>
      <c r="J215">
        <v>12</v>
      </c>
      <c r="K215" t="s">
        <v>26</v>
      </c>
      <c r="L215" t="s">
        <v>309</v>
      </c>
      <c r="M215" t="s">
        <v>28</v>
      </c>
      <c r="N215" t="s">
        <v>310</v>
      </c>
      <c r="O215" t="s">
        <v>252</v>
      </c>
      <c r="P215" t="s">
        <v>31</v>
      </c>
    </row>
    <row r="216" spans="1:16" x14ac:dyDescent="0.25">
      <c r="A216" t="s">
        <v>759</v>
      </c>
      <c r="B216" t="s">
        <v>709</v>
      </c>
      <c r="C216" s="1" t="s">
        <v>760</v>
      </c>
      <c r="D216" t="s">
        <v>63</v>
      </c>
      <c r="E216" t="s">
        <v>64</v>
      </c>
      <c r="F216" s="2">
        <v>116539.38</v>
      </c>
      <c r="G216" s="1" t="s">
        <v>761</v>
      </c>
      <c r="H216" t="s">
        <v>307</v>
      </c>
      <c r="I216" t="s">
        <v>250</v>
      </c>
      <c r="J216">
        <v>11</v>
      </c>
      <c r="K216" t="s">
        <v>26</v>
      </c>
      <c r="L216" t="s">
        <v>309</v>
      </c>
      <c r="M216" t="s">
        <v>28</v>
      </c>
      <c r="N216" t="s">
        <v>310</v>
      </c>
      <c r="O216" t="s">
        <v>252</v>
      </c>
      <c r="P216" t="s">
        <v>31</v>
      </c>
    </row>
    <row r="217" spans="1:16" x14ac:dyDescent="0.25">
      <c r="A217" t="s">
        <v>762</v>
      </c>
      <c r="B217" t="s">
        <v>709</v>
      </c>
      <c r="C217" s="1" t="s">
        <v>763</v>
      </c>
      <c r="D217" t="s">
        <v>42</v>
      </c>
      <c r="E217" t="s">
        <v>43</v>
      </c>
      <c r="F217" s="2">
        <v>14728.06</v>
      </c>
      <c r="G217" s="1" t="s">
        <v>764</v>
      </c>
      <c r="H217" t="s">
        <v>307</v>
      </c>
      <c r="I217" t="s">
        <v>250</v>
      </c>
      <c r="J217">
        <v>16</v>
      </c>
      <c r="K217" t="s">
        <v>765</v>
      </c>
      <c r="L217" t="s">
        <v>408</v>
      </c>
      <c r="M217" t="s">
        <v>28</v>
      </c>
      <c r="N217" t="s">
        <v>310</v>
      </c>
      <c r="O217" t="s">
        <v>252</v>
      </c>
      <c r="P217" t="s">
        <v>404</v>
      </c>
    </row>
    <row r="218" spans="1:16" x14ac:dyDescent="0.25">
      <c r="A218" t="s">
        <v>766</v>
      </c>
      <c r="B218" t="s">
        <v>709</v>
      </c>
      <c r="C218" s="1" t="s">
        <v>767</v>
      </c>
      <c r="D218" t="s">
        <v>42</v>
      </c>
      <c r="E218" t="s">
        <v>43</v>
      </c>
      <c r="F218" s="2">
        <v>30633.28</v>
      </c>
      <c r="G218" s="1" t="s">
        <v>768</v>
      </c>
      <c r="H218" t="s">
        <v>307</v>
      </c>
      <c r="I218" t="s">
        <v>250</v>
      </c>
      <c r="J218">
        <v>5</v>
      </c>
      <c r="K218" t="s">
        <v>26</v>
      </c>
      <c r="L218" t="s">
        <v>408</v>
      </c>
      <c r="M218" t="s">
        <v>28</v>
      </c>
      <c r="N218" t="s">
        <v>310</v>
      </c>
      <c r="O218" t="s">
        <v>252</v>
      </c>
      <c r="P218" t="s">
        <v>404</v>
      </c>
    </row>
    <row r="219" spans="1:16" x14ac:dyDescent="0.25">
      <c r="A219" t="s">
        <v>769</v>
      </c>
      <c r="B219" t="s">
        <v>709</v>
      </c>
      <c r="C219" s="1" t="s">
        <v>770</v>
      </c>
      <c r="D219" t="s">
        <v>42</v>
      </c>
      <c r="E219" t="s">
        <v>43</v>
      </c>
      <c r="F219" s="2">
        <v>35658.19</v>
      </c>
      <c r="G219" s="1" t="s">
        <v>771</v>
      </c>
      <c r="H219" t="s">
        <v>307</v>
      </c>
      <c r="I219" t="s">
        <v>250</v>
      </c>
      <c r="J219">
        <v>5</v>
      </c>
      <c r="K219" t="s">
        <v>26</v>
      </c>
      <c r="L219" t="s">
        <v>408</v>
      </c>
      <c r="M219" t="s">
        <v>28</v>
      </c>
      <c r="N219" t="s">
        <v>310</v>
      </c>
      <c r="O219" t="s">
        <v>252</v>
      </c>
      <c r="P219" t="s">
        <v>404</v>
      </c>
    </row>
    <row r="220" spans="1:16" x14ac:dyDescent="0.25">
      <c r="A220" t="s">
        <v>772</v>
      </c>
      <c r="B220" t="s">
        <v>709</v>
      </c>
      <c r="C220" s="1" t="s">
        <v>773</v>
      </c>
      <c r="D220" t="s">
        <v>42</v>
      </c>
      <c r="E220" t="s">
        <v>43</v>
      </c>
      <c r="F220" s="2">
        <v>54057.53</v>
      </c>
      <c r="G220" s="1" t="s">
        <v>774</v>
      </c>
      <c r="H220" t="s">
        <v>307</v>
      </c>
      <c r="I220" t="s">
        <v>775</v>
      </c>
      <c r="J220">
        <v>7</v>
      </c>
      <c r="K220" t="s">
        <v>26</v>
      </c>
      <c r="L220" t="s">
        <v>776</v>
      </c>
      <c r="M220" t="s">
        <v>28</v>
      </c>
      <c r="N220" t="s">
        <v>310</v>
      </c>
      <c r="O220" t="s">
        <v>777</v>
      </c>
      <c r="P220" t="s">
        <v>404</v>
      </c>
    </row>
    <row r="221" spans="1:16" x14ac:dyDescent="0.25">
      <c r="A221" t="s">
        <v>778</v>
      </c>
      <c r="B221" t="s">
        <v>709</v>
      </c>
      <c r="C221" s="1" t="s">
        <v>779</v>
      </c>
      <c r="D221" t="s">
        <v>42</v>
      </c>
      <c r="E221" t="s">
        <v>43</v>
      </c>
      <c r="F221" s="2">
        <v>14500.8</v>
      </c>
      <c r="G221" s="1" t="s">
        <v>780</v>
      </c>
      <c r="H221" t="s">
        <v>307</v>
      </c>
      <c r="I221" t="s">
        <v>308</v>
      </c>
      <c r="J221">
        <v>10</v>
      </c>
      <c r="K221" t="s">
        <v>26</v>
      </c>
      <c r="L221" t="s">
        <v>408</v>
      </c>
      <c r="M221" t="s">
        <v>28</v>
      </c>
      <c r="N221" t="s">
        <v>310</v>
      </c>
      <c r="O221" t="s">
        <v>252</v>
      </c>
      <c r="P221" t="s">
        <v>404</v>
      </c>
    </row>
    <row r="222" spans="1:16" x14ac:dyDescent="0.25">
      <c r="A222" t="s">
        <v>781</v>
      </c>
      <c r="B222" t="s">
        <v>709</v>
      </c>
      <c r="C222" s="1" t="s">
        <v>782</v>
      </c>
      <c r="D222" t="s">
        <v>42</v>
      </c>
      <c r="E222" t="s">
        <v>43</v>
      </c>
      <c r="F222" s="2">
        <v>12611.54</v>
      </c>
      <c r="G222" s="1" t="s">
        <v>783</v>
      </c>
      <c r="H222" t="s">
        <v>307</v>
      </c>
      <c r="I222" t="s">
        <v>308</v>
      </c>
      <c r="J222">
        <v>10</v>
      </c>
      <c r="K222" t="s">
        <v>26</v>
      </c>
      <c r="L222" t="s">
        <v>408</v>
      </c>
      <c r="M222" t="s">
        <v>28</v>
      </c>
      <c r="N222" t="s">
        <v>310</v>
      </c>
      <c r="O222" t="s">
        <v>252</v>
      </c>
      <c r="P222" t="s">
        <v>404</v>
      </c>
    </row>
    <row r="223" spans="1:16" x14ac:dyDescent="0.25">
      <c r="A223" t="s">
        <v>784</v>
      </c>
      <c r="B223" t="s">
        <v>709</v>
      </c>
      <c r="C223" s="1" t="s">
        <v>785</v>
      </c>
      <c r="D223" t="s">
        <v>42</v>
      </c>
      <c r="E223" t="s">
        <v>43</v>
      </c>
      <c r="F223" s="2">
        <v>10181.86</v>
      </c>
      <c r="G223" s="1" t="s">
        <v>786</v>
      </c>
      <c r="H223" t="s">
        <v>307</v>
      </c>
      <c r="I223" t="s">
        <v>308</v>
      </c>
      <c r="J223">
        <v>9</v>
      </c>
      <c r="K223" t="s">
        <v>26</v>
      </c>
      <c r="L223" t="s">
        <v>408</v>
      </c>
      <c r="M223" t="s">
        <v>28</v>
      </c>
      <c r="N223" t="s">
        <v>310</v>
      </c>
      <c r="O223" t="s">
        <v>252</v>
      </c>
      <c r="P223" t="s">
        <v>404</v>
      </c>
    </row>
    <row r="224" spans="1:16" x14ac:dyDescent="0.25">
      <c r="A224" t="s">
        <v>787</v>
      </c>
      <c r="B224" t="s">
        <v>709</v>
      </c>
      <c r="C224" s="1" t="s">
        <v>788</v>
      </c>
      <c r="D224" t="s">
        <v>63</v>
      </c>
      <c r="E224" t="s">
        <v>64</v>
      </c>
      <c r="F224" s="2">
        <v>40704.26</v>
      </c>
      <c r="G224" s="1" t="s">
        <v>789</v>
      </c>
      <c r="H224" t="s">
        <v>307</v>
      </c>
      <c r="I224" t="s">
        <v>712</v>
      </c>
      <c r="J224">
        <v>4</v>
      </c>
      <c r="K224" t="s">
        <v>26</v>
      </c>
      <c r="L224" t="s">
        <v>408</v>
      </c>
      <c r="M224" t="s">
        <v>28</v>
      </c>
      <c r="N224" t="s">
        <v>310</v>
      </c>
      <c r="O224" t="s">
        <v>252</v>
      </c>
      <c r="P224" t="s">
        <v>404</v>
      </c>
    </row>
    <row r="225" spans="1:16" x14ac:dyDescent="0.25">
      <c r="A225" t="s">
        <v>790</v>
      </c>
      <c r="B225" t="s">
        <v>709</v>
      </c>
      <c r="C225" s="1" t="s">
        <v>791</v>
      </c>
      <c r="D225" t="s">
        <v>63</v>
      </c>
      <c r="E225" t="s">
        <v>64</v>
      </c>
      <c r="F225" s="2">
        <v>81172.9</v>
      </c>
      <c r="G225" s="1" t="s">
        <v>792</v>
      </c>
      <c r="H225" t="s">
        <v>307</v>
      </c>
      <c r="I225" t="s">
        <v>250</v>
      </c>
      <c r="J225">
        <v>4</v>
      </c>
      <c r="K225" t="s">
        <v>26</v>
      </c>
      <c r="L225" t="s">
        <v>408</v>
      </c>
      <c r="M225" t="s">
        <v>28</v>
      </c>
      <c r="N225" t="s">
        <v>310</v>
      </c>
      <c r="O225" t="s">
        <v>252</v>
      </c>
      <c r="P225" t="s">
        <v>404</v>
      </c>
    </row>
    <row r="226" spans="1:16" x14ac:dyDescent="0.25">
      <c r="A226" t="s">
        <v>793</v>
      </c>
      <c r="B226" t="s">
        <v>709</v>
      </c>
      <c r="C226" s="1" t="s">
        <v>794</v>
      </c>
      <c r="D226" t="s">
        <v>63</v>
      </c>
      <c r="E226" t="s">
        <v>64</v>
      </c>
      <c r="F226" s="2">
        <v>56598.71</v>
      </c>
      <c r="G226" s="1" t="s">
        <v>795</v>
      </c>
      <c r="H226" t="s">
        <v>307</v>
      </c>
      <c r="I226" t="s">
        <v>250</v>
      </c>
      <c r="J226">
        <v>4</v>
      </c>
      <c r="K226" t="s">
        <v>26</v>
      </c>
      <c r="L226" t="s">
        <v>408</v>
      </c>
      <c r="M226" t="s">
        <v>28</v>
      </c>
      <c r="N226" t="s">
        <v>310</v>
      </c>
      <c r="O226" t="s">
        <v>252</v>
      </c>
      <c r="P226" t="s">
        <v>404</v>
      </c>
    </row>
    <row r="227" spans="1:16" x14ac:dyDescent="0.25">
      <c r="A227" t="s">
        <v>796</v>
      </c>
      <c r="B227" t="s">
        <v>709</v>
      </c>
      <c r="C227" s="1" t="s">
        <v>797</v>
      </c>
      <c r="D227" t="s">
        <v>42</v>
      </c>
      <c r="E227" t="s">
        <v>43</v>
      </c>
      <c r="F227" s="2">
        <v>24485.4</v>
      </c>
      <c r="G227" s="1" t="s">
        <v>798</v>
      </c>
      <c r="H227" t="s">
        <v>307</v>
      </c>
      <c r="I227" t="s">
        <v>308</v>
      </c>
      <c r="J227">
        <v>7</v>
      </c>
      <c r="K227" t="s">
        <v>26</v>
      </c>
      <c r="L227" t="s">
        <v>309</v>
      </c>
      <c r="M227" t="s">
        <v>28</v>
      </c>
      <c r="N227" t="s">
        <v>310</v>
      </c>
      <c r="O227" t="s">
        <v>252</v>
      </c>
      <c r="P227" t="s">
        <v>31</v>
      </c>
    </row>
    <row r="228" spans="1:16" x14ac:dyDescent="0.25">
      <c r="A228" t="s">
        <v>799</v>
      </c>
      <c r="B228" t="s">
        <v>709</v>
      </c>
      <c r="C228" s="1" t="s">
        <v>800</v>
      </c>
      <c r="D228" t="s">
        <v>63</v>
      </c>
      <c r="E228" t="s">
        <v>64</v>
      </c>
      <c r="F228" s="2">
        <v>120339.09</v>
      </c>
      <c r="G228" s="1" t="s">
        <v>801</v>
      </c>
      <c r="H228" t="s">
        <v>307</v>
      </c>
      <c r="I228" t="s">
        <v>308</v>
      </c>
      <c r="J228">
        <v>9</v>
      </c>
      <c r="K228" t="s">
        <v>26</v>
      </c>
      <c r="L228" t="s">
        <v>309</v>
      </c>
      <c r="M228" t="s">
        <v>28</v>
      </c>
      <c r="N228" t="s">
        <v>310</v>
      </c>
      <c r="O228" t="s">
        <v>252</v>
      </c>
      <c r="P228" t="s">
        <v>31</v>
      </c>
    </row>
    <row r="229" spans="1:16" x14ac:dyDescent="0.25">
      <c r="A229" t="s">
        <v>802</v>
      </c>
      <c r="B229" t="s">
        <v>709</v>
      </c>
      <c r="C229" s="1" t="s">
        <v>803</v>
      </c>
      <c r="D229" t="s">
        <v>63</v>
      </c>
      <c r="E229" t="s">
        <v>64</v>
      </c>
      <c r="F229" s="2">
        <v>198646.71</v>
      </c>
      <c r="G229" s="1" t="s">
        <v>804</v>
      </c>
      <c r="H229" t="s">
        <v>307</v>
      </c>
      <c r="I229" t="s">
        <v>805</v>
      </c>
      <c r="J229">
        <v>5</v>
      </c>
      <c r="K229" t="s">
        <v>26</v>
      </c>
      <c r="L229" t="s">
        <v>806</v>
      </c>
      <c r="M229" t="s">
        <v>28</v>
      </c>
      <c r="N229" t="s">
        <v>310</v>
      </c>
      <c r="O229" t="s">
        <v>807</v>
      </c>
      <c r="P229" t="s">
        <v>404</v>
      </c>
    </row>
    <row r="230" spans="1:16" x14ac:dyDescent="0.25">
      <c r="A230" t="s">
        <v>808</v>
      </c>
      <c r="B230" t="s">
        <v>709</v>
      </c>
      <c r="C230" s="1" t="s">
        <v>809</v>
      </c>
      <c r="D230" t="s">
        <v>63</v>
      </c>
      <c r="E230" t="s">
        <v>64</v>
      </c>
      <c r="F230" s="2">
        <v>99916.53</v>
      </c>
      <c r="G230" s="1" t="s">
        <v>810</v>
      </c>
      <c r="H230" t="s">
        <v>307</v>
      </c>
      <c r="I230" t="s">
        <v>805</v>
      </c>
      <c r="J230">
        <v>5</v>
      </c>
      <c r="K230" t="s">
        <v>26</v>
      </c>
      <c r="L230" t="s">
        <v>806</v>
      </c>
      <c r="M230" t="s">
        <v>28</v>
      </c>
      <c r="N230" t="s">
        <v>310</v>
      </c>
      <c r="O230" t="s">
        <v>807</v>
      </c>
      <c r="P230" t="s">
        <v>404</v>
      </c>
    </row>
    <row r="231" spans="1:16" x14ac:dyDescent="0.25">
      <c r="A231" t="s">
        <v>811</v>
      </c>
      <c r="B231" t="s">
        <v>709</v>
      </c>
      <c r="C231" s="1" t="s">
        <v>812</v>
      </c>
      <c r="D231" t="s">
        <v>63</v>
      </c>
      <c r="E231" t="s">
        <v>64</v>
      </c>
      <c r="F231" s="2">
        <v>240191.17</v>
      </c>
      <c r="G231" s="1" t="s">
        <v>813</v>
      </c>
      <c r="H231" t="s">
        <v>307</v>
      </c>
      <c r="I231" t="s">
        <v>257</v>
      </c>
      <c r="J231">
        <v>11</v>
      </c>
      <c r="K231" t="s">
        <v>26</v>
      </c>
      <c r="L231" t="s">
        <v>814</v>
      </c>
      <c r="M231" t="s">
        <v>28</v>
      </c>
      <c r="N231" t="s">
        <v>310</v>
      </c>
      <c r="O231" t="s">
        <v>259</v>
      </c>
      <c r="P231" t="s">
        <v>404</v>
      </c>
    </row>
    <row r="232" spans="1:16" x14ac:dyDescent="0.25">
      <c r="A232" t="s">
        <v>815</v>
      </c>
      <c r="B232" t="s">
        <v>709</v>
      </c>
      <c r="C232" s="1" t="s">
        <v>816</v>
      </c>
      <c r="D232" t="s">
        <v>63</v>
      </c>
      <c r="E232" t="s">
        <v>64</v>
      </c>
      <c r="F232" s="2">
        <v>99613.2</v>
      </c>
      <c r="G232" s="1" t="s">
        <v>817</v>
      </c>
      <c r="H232" t="s">
        <v>307</v>
      </c>
      <c r="I232" t="s">
        <v>257</v>
      </c>
      <c r="J232">
        <v>10</v>
      </c>
      <c r="K232" t="s">
        <v>26</v>
      </c>
      <c r="L232" t="s">
        <v>814</v>
      </c>
      <c r="M232" t="s">
        <v>28</v>
      </c>
      <c r="N232" t="s">
        <v>310</v>
      </c>
      <c r="O232" t="s">
        <v>259</v>
      </c>
      <c r="P232" t="s">
        <v>404</v>
      </c>
    </row>
    <row r="233" spans="1:16" x14ac:dyDescent="0.25">
      <c r="A233" t="s">
        <v>818</v>
      </c>
      <c r="B233" t="s">
        <v>709</v>
      </c>
      <c r="C233" s="1" t="s">
        <v>819</v>
      </c>
      <c r="D233" t="s">
        <v>63</v>
      </c>
      <c r="E233" t="s">
        <v>64</v>
      </c>
      <c r="F233" s="2">
        <v>249074.83</v>
      </c>
      <c r="G233" s="1" t="s">
        <v>820</v>
      </c>
      <c r="H233" t="s">
        <v>307</v>
      </c>
      <c r="I233" t="s">
        <v>257</v>
      </c>
      <c r="J233">
        <v>11</v>
      </c>
      <c r="K233" t="s">
        <v>26</v>
      </c>
      <c r="L233" t="s">
        <v>814</v>
      </c>
      <c r="M233" t="s">
        <v>28</v>
      </c>
      <c r="N233" t="s">
        <v>310</v>
      </c>
      <c r="O233" t="s">
        <v>259</v>
      </c>
      <c r="P233" t="s">
        <v>404</v>
      </c>
    </row>
    <row r="234" spans="1:16" x14ac:dyDescent="0.25">
      <c r="A234" t="s">
        <v>821</v>
      </c>
      <c r="B234" t="s">
        <v>709</v>
      </c>
      <c r="C234" s="1" t="s">
        <v>822</v>
      </c>
      <c r="D234" t="s">
        <v>63</v>
      </c>
      <c r="E234" t="s">
        <v>64</v>
      </c>
      <c r="F234" s="2">
        <v>100727.87</v>
      </c>
      <c r="G234" s="1" t="s">
        <v>823</v>
      </c>
      <c r="H234" t="s">
        <v>307</v>
      </c>
      <c r="I234" t="s">
        <v>257</v>
      </c>
      <c r="J234">
        <v>10</v>
      </c>
      <c r="K234" t="s">
        <v>26</v>
      </c>
      <c r="L234" t="s">
        <v>814</v>
      </c>
      <c r="M234" t="s">
        <v>28</v>
      </c>
      <c r="N234" t="s">
        <v>310</v>
      </c>
      <c r="O234" t="s">
        <v>259</v>
      </c>
      <c r="P234" t="s">
        <v>404</v>
      </c>
    </row>
    <row r="235" spans="1:16" x14ac:dyDescent="0.25">
      <c r="A235" t="s">
        <v>824</v>
      </c>
      <c r="B235" t="s">
        <v>709</v>
      </c>
      <c r="C235" s="1" t="s">
        <v>825</v>
      </c>
      <c r="D235" t="s">
        <v>63</v>
      </c>
      <c r="E235" t="s">
        <v>64</v>
      </c>
      <c r="F235" s="2">
        <v>431820.55</v>
      </c>
      <c r="G235" s="1" t="s">
        <v>826</v>
      </c>
      <c r="H235" t="s">
        <v>307</v>
      </c>
      <c r="I235" t="s">
        <v>250</v>
      </c>
      <c r="J235">
        <v>11</v>
      </c>
      <c r="K235" t="s">
        <v>26</v>
      </c>
      <c r="L235" t="s">
        <v>408</v>
      </c>
      <c r="M235" t="s">
        <v>28</v>
      </c>
      <c r="N235" t="s">
        <v>310</v>
      </c>
      <c r="O235" t="s">
        <v>252</v>
      </c>
      <c r="P235" t="s">
        <v>404</v>
      </c>
    </row>
    <row r="236" spans="1:16" x14ac:dyDescent="0.25">
      <c r="A236" t="s">
        <v>827</v>
      </c>
      <c r="B236" t="s">
        <v>709</v>
      </c>
      <c r="C236" s="1" t="s">
        <v>828</v>
      </c>
      <c r="D236" t="s">
        <v>63</v>
      </c>
      <c r="E236" t="s">
        <v>64</v>
      </c>
      <c r="F236" s="2">
        <v>696370.55</v>
      </c>
      <c r="G236" s="1" t="s">
        <v>829</v>
      </c>
      <c r="H236" t="s">
        <v>307</v>
      </c>
      <c r="I236" t="s">
        <v>250</v>
      </c>
      <c r="J236">
        <v>11</v>
      </c>
      <c r="K236" t="s">
        <v>26</v>
      </c>
      <c r="L236" t="s">
        <v>408</v>
      </c>
      <c r="M236" t="s">
        <v>28</v>
      </c>
      <c r="N236" t="s">
        <v>310</v>
      </c>
      <c r="O236" t="s">
        <v>252</v>
      </c>
      <c r="P236" t="s">
        <v>404</v>
      </c>
    </row>
    <row r="237" spans="1:16" x14ac:dyDescent="0.25">
      <c r="A237" t="s">
        <v>830</v>
      </c>
      <c r="B237" t="s">
        <v>709</v>
      </c>
      <c r="C237" s="1" t="s">
        <v>831</v>
      </c>
      <c r="D237" t="s">
        <v>63</v>
      </c>
      <c r="E237" t="s">
        <v>64</v>
      </c>
      <c r="F237" s="2">
        <v>221302.65</v>
      </c>
      <c r="G237" s="1" t="s">
        <v>832</v>
      </c>
      <c r="H237" t="s">
        <v>307</v>
      </c>
      <c r="I237" t="s">
        <v>250</v>
      </c>
      <c r="J237">
        <v>11</v>
      </c>
      <c r="K237" t="s">
        <v>26</v>
      </c>
      <c r="L237" t="s">
        <v>408</v>
      </c>
      <c r="M237" t="s">
        <v>28</v>
      </c>
      <c r="N237" t="s">
        <v>310</v>
      </c>
      <c r="O237" t="s">
        <v>252</v>
      </c>
      <c r="P237" t="s">
        <v>404</v>
      </c>
    </row>
    <row r="238" spans="1:16" x14ac:dyDescent="0.25">
      <c r="A238" t="s">
        <v>833</v>
      </c>
      <c r="B238" t="s">
        <v>709</v>
      </c>
      <c r="C238" s="1" t="s">
        <v>834</v>
      </c>
      <c r="D238" t="s">
        <v>63</v>
      </c>
      <c r="E238" t="s">
        <v>64</v>
      </c>
      <c r="F238" s="2">
        <v>289070.55</v>
      </c>
      <c r="G238" s="1" t="s">
        <v>835</v>
      </c>
      <c r="H238" t="s">
        <v>307</v>
      </c>
      <c r="I238" t="s">
        <v>250</v>
      </c>
      <c r="J238">
        <v>11</v>
      </c>
      <c r="K238" t="s">
        <v>26</v>
      </c>
      <c r="L238" t="s">
        <v>408</v>
      </c>
      <c r="M238" t="s">
        <v>28</v>
      </c>
      <c r="N238" t="s">
        <v>310</v>
      </c>
      <c r="O238" t="s">
        <v>252</v>
      </c>
      <c r="P238" t="s">
        <v>404</v>
      </c>
    </row>
    <row r="239" spans="1:16" x14ac:dyDescent="0.25">
      <c r="A239" t="s">
        <v>836</v>
      </c>
      <c r="B239" t="s">
        <v>709</v>
      </c>
      <c r="C239" s="1" t="s">
        <v>837</v>
      </c>
      <c r="D239" t="s">
        <v>63</v>
      </c>
      <c r="E239" t="s">
        <v>64</v>
      </c>
      <c r="F239" s="2">
        <v>2531109.26</v>
      </c>
      <c r="G239" s="1" t="s">
        <v>838</v>
      </c>
      <c r="H239" t="s">
        <v>307</v>
      </c>
      <c r="I239" t="s">
        <v>250</v>
      </c>
      <c r="J239">
        <v>11</v>
      </c>
      <c r="K239" t="s">
        <v>26</v>
      </c>
      <c r="L239" t="s">
        <v>408</v>
      </c>
      <c r="M239" t="s">
        <v>28</v>
      </c>
      <c r="N239" t="s">
        <v>310</v>
      </c>
      <c r="O239" t="s">
        <v>252</v>
      </c>
      <c r="P239" t="s">
        <v>404</v>
      </c>
    </row>
    <row r="240" spans="1:16" x14ac:dyDescent="0.25">
      <c r="A240" t="s">
        <v>839</v>
      </c>
      <c r="B240" t="s">
        <v>709</v>
      </c>
      <c r="C240" s="1" t="s">
        <v>840</v>
      </c>
      <c r="D240" t="s">
        <v>42</v>
      </c>
      <c r="E240" t="s">
        <v>43</v>
      </c>
      <c r="F240" s="2">
        <v>30385.88</v>
      </c>
      <c r="G240" s="1" t="s">
        <v>841</v>
      </c>
      <c r="H240" t="s">
        <v>307</v>
      </c>
      <c r="I240" t="s">
        <v>308</v>
      </c>
      <c r="J240">
        <v>6</v>
      </c>
      <c r="K240" t="s">
        <v>26</v>
      </c>
      <c r="L240" t="s">
        <v>309</v>
      </c>
      <c r="M240" t="s">
        <v>28</v>
      </c>
      <c r="N240" t="s">
        <v>310</v>
      </c>
      <c r="O240" t="s">
        <v>252</v>
      </c>
      <c r="P240" t="s">
        <v>31</v>
      </c>
    </row>
    <row r="241" spans="1:16" x14ac:dyDescent="0.25">
      <c r="A241" t="s">
        <v>842</v>
      </c>
      <c r="B241" t="s">
        <v>709</v>
      </c>
      <c r="C241" s="1" t="s">
        <v>843</v>
      </c>
      <c r="D241" t="s">
        <v>42</v>
      </c>
      <c r="E241" t="s">
        <v>43</v>
      </c>
      <c r="F241" s="2">
        <v>56917.16</v>
      </c>
      <c r="G241" s="1" t="s">
        <v>844</v>
      </c>
      <c r="H241" t="s">
        <v>307</v>
      </c>
      <c r="I241" t="s">
        <v>308</v>
      </c>
      <c r="J241">
        <v>6</v>
      </c>
      <c r="K241" t="s">
        <v>26</v>
      </c>
      <c r="L241" t="s">
        <v>309</v>
      </c>
      <c r="M241" t="s">
        <v>28</v>
      </c>
      <c r="N241" t="s">
        <v>310</v>
      </c>
      <c r="O241" t="s">
        <v>252</v>
      </c>
      <c r="P241" t="s">
        <v>31</v>
      </c>
    </row>
    <row r="242" spans="1:16" x14ac:dyDescent="0.25">
      <c r="A242" t="s">
        <v>845</v>
      </c>
      <c r="B242" t="s">
        <v>709</v>
      </c>
      <c r="C242" s="1" t="s">
        <v>846</v>
      </c>
      <c r="D242" t="s">
        <v>42</v>
      </c>
      <c r="E242" t="s">
        <v>43</v>
      </c>
      <c r="F242" s="2">
        <v>69451.9</v>
      </c>
      <c r="G242" s="1" t="s">
        <v>847</v>
      </c>
      <c r="H242" t="s">
        <v>307</v>
      </c>
      <c r="I242" t="s">
        <v>308</v>
      </c>
      <c r="J242">
        <v>7</v>
      </c>
      <c r="K242" t="s">
        <v>26</v>
      </c>
      <c r="L242" t="s">
        <v>309</v>
      </c>
      <c r="M242" t="s">
        <v>28</v>
      </c>
      <c r="N242" t="s">
        <v>310</v>
      </c>
      <c r="O242" t="s">
        <v>252</v>
      </c>
      <c r="P242" t="s">
        <v>31</v>
      </c>
    </row>
    <row r="243" spans="1:16" x14ac:dyDescent="0.25">
      <c r="A243" t="s">
        <v>848</v>
      </c>
      <c r="B243" t="s">
        <v>849</v>
      </c>
      <c r="C243" s="1" t="s">
        <v>850</v>
      </c>
      <c r="D243" t="s">
        <v>63</v>
      </c>
      <c r="E243" t="s">
        <v>64</v>
      </c>
      <c r="F243" s="2">
        <v>440243.64</v>
      </c>
      <c r="G243" s="1" t="s">
        <v>851</v>
      </c>
      <c r="H243" t="s">
        <v>307</v>
      </c>
      <c r="I243" t="s">
        <v>257</v>
      </c>
      <c r="J243">
        <v>12</v>
      </c>
      <c r="K243" t="s">
        <v>26</v>
      </c>
      <c r="L243" t="s">
        <v>852</v>
      </c>
      <c r="M243" t="s">
        <v>28</v>
      </c>
      <c r="N243" t="s">
        <v>310</v>
      </c>
      <c r="O243" t="s">
        <v>259</v>
      </c>
      <c r="P243" t="s">
        <v>31</v>
      </c>
    </row>
    <row r="244" spans="1:16" x14ac:dyDescent="0.25">
      <c r="A244" t="s">
        <v>853</v>
      </c>
      <c r="B244" t="s">
        <v>849</v>
      </c>
      <c r="C244" s="1" t="s">
        <v>854</v>
      </c>
      <c r="D244" t="s">
        <v>63</v>
      </c>
      <c r="E244" t="s">
        <v>64</v>
      </c>
      <c r="F244" s="2">
        <v>213993.15</v>
      </c>
      <c r="G244" s="1" t="s">
        <v>855</v>
      </c>
      <c r="H244" t="s">
        <v>307</v>
      </c>
      <c r="I244" t="s">
        <v>257</v>
      </c>
      <c r="J244">
        <v>11</v>
      </c>
      <c r="K244" t="s">
        <v>26</v>
      </c>
      <c r="L244" t="s">
        <v>852</v>
      </c>
      <c r="M244" t="s">
        <v>28</v>
      </c>
      <c r="N244" t="s">
        <v>310</v>
      </c>
      <c r="O244" t="s">
        <v>259</v>
      </c>
      <c r="P244" t="s">
        <v>31</v>
      </c>
    </row>
    <row r="245" spans="1:16" x14ac:dyDescent="0.25">
      <c r="A245" t="s">
        <v>856</v>
      </c>
      <c r="B245" t="s">
        <v>849</v>
      </c>
      <c r="C245" s="1" t="s">
        <v>857</v>
      </c>
      <c r="D245" t="s">
        <v>63</v>
      </c>
      <c r="E245" t="s">
        <v>64</v>
      </c>
      <c r="F245" s="2">
        <v>41590.98</v>
      </c>
      <c r="G245" s="1" t="s">
        <v>858</v>
      </c>
      <c r="H245" t="s">
        <v>307</v>
      </c>
      <c r="I245" t="s">
        <v>859</v>
      </c>
      <c r="J245">
        <v>6</v>
      </c>
      <c r="K245" t="s">
        <v>26</v>
      </c>
      <c r="L245" t="s">
        <v>852</v>
      </c>
      <c r="M245" t="s">
        <v>28</v>
      </c>
      <c r="N245" t="s">
        <v>310</v>
      </c>
      <c r="O245" t="s">
        <v>259</v>
      </c>
      <c r="P245" t="s">
        <v>31</v>
      </c>
    </row>
    <row r="246" spans="1:16" x14ac:dyDescent="0.25">
      <c r="A246" t="s">
        <v>860</v>
      </c>
      <c r="B246" t="s">
        <v>849</v>
      </c>
      <c r="C246" s="1" t="s">
        <v>861</v>
      </c>
      <c r="D246" t="s">
        <v>63</v>
      </c>
      <c r="E246" t="s">
        <v>64</v>
      </c>
      <c r="F246" s="2">
        <v>134067.74</v>
      </c>
      <c r="G246" s="1" t="s">
        <v>862</v>
      </c>
      <c r="H246" t="s">
        <v>307</v>
      </c>
      <c r="I246" t="s">
        <v>863</v>
      </c>
      <c r="J246">
        <v>12</v>
      </c>
      <c r="K246" t="s">
        <v>26</v>
      </c>
      <c r="L246" t="s">
        <v>852</v>
      </c>
      <c r="M246" t="s">
        <v>28</v>
      </c>
      <c r="N246" t="s">
        <v>310</v>
      </c>
      <c r="O246" t="s">
        <v>259</v>
      </c>
      <c r="P246" t="s">
        <v>31</v>
      </c>
    </row>
    <row r="247" spans="1:16" x14ac:dyDescent="0.25">
      <c r="A247" t="s">
        <v>864</v>
      </c>
      <c r="B247" t="s">
        <v>849</v>
      </c>
      <c r="C247" s="1" t="s">
        <v>865</v>
      </c>
      <c r="D247" t="s">
        <v>63</v>
      </c>
      <c r="E247" t="s">
        <v>64</v>
      </c>
      <c r="F247" s="2">
        <v>145075.74</v>
      </c>
      <c r="G247" s="1" t="s">
        <v>866</v>
      </c>
      <c r="H247" t="s">
        <v>307</v>
      </c>
      <c r="I247" t="s">
        <v>863</v>
      </c>
      <c r="J247">
        <v>12</v>
      </c>
      <c r="K247" t="s">
        <v>26</v>
      </c>
      <c r="L247" t="s">
        <v>852</v>
      </c>
      <c r="M247" t="s">
        <v>28</v>
      </c>
      <c r="N247" t="s">
        <v>310</v>
      </c>
      <c r="O247" t="s">
        <v>259</v>
      </c>
      <c r="P247" t="s">
        <v>31</v>
      </c>
    </row>
    <row r="248" spans="1:16" x14ac:dyDescent="0.25">
      <c r="A248" t="s">
        <v>867</v>
      </c>
      <c r="B248" t="s">
        <v>849</v>
      </c>
      <c r="C248" s="1" t="s">
        <v>868</v>
      </c>
      <c r="D248" t="s">
        <v>63</v>
      </c>
      <c r="E248" t="s">
        <v>64</v>
      </c>
      <c r="F248" s="2">
        <v>118215.64</v>
      </c>
      <c r="G248" s="1" t="s">
        <v>869</v>
      </c>
      <c r="H248" t="s">
        <v>307</v>
      </c>
      <c r="I248" t="s">
        <v>308</v>
      </c>
      <c r="J248">
        <v>9</v>
      </c>
      <c r="K248" t="s">
        <v>26</v>
      </c>
      <c r="L248" t="s">
        <v>309</v>
      </c>
      <c r="M248" t="s">
        <v>28</v>
      </c>
      <c r="N248" t="s">
        <v>310</v>
      </c>
      <c r="O248" t="s">
        <v>252</v>
      </c>
      <c r="P248" t="s">
        <v>31</v>
      </c>
    </row>
    <row r="249" spans="1:16" x14ac:dyDescent="0.25">
      <c r="A249" t="s">
        <v>870</v>
      </c>
      <c r="B249" t="s">
        <v>849</v>
      </c>
      <c r="C249" s="1" t="s">
        <v>871</v>
      </c>
      <c r="D249" t="s">
        <v>63</v>
      </c>
      <c r="E249" t="s">
        <v>64</v>
      </c>
      <c r="F249" s="2">
        <v>139342.05</v>
      </c>
      <c r="G249" s="1" t="s">
        <v>872</v>
      </c>
      <c r="H249" t="s">
        <v>307</v>
      </c>
      <c r="I249" t="s">
        <v>859</v>
      </c>
      <c r="J249">
        <v>11</v>
      </c>
      <c r="K249" t="s">
        <v>26</v>
      </c>
      <c r="L249" t="s">
        <v>852</v>
      </c>
      <c r="M249" t="s">
        <v>28</v>
      </c>
      <c r="N249" t="s">
        <v>310</v>
      </c>
      <c r="O249" t="s">
        <v>259</v>
      </c>
      <c r="P249" t="s">
        <v>31</v>
      </c>
    </row>
    <row r="250" spans="1:16" x14ac:dyDescent="0.25">
      <c r="A250" t="s">
        <v>873</v>
      </c>
      <c r="B250" t="s">
        <v>849</v>
      </c>
      <c r="C250" s="1" t="s">
        <v>874</v>
      </c>
      <c r="D250" t="s">
        <v>63</v>
      </c>
      <c r="E250" t="s">
        <v>64</v>
      </c>
      <c r="F250" s="2">
        <v>130574.38</v>
      </c>
      <c r="G250" s="1" t="s">
        <v>875</v>
      </c>
      <c r="H250" t="s">
        <v>307</v>
      </c>
      <c r="I250" t="s">
        <v>308</v>
      </c>
      <c r="J250">
        <v>10</v>
      </c>
      <c r="K250" t="s">
        <v>26</v>
      </c>
      <c r="L250" t="s">
        <v>309</v>
      </c>
      <c r="M250" t="s">
        <v>28</v>
      </c>
      <c r="N250" t="s">
        <v>310</v>
      </c>
      <c r="O250" t="s">
        <v>252</v>
      </c>
      <c r="P250" t="s">
        <v>31</v>
      </c>
    </row>
    <row r="251" spans="1:16" x14ac:dyDescent="0.25">
      <c r="A251" t="s">
        <v>876</v>
      </c>
      <c r="B251" t="s">
        <v>849</v>
      </c>
      <c r="C251" s="1" t="s">
        <v>877</v>
      </c>
      <c r="D251" t="s">
        <v>63</v>
      </c>
      <c r="E251" t="s">
        <v>64</v>
      </c>
      <c r="F251" s="2">
        <v>246920.3</v>
      </c>
      <c r="G251" s="1" t="s">
        <v>878</v>
      </c>
      <c r="H251" t="s">
        <v>307</v>
      </c>
      <c r="I251" t="s">
        <v>257</v>
      </c>
      <c r="J251">
        <v>11</v>
      </c>
      <c r="K251" t="s">
        <v>26</v>
      </c>
      <c r="L251" t="s">
        <v>852</v>
      </c>
      <c r="M251" t="s">
        <v>28</v>
      </c>
      <c r="N251" t="s">
        <v>310</v>
      </c>
      <c r="O251" t="s">
        <v>259</v>
      </c>
      <c r="P251" t="s">
        <v>31</v>
      </c>
    </row>
    <row r="252" spans="1:16" x14ac:dyDescent="0.25">
      <c r="A252" t="s">
        <v>879</v>
      </c>
      <c r="B252" t="s">
        <v>849</v>
      </c>
      <c r="C252" s="1" t="s">
        <v>880</v>
      </c>
      <c r="D252" t="s">
        <v>63</v>
      </c>
      <c r="E252" t="s">
        <v>64</v>
      </c>
      <c r="F252" s="2">
        <v>207411.46</v>
      </c>
      <c r="G252" s="1" t="s">
        <v>881</v>
      </c>
      <c r="H252" t="s">
        <v>307</v>
      </c>
      <c r="I252" t="s">
        <v>257</v>
      </c>
      <c r="J252">
        <v>12</v>
      </c>
      <c r="K252" t="s">
        <v>26</v>
      </c>
      <c r="L252" t="s">
        <v>852</v>
      </c>
      <c r="M252" t="s">
        <v>28</v>
      </c>
      <c r="N252" t="s">
        <v>310</v>
      </c>
      <c r="O252" t="s">
        <v>259</v>
      </c>
      <c r="P252" t="s">
        <v>31</v>
      </c>
    </row>
    <row r="253" spans="1:16" x14ac:dyDescent="0.25">
      <c r="A253" t="s">
        <v>882</v>
      </c>
      <c r="B253" t="s">
        <v>849</v>
      </c>
      <c r="C253" s="1" t="s">
        <v>883</v>
      </c>
      <c r="D253" t="s">
        <v>63</v>
      </c>
      <c r="E253" t="s">
        <v>64</v>
      </c>
      <c r="F253" s="2">
        <v>86896.25</v>
      </c>
      <c r="G253" s="1" t="s">
        <v>884</v>
      </c>
      <c r="H253" t="s">
        <v>307</v>
      </c>
      <c r="I253" t="s">
        <v>863</v>
      </c>
      <c r="J253">
        <v>5</v>
      </c>
      <c r="K253" t="s">
        <v>26</v>
      </c>
      <c r="L253" t="s">
        <v>852</v>
      </c>
      <c r="M253" t="s">
        <v>28</v>
      </c>
      <c r="N253" t="s">
        <v>310</v>
      </c>
      <c r="O253" t="s">
        <v>259</v>
      </c>
      <c r="P253" t="s">
        <v>31</v>
      </c>
    </row>
    <row r="254" spans="1:16" x14ac:dyDescent="0.25">
      <c r="A254" t="s">
        <v>885</v>
      </c>
      <c r="B254" t="s">
        <v>849</v>
      </c>
      <c r="C254" s="1" t="s">
        <v>886</v>
      </c>
      <c r="D254" t="s">
        <v>63</v>
      </c>
      <c r="E254" t="s">
        <v>64</v>
      </c>
      <c r="F254" s="2">
        <v>43858.25</v>
      </c>
      <c r="G254" s="1" t="s">
        <v>887</v>
      </c>
      <c r="H254" t="s">
        <v>307</v>
      </c>
      <c r="I254" t="s">
        <v>863</v>
      </c>
      <c r="J254">
        <v>4</v>
      </c>
      <c r="K254" t="s">
        <v>26</v>
      </c>
      <c r="L254" t="s">
        <v>852</v>
      </c>
      <c r="M254" t="s">
        <v>28</v>
      </c>
      <c r="N254" t="s">
        <v>310</v>
      </c>
      <c r="O254" t="s">
        <v>259</v>
      </c>
      <c r="P254" t="s">
        <v>31</v>
      </c>
    </row>
    <row r="255" spans="1:16" x14ac:dyDescent="0.25">
      <c r="A255" t="s">
        <v>888</v>
      </c>
      <c r="B255" t="s">
        <v>849</v>
      </c>
      <c r="C255" s="1" t="s">
        <v>889</v>
      </c>
      <c r="D255" t="s">
        <v>63</v>
      </c>
      <c r="E255" t="s">
        <v>64</v>
      </c>
      <c r="F255" s="2">
        <v>85980.25</v>
      </c>
      <c r="G255" s="1" t="s">
        <v>890</v>
      </c>
      <c r="H255" t="s">
        <v>307</v>
      </c>
      <c r="I255" t="s">
        <v>805</v>
      </c>
      <c r="J255">
        <v>3</v>
      </c>
      <c r="K255" t="s">
        <v>26</v>
      </c>
      <c r="L255" t="s">
        <v>891</v>
      </c>
      <c r="M255" t="s">
        <v>28</v>
      </c>
      <c r="N255" t="s">
        <v>310</v>
      </c>
      <c r="O255" t="s">
        <v>807</v>
      </c>
      <c r="P255" t="s">
        <v>31</v>
      </c>
    </row>
    <row r="256" spans="1:16" x14ac:dyDescent="0.25">
      <c r="A256" t="s">
        <v>892</v>
      </c>
      <c r="B256" t="s">
        <v>849</v>
      </c>
      <c r="C256" s="1" t="s">
        <v>893</v>
      </c>
      <c r="D256" t="s">
        <v>63</v>
      </c>
      <c r="E256" t="s">
        <v>64</v>
      </c>
      <c r="F256" s="2">
        <v>180229.74</v>
      </c>
      <c r="G256" s="1" t="s">
        <v>894</v>
      </c>
      <c r="H256" t="s">
        <v>307</v>
      </c>
      <c r="I256" t="s">
        <v>257</v>
      </c>
      <c r="J256">
        <v>11</v>
      </c>
      <c r="K256" t="s">
        <v>26</v>
      </c>
      <c r="L256" t="s">
        <v>852</v>
      </c>
      <c r="M256" t="s">
        <v>28</v>
      </c>
      <c r="N256" t="s">
        <v>310</v>
      </c>
      <c r="O256" t="s">
        <v>259</v>
      </c>
      <c r="P256" t="s">
        <v>31</v>
      </c>
    </row>
    <row r="257" spans="1:16" x14ac:dyDescent="0.25">
      <c r="A257" t="s">
        <v>895</v>
      </c>
      <c r="B257" t="s">
        <v>849</v>
      </c>
      <c r="C257" s="1" t="s">
        <v>896</v>
      </c>
      <c r="D257" t="s">
        <v>63</v>
      </c>
      <c r="E257" t="s">
        <v>64</v>
      </c>
      <c r="F257" s="2">
        <v>128062.74</v>
      </c>
      <c r="G257" s="1" t="s">
        <v>897</v>
      </c>
      <c r="H257" t="s">
        <v>307</v>
      </c>
      <c r="I257" t="s">
        <v>257</v>
      </c>
      <c r="J257">
        <v>11</v>
      </c>
      <c r="K257" t="s">
        <v>26</v>
      </c>
      <c r="L257" t="s">
        <v>852</v>
      </c>
      <c r="M257" t="s">
        <v>28</v>
      </c>
      <c r="N257" t="s">
        <v>310</v>
      </c>
      <c r="O257" t="s">
        <v>259</v>
      </c>
      <c r="P257" t="s">
        <v>31</v>
      </c>
    </row>
    <row r="258" spans="1:16" x14ac:dyDescent="0.25">
      <c r="A258" t="s">
        <v>898</v>
      </c>
      <c r="B258" t="s">
        <v>849</v>
      </c>
      <c r="C258" s="1" t="s">
        <v>899</v>
      </c>
      <c r="D258" t="s">
        <v>63</v>
      </c>
      <c r="E258" t="s">
        <v>64</v>
      </c>
      <c r="F258" s="2">
        <v>13883.85</v>
      </c>
      <c r="G258" s="1" t="s">
        <v>900</v>
      </c>
      <c r="H258" t="s">
        <v>307</v>
      </c>
      <c r="I258" t="s">
        <v>805</v>
      </c>
      <c r="J258">
        <v>4</v>
      </c>
      <c r="K258" t="s">
        <v>26</v>
      </c>
      <c r="L258" t="s">
        <v>806</v>
      </c>
      <c r="M258" t="s">
        <v>28</v>
      </c>
      <c r="N258" t="s">
        <v>310</v>
      </c>
      <c r="O258" t="s">
        <v>807</v>
      </c>
      <c r="P258" t="s">
        <v>404</v>
      </c>
    </row>
    <row r="259" spans="1:16" x14ac:dyDescent="0.25">
      <c r="A259" t="s">
        <v>901</v>
      </c>
      <c r="B259" t="s">
        <v>849</v>
      </c>
      <c r="C259" s="1" t="s">
        <v>902</v>
      </c>
      <c r="D259" t="s">
        <v>63</v>
      </c>
      <c r="E259" t="s">
        <v>64</v>
      </c>
      <c r="F259" s="2">
        <v>121411.39</v>
      </c>
      <c r="G259" s="1" t="s">
        <v>903</v>
      </c>
      <c r="H259" t="s">
        <v>307</v>
      </c>
      <c r="I259" t="s">
        <v>863</v>
      </c>
      <c r="J259">
        <v>6</v>
      </c>
      <c r="K259" t="s">
        <v>26</v>
      </c>
      <c r="L259" t="s">
        <v>814</v>
      </c>
      <c r="M259" t="s">
        <v>28</v>
      </c>
      <c r="N259" t="s">
        <v>310</v>
      </c>
      <c r="O259" t="s">
        <v>259</v>
      </c>
      <c r="P259" t="s">
        <v>404</v>
      </c>
    </row>
    <row r="260" spans="1:16" x14ac:dyDescent="0.25">
      <c r="A260" t="s">
        <v>904</v>
      </c>
      <c r="B260" t="s">
        <v>849</v>
      </c>
      <c r="C260" s="1" t="s">
        <v>905</v>
      </c>
      <c r="D260" t="s">
        <v>63</v>
      </c>
      <c r="E260" t="s">
        <v>64</v>
      </c>
      <c r="F260" s="2">
        <v>97637.85</v>
      </c>
      <c r="G260" s="1" t="s">
        <v>906</v>
      </c>
      <c r="H260" t="s">
        <v>307</v>
      </c>
      <c r="I260" t="s">
        <v>805</v>
      </c>
      <c r="J260">
        <v>4</v>
      </c>
      <c r="K260" t="s">
        <v>26</v>
      </c>
      <c r="L260" t="s">
        <v>806</v>
      </c>
      <c r="M260" t="s">
        <v>28</v>
      </c>
      <c r="N260" t="s">
        <v>310</v>
      </c>
      <c r="O260" t="s">
        <v>807</v>
      </c>
      <c r="P260" t="s">
        <v>404</v>
      </c>
    </row>
    <row r="261" spans="1:16" x14ac:dyDescent="0.25">
      <c r="A261" t="s">
        <v>907</v>
      </c>
      <c r="B261" t="s">
        <v>849</v>
      </c>
      <c r="C261" s="1" t="s">
        <v>908</v>
      </c>
      <c r="D261" t="s">
        <v>63</v>
      </c>
      <c r="E261" t="s">
        <v>64</v>
      </c>
      <c r="F261" s="2">
        <v>81953.39</v>
      </c>
      <c r="G261" s="1" t="s">
        <v>909</v>
      </c>
      <c r="H261" t="s">
        <v>307</v>
      </c>
      <c r="I261" t="s">
        <v>863</v>
      </c>
      <c r="J261">
        <v>6</v>
      </c>
      <c r="K261" t="s">
        <v>26</v>
      </c>
      <c r="L261" t="s">
        <v>814</v>
      </c>
      <c r="M261" t="s">
        <v>28</v>
      </c>
      <c r="N261" t="s">
        <v>310</v>
      </c>
      <c r="O261" t="s">
        <v>259</v>
      </c>
      <c r="P261" t="s">
        <v>404</v>
      </c>
    </row>
    <row r="262" spans="1:16" x14ac:dyDescent="0.25">
      <c r="A262" t="s">
        <v>910</v>
      </c>
      <c r="B262" t="s">
        <v>849</v>
      </c>
      <c r="C262" s="1" t="s">
        <v>911</v>
      </c>
      <c r="D262" t="s">
        <v>63</v>
      </c>
      <c r="E262" t="s">
        <v>64</v>
      </c>
      <c r="F262" s="2">
        <v>247819.73</v>
      </c>
      <c r="G262" s="1" t="s">
        <v>912</v>
      </c>
      <c r="H262" t="s">
        <v>307</v>
      </c>
      <c r="I262" t="s">
        <v>257</v>
      </c>
      <c r="J262">
        <v>4</v>
      </c>
      <c r="K262" t="s">
        <v>26</v>
      </c>
      <c r="L262" t="s">
        <v>814</v>
      </c>
      <c r="M262" t="s">
        <v>28</v>
      </c>
      <c r="N262" t="s">
        <v>310</v>
      </c>
      <c r="O262" t="s">
        <v>259</v>
      </c>
      <c r="P262" t="s">
        <v>404</v>
      </c>
    </row>
    <row r="263" spans="1:16" x14ac:dyDescent="0.25">
      <c r="A263" t="s">
        <v>913</v>
      </c>
      <c r="B263" t="s">
        <v>849</v>
      </c>
      <c r="C263" s="1" t="s">
        <v>914</v>
      </c>
      <c r="D263" t="s">
        <v>63</v>
      </c>
      <c r="E263" t="s">
        <v>64</v>
      </c>
      <c r="F263" s="2">
        <v>684212.02</v>
      </c>
      <c r="G263" s="1" t="s">
        <v>915</v>
      </c>
      <c r="H263" t="s">
        <v>307</v>
      </c>
      <c r="I263" t="s">
        <v>257</v>
      </c>
      <c r="J263">
        <v>4</v>
      </c>
      <c r="K263" t="s">
        <v>26</v>
      </c>
      <c r="L263" t="s">
        <v>814</v>
      </c>
      <c r="M263" t="s">
        <v>28</v>
      </c>
      <c r="N263" t="s">
        <v>310</v>
      </c>
      <c r="O263" t="s">
        <v>259</v>
      </c>
      <c r="P263" t="s">
        <v>404</v>
      </c>
    </row>
    <row r="264" spans="1:16" x14ac:dyDescent="0.25">
      <c r="A264" t="s">
        <v>916</v>
      </c>
      <c r="B264" t="s">
        <v>849</v>
      </c>
      <c r="C264" s="1" t="s">
        <v>917</v>
      </c>
      <c r="D264" t="s">
        <v>63</v>
      </c>
      <c r="E264" t="s">
        <v>64</v>
      </c>
      <c r="F264" s="2">
        <v>23771.7</v>
      </c>
      <c r="G264" s="1" t="s">
        <v>918</v>
      </c>
      <c r="H264" t="s">
        <v>307</v>
      </c>
      <c r="I264" t="s">
        <v>300</v>
      </c>
      <c r="J264">
        <v>4</v>
      </c>
      <c r="K264" t="s">
        <v>26</v>
      </c>
      <c r="L264" t="s">
        <v>919</v>
      </c>
      <c r="M264" t="s">
        <v>28</v>
      </c>
      <c r="N264" t="s">
        <v>310</v>
      </c>
      <c r="O264" t="s">
        <v>303</v>
      </c>
      <c r="P264" t="s">
        <v>404</v>
      </c>
    </row>
    <row r="265" spans="1:16" x14ac:dyDescent="0.25">
      <c r="A265" t="s">
        <v>920</v>
      </c>
      <c r="B265" t="s">
        <v>849</v>
      </c>
      <c r="C265" s="1" t="s">
        <v>921</v>
      </c>
      <c r="D265" t="s">
        <v>63</v>
      </c>
      <c r="E265" t="s">
        <v>64</v>
      </c>
      <c r="F265" s="2">
        <v>32112.48</v>
      </c>
      <c r="G265" s="1" t="s">
        <v>922</v>
      </c>
      <c r="H265" t="s">
        <v>307</v>
      </c>
      <c r="I265" t="s">
        <v>300</v>
      </c>
      <c r="J265">
        <v>4</v>
      </c>
      <c r="K265" t="s">
        <v>26</v>
      </c>
      <c r="L265" t="s">
        <v>919</v>
      </c>
      <c r="M265" t="s">
        <v>28</v>
      </c>
      <c r="N265" t="s">
        <v>310</v>
      </c>
      <c r="O265" t="s">
        <v>303</v>
      </c>
      <c r="P265" t="s">
        <v>404</v>
      </c>
    </row>
    <row r="266" spans="1:16" x14ac:dyDescent="0.25">
      <c r="A266" t="s">
        <v>923</v>
      </c>
      <c r="B266" t="s">
        <v>849</v>
      </c>
      <c r="C266" s="1" t="s">
        <v>924</v>
      </c>
      <c r="D266" t="s">
        <v>63</v>
      </c>
      <c r="E266" t="s">
        <v>64</v>
      </c>
      <c r="F266" s="2">
        <v>106010.73</v>
      </c>
      <c r="G266" s="1" t="s">
        <v>925</v>
      </c>
      <c r="H266" t="s">
        <v>307</v>
      </c>
      <c r="I266" t="s">
        <v>863</v>
      </c>
      <c r="J266">
        <v>6</v>
      </c>
      <c r="K266" t="s">
        <v>26</v>
      </c>
      <c r="L266" t="s">
        <v>814</v>
      </c>
      <c r="M266" t="s">
        <v>28</v>
      </c>
      <c r="N266" t="s">
        <v>310</v>
      </c>
      <c r="O266" t="s">
        <v>259</v>
      </c>
      <c r="P266" t="s">
        <v>404</v>
      </c>
    </row>
    <row r="267" spans="1:16" x14ac:dyDescent="0.25">
      <c r="A267" t="s">
        <v>926</v>
      </c>
      <c r="B267" t="s">
        <v>849</v>
      </c>
      <c r="C267" s="1" t="s">
        <v>927</v>
      </c>
      <c r="D267" t="s">
        <v>63</v>
      </c>
      <c r="E267" t="s">
        <v>64</v>
      </c>
      <c r="F267" s="2">
        <v>242823</v>
      </c>
      <c r="G267" s="1" t="s">
        <v>928</v>
      </c>
      <c r="H267" t="s">
        <v>307</v>
      </c>
      <c r="I267" t="s">
        <v>863</v>
      </c>
      <c r="J267">
        <v>6</v>
      </c>
      <c r="K267" t="s">
        <v>26</v>
      </c>
      <c r="L267" t="s">
        <v>814</v>
      </c>
      <c r="M267" t="s">
        <v>28</v>
      </c>
      <c r="N267" t="s">
        <v>310</v>
      </c>
      <c r="O267" t="s">
        <v>259</v>
      </c>
      <c r="P267" t="s">
        <v>404</v>
      </c>
    </row>
    <row r="268" spans="1:16" x14ac:dyDescent="0.25">
      <c r="A268" t="s">
        <v>929</v>
      </c>
      <c r="B268" t="s">
        <v>849</v>
      </c>
      <c r="C268" s="1" t="s">
        <v>930</v>
      </c>
      <c r="D268" t="s">
        <v>63</v>
      </c>
      <c r="E268" t="s">
        <v>64</v>
      </c>
      <c r="F268" s="2">
        <v>159181.57</v>
      </c>
      <c r="G268" s="1" t="s">
        <v>931</v>
      </c>
      <c r="H268" t="s">
        <v>307</v>
      </c>
      <c r="I268" t="s">
        <v>863</v>
      </c>
      <c r="J268">
        <v>5</v>
      </c>
      <c r="K268" t="s">
        <v>26</v>
      </c>
      <c r="L268" t="s">
        <v>814</v>
      </c>
      <c r="M268" t="s">
        <v>28</v>
      </c>
      <c r="N268" t="s">
        <v>310</v>
      </c>
      <c r="O268" t="s">
        <v>259</v>
      </c>
      <c r="P268" t="s">
        <v>404</v>
      </c>
    </row>
    <row r="269" spans="1:16" x14ac:dyDescent="0.25">
      <c r="A269" t="s">
        <v>932</v>
      </c>
      <c r="B269" t="s">
        <v>849</v>
      </c>
      <c r="C269" s="1" t="s">
        <v>933</v>
      </c>
      <c r="D269" t="s">
        <v>63</v>
      </c>
      <c r="E269" t="s">
        <v>64</v>
      </c>
      <c r="F269" s="2">
        <v>227312.48</v>
      </c>
      <c r="G269" s="1" t="s">
        <v>934</v>
      </c>
      <c r="H269" t="s">
        <v>307</v>
      </c>
      <c r="I269" t="s">
        <v>863</v>
      </c>
      <c r="J269">
        <v>5</v>
      </c>
      <c r="K269" t="s">
        <v>26</v>
      </c>
      <c r="L269" t="s">
        <v>814</v>
      </c>
      <c r="M269" t="s">
        <v>28</v>
      </c>
      <c r="N269" t="s">
        <v>310</v>
      </c>
      <c r="O269" t="s">
        <v>259</v>
      </c>
      <c r="P269" t="s">
        <v>404</v>
      </c>
    </row>
    <row r="270" spans="1:16" x14ac:dyDescent="0.25">
      <c r="A270" t="s">
        <v>935</v>
      </c>
      <c r="B270" t="s">
        <v>849</v>
      </c>
      <c r="C270" s="1" t="s">
        <v>936</v>
      </c>
      <c r="D270" t="s">
        <v>63</v>
      </c>
      <c r="E270" t="s">
        <v>64</v>
      </c>
      <c r="F270" s="2">
        <v>129604</v>
      </c>
      <c r="G270" s="1" t="s">
        <v>937</v>
      </c>
      <c r="H270" t="s">
        <v>307</v>
      </c>
      <c r="I270" t="s">
        <v>863</v>
      </c>
      <c r="J270">
        <v>10</v>
      </c>
      <c r="K270" t="s">
        <v>26</v>
      </c>
      <c r="L270" t="s">
        <v>852</v>
      </c>
      <c r="M270" t="s">
        <v>28</v>
      </c>
      <c r="N270" t="s">
        <v>310</v>
      </c>
      <c r="O270" t="s">
        <v>259</v>
      </c>
      <c r="P270" t="s">
        <v>31</v>
      </c>
    </row>
    <row r="271" spans="1:16" x14ac:dyDescent="0.25">
      <c r="A271" t="s">
        <v>938</v>
      </c>
      <c r="B271" t="s">
        <v>849</v>
      </c>
      <c r="C271" s="1" t="s">
        <v>939</v>
      </c>
      <c r="D271" t="s">
        <v>63</v>
      </c>
      <c r="E271" t="s">
        <v>64</v>
      </c>
      <c r="F271" s="2">
        <v>532450.5</v>
      </c>
      <c r="G271" s="1" t="s">
        <v>940</v>
      </c>
      <c r="H271" t="s">
        <v>307</v>
      </c>
      <c r="I271" t="s">
        <v>863</v>
      </c>
      <c r="J271">
        <v>3</v>
      </c>
      <c r="K271" t="s">
        <v>26</v>
      </c>
      <c r="L271" t="s">
        <v>814</v>
      </c>
      <c r="M271" t="s">
        <v>28</v>
      </c>
      <c r="N271" t="s">
        <v>310</v>
      </c>
      <c r="O271" t="s">
        <v>259</v>
      </c>
      <c r="P271" t="s">
        <v>404</v>
      </c>
    </row>
    <row r="272" spans="1:16" x14ac:dyDescent="0.25">
      <c r="A272" t="s">
        <v>941</v>
      </c>
      <c r="B272" t="s">
        <v>849</v>
      </c>
      <c r="C272" s="1" t="s">
        <v>942</v>
      </c>
      <c r="D272" t="s">
        <v>63</v>
      </c>
      <c r="E272" t="s">
        <v>64</v>
      </c>
      <c r="F272" s="2">
        <v>300870.38</v>
      </c>
      <c r="G272" s="1" t="s">
        <v>943</v>
      </c>
      <c r="H272" t="s">
        <v>307</v>
      </c>
      <c r="I272" t="s">
        <v>863</v>
      </c>
      <c r="J272">
        <v>3</v>
      </c>
      <c r="K272" t="s">
        <v>26</v>
      </c>
      <c r="L272" t="s">
        <v>814</v>
      </c>
      <c r="M272" t="s">
        <v>28</v>
      </c>
      <c r="N272" t="s">
        <v>310</v>
      </c>
      <c r="O272" t="s">
        <v>259</v>
      </c>
      <c r="P272" t="s">
        <v>404</v>
      </c>
    </row>
    <row r="273" spans="1:16" x14ac:dyDescent="0.25">
      <c r="A273" t="s">
        <v>944</v>
      </c>
      <c r="B273" t="s">
        <v>849</v>
      </c>
      <c r="C273" s="1" t="s">
        <v>945</v>
      </c>
      <c r="D273" t="s">
        <v>63</v>
      </c>
      <c r="E273" t="s">
        <v>64</v>
      </c>
      <c r="F273" s="2">
        <v>702137.93</v>
      </c>
      <c r="G273" s="1" t="s">
        <v>946</v>
      </c>
      <c r="H273" t="s">
        <v>307</v>
      </c>
      <c r="I273" t="s">
        <v>863</v>
      </c>
      <c r="J273">
        <v>6</v>
      </c>
      <c r="K273" t="s">
        <v>26</v>
      </c>
      <c r="L273" t="s">
        <v>814</v>
      </c>
      <c r="M273" t="s">
        <v>28</v>
      </c>
      <c r="N273" t="s">
        <v>310</v>
      </c>
      <c r="O273" t="s">
        <v>259</v>
      </c>
      <c r="P273" t="s">
        <v>404</v>
      </c>
    </row>
    <row r="274" spans="1:16" x14ac:dyDescent="0.25">
      <c r="A274" t="s">
        <v>947</v>
      </c>
      <c r="B274" t="s">
        <v>849</v>
      </c>
      <c r="C274" s="1" t="s">
        <v>948</v>
      </c>
      <c r="D274" t="s">
        <v>63</v>
      </c>
      <c r="E274" t="s">
        <v>64</v>
      </c>
      <c r="F274" s="2">
        <v>862734.93</v>
      </c>
      <c r="G274" s="1" t="s">
        <v>949</v>
      </c>
      <c r="H274" t="s">
        <v>307</v>
      </c>
      <c r="I274" t="s">
        <v>863</v>
      </c>
      <c r="J274">
        <v>6</v>
      </c>
      <c r="K274" t="s">
        <v>26</v>
      </c>
      <c r="L274" t="s">
        <v>814</v>
      </c>
      <c r="M274" t="s">
        <v>28</v>
      </c>
      <c r="N274" t="s">
        <v>310</v>
      </c>
      <c r="O274" t="s">
        <v>259</v>
      </c>
      <c r="P274" t="s">
        <v>404</v>
      </c>
    </row>
    <row r="275" spans="1:16" x14ac:dyDescent="0.25">
      <c r="A275" t="s">
        <v>950</v>
      </c>
      <c r="B275" t="s">
        <v>849</v>
      </c>
      <c r="C275" s="1" t="s">
        <v>951</v>
      </c>
      <c r="D275" t="s">
        <v>63</v>
      </c>
      <c r="E275" t="s">
        <v>64</v>
      </c>
      <c r="F275" s="2">
        <v>585470.93</v>
      </c>
      <c r="G275" s="1" t="s">
        <v>952</v>
      </c>
      <c r="H275" t="s">
        <v>307</v>
      </c>
      <c r="I275" t="s">
        <v>863</v>
      </c>
      <c r="J275">
        <v>6</v>
      </c>
      <c r="K275" t="s">
        <v>26</v>
      </c>
      <c r="L275" t="s">
        <v>814</v>
      </c>
      <c r="M275" t="s">
        <v>28</v>
      </c>
      <c r="N275" t="s">
        <v>310</v>
      </c>
      <c r="O275" t="s">
        <v>259</v>
      </c>
      <c r="P275" t="s">
        <v>404</v>
      </c>
    </row>
    <row r="276" spans="1:16" x14ac:dyDescent="0.25">
      <c r="A276" t="s">
        <v>953</v>
      </c>
      <c r="B276" t="s">
        <v>849</v>
      </c>
      <c r="C276" s="1" t="s">
        <v>954</v>
      </c>
      <c r="D276" t="s">
        <v>63</v>
      </c>
      <c r="E276" t="s">
        <v>64</v>
      </c>
      <c r="F276" s="2">
        <v>322026</v>
      </c>
      <c r="G276" s="1" t="s">
        <v>955</v>
      </c>
      <c r="H276" t="s">
        <v>307</v>
      </c>
      <c r="I276" t="s">
        <v>863</v>
      </c>
      <c r="J276">
        <v>3</v>
      </c>
      <c r="K276" t="s">
        <v>26</v>
      </c>
      <c r="L276" t="s">
        <v>814</v>
      </c>
      <c r="M276" t="s">
        <v>28</v>
      </c>
      <c r="N276" t="s">
        <v>310</v>
      </c>
      <c r="O276" t="s">
        <v>259</v>
      </c>
      <c r="P276" t="s">
        <v>404</v>
      </c>
    </row>
    <row r="277" spans="1:16" x14ac:dyDescent="0.25">
      <c r="A277" t="s">
        <v>956</v>
      </c>
      <c r="B277" t="s">
        <v>849</v>
      </c>
      <c r="C277" s="1" t="s">
        <v>957</v>
      </c>
      <c r="D277" t="s">
        <v>63</v>
      </c>
      <c r="E277" t="s">
        <v>64</v>
      </c>
      <c r="F277" s="2">
        <v>459960.5</v>
      </c>
      <c r="G277" s="1" t="s">
        <v>958</v>
      </c>
      <c r="H277" t="s">
        <v>307</v>
      </c>
      <c r="I277" t="s">
        <v>863</v>
      </c>
      <c r="J277">
        <v>3</v>
      </c>
      <c r="K277" t="s">
        <v>26</v>
      </c>
      <c r="L277" t="s">
        <v>814</v>
      </c>
      <c r="M277" t="s">
        <v>28</v>
      </c>
      <c r="N277" t="s">
        <v>310</v>
      </c>
      <c r="O277" t="s">
        <v>259</v>
      </c>
      <c r="P277" t="s">
        <v>404</v>
      </c>
    </row>
    <row r="278" spans="1:16" x14ac:dyDescent="0.25">
      <c r="A278" t="s">
        <v>959</v>
      </c>
      <c r="B278" t="s">
        <v>849</v>
      </c>
      <c r="C278" s="1" t="s">
        <v>960</v>
      </c>
      <c r="D278" t="s">
        <v>63</v>
      </c>
      <c r="E278" t="s">
        <v>64</v>
      </c>
      <c r="F278" s="2">
        <v>462014.93</v>
      </c>
      <c r="G278" s="1" t="s">
        <v>961</v>
      </c>
      <c r="H278" t="s">
        <v>307</v>
      </c>
      <c r="I278" t="s">
        <v>863</v>
      </c>
      <c r="J278">
        <v>5</v>
      </c>
      <c r="K278" t="s">
        <v>26</v>
      </c>
      <c r="L278" t="s">
        <v>814</v>
      </c>
      <c r="M278" t="s">
        <v>28</v>
      </c>
      <c r="N278" t="s">
        <v>310</v>
      </c>
      <c r="O278" t="s">
        <v>259</v>
      </c>
      <c r="P278" t="s">
        <v>404</v>
      </c>
    </row>
    <row r="279" spans="1:16" x14ac:dyDescent="0.25">
      <c r="A279" t="s">
        <v>962</v>
      </c>
      <c r="B279" t="s">
        <v>849</v>
      </c>
      <c r="C279" s="1" t="s">
        <v>963</v>
      </c>
      <c r="D279" t="s">
        <v>63</v>
      </c>
      <c r="E279" t="s">
        <v>64</v>
      </c>
      <c r="F279" s="2">
        <v>529414.93</v>
      </c>
      <c r="G279" s="1" t="s">
        <v>964</v>
      </c>
      <c r="H279" t="s">
        <v>307</v>
      </c>
      <c r="I279" t="s">
        <v>863</v>
      </c>
      <c r="J279">
        <v>5</v>
      </c>
      <c r="K279" t="s">
        <v>26</v>
      </c>
      <c r="L279" t="s">
        <v>814</v>
      </c>
      <c r="M279" t="s">
        <v>28</v>
      </c>
      <c r="N279" t="s">
        <v>310</v>
      </c>
      <c r="O279" t="s">
        <v>259</v>
      </c>
      <c r="P279" t="s">
        <v>404</v>
      </c>
    </row>
    <row r="280" spans="1:16" x14ac:dyDescent="0.25">
      <c r="A280" t="s">
        <v>965</v>
      </c>
      <c r="B280" t="s">
        <v>849</v>
      </c>
      <c r="C280" s="1" t="s">
        <v>966</v>
      </c>
      <c r="D280" t="s">
        <v>63</v>
      </c>
      <c r="E280" t="s">
        <v>64</v>
      </c>
      <c r="F280" s="2">
        <v>539214.93</v>
      </c>
      <c r="G280" s="1" t="s">
        <v>967</v>
      </c>
      <c r="H280" t="s">
        <v>307</v>
      </c>
      <c r="I280" t="s">
        <v>863</v>
      </c>
      <c r="J280">
        <v>5</v>
      </c>
      <c r="K280" t="s">
        <v>26</v>
      </c>
      <c r="L280" t="s">
        <v>814</v>
      </c>
      <c r="M280" t="s">
        <v>28</v>
      </c>
      <c r="N280" t="s">
        <v>310</v>
      </c>
      <c r="O280" t="s">
        <v>259</v>
      </c>
      <c r="P280" t="s">
        <v>404</v>
      </c>
    </row>
    <row r="281" spans="1:16" x14ac:dyDescent="0.25">
      <c r="A281" t="s">
        <v>968</v>
      </c>
      <c r="B281" t="s">
        <v>849</v>
      </c>
      <c r="C281" s="1" t="s">
        <v>969</v>
      </c>
      <c r="D281" t="s">
        <v>63</v>
      </c>
      <c r="E281" t="s">
        <v>64</v>
      </c>
      <c r="F281" s="2">
        <v>399060.5</v>
      </c>
      <c r="G281" s="1" t="s">
        <v>970</v>
      </c>
      <c r="H281" t="s">
        <v>307</v>
      </c>
      <c r="I281" t="s">
        <v>863</v>
      </c>
      <c r="J281">
        <v>3</v>
      </c>
      <c r="K281" t="s">
        <v>26</v>
      </c>
      <c r="L281" t="s">
        <v>814</v>
      </c>
      <c r="M281" t="s">
        <v>28</v>
      </c>
      <c r="N281" t="s">
        <v>310</v>
      </c>
      <c r="O281" t="s">
        <v>259</v>
      </c>
      <c r="P281" t="s">
        <v>404</v>
      </c>
    </row>
    <row r="282" spans="1:16" x14ac:dyDescent="0.25">
      <c r="A282" t="s">
        <v>971</v>
      </c>
      <c r="B282" t="s">
        <v>849</v>
      </c>
      <c r="C282" s="1" t="s">
        <v>972</v>
      </c>
      <c r="D282" t="s">
        <v>63</v>
      </c>
      <c r="E282" t="s">
        <v>64</v>
      </c>
      <c r="F282" s="2">
        <v>521760.5</v>
      </c>
      <c r="G282" s="1" t="s">
        <v>973</v>
      </c>
      <c r="H282" t="s">
        <v>307</v>
      </c>
      <c r="I282" t="s">
        <v>863</v>
      </c>
      <c r="J282">
        <v>3</v>
      </c>
      <c r="K282" t="s">
        <v>26</v>
      </c>
      <c r="L282" t="s">
        <v>814</v>
      </c>
      <c r="M282" t="s">
        <v>28</v>
      </c>
      <c r="N282" t="s">
        <v>310</v>
      </c>
      <c r="O282" t="s">
        <v>259</v>
      </c>
      <c r="P282" t="s">
        <v>404</v>
      </c>
    </row>
    <row r="283" spans="1:16" x14ac:dyDescent="0.25">
      <c r="A283" t="s">
        <v>974</v>
      </c>
      <c r="B283" t="s">
        <v>849</v>
      </c>
      <c r="C283" s="1" t="s">
        <v>975</v>
      </c>
      <c r="D283" t="s">
        <v>63</v>
      </c>
      <c r="E283" t="s">
        <v>64</v>
      </c>
      <c r="F283" s="2">
        <v>49617.29</v>
      </c>
      <c r="G283" s="1" t="s">
        <v>976</v>
      </c>
      <c r="H283" t="s">
        <v>307</v>
      </c>
      <c r="I283" t="s">
        <v>257</v>
      </c>
      <c r="J283">
        <v>4</v>
      </c>
      <c r="K283" t="s">
        <v>26</v>
      </c>
      <c r="L283" t="s">
        <v>814</v>
      </c>
      <c r="M283" t="s">
        <v>28</v>
      </c>
      <c r="N283" t="s">
        <v>310</v>
      </c>
      <c r="O283" t="s">
        <v>259</v>
      </c>
      <c r="P283" t="s">
        <v>404</v>
      </c>
    </row>
    <row r="284" spans="1:16" x14ac:dyDescent="0.25">
      <c r="A284" t="s">
        <v>977</v>
      </c>
      <c r="B284" t="s">
        <v>849</v>
      </c>
      <c r="C284" s="1" t="s">
        <v>978</v>
      </c>
      <c r="D284" t="s">
        <v>63</v>
      </c>
      <c r="E284" t="s">
        <v>64</v>
      </c>
      <c r="F284" s="2">
        <v>5208.12</v>
      </c>
      <c r="G284" s="1" t="s">
        <v>979</v>
      </c>
      <c r="H284" t="s">
        <v>307</v>
      </c>
      <c r="I284" t="s">
        <v>805</v>
      </c>
      <c r="J284">
        <v>4</v>
      </c>
      <c r="K284" t="s">
        <v>26</v>
      </c>
      <c r="L284" t="s">
        <v>806</v>
      </c>
      <c r="M284" t="s">
        <v>28</v>
      </c>
      <c r="N284" t="s">
        <v>310</v>
      </c>
      <c r="O284" t="s">
        <v>807</v>
      </c>
      <c r="P284" t="s">
        <v>404</v>
      </c>
    </row>
    <row r="285" spans="1:16" x14ac:dyDescent="0.25">
      <c r="A285" t="s">
        <v>980</v>
      </c>
      <c r="B285" t="s">
        <v>849</v>
      </c>
      <c r="C285" s="1" t="s">
        <v>981</v>
      </c>
      <c r="D285" t="s">
        <v>63</v>
      </c>
      <c r="E285" t="s">
        <v>64</v>
      </c>
      <c r="F285" s="2">
        <v>4886.05</v>
      </c>
      <c r="G285" s="1" t="s">
        <v>982</v>
      </c>
      <c r="H285" t="s">
        <v>307</v>
      </c>
      <c r="I285" t="s">
        <v>805</v>
      </c>
      <c r="J285">
        <v>3</v>
      </c>
      <c r="K285" t="s">
        <v>26</v>
      </c>
      <c r="L285" t="s">
        <v>806</v>
      </c>
      <c r="M285" t="s">
        <v>28</v>
      </c>
      <c r="N285" t="s">
        <v>310</v>
      </c>
      <c r="O285" t="s">
        <v>807</v>
      </c>
      <c r="P285" t="s">
        <v>404</v>
      </c>
    </row>
    <row r="286" spans="1:16" x14ac:dyDescent="0.25">
      <c r="A286" t="s">
        <v>983</v>
      </c>
      <c r="B286" t="s">
        <v>849</v>
      </c>
      <c r="C286" s="1" t="s">
        <v>984</v>
      </c>
      <c r="D286" t="s">
        <v>63</v>
      </c>
      <c r="E286" t="s">
        <v>64</v>
      </c>
      <c r="F286" s="2">
        <v>355872.42</v>
      </c>
      <c r="G286" s="1" t="s">
        <v>985</v>
      </c>
      <c r="H286" t="s">
        <v>307</v>
      </c>
      <c r="I286" t="s">
        <v>257</v>
      </c>
      <c r="J286">
        <v>5</v>
      </c>
      <c r="K286" t="s">
        <v>26</v>
      </c>
      <c r="L286" t="s">
        <v>814</v>
      </c>
      <c r="M286" t="s">
        <v>28</v>
      </c>
      <c r="N286" t="s">
        <v>310</v>
      </c>
      <c r="O286" t="s">
        <v>259</v>
      </c>
      <c r="P286" t="s">
        <v>404</v>
      </c>
    </row>
    <row r="287" spans="1:16" x14ac:dyDescent="0.25">
      <c r="A287" t="s">
        <v>986</v>
      </c>
      <c r="B287" t="s">
        <v>849</v>
      </c>
      <c r="C287" s="1" t="s">
        <v>987</v>
      </c>
      <c r="D287" t="s">
        <v>63</v>
      </c>
      <c r="E287" t="s">
        <v>64</v>
      </c>
      <c r="F287" s="2">
        <v>349471.86</v>
      </c>
      <c r="G287" s="1" t="s">
        <v>988</v>
      </c>
      <c r="H287" t="s">
        <v>307</v>
      </c>
      <c r="I287" t="s">
        <v>257</v>
      </c>
      <c r="J287">
        <v>5</v>
      </c>
      <c r="K287" t="s">
        <v>26</v>
      </c>
      <c r="L287" t="s">
        <v>814</v>
      </c>
      <c r="M287" t="s">
        <v>28</v>
      </c>
      <c r="N287" t="s">
        <v>310</v>
      </c>
      <c r="O287" t="s">
        <v>259</v>
      </c>
      <c r="P287" t="s">
        <v>404</v>
      </c>
    </row>
    <row r="288" spans="1:16" x14ac:dyDescent="0.25">
      <c r="A288" t="s">
        <v>989</v>
      </c>
      <c r="B288" t="s">
        <v>849</v>
      </c>
      <c r="C288" s="1" t="s">
        <v>990</v>
      </c>
      <c r="D288" t="s">
        <v>63</v>
      </c>
      <c r="E288" t="s">
        <v>64</v>
      </c>
      <c r="F288" s="2">
        <v>163298.31</v>
      </c>
      <c r="G288" s="1" t="s">
        <v>991</v>
      </c>
      <c r="H288" t="s">
        <v>307</v>
      </c>
      <c r="I288" t="s">
        <v>257</v>
      </c>
      <c r="J288">
        <v>5</v>
      </c>
      <c r="K288" t="s">
        <v>26</v>
      </c>
      <c r="L288" t="s">
        <v>814</v>
      </c>
      <c r="M288" t="s">
        <v>28</v>
      </c>
      <c r="N288" t="s">
        <v>310</v>
      </c>
      <c r="O288" t="s">
        <v>259</v>
      </c>
      <c r="P288" t="s">
        <v>404</v>
      </c>
    </row>
    <row r="289" spans="1:16" x14ac:dyDescent="0.25">
      <c r="A289" t="s">
        <v>992</v>
      </c>
      <c r="B289" t="s">
        <v>849</v>
      </c>
      <c r="C289" s="1" t="s">
        <v>993</v>
      </c>
      <c r="D289" t="s">
        <v>42</v>
      </c>
      <c r="E289" t="s">
        <v>43</v>
      </c>
      <c r="F289" s="2">
        <v>28612.47</v>
      </c>
      <c r="G289" s="1" t="s">
        <v>994</v>
      </c>
      <c r="H289" t="s">
        <v>307</v>
      </c>
      <c r="I289" t="s">
        <v>257</v>
      </c>
      <c r="J289">
        <v>14</v>
      </c>
      <c r="K289" t="s">
        <v>995</v>
      </c>
      <c r="L289" t="s">
        <v>814</v>
      </c>
      <c r="M289" t="s">
        <v>28</v>
      </c>
      <c r="N289" t="s">
        <v>310</v>
      </c>
      <c r="O289" t="s">
        <v>259</v>
      </c>
      <c r="P289" t="s">
        <v>404</v>
      </c>
    </row>
    <row r="290" spans="1:16" x14ac:dyDescent="0.25">
      <c r="A290" t="s">
        <v>996</v>
      </c>
      <c r="B290" t="s">
        <v>849</v>
      </c>
      <c r="C290" s="1" t="s">
        <v>997</v>
      </c>
      <c r="D290" t="s">
        <v>42</v>
      </c>
      <c r="E290" t="s">
        <v>43</v>
      </c>
      <c r="F290" s="2">
        <v>16149.22</v>
      </c>
      <c r="G290" s="1" t="s">
        <v>998</v>
      </c>
      <c r="H290" t="s">
        <v>307</v>
      </c>
      <c r="I290" t="s">
        <v>257</v>
      </c>
      <c r="J290">
        <v>7</v>
      </c>
      <c r="K290" t="s">
        <v>26</v>
      </c>
      <c r="L290" t="s">
        <v>814</v>
      </c>
      <c r="M290" t="s">
        <v>28</v>
      </c>
      <c r="N290" t="s">
        <v>310</v>
      </c>
      <c r="O290" t="s">
        <v>259</v>
      </c>
      <c r="P290" t="s">
        <v>404</v>
      </c>
    </row>
    <row r="291" spans="1:16" x14ac:dyDescent="0.25">
      <c r="A291" t="s">
        <v>999</v>
      </c>
      <c r="B291" t="s">
        <v>849</v>
      </c>
      <c r="C291" s="1" t="s">
        <v>1000</v>
      </c>
      <c r="D291" t="s">
        <v>63</v>
      </c>
      <c r="E291" t="s">
        <v>64</v>
      </c>
      <c r="F291" s="2">
        <v>345972.42</v>
      </c>
      <c r="G291" s="1" t="s">
        <v>1001</v>
      </c>
      <c r="H291" t="s">
        <v>307</v>
      </c>
      <c r="I291" t="s">
        <v>859</v>
      </c>
      <c r="J291">
        <v>4</v>
      </c>
      <c r="K291" t="s">
        <v>26</v>
      </c>
      <c r="L291" t="s">
        <v>1002</v>
      </c>
      <c r="M291" t="s">
        <v>28</v>
      </c>
      <c r="N291" t="s">
        <v>310</v>
      </c>
      <c r="O291" t="s">
        <v>259</v>
      </c>
      <c r="P291" t="s">
        <v>440</v>
      </c>
    </row>
    <row r="292" spans="1:16" x14ac:dyDescent="0.25">
      <c r="A292" t="s">
        <v>1003</v>
      </c>
      <c r="B292" t="s">
        <v>849</v>
      </c>
      <c r="C292" s="1" t="s">
        <v>1004</v>
      </c>
      <c r="D292" t="s">
        <v>63</v>
      </c>
      <c r="E292" t="s">
        <v>64</v>
      </c>
      <c r="F292" s="2">
        <v>285736.74</v>
      </c>
      <c r="G292" s="1" t="s">
        <v>1005</v>
      </c>
      <c r="H292" t="s">
        <v>307</v>
      </c>
      <c r="I292" t="s">
        <v>859</v>
      </c>
      <c r="J292">
        <v>7</v>
      </c>
      <c r="K292" t="s">
        <v>26</v>
      </c>
      <c r="L292" t="s">
        <v>814</v>
      </c>
      <c r="M292" t="s">
        <v>28</v>
      </c>
      <c r="N292" t="s">
        <v>310</v>
      </c>
      <c r="O292" t="s">
        <v>259</v>
      </c>
      <c r="P292" t="s">
        <v>404</v>
      </c>
    </row>
    <row r="293" spans="1:16" x14ac:dyDescent="0.25">
      <c r="A293" t="s">
        <v>1006</v>
      </c>
      <c r="B293" t="s">
        <v>849</v>
      </c>
      <c r="C293" s="1" t="s">
        <v>1007</v>
      </c>
      <c r="D293" t="s">
        <v>63</v>
      </c>
      <c r="E293" t="s">
        <v>64</v>
      </c>
      <c r="F293" s="2">
        <v>353950.34</v>
      </c>
      <c r="G293" s="1" t="s">
        <v>1008</v>
      </c>
      <c r="H293" t="s">
        <v>307</v>
      </c>
      <c r="I293" t="s">
        <v>257</v>
      </c>
      <c r="J293">
        <v>6</v>
      </c>
      <c r="K293" t="s">
        <v>26</v>
      </c>
      <c r="L293" t="s">
        <v>852</v>
      </c>
      <c r="M293" t="s">
        <v>28</v>
      </c>
      <c r="N293" t="s">
        <v>310</v>
      </c>
      <c r="O293" t="s">
        <v>259</v>
      </c>
      <c r="P293" t="s">
        <v>31</v>
      </c>
    </row>
    <row r="294" spans="1:16" x14ac:dyDescent="0.25">
      <c r="A294" t="s">
        <v>1009</v>
      </c>
      <c r="B294" t="s">
        <v>849</v>
      </c>
      <c r="C294" s="1" t="s">
        <v>1010</v>
      </c>
      <c r="D294" t="s">
        <v>63</v>
      </c>
      <c r="E294" t="s">
        <v>64</v>
      </c>
      <c r="F294" s="2">
        <v>75827.95</v>
      </c>
      <c r="G294" s="1" t="s">
        <v>1011</v>
      </c>
      <c r="H294" t="s">
        <v>307</v>
      </c>
      <c r="I294" t="s">
        <v>257</v>
      </c>
      <c r="J294">
        <v>11</v>
      </c>
      <c r="K294" t="s">
        <v>26</v>
      </c>
      <c r="L294" t="s">
        <v>852</v>
      </c>
      <c r="M294" t="s">
        <v>28</v>
      </c>
      <c r="N294" t="s">
        <v>310</v>
      </c>
      <c r="O294" t="s">
        <v>259</v>
      </c>
      <c r="P294" t="s">
        <v>31</v>
      </c>
    </row>
    <row r="295" spans="1:16" x14ac:dyDescent="0.25">
      <c r="A295" t="s">
        <v>1012</v>
      </c>
      <c r="B295" t="s">
        <v>849</v>
      </c>
      <c r="C295" s="1" t="s">
        <v>1013</v>
      </c>
      <c r="D295" t="s">
        <v>63</v>
      </c>
      <c r="E295" t="s">
        <v>64</v>
      </c>
      <c r="F295" s="2">
        <v>71709.95</v>
      </c>
      <c r="G295" s="1" t="s">
        <v>1011</v>
      </c>
      <c r="H295" t="s">
        <v>307</v>
      </c>
      <c r="I295" t="s">
        <v>257</v>
      </c>
      <c r="J295">
        <v>11</v>
      </c>
      <c r="K295" t="s">
        <v>26</v>
      </c>
      <c r="L295" t="s">
        <v>852</v>
      </c>
      <c r="M295" t="s">
        <v>28</v>
      </c>
      <c r="N295" t="s">
        <v>310</v>
      </c>
      <c r="O295" t="s">
        <v>259</v>
      </c>
      <c r="P295" t="s">
        <v>31</v>
      </c>
    </row>
    <row r="296" spans="1:16" x14ac:dyDescent="0.25">
      <c r="A296" t="s">
        <v>1014</v>
      </c>
      <c r="B296" t="s">
        <v>849</v>
      </c>
      <c r="C296" s="1" t="s">
        <v>1015</v>
      </c>
      <c r="D296" t="s">
        <v>63</v>
      </c>
      <c r="E296" t="s">
        <v>64</v>
      </c>
      <c r="F296" s="2">
        <v>71649.95</v>
      </c>
      <c r="G296" s="1" t="s">
        <v>1016</v>
      </c>
      <c r="H296" t="s">
        <v>307</v>
      </c>
      <c r="I296" t="s">
        <v>257</v>
      </c>
      <c r="J296">
        <v>11</v>
      </c>
      <c r="K296" t="s">
        <v>26</v>
      </c>
      <c r="L296" t="s">
        <v>852</v>
      </c>
      <c r="M296" t="s">
        <v>28</v>
      </c>
      <c r="N296" t="s">
        <v>310</v>
      </c>
      <c r="O296" t="s">
        <v>259</v>
      </c>
      <c r="P296" t="s">
        <v>31</v>
      </c>
    </row>
    <row r="297" spans="1:16" x14ac:dyDescent="0.25">
      <c r="A297" t="s">
        <v>1017</v>
      </c>
      <c r="B297" t="s">
        <v>849</v>
      </c>
      <c r="C297" s="1" t="s">
        <v>1018</v>
      </c>
      <c r="D297" t="s">
        <v>63</v>
      </c>
      <c r="E297" t="s">
        <v>64</v>
      </c>
      <c r="F297" s="2">
        <v>75767.95</v>
      </c>
      <c r="G297" s="1" t="s">
        <v>1016</v>
      </c>
      <c r="H297" t="s">
        <v>307</v>
      </c>
      <c r="I297" t="s">
        <v>257</v>
      </c>
      <c r="J297">
        <v>11</v>
      </c>
      <c r="K297" t="s">
        <v>26</v>
      </c>
      <c r="L297" t="s">
        <v>852</v>
      </c>
      <c r="M297" t="s">
        <v>28</v>
      </c>
      <c r="N297" t="s">
        <v>310</v>
      </c>
      <c r="O297" t="s">
        <v>259</v>
      </c>
      <c r="P297" t="s">
        <v>31</v>
      </c>
    </row>
    <row r="298" spans="1:16" x14ac:dyDescent="0.25">
      <c r="A298" t="s">
        <v>1019</v>
      </c>
      <c r="B298" t="s">
        <v>849</v>
      </c>
      <c r="C298" s="1" t="s">
        <v>1020</v>
      </c>
      <c r="D298" t="s">
        <v>63</v>
      </c>
      <c r="E298" t="s">
        <v>64</v>
      </c>
      <c r="F298" s="2">
        <v>125505.88</v>
      </c>
      <c r="G298" s="1" t="s">
        <v>1021</v>
      </c>
      <c r="H298" t="s">
        <v>307</v>
      </c>
      <c r="I298" t="s">
        <v>863</v>
      </c>
      <c r="J298">
        <v>10</v>
      </c>
      <c r="K298" t="s">
        <v>26</v>
      </c>
      <c r="L298" t="s">
        <v>852</v>
      </c>
      <c r="M298" t="s">
        <v>28</v>
      </c>
      <c r="N298" t="s">
        <v>310</v>
      </c>
      <c r="O298" t="s">
        <v>259</v>
      </c>
      <c r="P298" t="s">
        <v>31</v>
      </c>
    </row>
    <row r="299" spans="1:16" x14ac:dyDescent="0.25">
      <c r="A299" t="s">
        <v>1022</v>
      </c>
      <c r="B299" t="s">
        <v>849</v>
      </c>
      <c r="C299" s="1" t="s">
        <v>1023</v>
      </c>
      <c r="D299" t="s">
        <v>63</v>
      </c>
      <c r="E299" t="s">
        <v>64</v>
      </c>
      <c r="F299" s="2">
        <v>119498.88</v>
      </c>
      <c r="G299" s="1" t="s">
        <v>1024</v>
      </c>
      <c r="H299" t="s">
        <v>307</v>
      </c>
      <c r="I299" t="s">
        <v>863</v>
      </c>
      <c r="J299">
        <v>10</v>
      </c>
      <c r="K299" t="s">
        <v>26</v>
      </c>
      <c r="L299" t="s">
        <v>852</v>
      </c>
      <c r="M299" t="s">
        <v>28</v>
      </c>
      <c r="N299" t="s">
        <v>310</v>
      </c>
      <c r="O299" t="s">
        <v>259</v>
      </c>
      <c r="P299" t="s">
        <v>31</v>
      </c>
    </row>
    <row r="300" spans="1:16" x14ac:dyDescent="0.25">
      <c r="A300" t="s">
        <v>1025</v>
      </c>
      <c r="B300" t="s">
        <v>1026</v>
      </c>
      <c r="C300" s="1" t="s">
        <v>1027</v>
      </c>
      <c r="D300" t="s">
        <v>63</v>
      </c>
      <c r="E300" t="s">
        <v>64</v>
      </c>
      <c r="F300" s="2">
        <v>5801.75</v>
      </c>
      <c r="G300" s="1" t="s">
        <v>1028</v>
      </c>
      <c r="H300" t="s">
        <v>307</v>
      </c>
      <c r="I300" t="s">
        <v>308</v>
      </c>
      <c r="J300">
        <v>6</v>
      </c>
      <c r="K300" t="s">
        <v>26</v>
      </c>
      <c r="L300" t="s">
        <v>408</v>
      </c>
      <c r="M300" t="s">
        <v>28</v>
      </c>
      <c r="N300" t="s">
        <v>310</v>
      </c>
      <c r="O300" t="s">
        <v>252</v>
      </c>
      <c r="P300" t="s">
        <v>404</v>
      </c>
    </row>
    <row r="301" spans="1:16" x14ac:dyDescent="0.25">
      <c r="A301" t="s">
        <v>1029</v>
      </c>
      <c r="B301" t="s">
        <v>1026</v>
      </c>
      <c r="C301" s="1" t="s">
        <v>1030</v>
      </c>
      <c r="D301" t="s">
        <v>63</v>
      </c>
      <c r="E301" t="s">
        <v>64</v>
      </c>
      <c r="F301" s="2">
        <v>5287.36</v>
      </c>
      <c r="G301" s="1" t="s">
        <v>1031</v>
      </c>
      <c r="H301" t="s">
        <v>307</v>
      </c>
      <c r="I301" t="s">
        <v>250</v>
      </c>
      <c r="J301">
        <v>6</v>
      </c>
      <c r="K301" t="s">
        <v>26</v>
      </c>
      <c r="L301" t="s">
        <v>408</v>
      </c>
      <c r="M301" t="s">
        <v>28</v>
      </c>
      <c r="N301" t="s">
        <v>310</v>
      </c>
      <c r="O301" t="s">
        <v>252</v>
      </c>
      <c r="P301" t="s">
        <v>404</v>
      </c>
    </row>
    <row r="302" spans="1:16" x14ac:dyDescent="0.25">
      <c r="A302" t="s">
        <v>1032</v>
      </c>
      <c r="B302" t="s">
        <v>1026</v>
      </c>
      <c r="C302" s="1" t="s">
        <v>1033</v>
      </c>
      <c r="D302" t="s">
        <v>42</v>
      </c>
      <c r="E302" t="s">
        <v>43</v>
      </c>
      <c r="F302" s="2">
        <v>15744.01</v>
      </c>
      <c r="G302" s="1" t="s">
        <v>1034</v>
      </c>
      <c r="H302" t="s">
        <v>307</v>
      </c>
      <c r="I302" t="s">
        <v>401</v>
      </c>
      <c r="J302">
        <v>6</v>
      </c>
      <c r="K302" t="s">
        <v>26</v>
      </c>
      <c r="L302" t="s">
        <v>1035</v>
      </c>
      <c r="M302" t="s">
        <v>28</v>
      </c>
      <c r="N302" t="s">
        <v>310</v>
      </c>
      <c r="O302" t="s">
        <v>403</v>
      </c>
      <c r="P302" t="s">
        <v>404</v>
      </c>
    </row>
    <row r="303" spans="1:16" x14ac:dyDescent="0.25">
      <c r="A303" t="s">
        <v>1036</v>
      </c>
      <c r="B303" t="s">
        <v>1026</v>
      </c>
      <c r="C303" s="1" t="s">
        <v>1037</v>
      </c>
      <c r="D303" t="s">
        <v>42</v>
      </c>
      <c r="E303" t="s">
        <v>43</v>
      </c>
      <c r="F303" s="2">
        <v>20781.08</v>
      </c>
      <c r="G303" s="1" t="s">
        <v>1038</v>
      </c>
      <c r="H303" t="s">
        <v>307</v>
      </c>
      <c r="I303" t="s">
        <v>308</v>
      </c>
      <c r="J303">
        <v>7</v>
      </c>
      <c r="K303" t="s">
        <v>26</v>
      </c>
      <c r="L303" t="s">
        <v>408</v>
      </c>
      <c r="M303" t="s">
        <v>28</v>
      </c>
      <c r="N303" t="s">
        <v>310</v>
      </c>
      <c r="O303" t="s">
        <v>252</v>
      </c>
      <c r="P303" t="s">
        <v>404</v>
      </c>
    </row>
    <row r="304" spans="1:16" x14ac:dyDescent="0.25">
      <c r="A304" t="s">
        <v>1039</v>
      </c>
      <c r="B304" t="s">
        <v>1026</v>
      </c>
      <c r="C304" s="1" t="s">
        <v>1040</v>
      </c>
      <c r="D304" t="s">
        <v>63</v>
      </c>
      <c r="E304" t="s">
        <v>64</v>
      </c>
      <c r="F304" s="2">
        <v>14308.92</v>
      </c>
      <c r="G304" s="1" t="s">
        <v>1041</v>
      </c>
      <c r="H304" t="s">
        <v>307</v>
      </c>
      <c r="I304" t="s">
        <v>775</v>
      </c>
      <c r="J304">
        <v>5</v>
      </c>
      <c r="K304" t="s">
        <v>26</v>
      </c>
      <c r="L304" t="s">
        <v>776</v>
      </c>
      <c r="M304" t="s">
        <v>28</v>
      </c>
      <c r="N304" t="s">
        <v>310</v>
      </c>
      <c r="O304" t="s">
        <v>777</v>
      </c>
      <c r="P304" t="s">
        <v>404</v>
      </c>
    </row>
    <row r="305" spans="1:16" x14ac:dyDescent="0.25">
      <c r="A305" t="s">
        <v>1042</v>
      </c>
      <c r="B305" t="s">
        <v>1026</v>
      </c>
      <c r="C305" s="1" t="s">
        <v>1043</v>
      </c>
      <c r="D305" t="s">
        <v>63</v>
      </c>
      <c r="E305" t="s">
        <v>64</v>
      </c>
      <c r="F305" s="2">
        <v>6857.28</v>
      </c>
      <c r="G305" s="1" t="s">
        <v>1044</v>
      </c>
      <c r="H305" t="s">
        <v>307</v>
      </c>
      <c r="I305" t="s">
        <v>308</v>
      </c>
      <c r="J305">
        <v>6</v>
      </c>
      <c r="K305" t="s">
        <v>26</v>
      </c>
      <c r="L305" t="s">
        <v>408</v>
      </c>
      <c r="M305" t="s">
        <v>28</v>
      </c>
      <c r="N305" t="s">
        <v>310</v>
      </c>
      <c r="O305" t="s">
        <v>252</v>
      </c>
      <c r="P305" t="s">
        <v>404</v>
      </c>
    </row>
    <row r="306" spans="1:16" x14ac:dyDescent="0.25">
      <c r="A306" t="s">
        <v>1045</v>
      </c>
      <c r="B306" t="s">
        <v>1026</v>
      </c>
      <c r="C306" s="1" t="s">
        <v>1046</v>
      </c>
      <c r="D306" t="s">
        <v>63</v>
      </c>
      <c r="E306" t="s">
        <v>64</v>
      </c>
      <c r="F306" s="2">
        <v>5863.56</v>
      </c>
      <c r="G306" s="1" t="s">
        <v>1047</v>
      </c>
      <c r="H306" t="s">
        <v>307</v>
      </c>
      <c r="I306" t="s">
        <v>250</v>
      </c>
      <c r="J306">
        <v>6</v>
      </c>
      <c r="K306" t="s">
        <v>26</v>
      </c>
      <c r="L306" t="s">
        <v>408</v>
      </c>
      <c r="M306" t="s">
        <v>28</v>
      </c>
      <c r="N306" t="s">
        <v>310</v>
      </c>
      <c r="O306" t="s">
        <v>252</v>
      </c>
      <c r="P306" t="s">
        <v>404</v>
      </c>
    </row>
    <row r="307" spans="1:16" x14ac:dyDescent="0.25">
      <c r="A307" t="s">
        <v>1048</v>
      </c>
      <c r="B307" t="s">
        <v>1026</v>
      </c>
      <c r="C307" s="1" t="s">
        <v>1049</v>
      </c>
      <c r="D307" t="s">
        <v>63</v>
      </c>
      <c r="E307" t="s">
        <v>64</v>
      </c>
      <c r="F307" s="2">
        <v>6406.28</v>
      </c>
      <c r="G307" s="1" t="s">
        <v>1050</v>
      </c>
      <c r="H307" t="s">
        <v>307</v>
      </c>
      <c r="I307" t="s">
        <v>308</v>
      </c>
      <c r="J307">
        <v>6</v>
      </c>
      <c r="K307" t="s">
        <v>26</v>
      </c>
      <c r="L307" t="s">
        <v>408</v>
      </c>
      <c r="M307" t="s">
        <v>28</v>
      </c>
      <c r="N307" t="s">
        <v>310</v>
      </c>
      <c r="O307" t="s">
        <v>252</v>
      </c>
      <c r="P307" t="s">
        <v>404</v>
      </c>
    </row>
    <row r="308" spans="1:16" x14ac:dyDescent="0.25">
      <c r="A308" t="s">
        <v>1051</v>
      </c>
      <c r="B308" t="s">
        <v>1026</v>
      </c>
      <c r="C308" s="1" t="s">
        <v>1052</v>
      </c>
      <c r="D308" t="s">
        <v>63</v>
      </c>
      <c r="E308" t="s">
        <v>64</v>
      </c>
      <c r="F308" s="2">
        <v>6795.23</v>
      </c>
      <c r="G308" s="1" t="s">
        <v>1053</v>
      </c>
      <c r="H308" t="s">
        <v>307</v>
      </c>
      <c r="I308" t="s">
        <v>250</v>
      </c>
      <c r="J308">
        <v>6</v>
      </c>
      <c r="K308" t="s">
        <v>26</v>
      </c>
      <c r="L308" t="s">
        <v>408</v>
      </c>
      <c r="M308" t="s">
        <v>28</v>
      </c>
      <c r="N308" t="s">
        <v>310</v>
      </c>
      <c r="O308" t="s">
        <v>252</v>
      </c>
      <c r="P308" t="s">
        <v>404</v>
      </c>
    </row>
    <row r="309" spans="1:16" x14ac:dyDescent="0.25">
      <c r="A309" t="s">
        <v>1054</v>
      </c>
      <c r="B309" t="s">
        <v>1055</v>
      </c>
      <c r="C309" s="1" t="s">
        <v>1056</v>
      </c>
      <c r="D309" t="s">
        <v>21</v>
      </c>
      <c r="E309" t="s">
        <v>22</v>
      </c>
      <c r="F309" s="2">
        <v>63113.76</v>
      </c>
      <c r="G309" s="1" t="s">
        <v>1057</v>
      </c>
      <c r="H309" t="s">
        <v>655</v>
      </c>
      <c r="I309" t="s">
        <v>737</v>
      </c>
      <c r="J309">
        <v>4</v>
      </c>
      <c r="K309" t="s">
        <v>26</v>
      </c>
      <c r="L309" t="s">
        <v>1058</v>
      </c>
      <c r="M309" t="s">
        <v>28</v>
      </c>
      <c r="N309" t="s">
        <v>657</v>
      </c>
      <c r="O309" t="s">
        <v>739</v>
      </c>
      <c r="P309" t="s">
        <v>31</v>
      </c>
    </row>
    <row r="310" spans="1:16" x14ac:dyDescent="0.25">
      <c r="A310" t="s">
        <v>1059</v>
      </c>
      <c r="B310" t="s">
        <v>1055</v>
      </c>
      <c r="C310" s="1" t="s">
        <v>1060</v>
      </c>
      <c r="D310" t="s">
        <v>21</v>
      </c>
      <c r="E310" t="s">
        <v>22</v>
      </c>
      <c r="F310" s="2">
        <v>11473.77</v>
      </c>
      <c r="G310" s="1" t="s">
        <v>1061</v>
      </c>
      <c r="H310" t="s">
        <v>655</v>
      </c>
      <c r="I310" t="s">
        <v>300</v>
      </c>
      <c r="J310">
        <v>6</v>
      </c>
      <c r="K310" t="s">
        <v>26</v>
      </c>
      <c r="L310" t="s">
        <v>685</v>
      </c>
      <c r="M310" t="s">
        <v>28</v>
      </c>
      <c r="N310" t="s">
        <v>657</v>
      </c>
      <c r="O310" t="s">
        <v>303</v>
      </c>
      <c r="P310" t="s">
        <v>31</v>
      </c>
    </row>
    <row r="311" spans="1:16" x14ac:dyDescent="0.25">
      <c r="A311" t="s">
        <v>1062</v>
      </c>
      <c r="B311" t="s">
        <v>1055</v>
      </c>
      <c r="C311" s="1" t="s">
        <v>1063</v>
      </c>
      <c r="D311" t="s">
        <v>21</v>
      </c>
      <c r="E311" t="s">
        <v>22</v>
      </c>
      <c r="F311" s="2">
        <v>7612</v>
      </c>
      <c r="G311" s="1" t="s">
        <v>1064</v>
      </c>
      <c r="H311" t="s">
        <v>655</v>
      </c>
      <c r="I311" t="s">
        <v>540</v>
      </c>
      <c r="J311">
        <v>5</v>
      </c>
      <c r="K311" t="s">
        <v>26</v>
      </c>
      <c r="L311" t="s">
        <v>698</v>
      </c>
      <c r="M311" t="s">
        <v>28</v>
      </c>
      <c r="N311" t="s">
        <v>657</v>
      </c>
      <c r="O311" t="s">
        <v>542</v>
      </c>
      <c r="P311" t="s">
        <v>31</v>
      </c>
    </row>
    <row r="312" spans="1:16" x14ac:dyDescent="0.25">
      <c r="A312" t="s">
        <v>1065</v>
      </c>
      <c r="B312" t="s">
        <v>1055</v>
      </c>
      <c r="C312" s="1" t="s">
        <v>1066</v>
      </c>
      <c r="D312" t="s">
        <v>42</v>
      </c>
      <c r="E312" t="s">
        <v>43</v>
      </c>
      <c r="F312" s="2">
        <v>5545.06</v>
      </c>
      <c r="G312" s="1" t="s">
        <v>1067</v>
      </c>
      <c r="H312" t="s">
        <v>655</v>
      </c>
      <c r="I312" t="s">
        <v>737</v>
      </c>
      <c r="J312">
        <v>6</v>
      </c>
      <c r="K312" t="s">
        <v>26</v>
      </c>
      <c r="L312" t="s">
        <v>1058</v>
      </c>
      <c r="M312" t="s">
        <v>28</v>
      </c>
      <c r="N312" t="s">
        <v>657</v>
      </c>
      <c r="O312" t="s">
        <v>739</v>
      </c>
      <c r="P312" t="s">
        <v>31</v>
      </c>
    </row>
    <row r="313" spans="1:16" x14ac:dyDescent="0.25">
      <c r="A313" t="s">
        <v>1068</v>
      </c>
      <c r="B313" t="s">
        <v>1055</v>
      </c>
      <c r="C313" s="1" t="s">
        <v>1069</v>
      </c>
      <c r="D313" t="s">
        <v>21</v>
      </c>
      <c r="E313" t="s">
        <v>22</v>
      </c>
      <c r="F313" s="2">
        <v>12551.38</v>
      </c>
      <c r="G313" s="1" t="s">
        <v>1070</v>
      </c>
      <c r="H313" t="s">
        <v>655</v>
      </c>
      <c r="I313" t="s">
        <v>737</v>
      </c>
      <c r="J313">
        <v>6</v>
      </c>
      <c r="K313" t="s">
        <v>26</v>
      </c>
      <c r="L313" t="s">
        <v>1058</v>
      </c>
      <c r="M313" t="s">
        <v>28</v>
      </c>
      <c r="N313" t="s">
        <v>657</v>
      </c>
      <c r="O313" t="s">
        <v>739</v>
      </c>
      <c r="P313" t="s">
        <v>31</v>
      </c>
    </row>
    <row r="314" spans="1:16" x14ac:dyDescent="0.25">
      <c r="A314" t="s">
        <v>1071</v>
      </c>
      <c r="B314" t="s">
        <v>1055</v>
      </c>
      <c r="C314" s="1" t="s">
        <v>1072</v>
      </c>
      <c r="D314" t="s">
        <v>42</v>
      </c>
      <c r="E314" t="s">
        <v>43</v>
      </c>
      <c r="F314" s="2">
        <v>4366.99</v>
      </c>
      <c r="G314" s="1" t="s">
        <v>1073</v>
      </c>
      <c r="H314" t="s">
        <v>655</v>
      </c>
      <c r="I314" t="s">
        <v>737</v>
      </c>
      <c r="J314">
        <v>7</v>
      </c>
      <c r="K314" t="s">
        <v>26</v>
      </c>
      <c r="L314" t="s">
        <v>1058</v>
      </c>
      <c r="M314" t="s">
        <v>28</v>
      </c>
      <c r="N314" t="s">
        <v>657</v>
      </c>
      <c r="O314" t="s">
        <v>739</v>
      </c>
      <c r="P314" t="s">
        <v>31</v>
      </c>
    </row>
    <row r="315" spans="1:16" x14ac:dyDescent="0.25">
      <c r="A315" t="s">
        <v>1074</v>
      </c>
      <c r="B315" t="s">
        <v>1055</v>
      </c>
      <c r="C315" s="1" t="s">
        <v>1075</v>
      </c>
      <c r="D315" t="s">
        <v>21</v>
      </c>
      <c r="E315" t="s">
        <v>22</v>
      </c>
      <c r="F315" s="2">
        <v>14912.61</v>
      </c>
      <c r="G315" s="1" t="s">
        <v>1076</v>
      </c>
      <c r="H315" t="s">
        <v>655</v>
      </c>
      <c r="I315" t="s">
        <v>737</v>
      </c>
      <c r="J315">
        <v>7</v>
      </c>
      <c r="K315" t="s">
        <v>26</v>
      </c>
      <c r="L315" t="s">
        <v>1058</v>
      </c>
      <c r="M315" t="s">
        <v>28</v>
      </c>
      <c r="N315" t="s">
        <v>657</v>
      </c>
      <c r="O315" t="s">
        <v>739</v>
      </c>
      <c r="P315" t="s">
        <v>31</v>
      </c>
    </row>
    <row r="316" spans="1:16" x14ac:dyDescent="0.25">
      <c r="A316" t="s">
        <v>1077</v>
      </c>
      <c r="B316" t="s">
        <v>1055</v>
      </c>
      <c r="C316" s="1" t="s">
        <v>1078</v>
      </c>
      <c r="D316" t="s">
        <v>21</v>
      </c>
      <c r="E316" t="s">
        <v>22</v>
      </c>
      <c r="F316" s="2">
        <v>11058.25</v>
      </c>
      <c r="G316" s="1" t="s">
        <v>1079</v>
      </c>
      <c r="H316" t="s">
        <v>655</v>
      </c>
      <c r="I316" t="s">
        <v>737</v>
      </c>
      <c r="J316">
        <v>10</v>
      </c>
      <c r="K316" t="s">
        <v>1080</v>
      </c>
      <c r="L316" t="s">
        <v>1058</v>
      </c>
      <c r="M316" t="s">
        <v>28</v>
      </c>
      <c r="N316" t="s">
        <v>657</v>
      </c>
      <c r="O316" t="s">
        <v>739</v>
      </c>
      <c r="P316" t="s">
        <v>31</v>
      </c>
    </row>
    <row r="317" spans="1:16" x14ac:dyDescent="0.25">
      <c r="A317" t="s">
        <v>1081</v>
      </c>
      <c r="B317" t="s">
        <v>1055</v>
      </c>
      <c r="C317" s="1" t="s">
        <v>1082</v>
      </c>
      <c r="D317" t="s">
        <v>42</v>
      </c>
      <c r="E317" t="s">
        <v>43</v>
      </c>
      <c r="F317" s="2">
        <v>11870.85</v>
      </c>
      <c r="G317" s="1" t="s">
        <v>1083</v>
      </c>
      <c r="H317" t="s">
        <v>655</v>
      </c>
      <c r="I317" t="s">
        <v>737</v>
      </c>
      <c r="J317">
        <v>7</v>
      </c>
      <c r="K317" t="s">
        <v>26</v>
      </c>
      <c r="L317" t="s">
        <v>1058</v>
      </c>
      <c r="M317" t="s">
        <v>28</v>
      </c>
      <c r="N317" t="s">
        <v>657</v>
      </c>
      <c r="O317" t="s">
        <v>739</v>
      </c>
      <c r="P317" t="s">
        <v>31</v>
      </c>
    </row>
    <row r="318" spans="1:16" x14ac:dyDescent="0.25">
      <c r="A318" t="s">
        <v>1084</v>
      </c>
      <c r="B318" t="s">
        <v>1055</v>
      </c>
      <c r="C318" s="1" t="s">
        <v>1085</v>
      </c>
      <c r="D318" t="s">
        <v>21</v>
      </c>
      <c r="E318" t="s">
        <v>22</v>
      </c>
      <c r="F318" s="2">
        <v>17730.76</v>
      </c>
      <c r="G318" s="1" t="s">
        <v>1086</v>
      </c>
      <c r="H318" t="s">
        <v>655</v>
      </c>
      <c r="I318" t="s">
        <v>300</v>
      </c>
      <c r="J318">
        <v>7</v>
      </c>
      <c r="K318" t="s">
        <v>26</v>
      </c>
      <c r="L318" t="s">
        <v>685</v>
      </c>
      <c r="M318" t="s">
        <v>28</v>
      </c>
      <c r="N318" t="s">
        <v>657</v>
      </c>
      <c r="O318" t="s">
        <v>303</v>
      </c>
      <c r="P318" t="s">
        <v>31</v>
      </c>
    </row>
    <row r="319" spans="1:16" x14ac:dyDescent="0.25">
      <c r="A319" t="s">
        <v>1087</v>
      </c>
      <c r="B319" t="s">
        <v>1055</v>
      </c>
      <c r="C319" s="1" t="s">
        <v>1088</v>
      </c>
      <c r="D319" t="s">
        <v>21</v>
      </c>
      <c r="E319" t="s">
        <v>22</v>
      </c>
      <c r="F319" s="2">
        <v>8079.58</v>
      </c>
      <c r="G319" s="1" t="s">
        <v>1089</v>
      </c>
      <c r="H319" t="s">
        <v>655</v>
      </c>
      <c r="I319" t="s">
        <v>540</v>
      </c>
      <c r="J319">
        <v>7</v>
      </c>
      <c r="K319" t="s">
        <v>26</v>
      </c>
      <c r="L319" t="s">
        <v>698</v>
      </c>
      <c r="M319" t="s">
        <v>28</v>
      </c>
      <c r="N319" t="s">
        <v>657</v>
      </c>
      <c r="O319" t="s">
        <v>542</v>
      </c>
      <c r="P319" t="s">
        <v>31</v>
      </c>
    </row>
    <row r="320" spans="1:16" x14ac:dyDescent="0.25">
      <c r="A320" t="s">
        <v>1090</v>
      </c>
      <c r="B320" t="s">
        <v>1055</v>
      </c>
      <c r="C320" s="1" t="s">
        <v>1091</v>
      </c>
      <c r="D320" t="s">
        <v>21</v>
      </c>
      <c r="E320" t="s">
        <v>22</v>
      </c>
      <c r="F320" s="2">
        <v>22298.98</v>
      </c>
      <c r="G320" s="1" t="s">
        <v>1092</v>
      </c>
      <c r="H320" t="s">
        <v>655</v>
      </c>
      <c r="I320" t="s">
        <v>300</v>
      </c>
      <c r="J320">
        <v>9</v>
      </c>
      <c r="K320" t="s">
        <v>26</v>
      </c>
      <c r="L320" t="s">
        <v>685</v>
      </c>
      <c r="M320" t="s">
        <v>28</v>
      </c>
      <c r="N320" t="s">
        <v>657</v>
      </c>
      <c r="O320" t="s">
        <v>303</v>
      </c>
      <c r="P320" t="s">
        <v>31</v>
      </c>
    </row>
    <row r="321" spans="1:16" x14ac:dyDescent="0.25">
      <c r="A321" t="s">
        <v>1093</v>
      </c>
      <c r="B321" t="s">
        <v>1055</v>
      </c>
      <c r="C321" s="1" t="s">
        <v>1094</v>
      </c>
      <c r="D321" t="s">
        <v>21</v>
      </c>
      <c r="E321" t="s">
        <v>22</v>
      </c>
      <c r="F321" s="2">
        <v>12641.78</v>
      </c>
      <c r="G321" s="1" t="s">
        <v>1095</v>
      </c>
      <c r="H321" t="s">
        <v>655</v>
      </c>
      <c r="I321" t="s">
        <v>540</v>
      </c>
      <c r="J321">
        <v>8</v>
      </c>
      <c r="K321" t="s">
        <v>26</v>
      </c>
      <c r="L321" t="s">
        <v>698</v>
      </c>
      <c r="M321" t="s">
        <v>28</v>
      </c>
      <c r="N321" t="s">
        <v>657</v>
      </c>
      <c r="O321" t="s">
        <v>542</v>
      </c>
      <c r="P321" t="s">
        <v>31</v>
      </c>
    </row>
    <row r="322" spans="1:16" x14ac:dyDescent="0.25">
      <c r="A322" t="s">
        <v>1096</v>
      </c>
      <c r="B322" t="s">
        <v>1055</v>
      </c>
      <c r="C322" s="1" t="s">
        <v>1097</v>
      </c>
      <c r="D322" t="s">
        <v>42</v>
      </c>
      <c r="E322" t="s">
        <v>43</v>
      </c>
      <c r="F322" s="2">
        <v>6962.45</v>
      </c>
      <c r="G322" s="1" t="s">
        <v>1098</v>
      </c>
      <c r="H322" t="s">
        <v>655</v>
      </c>
      <c r="I322" t="s">
        <v>661</v>
      </c>
      <c r="J322">
        <v>6</v>
      </c>
      <c r="K322" t="s">
        <v>26</v>
      </c>
      <c r="L322" t="s">
        <v>662</v>
      </c>
      <c r="M322" t="s">
        <v>28</v>
      </c>
      <c r="N322" t="s">
        <v>657</v>
      </c>
      <c r="O322" t="s">
        <v>663</v>
      </c>
      <c r="P322" t="s">
        <v>31</v>
      </c>
    </row>
    <row r="323" spans="1:16" x14ac:dyDescent="0.25">
      <c r="A323" t="s">
        <v>1099</v>
      </c>
      <c r="B323" t="s">
        <v>1055</v>
      </c>
      <c r="C323" s="1" t="s">
        <v>1100</v>
      </c>
      <c r="D323" t="s">
        <v>21</v>
      </c>
      <c r="E323" t="s">
        <v>22</v>
      </c>
      <c r="F323" s="2">
        <v>15755.73</v>
      </c>
      <c r="G323" s="1" t="s">
        <v>1101</v>
      </c>
      <c r="H323" t="s">
        <v>655</v>
      </c>
      <c r="I323" t="s">
        <v>661</v>
      </c>
      <c r="J323">
        <v>7</v>
      </c>
      <c r="K323" t="s">
        <v>26</v>
      </c>
      <c r="L323" t="s">
        <v>662</v>
      </c>
      <c r="M323" t="s">
        <v>28</v>
      </c>
      <c r="N323" t="s">
        <v>657</v>
      </c>
      <c r="O323" t="s">
        <v>663</v>
      </c>
      <c r="P323" t="s">
        <v>31</v>
      </c>
    </row>
    <row r="324" spans="1:16" x14ac:dyDescent="0.25">
      <c r="A324" t="s">
        <v>1102</v>
      </c>
      <c r="B324" t="s">
        <v>1055</v>
      </c>
      <c r="C324" s="1" t="s">
        <v>1103</v>
      </c>
      <c r="D324" t="s">
        <v>21</v>
      </c>
      <c r="E324" t="s">
        <v>22</v>
      </c>
      <c r="F324" s="2">
        <v>18539.16</v>
      </c>
      <c r="G324" s="1" t="s">
        <v>1104</v>
      </c>
      <c r="H324" t="s">
        <v>655</v>
      </c>
      <c r="I324" t="s">
        <v>737</v>
      </c>
      <c r="J324">
        <v>4</v>
      </c>
      <c r="K324" t="s">
        <v>26</v>
      </c>
      <c r="L324" t="s">
        <v>1058</v>
      </c>
      <c r="M324" t="s">
        <v>28</v>
      </c>
      <c r="N324" t="s">
        <v>657</v>
      </c>
      <c r="O324" t="s">
        <v>739</v>
      </c>
      <c r="P324" t="s">
        <v>31</v>
      </c>
    </row>
    <row r="325" spans="1:16" x14ac:dyDescent="0.25">
      <c r="A325" t="s">
        <v>1105</v>
      </c>
      <c r="B325" t="s">
        <v>1055</v>
      </c>
      <c r="C325" s="1" t="s">
        <v>1106</v>
      </c>
      <c r="D325" t="s">
        <v>21</v>
      </c>
      <c r="E325" t="s">
        <v>22</v>
      </c>
      <c r="F325" s="2">
        <v>14045.29</v>
      </c>
      <c r="G325" s="1" t="s">
        <v>1107</v>
      </c>
      <c r="H325" t="s">
        <v>655</v>
      </c>
      <c r="I325" t="s">
        <v>737</v>
      </c>
      <c r="J325">
        <v>5</v>
      </c>
      <c r="K325" t="s">
        <v>26</v>
      </c>
      <c r="L325" t="s">
        <v>1058</v>
      </c>
      <c r="M325" t="s">
        <v>28</v>
      </c>
      <c r="N325" t="s">
        <v>657</v>
      </c>
      <c r="O325" t="s">
        <v>739</v>
      </c>
      <c r="P325" t="s">
        <v>31</v>
      </c>
    </row>
    <row r="326" spans="1:16" x14ac:dyDescent="0.25">
      <c r="A326" t="s">
        <v>1108</v>
      </c>
      <c r="B326" t="s">
        <v>1055</v>
      </c>
      <c r="C326" s="1" t="s">
        <v>1109</v>
      </c>
      <c r="D326" t="s">
        <v>21</v>
      </c>
      <c r="E326" t="s">
        <v>22</v>
      </c>
      <c r="F326" s="2">
        <v>8284.07</v>
      </c>
      <c r="G326" s="1" t="s">
        <v>1110</v>
      </c>
      <c r="H326" t="s">
        <v>655</v>
      </c>
      <c r="I326" t="s">
        <v>661</v>
      </c>
      <c r="J326">
        <v>6</v>
      </c>
      <c r="K326" t="s">
        <v>26</v>
      </c>
      <c r="L326" t="s">
        <v>662</v>
      </c>
      <c r="M326" t="s">
        <v>28</v>
      </c>
      <c r="N326" t="s">
        <v>657</v>
      </c>
      <c r="O326" t="s">
        <v>663</v>
      </c>
      <c r="P326" t="s">
        <v>31</v>
      </c>
    </row>
    <row r="327" spans="1:16" x14ac:dyDescent="0.25">
      <c r="A327" t="s">
        <v>1111</v>
      </c>
      <c r="B327" t="s">
        <v>1055</v>
      </c>
      <c r="C327" s="1" t="s">
        <v>1112</v>
      </c>
      <c r="D327" t="s">
        <v>42</v>
      </c>
      <c r="E327" t="s">
        <v>43</v>
      </c>
      <c r="F327" s="2">
        <v>3923.57</v>
      </c>
      <c r="G327" s="1" t="s">
        <v>1113</v>
      </c>
      <c r="H327" t="s">
        <v>655</v>
      </c>
      <c r="I327" t="s">
        <v>737</v>
      </c>
      <c r="J327">
        <v>6</v>
      </c>
      <c r="K327" t="s">
        <v>26</v>
      </c>
      <c r="L327" t="s">
        <v>1058</v>
      </c>
      <c r="M327" t="s">
        <v>28</v>
      </c>
      <c r="N327" t="s">
        <v>657</v>
      </c>
      <c r="O327" t="s">
        <v>739</v>
      </c>
      <c r="P327" t="s">
        <v>31</v>
      </c>
    </row>
    <row r="328" spans="1:16" x14ac:dyDescent="0.25">
      <c r="A328" t="s">
        <v>1114</v>
      </c>
      <c r="B328" t="s">
        <v>1055</v>
      </c>
      <c r="C328" s="1" t="s">
        <v>1115</v>
      </c>
      <c r="D328" t="s">
        <v>21</v>
      </c>
      <c r="E328" t="s">
        <v>22</v>
      </c>
      <c r="F328" s="2">
        <v>12617.43</v>
      </c>
      <c r="G328" s="1" t="s">
        <v>1116</v>
      </c>
      <c r="H328" t="s">
        <v>655</v>
      </c>
      <c r="I328" t="s">
        <v>737</v>
      </c>
      <c r="J328">
        <v>6</v>
      </c>
      <c r="K328" t="s">
        <v>26</v>
      </c>
      <c r="L328" t="s">
        <v>1058</v>
      </c>
      <c r="M328" t="s">
        <v>28</v>
      </c>
      <c r="N328" t="s">
        <v>657</v>
      </c>
      <c r="O328" t="s">
        <v>739</v>
      </c>
      <c r="P328" t="s">
        <v>31</v>
      </c>
    </row>
    <row r="329" spans="1:16" x14ac:dyDescent="0.25">
      <c r="A329" t="s">
        <v>1117</v>
      </c>
      <c r="B329" t="s">
        <v>1055</v>
      </c>
      <c r="C329" s="1" t="s">
        <v>1118</v>
      </c>
      <c r="D329" t="s">
        <v>42</v>
      </c>
      <c r="E329" t="s">
        <v>43</v>
      </c>
      <c r="F329" s="2">
        <v>52664.07</v>
      </c>
      <c r="G329" s="1" t="s">
        <v>1119</v>
      </c>
      <c r="H329" t="s">
        <v>655</v>
      </c>
      <c r="I329" t="s">
        <v>737</v>
      </c>
      <c r="J329">
        <v>6</v>
      </c>
      <c r="K329" t="s">
        <v>26</v>
      </c>
      <c r="L329" t="s">
        <v>1058</v>
      </c>
      <c r="M329" t="s">
        <v>28</v>
      </c>
      <c r="N329" t="s">
        <v>657</v>
      </c>
      <c r="O329" t="s">
        <v>739</v>
      </c>
      <c r="P329" t="s">
        <v>31</v>
      </c>
    </row>
    <row r="330" spans="1:16" x14ac:dyDescent="0.25">
      <c r="A330" t="s">
        <v>1120</v>
      </c>
      <c r="B330" t="s">
        <v>1055</v>
      </c>
      <c r="C330" s="1" t="s">
        <v>1121</v>
      </c>
      <c r="D330" t="s">
        <v>21</v>
      </c>
      <c r="E330" t="s">
        <v>22</v>
      </c>
      <c r="F330" s="2">
        <v>14931.95</v>
      </c>
      <c r="G330" s="1" t="s">
        <v>1122</v>
      </c>
      <c r="H330" t="s">
        <v>655</v>
      </c>
      <c r="I330" t="s">
        <v>300</v>
      </c>
      <c r="J330">
        <v>5</v>
      </c>
      <c r="K330" t="s">
        <v>26</v>
      </c>
      <c r="L330" t="s">
        <v>685</v>
      </c>
      <c r="M330" t="s">
        <v>28</v>
      </c>
      <c r="N330" t="s">
        <v>657</v>
      </c>
      <c r="O330" t="s">
        <v>303</v>
      </c>
      <c r="P330" t="s">
        <v>31</v>
      </c>
    </row>
    <row r="331" spans="1:16" x14ac:dyDescent="0.25">
      <c r="A331" t="s">
        <v>1123</v>
      </c>
      <c r="B331" t="s">
        <v>1055</v>
      </c>
      <c r="C331" s="1" t="s">
        <v>1124</v>
      </c>
      <c r="D331" t="s">
        <v>21</v>
      </c>
      <c r="E331" t="s">
        <v>22</v>
      </c>
      <c r="F331" s="2">
        <v>6089.26</v>
      </c>
      <c r="G331" s="1" t="s">
        <v>1125</v>
      </c>
      <c r="H331" t="s">
        <v>655</v>
      </c>
      <c r="I331" t="s">
        <v>540</v>
      </c>
      <c r="J331">
        <v>4</v>
      </c>
      <c r="K331" t="s">
        <v>26</v>
      </c>
      <c r="L331" t="s">
        <v>698</v>
      </c>
      <c r="M331" t="s">
        <v>28</v>
      </c>
      <c r="N331" t="s">
        <v>657</v>
      </c>
      <c r="O331" t="s">
        <v>542</v>
      </c>
      <c r="P331" t="s">
        <v>31</v>
      </c>
    </row>
    <row r="332" spans="1:16" x14ac:dyDescent="0.25">
      <c r="A332" t="s">
        <v>1126</v>
      </c>
      <c r="B332" t="s">
        <v>1127</v>
      </c>
      <c r="C332" s="1" t="s">
        <v>1128</v>
      </c>
      <c r="D332" t="s">
        <v>21</v>
      </c>
      <c r="E332" t="s">
        <v>22</v>
      </c>
      <c r="F332" s="2">
        <v>124099.92</v>
      </c>
      <c r="G332" s="1" t="s">
        <v>1129</v>
      </c>
      <c r="H332" t="s">
        <v>655</v>
      </c>
      <c r="I332" t="s">
        <v>1130</v>
      </c>
      <c r="J332">
        <v>9</v>
      </c>
      <c r="K332" t="s">
        <v>26</v>
      </c>
      <c r="L332" t="s">
        <v>1131</v>
      </c>
      <c r="M332" t="s">
        <v>28</v>
      </c>
      <c r="N332" t="s">
        <v>657</v>
      </c>
      <c r="O332" t="s">
        <v>1132</v>
      </c>
      <c r="P332" t="s">
        <v>404</v>
      </c>
    </row>
    <row r="333" spans="1:16" x14ac:dyDescent="0.25">
      <c r="A333" t="s">
        <v>1133</v>
      </c>
      <c r="B333" t="s">
        <v>1127</v>
      </c>
      <c r="C333" s="1" t="s">
        <v>1134</v>
      </c>
      <c r="D333" t="s">
        <v>21</v>
      </c>
      <c r="E333" t="s">
        <v>22</v>
      </c>
      <c r="F333" s="2">
        <v>165380.59</v>
      </c>
      <c r="G333" s="1" t="s">
        <v>1135</v>
      </c>
      <c r="H333" t="s">
        <v>655</v>
      </c>
      <c r="I333" t="s">
        <v>1130</v>
      </c>
      <c r="J333">
        <v>9</v>
      </c>
      <c r="K333" t="s">
        <v>26</v>
      </c>
      <c r="L333" t="s">
        <v>1131</v>
      </c>
      <c r="M333" t="s">
        <v>28</v>
      </c>
      <c r="N333" t="s">
        <v>657</v>
      </c>
      <c r="O333" t="s">
        <v>1132</v>
      </c>
      <c r="P333" t="s">
        <v>404</v>
      </c>
    </row>
    <row r="334" spans="1:16" x14ac:dyDescent="0.25">
      <c r="A334" t="s">
        <v>1136</v>
      </c>
      <c r="B334" t="s">
        <v>1127</v>
      </c>
      <c r="C334" s="1" t="s">
        <v>1137</v>
      </c>
      <c r="D334" t="s">
        <v>21</v>
      </c>
      <c r="E334" t="s">
        <v>22</v>
      </c>
      <c r="F334" s="2">
        <v>107407.04</v>
      </c>
      <c r="G334" s="1" t="s">
        <v>1138</v>
      </c>
      <c r="H334" t="s">
        <v>655</v>
      </c>
      <c r="I334" t="s">
        <v>1130</v>
      </c>
      <c r="J334">
        <v>9</v>
      </c>
      <c r="K334" t="s">
        <v>26</v>
      </c>
      <c r="L334" t="s">
        <v>1131</v>
      </c>
      <c r="M334" t="s">
        <v>28</v>
      </c>
      <c r="N334" t="s">
        <v>657</v>
      </c>
      <c r="O334" t="s">
        <v>1132</v>
      </c>
      <c r="P334" t="s">
        <v>404</v>
      </c>
    </row>
    <row r="335" spans="1:16" x14ac:dyDescent="0.25">
      <c r="A335" t="s">
        <v>1139</v>
      </c>
      <c r="B335" t="s">
        <v>1127</v>
      </c>
      <c r="C335" s="1" t="s">
        <v>1140</v>
      </c>
      <c r="D335" t="s">
        <v>21</v>
      </c>
      <c r="E335" t="s">
        <v>22</v>
      </c>
      <c r="F335" s="2">
        <v>53375.91</v>
      </c>
      <c r="G335" s="1" t="s">
        <v>1141</v>
      </c>
      <c r="H335" t="s">
        <v>655</v>
      </c>
      <c r="I335" t="s">
        <v>1130</v>
      </c>
      <c r="J335">
        <v>8</v>
      </c>
      <c r="K335" t="s">
        <v>26</v>
      </c>
      <c r="L335" t="s">
        <v>1131</v>
      </c>
      <c r="M335" t="s">
        <v>28</v>
      </c>
      <c r="N335" t="s">
        <v>657</v>
      </c>
      <c r="O335" t="s">
        <v>1132</v>
      </c>
      <c r="P335" t="s">
        <v>404</v>
      </c>
    </row>
    <row r="336" spans="1:16" x14ac:dyDescent="0.25">
      <c r="A336" t="s">
        <v>1142</v>
      </c>
      <c r="B336" t="s">
        <v>1127</v>
      </c>
      <c r="C336" s="1" t="s">
        <v>1143</v>
      </c>
      <c r="D336" t="s">
        <v>21</v>
      </c>
      <c r="E336" t="s">
        <v>22</v>
      </c>
      <c r="F336" s="2">
        <v>52392.21</v>
      </c>
      <c r="G336" s="1" t="s">
        <v>1144</v>
      </c>
      <c r="H336" t="s">
        <v>655</v>
      </c>
      <c r="I336" t="s">
        <v>1130</v>
      </c>
      <c r="J336">
        <v>8</v>
      </c>
      <c r="K336" t="s">
        <v>26</v>
      </c>
      <c r="L336" t="s">
        <v>1131</v>
      </c>
      <c r="M336" t="s">
        <v>28</v>
      </c>
      <c r="N336" t="s">
        <v>657</v>
      </c>
      <c r="O336" t="s">
        <v>1132</v>
      </c>
      <c r="P336" t="s">
        <v>404</v>
      </c>
    </row>
    <row r="337" spans="1:16" x14ac:dyDescent="0.25">
      <c r="A337" t="s">
        <v>1145</v>
      </c>
      <c r="B337" t="s">
        <v>1127</v>
      </c>
      <c r="C337" s="1" t="s">
        <v>1146</v>
      </c>
      <c r="D337" t="s">
        <v>21</v>
      </c>
      <c r="E337" t="s">
        <v>22</v>
      </c>
      <c r="F337" s="2">
        <v>213141.93</v>
      </c>
      <c r="G337" s="1" t="s">
        <v>1147</v>
      </c>
      <c r="H337" t="s">
        <v>655</v>
      </c>
      <c r="I337" t="s">
        <v>805</v>
      </c>
      <c r="J337">
        <v>7</v>
      </c>
      <c r="K337" t="s">
        <v>26</v>
      </c>
      <c r="L337" t="s">
        <v>1148</v>
      </c>
      <c r="M337" t="s">
        <v>28</v>
      </c>
      <c r="N337" t="s">
        <v>657</v>
      </c>
      <c r="O337" t="s">
        <v>807</v>
      </c>
      <c r="P337" t="s">
        <v>404</v>
      </c>
    </row>
    <row r="338" spans="1:16" x14ac:dyDescent="0.25">
      <c r="A338" t="s">
        <v>1149</v>
      </c>
      <c r="B338" t="s">
        <v>1127</v>
      </c>
      <c r="C338" s="1" t="s">
        <v>1150</v>
      </c>
      <c r="D338" t="s">
        <v>1151</v>
      </c>
      <c r="E338" t="s">
        <v>1152</v>
      </c>
      <c r="F338" s="2">
        <v>90199.58</v>
      </c>
      <c r="G338" s="1" t="s">
        <v>1153</v>
      </c>
      <c r="H338" t="s">
        <v>655</v>
      </c>
      <c r="I338" t="s">
        <v>712</v>
      </c>
      <c r="J338">
        <v>5</v>
      </c>
      <c r="K338" t="s">
        <v>26</v>
      </c>
      <c r="L338" t="s">
        <v>1154</v>
      </c>
      <c r="M338" t="s">
        <v>28</v>
      </c>
      <c r="N338" t="s">
        <v>657</v>
      </c>
      <c r="O338" t="s">
        <v>252</v>
      </c>
      <c r="P338" t="s">
        <v>404</v>
      </c>
    </row>
    <row r="339" spans="1:16" x14ac:dyDescent="0.25">
      <c r="A339" t="s">
        <v>1155</v>
      </c>
      <c r="B339" t="s">
        <v>1127</v>
      </c>
      <c r="C339" s="1" t="s">
        <v>1156</v>
      </c>
      <c r="D339" t="s">
        <v>1151</v>
      </c>
      <c r="E339" t="s">
        <v>1152</v>
      </c>
      <c r="F339" s="2">
        <v>150249.58</v>
      </c>
      <c r="G339" s="1" t="s">
        <v>1157</v>
      </c>
      <c r="H339" t="s">
        <v>655</v>
      </c>
      <c r="I339" t="s">
        <v>712</v>
      </c>
      <c r="J339">
        <v>5</v>
      </c>
      <c r="K339" t="s">
        <v>26</v>
      </c>
      <c r="L339" t="s">
        <v>1154</v>
      </c>
      <c r="M339" t="s">
        <v>28</v>
      </c>
      <c r="N339" t="s">
        <v>657</v>
      </c>
      <c r="O339" t="s">
        <v>252</v>
      </c>
      <c r="P339" t="s">
        <v>404</v>
      </c>
    </row>
    <row r="340" spans="1:16" x14ac:dyDescent="0.25">
      <c r="A340" t="s">
        <v>1158</v>
      </c>
      <c r="B340" t="s">
        <v>1127</v>
      </c>
      <c r="C340" s="1" t="s">
        <v>1159</v>
      </c>
      <c r="D340" t="s">
        <v>1151</v>
      </c>
      <c r="E340" t="s">
        <v>1152</v>
      </c>
      <c r="F340" s="2">
        <v>194970.29</v>
      </c>
      <c r="G340" s="1" t="s">
        <v>1160</v>
      </c>
      <c r="H340" t="s">
        <v>655</v>
      </c>
      <c r="I340" t="s">
        <v>712</v>
      </c>
      <c r="J340">
        <v>5</v>
      </c>
      <c r="K340" t="s">
        <v>26</v>
      </c>
      <c r="L340" t="s">
        <v>1154</v>
      </c>
      <c r="M340" t="s">
        <v>28</v>
      </c>
      <c r="N340" t="s">
        <v>657</v>
      </c>
      <c r="O340" t="s">
        <v>252</v>
      </c>
      <c r="P340" t="s">
        <v>404</v>
      </c>
    </row>
    <row r="341" spans="1:16" x14ac:dyDescent="0.25">
      <c r="A341" t="s">
        <v>1161</v>
      </c>
      <c r="B341" t="s">
        <v>1127</v>
      </c>
      <c r="C341" s="1" t="s">
        <v>1162</v>
      </c>
      <c r="D341" t="s">
        <v>42</v>
      </c>
      <c r="E341" t="s">
        <v>43</v>
      </c>
      <c r="F341" s="2">
        <v>53303.29</v>
      </c>
      <c r="G341" s="1" t="s">
        <v>1163</v>
      </c>
      <c r="H341" t="s">
        <v>655</v>
      </c>
      <c r="I341" t="s">
        <v>712</v>
      </c>
      <c r="J341">
        <v>10</v>
      </c>
      <c r="K341" t="s">
        <v>26</v>
      </c>
      <c r="L341" t="s">
        <v>1164</v>
      </c>
      <c r="M341" t="s">
        <v>28</v>
      </c>
      <c r="N341" t="s">
        <v>657</v>
      </c>
      <c r="O341" t="s">
        <v>252</v>
      </c>
      <c r="P341" t="s">
        <v>31</v>
      </c>
    </row>
    <row r="342" spans="1:16" x14ac:dyDescent="0.25">
      <c r="A342" t="s">
        <v>1165</v>
      </c>
      <c r="B342" t="s">
        <v>1127</v>
      </c>
      <c r="C342" s="1" t="s">
        <v>1166</v>
      </c>
      <c r="D342" t="s">
        <v>42</v>
      </c>
      <c r="E342" t="s">
        <v>43</v>
      </c>
      <c r="F342" s="2">
        <v>53311.74</v>
      </c>
      <c r="G342" s="1" t="s">
        <v>1167</v>
      </c>
      <c r="H342" t="s">
        <v>655</v>
      </c>
      <c r="I342" t="s">
        <v>712</v>
      </c>
      <c r="J342">
        <v>9</v>
      </c>
      <c r="K342" t="s">
        <v>26</v>
      </c>
      <c r="L342" t="s">
        <v>1164</v>
      </c>
      <c r="M342" t="s">
        <v>28</v>
      </c>
      <c r="N342" t="s">
        <v>657</v>
      </c>
      <c r="O342" t="s">
        <v>252</v>
      </c>
      <c r="P342" t="s">
        <v>31</v>
      </c>
    </row>
    <row r="343" spans="1:16" x14ac:dyDescent="0.25">
      <c r="A343" t="s">
        <v>1168</v>
      </c>
      <c r="B343" t="s">
        <v>1127</v>
      </c>
      <c r="C343" s="1" t="s">
        <v>1169</v>
      </c>
      <c r="D343" t="s">
        <v>63</v>
      </c>
      <c r="E343" t="s">
        <v>64</v>
      </c>
      <c r="F343" s="2">
        <v>28264.67</v>
      </c>
      <c r="G343" s="1" t="s">
        <v>1170</v>
      </c>
      <c r="H343" t="s">
        <v>655</v>
      </c>
      <c r="I343" t="s">
        <v>743</v>
      </c>
      <c r="J343">
        <v>5</v>
      </c>
      <c r="K343" t="s">
        <v>26</v>
      </c>
      <c r="L343" t="s">
        <v>1171</v>
      </c>
      <c r="M343" t="s">
        <v>28</v>
      </c>
      <c r="N343" t="s">
        <v>657</v>
      </c>
      <c r="O343" t="s">
        <v>745</v>
      </c>
      <c r="P343" t="s">
        <v>404</v>
      </c>
    </row>
    <row r="344" spans="1:16" x14ac:dyDescent="0.25">
      <c r="A344" t="s">
        <v>1172</v>
      </c>
      <c r="B344" t="s">
        <v>1127</v>
      </c>
      <c r="C344" s="1" t="s">
        <v>1173</v>
      </c>
      <c r="D344" t="s">
        <v>63</v>
      </c>
      <c r="E344" t="s">
        <v>64</v>
      </c>
      <c r="F344" s="2">
        <v>34533.06</v>
      </c>
      <c r="G344" s="1" t="s">
        <v>1174</v>
      </c>
      <c r="H344" t="s">
        <v>655</v>
      </c>
      <c r="I344" t="s">
        <v>743</v>
      </c>
      <c r="J344">
        <v>5</v>
      </c>
      <c r="K344" t="s">
        <v>26</v>
      </c>
      <c r="L344" t="s">
        <v>1171</v>
      </c>
      <c r="M344" t="s">
        <v>28</v>
      </c>
      <c r="N344" t="s">
        <v>657</v>
      </c>
      <c r="O344" t="s">
        <v>745</v>
      </c>
      <c r="P344" t="s">
        <v>404</v>
      </c>
    </row>
    <row r="345" spans="1:16" x14ac:dyDescent="0.25">
      <c r="A345" t="s">
        <v>1175</v>
      </c>
      <c r="B345" t="s">
        <v>1127</v>
      </c>
      <c r="C345" s="1" t="s">
        <v>1176</v>
      </c>
      <c r="D345" t="s">
        <v>63</v>
      </c>
      <c r="E345" t="s">
        <v>64</v>
      </c>
      <c r="F345" s="2">
        <v>19548</v>
      </c>
      <c r="G345" s="1" t="s">
        <v>1177</v>
      </c>
      <c r="H345" t="s">
        <v>655</v>
      </c>
      <c r="I345" t="s">
        <v>1130</v>
      </c>
      <c r="J345">
        <v>5</v>
      </c>
      <c r="K345" t="s">
        <v>26</v>
      </c>
      <c r="L345" t="s">
        <v>1131</v>
      </c>
      <c r="M345" t="s">
        <v>28</v>
      </c>
      <c r="N345" t="s">
        <v>657</v>
      </c>
      <c r="O345" t="s">
        <v>1132</v>
      </c>
      <c r="P345" t="s">
        <v>404</v>
      </c>
    </row>
    <row r="346" spans="1:16" x14ac:dyDescent="0.25">
      <c r="A346" t="s">
        <v>1178</v>
      </c>
      <c r="B346" t="s">
        <v>1127</v>
      </c>
      <c r="C346" s="1" t="s">
        <v>1179</v>
      </c>
      <c r="D346" t="s">
        <v>63</v>
      </c>
      <c r="E346" t="s">
        <v>64</v>
      </c>
      <c r="F346" s="2">
        <v>32914.67</v>
      </c>
      <c r="G346" s="1" t="s">
        <v>1180</v>
      </c>
      <c r="H346" t="s">
        <v>655</v>
      </c>
      <c r="I346" t="s">
        <v>805</v>
      </c>
      <c r="J346">
        <v>5</v>
      </c>
      <c r="K346" t="s">
        <v>26</v>
      </c>
      <c r="L346" t="s">
        <v>1148</v>
      </c>
      <c r="M346" t="s">
        <v>28</v>
      </c>
      <c r="N346" t="s">
        <v>657</v>
      </c>
      <c r="O346" t="s">
        <v>807</v>
      </c>
      <c r="P346" t="s">
        <v>404</v>
      </c>
    </row>
    <row r="347" spans="1:16" x14ac:dyDescent="0.25">
      <c r="A347" t="s">
        <v>1181</v>
      </c>
      <c r="B347" t="s">
        <v>1127</v>
      </c>
      <c r="C347" s="1" t="s">
        <v>1182</v>
      </c>
      <c r="D347" t="s">
        <v>63</v>
      </c>
      <c r="E347" t="s">
        <v>64</v>
      </c>
      <c r="F347" s="2">
        <v>18176.55</v>
      </c>
      <c r="G347" s="1" t="s">
        <v>1183</v>
      </c>
      <c r="H347" t="s">
        <v>655</v>
      </c>
      <c r="I347" t="s">
        <v>805</v>
      </c>
      <c r="J347">
        <v>5</v>
      </c>
      <c r="K347" t="s">
        <v>26</v>
      </c>
      <c r="L347" t="s">
        <v>1148</v>
      </c>
      <c r="M347" t="s">
        <v>28</v>
      </c>
      <c r="N347" t="s">
        <v>657</v>
      </c>
      <c r="O347" t="s">
        <v>807</v>
      </c>
      <c r="P347" t="s">
        <v>404</v>
      </c>
    </row>
    <row r="348" spans="1:16" x14ac:dyDescent="0.25">
      <c r="A348" t="s">
        <v>1184</v>
      </c>
      <c r="B348" t="s">
        <v>1127</v>
      </c>
      <c r="C348" s="1" t="s">
        <v>1185</v>
      </c>
      <c r="D348" t="s">
        <v>63</v>
      </c>
      <c r="E348" t="s">
        <v>64</v>
      </c>
      <c r="F348" s="2">
        <v>11660.92</v>
      </c>
      <c r="G348" s="1" t="s">
        <v>1186</v>
      </c>
      <c r="H348" t="s">
        <v>655</v>
      </c>
      <c r="I348" t="s">
        <v>805</v>
      </c>
      <c r="J348">
        <v>5</v>
      </c>
      <c r="K348" t="s">
        <v>26</v>
      </c>
      <c r="L348" t="s">
        <v>1148</v>
      </c>
      <c r="M348" t="s">
        <v>28</v>
      </c>
      <c r="N348" t="s">
        <v>657</v>
      </c>
      <c r="O348" t="s">
        <v>807</v>
      </c>
      <c r="P348" t="s">
        <v>404</v>
      </c>
    </row>
    <row r="349" spans="1:16" x14ac:dyDescent="0.25">
      <c r="A349" t="s">
        <v>1187</v>
      </c>
      <c r="B349" t="s">
        <v>1127</v>
      </c>
      <c r="C349" s="1" t="s">
        <v>1188</v>
      </c>
      <c r="D349" t="s">
        <v>63</v>
      </c>
      <c r="E349" t="s">
        <v>64</v>
      </c>
      <c r="F349" s="2">
        <v>32914.67</v>
      </c>
      <c r="G349" s="1" t="s">
        <v>1180</v>
      </c>
      <c r="H349" t="s">
        <v>655</v>
      </c>
      <c r="I349" t="s">
        <v>805</v>
      </c>
      <c r="J349">
        <v>5</v>
      </c>
      <c r="K349" t="s">
        <v>26</v>
      </c>
      <c r="L349" t="s">
        <v>1148</v>
      </c>
      <c r="M349" t="s">
        <v>28</v>
      </c>
      <c r="N349" t="s">
        <v>657</v>
      </c>
      <c r="O349" t="s">
        <v>807</v>
      </c>
      <c r="P349" t="s">
        <v>404</v>
      </c>
    </row>
    <row r="350" spans="1:16" x14ac:dyDescent="0.25">
      <c r="A350" t="s">
        <v>1189</v>
      </c>
      <c r="B350" t="s">
        <v>1127</v>
      </c>
      <c r="C350" s="1" t="s">
        <v>1190</v>
      </c>
      <c r="D350" t="s">
        <v>42</v>
      </c>
      <c r="E350" t="s">
        <v>43</v>
      </c>
      <c r="F350" s="2">
        <v>8917.57</v>
      </c>
      <c r="G350" s="1" t="s">
        <v>1191</v>
      </c>
      <c r="H350" t="s">
        <v>655</v>
      </c>
      <c r="I350" t="s">
        <v>805</v>
      </c>
      <c r="J350">
        <v>5</v>
      </c>
      <c r="K350" t="s">
        <v>26</v>
      </c>
      <c r="L350" t="s">
        <v>1192</v>
      </c>
      <c r="M350" t="s">
        <v>28</v>
      </c>
      <c r="N350" t="s">
        <v>657</v>
      </c>
      <c r="O350" t="s">
        <v>807</v>
      </c>
      <c r="P350" t="s">
        <v>31</v>
      </c>
    </row>
    <row r="351" spans="1:16" x14ac:dyDescent="0.25">
      <c r="A351" t="s">
        <v>1193</v>
      </c>
      <c r="B351" t="s">
        <v>1127</v>
      </c>
      <c r="C351" s="1" t="s">
        <v>1194</v>
      </c>
      <c r="D351" t="s">
        <v>42</v>
      </c>
      <c r="E351" t="s">
        <v>43</v>
      </c>
      <c r="F351" s="2">
        <v>18925.28</v>
      </c>
      <c r="G351" s="1" t="s">
        <v>1195</v>
      </c>
      <c r="H351" t="s">
        <v>655</v>
      </c>
      <c r="I351" t="s">
        <v>805</v>
      </c>
      <c r="J351">
        <v>6</v>
      </c>
      <c r="K351" t="s">
        <v>26</v>
      </c>
      <c r="L351" t="s">
        <v>1192</v>
      </c>
      <c r="M351" t="s">
        <v>28</v>
      </c>
      <c r="N351" t="s">
        <v>657</v>
      </c>
      <c r="O351" t="s">
        <v>807</v>
      </c>
      <c r="P351" t="s">
        <v>31</v>
      </c>
    </row>
    <row r="352" spans="1:16" x14ac:dyDescent="0.25">
      <c r="A352" t="s">
        <v>1196</v>
      </c>
      <c r="B352" t="s">
        <v>1127</v>
      </c>
      <c r="C352" s="1" t="s">
        <v>1197</v>
      </c>
      <c r="D352" t="s">
        <v>63</v>
      </c>
      <c r="E352" t="s">
        <v>64</v>
      </c>
      <c r="F352" s="2">
        <v>23523.87</v>
      </c>
      <c r="G352" s="1" t="s">
        <v>1198</v>
      </c>
      <c r="H352" t="s">
        <v>655</v>
      </c>
      <c r="I352" t="s">
        <v>712</v>
      </c>
      <c r="J352">
        <v>5</v>
      </c>
      <c r="K352" t="s">
        <v>26</v>
      </c>
      <c r="L352" t="s">
        <v>1154</v>
      </c>
      <c r="M352" t="s">
        <v>28</v>
      </c>
      <c r="N352" t="s">
        <v>657</v>
      </c>
      <c r="O352" t="s">
        <v>252</v>
      </c>
      <c r="P352" t="s">
        <v>404</v>
      </c>
    </row>
    <row r="353" spans="1:16" x14ac:dyDescent="0.25">
      <c r="A353" t="s">
        <v>1199</v>
      </c>
      <c r="B353" t="s">
        <v>1200</v>
      </c>
      <c r="C353" s="1" t="s">
        <v>1201</v>
      </c>
      <c r="D353" t="s">
        <v>21</v>
      </c>
      <c r="E353" t="s">
        <v>22</v>
      </c>
      <c r="F353" s="2">
        <v>44057.57</v>
      </c>
      <c r="G353" s="1" t="s">
        <v>1202</v>
      </c>
      <c r="H353" t="s">
        <v>655</v>
      </c>
      <c r="I353" t="s">
        <v>1130</v>
      </c>
      <c r="J353">
        <v>4</v>
      </c>
      <c r="K353" t="s">
        <v>26</v>
      </c>
      <c r="L353" t="s">
        <v>1203</v>
      </c>
      <c r="M353" t="s">
        <v>28</v>
      </c>
      <c r="N353" t="s">
        <v>657</v>
      </c>
      <c r="O353" t="s">
        <v>1132</v>
      </c>
      <c r="P353" t="s">
        <v>31</v>
      </c>
    </row>
    <row r="354" spans="1:16" x14ac:dyDescent="0.25">
      <c r="A354" t="s">
        <v>1204</v>
      </c>
      <c r="B354" t="s">
        <v>1200</v>
      </c>
      <c r="C354" s="1" t="s">
        <v>1205</v>
      </c>
      <c r="D354" t="s">
        <v>21</v>
      </c>
      <c r="E354" t="s">
        <v>22</v>
      </c>
      <c r="F354" s="2">
        <v>15322.59</v>
      </c>
      <c r="G354" s="1" t="s">
        <v>1206</v>
      </c>
      <c r="H354" t="s">
        <v>655</v>
      </c>
      <c r="I354" t="s">
        <v>1130</v>
      </c>
      <c r="J354">
        <v>6</v>
      </c>
      <c r="K354" t="s">
        <v>26</v>
      </c>
      <c r="L354" t="s">
        <v>1203</v>
      </c>
      <c r="M354" t="s">
        <v>28</v>
      </c>
      <c r="N354" t="s">
        <v>657</v>
      </c>
      <c r="O354" t="s">
        <v>1132</v>
      </c>
      <c r="P354" t="s">
        <v>31</v>
      </c>
    </row>
    <row r="355" spans="1:16" x14ac:dyDescent="0.25">
      <c r="A355" t="s">
        <v>1207</v>
      </c>
      <c r="B355" t="s">
        <v>1200</v>
      </c>
      <c r="C355" s="1" t="s">
        <v>1208</v>
      </c>
      <c r="D355" t="s">
        <v>21</v>
      </c>
      <c r="E355" t="s">
        <v>22</v>
      </c>
      <c r="F355" s="2">
        <v>33790.36</v>
      </c>
      <c r="G355" s="1" t="s">
        <v>1209</v>
      </c>
      <c r="H355" t="s">
        <v>655</v>
      </c>
      <c r="I355" t="s">
        <v>1130</v>
      </c>
      <c r="J355">
        <v>4</v>
      </c>
      <c r="K355" t="s">
        <v>26</v>
      </c>
      <c r="L355" t="s">
        <v>1203</v>
      </c>
      <c r="M355" t="s">
        <v>28</v>
      </c>
      <c r="N355" t="s">
        <v>657</v>
      </c>
      <c r="O355" t="s">
        <v>1132</v>
      </c>
      <c r="P355" t="s">
        <v>31</v>
      </c>
    </row>
    <row r="356" spans="1:16" x14ac:dyDescent="0.25">
      <c r="A356" t="s">
        <v>1210</v>
      </c>
      <c r="B356" t="s">
        <v>1200</v>
      </c>
      <c r="C356" s="1" t="s">
        <v>1211</v>
      </c>
      <c r="D356" t="s">
        <v>21</v>
      </c>
      <c r="E356" t="s">
        <v>22</v>
      </c>
      <c r="F356" s="2">
        <v>24941.36</v>
      </c>
      <c r="G356" s="1" t="s">
        <v>1212</v>
      </c>
      <c r="H356" t="s">
        <v>655</v>
      </c>
      <c r="I356" t="s">
        <v>1130</v>
      </c>
      <c r="J356">
        <v>4</v>
      </c>
      <c r="K356" t="s">
        <v>26</v>
      </c>
      <c r="L356" t="s">
        <v>1203</v>
      </c>
      <c r="M356" t="s">
        <v>28</v>
      </c>
      <c r="N356" t="s">
        <v>657</v>
      </c>
      <c r="O356" t="s">
        <v>1132</v>
      </c>
      <c r="P356" t="s">
        <v>31</v>
      </c>
    </row>
    <row r="357" spans="1:16" x14ac:dyDescent="0.25">
      <c r="A357" t="s">
        <v>1213</v>
      </c>
      <c r="B357" t="s">
        <v>1200</v>
      </c>
      <c r="C357" s="1" t="s">
        <v>1214</v>
      </c>
      <c r="D357" t="s">
        <v>21</v>
      </c>
      <c r="E357" t="s">
        <v>22</v>
      </c>
      <c r="F357" s="2">
        <v>86723.29</v>
      </c>
      <c r="G357" s="1" t="s">
        <v>1215</v>
      </c>
      <c r="H357" t="s">
        <v>655</v>
      </c>
      <c r="I357" t="s">
        <v>1130</v>
      </c>
      <c r="J357">
        <v>6</v>
      </c>
      <c r="K357" t="s">
        <v>26</v>
      </c>
      <c r="L357" t="s">
        <v>1203</v>
      </c>
      <c r="M357" t="s">
        <v>28</v>
      </c>
      <c r="N357" t="s">
        <v>657</v>
      </c>
      <c r="O357" t="s">
        <v>1132</v>
      </c>
      <c r="P357" t="s">
        <v>31</v>
      </c>
    </row>
    <row r="358" spans="1:16" x14ac:dyDescent="0.25">
      <c r="A358" t="s">
        <v>1216</v>
      </c>
      <c r="B358" t="s">
        <v>1200</v>
      </c>
      <c r="C358" s="1" t="s">
        <v>1217</v>
      </c>
      <c r="D358" t="s">
        <v>34</v>
      </c>
      <c r="E358" t="s">
        <v>35</v>
      </c>
      <c r="F358" s="2">
        <v>57047.23</v>
      </c>
      <c r="G358" s="1" t="s">
        <v>1218</v>
      </c>
      <c r="H358" t="s">
        <v>655</v>
      </c>
      <c r="I358" t="s">
        <v>1219</v>
      </c>
      <c r="J358">
        <v>6</v>
      </c>
      <c r="K358" t="s">
        <v>26</v>
      </c>
      <c r="L358" t="s">
        <v>1220</v>
      </c>
      <c r="M358" t="s">
        <v>28</v>
      </c>
      <c r="N358" t="s">
        <v>657</v>
      </c>
      <c r="O358" t="s">
        <v>68</v>
      </c>
      <c r="P358" t="s">
        <v>31</v>
      </c>
    </row>
    <row r="359" spans="1:16" x14ac:dyDescent="0.25">
      <c r="A359" t="s">
        <v>1221</v>
      </c>
      <c r="B359" t="s">
        <v>1200</v>
      </c>
      <c r="C359" s="1" t="s">
        <v>1222</v>
      </c>
      <c r="D359" t="s">
        <v>42</v>
      </c>
      <c r="E359" t="s">
        <v>43</v>
      </c>
      <c r="F359" s="2">
        <v>61339.04</v>
      </c>
      <c r="G359" s="1" t="s">
        <v>1223</v>
      </c>
      <c r="H359" t="s">
        <v>655</v>
      </c>
      <c r="I359" t="s">
        <v>1130</v>
      </c>
      <c r="J359">
        <v>11</v>
      </c>
      <c r="K359" t="s">
        <v>26</v>
      </c>
      <c r="L359" t="s">
        <v>1203</v>
      </c>
      <c r="M359" t="s">
        <v>28</v>
      </c>
      <c r="N359" t="s">
        <v>657</v>
      </c>
      <c r="O359" t="s">
        <v>1132</v>
      </c>
      <c r="P359" t="s">
        <v>31</v>
      </c>
    </row>
    <row r="360" spans="1:16" x14ac:dyDescent="0.25">
      <c r="A360" t="s">
        <v>1224</v>
      </c>
      <c r="B360" t="s">
        <v>1200</v>
      </c>
      <c r="C360" s="1" t="s">
        <v>1225</v>
      </c>
      <c r="D360" t="s">
        <v>42</v>
      </c>
      <c r="E360" t="s">
        <v>43</v>
      </c>
      <c r="F360" s="2">
        <v>46220.59</v>
      </c>
      <c r="G360" s="1" t="s">
        <v>1226</v>
      </c>
      <c r="H360" t="s">
        <v>655</v>
      </c>
      <c r="I360" t="s">
        <v>1130</v>
      </c>
      <c r="J360">
        <v>10</v>
      </c>
      <c r="K360" t="s">
        <v>26</v>
      </c>
      <c r="L360" t="s">
        <v>1203</v>
      </c>
      <c r="M360" t="s">
        <v>28</v>
      </c>
      <c r="N360" t="s">
        <v>657</v>
      </c>
      <c r="O360" t="s">
        <v>1132</v>
      </c>
      <c r="P360" t="s">
        <v>31</v>
      </c>
    </row>
    <row r="361" spans="1:16" x14ac:dyDescent="0.25">
      <c r="A361" t="s">
        <v>1227</v>
      </c>
      <c r="B361" t="s">
        <v>1200</v>
      </c>
      <c r="C361" s="1" t="s">
        <v>1228</v>
      </c>
      <c r="D361" t="s">
        <v>42</v>
      </c>
      <c r="E361" t="s">
        <v>43</v>
      </c>
      <c r="F361" s="2">
        <v>124348.44</v>
      </c>
      <c r="G361" s="1" t="s">
        <v>1229</v>
      </c>
      <c r="H361" t="s">
        <v>655</v>
      </c>
      <c r="I361" t="s">
        <v>300</v>
      </c>
      <c r="J361">
        <v>12</v>
      </c>
      <c r="K361" t="s">
        <v>26</v>
      </c>
      <c r="L361" t="s">
        <v>685</v>
      </c>
      <c r="M361" t="s">
        <v>28</v>
      </c>
      <c r="N361" t="s">
        <v>657</v>
      </c>
      <c r="O361" t="s">
        <v>303</v>
      </c>
      <c r="P361" t="s">
        <v>31</v>
      </c>
    </row>
    <row r="362" spans="1:16" x14ac:dyDescent="0.25">
      <c r="A362" t="s">
        <v>1230</v>
      </c>
      <c r="B362" t="s">
        <v>1200</v>
      </c>
      <c r="C362" s="1" t="s">
        <v>1231</v>
      </c>
      <c r="D362" t="s">
        <v>42</v>
      </c>
      <c r="E362" t="s">
        <v>43</v>
      </c>
      <c r="F362" s="2">
        <v>86147.22</v>
      </c>
      <c r="G362" s="1" t="s">
        <v>1232</v>
      </c>
      <c r="H362" t="s">
        <v>655</v>
      </c>
      <c r="I362" t="s">
        <v>300</v>
      </c>
      <c r="J362">
        <v>8</v>
      </c>
      <c r="K362" t="s">
        <v>26</v>
      </c>
      <c r="L362" t="s">
        <v>685</v>
      </c>
      <c r="M362" t="s">
        <v>28</v>
      </c>
      <c r="N362" t="s">
        <v>657</v>
      </c>
      <c r="O362" t="s">
        <v>303</v>
      </c>
      <c r="P362" t="s">
        <v>31</v>
      </c>
    </row>
    <row r="363" spans="1:16" x14ac:dyDescent="0.25">
      <c r="A363" t="s">
        <v>1233</v>
      </c>
      <c r="B363" t="s">
        <v>1200</v>
      </c>
      <c r="C363" s="1" t="s">
        <v>1234</v>
      </c>
      <c r="D363" t="s">
        <v>42</v>
      </c>
      <c r="E363" t="s">
        <v>43</v>
      </c>
      <c r="F363" s="2">
        <v>17003.37</v>
      </c>
      <c r="G363" s="1" t="s">
        <v>1235</v>
      </c>
      <c r="H363" t="s">
        <v>655</v>
      </c>
      <c r="I363" t="s">
        <v>805</v>
      </c>
      <c r="J363">
        <v>4</v>
      </c>
      <c r="K363" t="s">
        <v>26</v>
      </c>
      <c r="L363" t="s">
        <v>1192</v>
      </c>
      <c r="M363" t="s">
        <v>28</v>
      </c>
      <c r="N363" t="s">
        <v>657</v>
      </c>
      <c r="O363" t="s">
        <v>807</v>
      </c>
      <c r="P363" t="s">
        <v>31</v>
      </c>
    </row>
    <row r="364" spans="1:16" x14ac:dyDescent="0.25">
      <c r="A364" t="s">
        <v>1236</v>
      </c>
      <c r="B364" t="s">
        <v>1200</v>
      </c>
      <c r="C364" s="1" t="s">
        <v>1237</v>
      </c>
      <c r="D364" t="s">
        <v>42</v>
      </c>
      <c r="E364" t="s">
        <v>43</v>
      </c>
      <c r="F364" s="2">
        <v>30806.8</v>
      </c>
      <c r="G364" s="1" t="s">
        <v>1238</v>
      </c>
      <c r="H364" t="s">
        <v>655</v>
      </c>
      <c r="I364" t="s">
        <v>540</v>
      </c>
      <c r="J364">
        <v>5</v>
      </c>
      <c r="K364" t="s">
        <v>26</v>
      </c>
      <c r="L364" t="s">
        <v>698</v>
      </c>
      <c r="M364" t="s">
        <v>28</v>
      </c>
      <c r="N364" t="s">
        <v>657</v>
      </c>
      <c r="O364" t="s">
        <v>542</v>
      </c>
      <c r="P364" t="s">
        <v>31</v>
      </c>
    </row>
    <row r="365" spans="1:16" x14ac:dyDescent="0.25">
      <c r="A365" t="s">
        <v>1239</v>
      </c>
      <c r="B365" t="s">
        <v>1200</v>
      </c>
      <c r="C365" s="1" t="s">
        <v>1240</v>
      </c>
      <c r="D365" t="s">
        <v>21</v>
      </c>
      <c r="E365" t="s">
        <v>22</v>
      </c>
      <c r="F365" s="2">
        <v>47749.32</v>
      </c>
      <c r="G365" s="1" t="s">
        <v>1241</v>
      </c>
      <c r="H365" t="s">
        <v>655</v>
      </c>
      <c r="I365" t="s">
        <v>1130</v>
      </c>
      <c r="J365">
        <v>5</v>
      </c>
      <c r="K365" t="s">
        <v>26</v>
      </c>
      <c r="L365" t="s">
        <v>1203</v>
      </c>
      <c r="M365" t="s">
        <v>28</v>
      </c>
      <c r="N365" t="s">
        <v>657</v>
      </c>
      <c r="O365" t="s">
        <v>1132</v>
      </c>
      <c r="P365" t="s">
        <v>31</v>
      </c>
    </row>
    <row r="366" spans="1:16" x14ac:dyDescent="0.25">
      <c r="A366" t="s">
        <v>1242</v>
      </c>
      <c r="B366" t="s">
        <v>1200</v>
      </c>
      <c r="C366" s="1" t="s">
        <v>1243</v>
      </c>
      <c r="D366" t="s">
        <v>21</v>
      </c>
      <c r="E366" t="s">
        <v>22</v>
      </c>
      <c r="F366" s="2">
        <v>59003.95</v>
      </c>
      <c r="G366" s="1" t="s">
        <v>1244</v>
      </c>
      <c r="H366" t="s">
        <v>655</v>
      </c>
      <c r="I366" t="s">
        <v>1130</v>
      </c>
      <c r="J366">
        <v>5</v>
      </c>
      <c r="K366" t="s">
        <v>26</v>
      </c>
      <c r="L366" t="s">
        <v>1203</v>
      </c>
      <c r="M366" t="s">
        <v>28</v>
      </c>
      <c r="N366" t="s">
        <v>657</v>
      </c>
      <c r="O366" t="s">
        <v>1132</v>
      </c>
      <c r="P366" t="s">
        <v>31</v>
      </c>
    </row>
    <row r="367" spans="1:16" x14ac:dyDescent="0.25">
      <c r="A367" t="s">
        <v>1245</v>
      </c>
      <c r="B367" t="s">
        <v>1200</v>
      </c>
      <c r="C367" s="1" t="s">
        <v>1246</v>
      </c>
      <c r="D367" t="s">
        <v>21</v>
      </c>
      <c r="E367" t="s">
        <v>22</v>
      </c>
      <c r="F367" s="2">
        <v>49467.56</v>
      </c>
      <c r="G367" s="1" t="s">
        <v>1247</v>
      </c>
      <c r="H367" t="s">
        <v>655</v>
      </c>
      <c r="I367" t="s">
        <v>1130</v>
      </c>
      <c r="J367">
        <v>8</v>
      </c>
      <c r="K367" t="s">
        <v>26</v>
      </c>
      <c r="L367" t="s">
        <v>1203</v>
      </c>
      <c r="M367" t="s">
        <v>28</v>
      </c>
      <c r="N367" t="s">
        <v>657</v>
      </c>
      <c r="O367" t="s">
        <v>1132</v>
      </c>
      <c r="P367" t="s">
        <v>31</v>
      </c>
    </row>
    <row r="368" spans="1:16" x14ac:dyDescent="0.25">
      <c r="A368" t="s">
        <v>1248</v>
      </c>
      <c r="B368" t="s">
        <v>1200</v>
      </c>
      <c r="C368" s="1" t="s">
        <v>1249</v>
      </c>
      <c r="D368" t="s">
        <v>21</v>
      </c>
      <c r="E368" t="s">
        <v>22</v>
      </c>
      <c r="F368" s="2">
        <v>7607.19</v>
      </c>
      <c r="G368" s="1" t="s">
        <v>1250</v>
      </c>
      <c r="H368" t="s">
        <v>655</v>
      </c>
      <c r="I368" t="s">
        <v>1130</v>
      </c>
      <c r="J368">
        <v>4</v>
      </c>
      <c r="K368" t="s">
        <v>26</v>
      </c>
      <c r="L368" t="s">
        <v>1203</v>
      </c>
      <c r="M368" t="s">
        <v>28</v>
      </c>
      <c r="N368" t="s">
        <v>657</v>
      </c>
      <c r="O368" t="s">
        <v>1132</v>
      </c>
      <c r="P368" t="s">
        <v>31</v>
      </c>
    </row>
    <row r="369" spans="1:16" x14ac:dyDescent="0.25">
      <c r="A369" t="s">
        <v>1251</v>
      </c>
      <c r="B369" t="s">
        <v>1200</v>
      </c>
      <c r="C369" s="1" t="s">
        <v>1252</v>
      </c>
      <c r="D369" t="s">
        <v>21</v>
      </c>
      <c r="E369" t="s">
        <v>22</v>
      </c>
      <c r="F369" s="2">
        <v>153041.17</v>
      </c>
      <c r="G369" s="1" t="s">
        <v>1253</v>
      </c>
      <c r="H369" t="s">
        <v>655</v>
      </c>
      <c r="I369" t="s">
        <v>1130</v>
      </c>
      <c r="J369">
        <v>11</v>
      </c>
      <c r="K369" t="s">
        <v>26</v>
      </c>
      <c r="L369" t="s">
        <v>1203</v>
      </c>
      <c r="M369" t="s">
        <v>28</v>
      </c>
      <c r="N369" t="s">
        <v>657</v>
      </c>
      <c r="O369" t="s">
        <v>1132</v>
      </c>
      <c r="P369" t="s">
        <v>31</v>
      </c>
    </row>
    <row r="370" spans="1:16" x14ac:dyDescent="0.25">
      <c r="A370" t="s">
        <v>1254</v>
      </c>
      <c r="B370" t="s">
        <v>1200</v>
      </c>
      <c r="C370" s="1" t="s">
        <v>1255</v>
      </c>
      <c r="D370" t="s">
        <v>34</v>
      </c>
      <c r="E370" t="s">
        <v>35</v>
      </c>
      <c r="F370" s="2">
        <v>349855.32</v>
      </c>
      <c r="G370" s="1" t="s">
        <v>1256</v>
      </c>
      <c r="H370" t="s">
        <v>655</v>
      </c>
      <c r="I370" t="s">
        <v>540</v>
      </c>
      <c r="J370">
        <v>3</v>
      </c>
      <c r="K370" t="s">
        <v>26</v>
      </c>
      <c r="L370" t="s">
        <v>698</v>
      </c>
      <c r="M370" t="s">
        <v>28</v>
      </c>
      <c r="N370" t="s">
        <v>657</v>
      </c>
      <c r="O370" t="s">
        <v>542</v>
      </c>
      <c r="P370" t="s">
        <v>31</v>
      </c>
    </row>
    <row r="371" spans="1:16" x14ac:dyDescent="0.25">
      <c r="A371" t="s">
        <v>1257</v>
      </c>
      <c r="B371" t="s">
        <v>1200</v>
      </c>
      <c r="C371" s="1" t="s">
        <v>1258</v>
      </c>
      <c r="D371" t="s">
        <v>21</v>
      </c>
      <c r="E371" t="s">
        <v>22</v>
      </c>
      <c r="F371" s="2">
        <v>156634.14</v>
      </c>
      <c r="G371" s="1" t="s">
        <v>1259</v>
      </c>
      <c r="H371" t="s">
        <v>655</v>
      </c>
      <c r="I371" t="s">
        <v>1130</v>
      </c>
      <c r="J371">
        <v>12</v>
      </c>
      <c r="K371" t="s">
        <v>26</v>
      </c>
      <c r="L371" t="s">
        <v>1203</v>
      </c>
      <c r="M371" t="s">
        <v>28</v>
      </c>
      <c r="N371" t="s">
        <v>657</v>
      </c>
      <c r="O371" t="s">
        <v>1132</v>
      </c>
      <c r="P371" t="s">
        <v>31</v>
      </c>
    </row>
    <row r="372" spans="1:16" x14ac:dyDescent="0.25">
      <c r="A372" t="s">
        <v>1260</v>
      </c>
      <c r="B372" t="s">
        <v>1200</v>
      </c>
      <c r="C372" s="1" t="s">
        <v>1261</v>
      </c>
      <c r="D372" t="s">
        <v>21</v>
      </c>
      <c r="E372" t="s">
        <v>22</v>
      </c>
      <c r="F372" s="2">
        <v>93658.36</v>
      </c>
      <c r="G372" s="1" t="s">
        <v>1262</v>
      </c>
      <c r="H372" t="s">
        <v>655</v>
      </c>
      <c r="I372" t="s">
        <v>1130</v>
      </c>
      <c r="J372">
        <v>9</v>
      </c>
      <c r="K372" t="s">
        <v>26</v>
      </c>
      <c r="L372" t="s">
        <v>1203</v>
      </c>
      <c r="M372" t="s">
        <v>28</v>
      </c>
      <c r="N372" t="s">
        <v>657</v>
      </c>
      <c r="O372" t="s">
        <v>1132</v>
      </c>
      <c r="P372" t="s">
        <v>31</v>
      </c>
    </row>
    <row r="373" spans="1:16" x14ac:dyDescent="0.25">
      <c r="A373" t="s">
        <v>1263</v>
      </c>
      <c r="B373" t="s">
        <v>1200</v>
      </c>
      <c r="C373" s="1" t="s">
        <v>1264</v>
      </c>
      <c r="D373" t="s">
        <v>21</v>
      </c>
      <c r="E373" t="s">
        <v>22</v>
      </c>
      <c r="F373" s="2">
        <v>97751.66</v>
      </c>
      <c r="G373" s="1" t="s">
        <v>1265</v>
      </c>
      <c r="H373" t="s">
        <v>655</v>
      </c>
      <c r="I373" t="s">
        <v>1130</v>
      </c>
      <c r="J373">
        <v>8</v>
      </c>
      <c r="K373" t="s">
        <v>26</v>
      </c>
      <c r="L373" t="s">
        <v>1203</v>
      </c>
      <c r="M373" t="s">
        <v>28</v>
      </c>
      <c r="N373" t="s">
        <v>657</v>
      </c>
      <c r="O373" t="s">
        <v>1132</v>
      </c>
      <c r="P373" t="s">
        <v>31</v>
      </c>
    </row>
    <row r="374" spans="1:16" x14ac:dyDescent="0.25">
      <c r="A374" t="s">
        <v>1266</v>
      </c>
      <c r="B374" t="s">
        <v>1200</v>
      </c>
      <c r="C374" s="1" t="s">
        <v>1267</v>
      </c>
      <c r="D374" t="s">
        <v>21</v>
      </c>
      <c r="E374" t="s">
        <v>22</v>
      </c>
      <c r="F374" s="2">
        <v>168016.46</v>
      </c>
      <c r="G374" s="1" t="s">
        <v>1268</v>
      </c>
      <c r="H374" t="s">
        <v>655</v>
      </c>
      <c r="I374" t="s">
        <v>1130</v>
      </c>
      <c r="J374">
        <v>6</v>
      </c>
      <c r="K374" t="s">
        <v>26</v>
      </c>
      <c r="L374" t="s">
        <v>1203</v>
      </c>
      <c r="M374" t="s">
        <v>28</v>
      </c>
      <c r="N374" t="s">
        <v>657</v>
      </c>
      <c r="O374" t="s">
        <v>1132</v>
      </c>
      <c r="P374" t="s">
        <v>31</v>
      </c>
    </row>
    <row r="375" spans="1:16" x14ac:dyDescent="0.25">
      <c r="A375" t="s">
        <v>1269</v>
      </c>
      <c r="B375" t="s">
        <v>1200</v>
      </c>
      <c r="C375" s="1" t="s">
        <v>1270</v>
      </c>
      <c r="D375" t="s">
        <v>21</v>
      </c>
      <c r="E375" t="s">
        <v>22</v>
      </c>
      <c r="F375" s="2">
        <v>57628.31</v>
      </c>
      <c r="G375" s="1" t="s">
        <v>1271</v>
      </c>
      <c r="H375" t="s">
        <v>655</v>
      </c>
      <c r="I375" t="s">
        <v>1130</v>
      </c>
      <c r="J375">
        <v>7</v>
      </c>
      <c r="K375" t="s">
        <v>26</v>
      </c>
      <c r="L375" t="s">
        <v>1203</v>
      </c>
      <c r="M375" t="s">
        <v>28</v>
      </c>
      <c r="N375" t="s">
        <v>657</v>
      </c>
      <c r="O375" t="s">
        <v>1132</v>
      </c>
      <c r="P375" t="s">
        <v>31</v>
      </c>
    </row>
    <row r="376" spans="1:16" x14ac:dyDescent="0.25">
      <c r="A376" t="s">
        <v>1272</v>
      </c>
      <c r="B376" t="s">
        <v>1200</v>
      </c>
      <c r="C376" s="1" t="s">
        <v>1273</v>
      </c>
      <c r="D376" t="s">
        <v>21</v>
      </c>
      <c r="E376" t="s">
        <v>22</v>
      </c>
      <c r="F376" s="2">
        <v>37790.74</v>
      </c>
      <c r="G376" s="1" t="s">
        <v>1274</v>
      </c>
      <c r="H376" t="s">
        <v>655</v>
      </c>
      <c r="I376" t="s">
        <v>737</v>
      </c>
      <c r="J376">
        <v>5</v>
      </c>
      <c r="K376" t="s">
        <v>26</v>
      </c>
      <c r="L376" t="s">
        <v>1058</v>
      </c>
      <c r="M376" t="s">
        <v>28</v>
      </c>
      <c r="N376" t="s">
        <v>657</v>
      </c>
      <c r="O376" t="s">
        <v>739</v>
      </c>
      <c r="P376" t="s">
        <v>31</v>
      </c>
    </row>
    <row r="377" spans="1:16" x14ac:dyDescent="0.25">
      <c r="A377" t="s">
        <v>1275</v>
      </c>
      <c r="B377" t="s">
        <v>1200</v>
      </c>
      <c r="C377" s="1" t="s">
        <v>1276</v>
      </c>
      <c r="D377" t="s">
        <v>21</v>
      </c>
      <c r="E377" t="s">
        <v>22</v>
      </c>
      <c r="F377" s="2">
        <v>61867.06</v>
      </c>
      <c r="G377" s="1" t="s">
        <v>1277</v>
      </c>
      <c r="H377" t="s">
        <v>655</v>
      </c>
      <c r="I377" t="s">
        <v>300</v>
      </c>
      <c r="J377">
        <v>5</v>
      </c>
      <c r="K377" t="s">
        <v>26</v>
      </c>
      <c r="L377" t="s">
        <v>685</v>
      </c>
      <c r="M377" t="s">
        <v>28</v>
      </c>
      <c r="N377" t="s">
        <v>657</v>
      </c>
      <c r="O377" t="s">
        <v>303</v>
      </c>
      <c r="P377" t="s">
        <v>31</v>
      </c>
    </row>
    <row r="378" spans="1:16" x14ac:dyDescent="0.25">
      <c r="A378" t="s">
        <v>1278</v>
      </c>
      <c r="B378" t="s">
        <v>1200</v>
      </c>
      <c r="C378" s="1" t="s">
        <v>1279</v>
      </c>
      <c r="D378" t="s">
        <v>21</v>
      </c>
      <c r="E378" t="s">
        <v>22</v>
      </c>
      <c r="F378" s="2">
        <v>66938.23</v>
      </c>
      <c r="G378" s="1" t="s">
        <v>1280</v>
      </c>
      <c r="H378" t="s">
        <v>655</v>
      </c>
      <c r="I378" t="s">
        <v>300</v>
      </c>
      <c r="J378">
        <v>5</v>
      </c>
      <c r="K378" t="s">
        <v>26</v>
      </c>
      <c r="L378" t="s">
        <v>685</v>
      </c>
      <c r="M378" t="s">
        <v>28</v>
      </c>
      <c r="N378" t="s">
        <v>657</v>
      </c>
      <c r="O378" t="s">
        <v>303</v>
      </c>
      <c r="P378" t="s">
        <v>31</v>
      </c>
    </row>
    <row r="379" spans="1:16" x14ac:dyDescent="0.25">
      <c r="A379" t="s">
        <v>1281</v>
      </c>
      <c r="B379" t="s">
        <v>1200</v>
      </c>
      <c r="C379" s="1" t="s">
        <v>1282</v>
      </c>
      <c r="D379" t="s">
        <v>21</v>
      </c>
      <c r="E379" t="s">
        <v>22</v>
      </c>
      <c r="F379" s="2">
        <v>41742.57</v>
      </c>
      <c r="G379" s="1" t="s">
        <v>1283</v>
      </c>
      <c r="H379" t="s">
        <v>655</v>
      </c>
      <c r="I379" t="s">
        <v>805</v>
      </c>
      <c r="J379">
        <v>5</v>
      </c>
      <c r="K379" t="s">
        <v>26</v>
      </c>
      <c r="L379" t="s">
        <v>1192</v>
      </c>
      <c r="M379" t="s">
        <v>28</v>
      </c>
      <c r="N379" t="s">
        <v>657</v>
      </c>
      <c r="O379" t="s">
        <v>807</v>
      </c>
      <c r="P379" t="s">
        <v>31</v>
      </c>
    </row>
    <row r="380" spans="1:16" x14ac:dyDescent="0.25">
      <c r="A380" t="s">
        <v>1284</v>
      </c>
      <c r="B380" t="s">
        <v>1200</v>
      </c>
      <c r="C380" s="1" t="s">
        <v>1285</v>
      </c>
      <c r="D380" t="s">
        <v>21</v>
      </c>
      <c r="E380" t="s">
        <v>22</v>
      </c>
      <c r="F380" s="2">
        <v>15598.8</v>
      </c>
      <c r="G380" s="1" t="s">
        <v>1286</v>
      </c>
      <c r="H380" t="s">
        <v>655</v>
      </c>
      <c r="I380" t="s">
        <v>1130</v>
      </c>
      <c r="J380">
        <v>6</v>
      </c>
      <c r="K380" t="s">
        <v>26</v>
      </c>
      <c r="L380" t="s">
        <v>1203</v>
      </c>
      <c r="M380" t="s">
        <v>28</v>
      </c>
      <c r="N380" t="s">
        <v>657</v>
      </c>
      <c r="O380" t="s">
        <v>1132</v>
      </c>
      <c r="P380" t="s">
        <v>31</v>
      </c>
    </row>
    <row r="381" spans="1:16" x14ac:dyDescent="0.25">
      <c r="A381" t="s">
        <v>1287</v>
      </c>
      <c r="B381" t="s">
        <v>1200</v>
      </c>
      <c r="C381" s="1" t="s">
        <v>1288</v>
      </c>
      <c r="D381" t="s">
        <v>21</v>
      </c>
      <c r="E381" t="s">
        <v>22</v>
      </c>
      <c r="F381" s="2">
        <v>24661.93</v>
      </c>
      <c r="G381" s="1" t="s">
        <v>1289</v>
      </c>
      <c r="H381" t="s">
        <v>655</v>
      </c>
      <c r="I381" t="s">
        <v>1130</v>
      </c>
      <c r="J381">
        <v>4</v>
      </c>
      <c r="K381" t="s">
        <v>26</v>
      </c>
      <c r="L381" t="s">
        <v>1203</v>
      </c>
      <c r="M381" t="s">
        <v>28</v>
      </c>
      <c r="N381" t="s">
        <v>657</v>
      </c>
      <c r="O381" t="s">
        <v>1132</v>
      </c>
      <c r="P381" t="s">
        <v>31</v>
      </c>
    </row>
    <row r="382" spans="1:16" x14ac:dyDescent="0.25">
      <c r="A382" t="s">
        <v>1290</v>
      </c>
      <c r="B382" t="s">
        <v>1200</v>
      </c>
      <c r="C382" s="1" t="s">
        <v>1291</v>
      </c>
      <c r="D382" t="s">
        <v>21</v>
      </c>
      <c r="E382" t="s">
        <v>22</v>
      </c>
      <c r="F382" s="2">
        <v>48748.59</v>
      </c>
      <c r="G382" s="1" t="s">
        <v>1292</v>
      </c>
      <c r="H382" t="s">
        <v>655</v>
      </c>
      <c r="I382" t="s">
        <v>300</v>
      </c>
      <c r="J382">
        <v>5</v>
      </c>
      <c r="K382" t="s">
        <v>26</v>
      </c>
      <c r="L382" t="s">
        <v>1293</v>
      </c>
      <c r="M382" t="s">
        <v>28</v>
      </c>
      <c r="N382" t="s">
        <v>657</v>
      </c>
      <c r="O382" t="s">
        <v>303</v>
      </c>
      <c r="P382" t="s">
        <v>404</v>
      </c>
    </row>
    <row r="383" spans="1:16" x14ac:dyDescent="0.25">
      <c r="A383" t="s">
        <v>1294</v>
      </c>
      <c r="B383" t="s">
        <v>1200</v>
      </c>
      <c r="C383" s="1" t="s">
        <v>1295</v>
      </c>
      <c r="D383" t="s">
        <v>21</v>
      </c>
      <c r="E383" t="s">
        <v>22</v>
      </c>
      <c r="F383" s="2">
        <v>55071.68</v>
      </c>
      <c r="G383" s="1" t="s">
        <v>1296</v>
      </c>
      <c r="H383" t="s">
        <v>655</v>
      </c>
      <c r="I383" t="s">
        <v>300</v>
      </c>
      <c r="J383">
        <v>5</v>
      </c>
      <c r="K383" t="s">
        <v>26</v>
      </c>
      <c r="L383" t="s">
        <v>1293</v>
      </c>
      <c r="M383" t="s">
        <v>28</v>
      </c>
      <c r="N383" t="s">
        <v>657</v>
      </c>
      <c r="O383" t="s">
        <v>303</v>
      </c>
      <c r="P383" t="s">
        <v>404</v>
      </c>
    </row>
    <row r="384" spans="1:16" x14ac:dyDescent="0.25">
      <c r="A384" t="s">
        <v>1297</v>
      </c>
      <c r="B384" t="s">
        <v>1200</v>
      </c>
      <c r="C384" s="1" t="s">
        <v>1298</v>
      </c>
      <c r="D384" t="s">
        <v>21</v>
      </c>
      <c r="E384" t="s">
        <v>22</v>
      </c>
      <c r="F384" s="2">
        <v>75847.18</v>
      </c>
      <c r="G384" s="1" t="s">
        <v>1299</v>
      </c>
      <c r="H384" t="s">
        <v>655</v>
      </c>
      <c r="I384" t="s">
        <v>1130</v>
      </c>
      <c r="J384">
        <v>7</v>
      </c>
      <c r="K384" t="s">
        <v>26</v>
      </c>
      <c r="L384" t="s">
        <v>1131</v>
      </c>
      <c r="M384" t="s">
        <v>28</v>
      </c>
      <c r="N384" t="s">
        <v>657</v>
      </c>
      <c r="O384" t="s">
        <v>1132</v>
      </c>
      <c r="P384" t="s">
        <v>404</v>
      </c>
    </row>
    <row r="385" spans="1:16" x14ac:dyDescent="0.25">
      <c r="A385" t="s">
        <v>1300</v>
      </c>
      <c r="B385" t="s">
        <v>1200</v>
      </c>
      <c r="C385" s="1" t="s">
        <v>1301</v>
      </c>
      <c r="D385" t="s">
        <v>21</v>
      </c>
      <c r="E385" t="s">
        <v>22</v>
      </c>
      <c r="F385" s="2">
        <v>62962.22</v>
      </c>
      <c r="G385" s="1" t="s">
        <v>1302</v>
      </c>
      <c r="H385" t="s">
        <v>655</v>
      </c>
      <c r="I385" t="s">
        <v>805</v>
      </c>
      <c r="J385">
        <v>6</v>
      </c>
      <c r="K385" t="s">
        <v>26</v>
      </c>
      <c r="L385" t="s">
        <v>1148</v>
      </c>
      <c r="M385" t="s">
        <v>28</v>
      </c>
      <c r="N385" t="s">
        <v>657</v>
      </c>
      <c r="O385" t="s">
        <v>807</v>
      </c>
      <c r="P385" t="s">
        <v>404</v>
      </c>
    </row>
    <row r="386" spans="1:16" x14ac:dyDescent="0.25">
      <c r="A386" t="s">
        <v>1303</v>
      </c>
      <c r="B386" t="s">
        <v>1200</v>
      </c>
      <c r="C386" s="1" t="s">
        <v>1304</v>
      </c>
      <c r="D386" t="s">
        <v>21</v>
      </c>
      <c r="E386" t="s">
        <v>22</v>
      </c>
      <c r="F386" s="2">
        <v>74733.78</v>
      </c>
      <c r="G386" s="1" t="s">
        <v>1305</v>
      </c>
      <c r="H386" t="s">
        <v>655</v>
      </c>
      <c r="I386" t="s">
        <v>1130</v>
      </c>
      <c r="J386">
        <v>6</v>
      </c>
      <c r="K386" t="s">
        <v>26</v>
      </c>
      <c r="L386" t="s">
        <v>1131</v>
      </c>
      <c r="M386" t="s">
        <v>28</v>
      </c>
      <c r="N386" t="s">
        <v>657</v>
      </c>
      <c r="O386" t="s">
        <v>1132</v>
      </c>
      <c r="P386" t="s">
        <v>404</v>
      </c>
    </row>
    <row r="387" spans="1:16" x14ac:dyDescent="0.25">
      <c r="A387" t="s">
        <v>1306</v>
      </c>
      <c r="B387" t="s">
        <v>1200</v>
      </c>
      <c r="C387" s="1" t="s">
        <v>1307</v>
      </c>
      <c r="D387" t="s">
        <v>42</v>
      </c>
      <c r="E387" t="s">
        <v>43</v>
      </c>
      <c r="F387" s="2">
        <v>31294.44</v>
      </c>
      <c r="G387" s="1" t="s">
        <v>1308</v>
      </c>
      <c r="H387" t="s">
        <v>655</v>
      </c>
      <c r="I387" t="s">
        <v>308</v>
      </c>
      <c r="J387">
        <v>4</v>
      </c>
      <c r="K387" t="s">
        <v>26</v>
      </c>
      <c r="L387" t="s">
        <v>1154</v>
      </c>
      <c r="M387" t="s">
        <v>28</v>
      </c>
      <c r="N387" t="s">
        <v>657</v>
      </c>
      <c r="O387" t="s">
        <v>252</v>
      </c>
      <c r="P387" t="s">
        <v>404</v>
      </c>
    </row>
    <row r="388" spans="1:16" x14ac:dyDescent="0.25">
      <c r="A388" t="s">
        <v>1309</v>
      </c>
      <c r="B388" t="s">
        <v>1200</v>
      </c>
      <c r="C388" s="1" t="s">
        <v>1310</v>
      </c>
      <c r="D388" t="s">
        <v>42</v>
      </c>
      <c r="E388" t="s">
        <v>43</v>
      </c>
      <c r="F388" s="2">
        <v>37247.31</v>
      </c>
      <c r="G388" s="1" t="s">
        <v>1311</v>
      </c>
      <c r="H388" t="s">
        <v>655</v>
      </c>
      <c r="I388" t="s">
        <v>1130</v>
      </c>
      <c r="J388">
        <v>8</v>
      </c>
      <c r="K388" t="s">
        <v>26</v>
      </c>
      <c r="L388" t="s">
        <v>1131</v>
      </c>
      <c r="M388" t="s">
        <v>28</v>
      </c>
      <c r="N388" t="s">
        <v>657</v>
      </c>
      <c r="O388" t="s">
        <v>1132</v>
      </c>
      <c r="P388" t="s">
        <v>404</v>
      </c>
    </row>
    <row r="389" spans="1:16" x14ac:dyDescent="0.25">
      <c r="A389" t="s">
        <v>1312</v>
      </c>
      <c r="B389" t="s">
        <v>1200</v>
      </c>
      <c r="C389" s="1" t="s">
        <v>1313</v>
      </c>
      <c r="D389" t="s">
        <v>42</v>
      </c>
      <c r="E389" t="s">
        <v>43</v>
      </c>
      <c r="F389" s="2">
        <v>39999.78</v>
      </c>
      <c r="G389" s="1" t="s">
        <v>1314</v>
      </c>
      <c r="H389" t="s">
        <v>655</v>
      </c>
      <c r="I389" t="s">
        <v>1130</v>
      </c>
      <c r="J389">
        <v>6</v>
      </c>
      <c r="K389" t="s">
        <v>26</v>
      </c>
      <c r="L389" t="s">
        <v>1131</v>
      </c>
      <c r="M389" t="s">
        <v>28</v>
      </c>
      <c r="N389" t="s">
        <v>657</v>
      </c>
      <c r="O389" t="s">
        <v>1132</v>
      </c>
      <c r="P389" t="s">
        <v>404</v>
      </c>
    </row>
    <row r="390" spans="1:16" x14ac:dyDescent="0.25">
      <c r="A390" t="s">
        <v>1315</v>
      </c>
      <c r="B390" t="s">
        <v>1200</v>
      </c>
      <c r="C390" s="1" t="s">
        <v>1316</v>
      </c>
      <c r="D390" t="s">
        <v>42</v>
      </c>
      <c r="E390" t="s">
        <v>43</v>
      </c>
      <c r="F390" s="2">
        <v>41470.26</v>
      </c>
      <c r="G390" s="1" t="s">
        <v>1317</v>
      </c>
      <c r="H390" t="s">
        <v>655</v>
      </c>
      <c r="I390" t="s">
        <v>1130</v>
      </c>
      <c r="J390">
        <v>7</v>
      </c>
      <c r="K390" t="s">
        <v>26</v>
      </c>
      <c r="L390" t="s">
        <v>1131</v>
      </c>
      <c r="M390" t="s">
        <v>28</v>
      </c>
      <c r="N390" t="s">
        <v>657</v>
      </c>
      <c r="O390" t="s">
        <v>1132</v>
      </c>
      <c r="P390" t="s">
        <v>404</v>
      </c>
    </row>
    <row r="391" spans="1:16" x14ac:dyDescent="0.25">
      <c r="A391" t="s">
        <v>1318</v>
      </c>
      <c r="B391" t="s">
        <v>1200</v>
      </c>
      <c r="C391" s="1" t="s">
        <v>1319</v>
      </c>
      <c r="D391" t="s">
        <v>42</v>
      </c>
      <c r="E391" t="s">
        <v>43</v>
      </c>
      <c r="F391" s="2">
        <v>16735.72</v>
      </c>
      <c r="G391" s="1" t="s">
        <v>1320</v>
      </c>
      <c r="H391" t="s">
        <v>655</v>
      </c>
      <c r="I391" t="s">
        <v>1130</v>
      </c>
      <c r="J391">
        <v>5</v>
      </c>
      <c r="K391" t="s">
        <v>26</v>
      </c>
      <c r="L391" t="s">
        <v>1131</v>
      </c>
      <c r="M391" t="s">
        <v>28</v>
      </c>
      <c r="N391" t="s">
        <v>657</v>
      </c>
      <c r="O391" t="s">
        <v>1132</v>
      </c>
      <c r="P391" t="s">
        <v>404</v>
      </c>
    </row>
    <row r="392" spans="1:16" x14ac:dyDescent="0.25">
      <c r="A392" t="s">
        <v>1321</v>
      </c>
      <c r="B392" t="s">
        <v>1200</v>
      </c>
      <c r="C392" s="1" t="s">
        <v>1322</v>
      </c>
      <c r="D392" t="s">
        <v>42</v>
      </c>
      <c r="E392" t="s">
        <v>43</v>
      </c>
      <c r="F392" s="2">
        <v>10272.67</v>
      </c>
      <c r="G392" s="1" t="s">
        <v>1323</v>
      </c>
      <c r="H392" t="s">
        <v>655</v>
      </c>
      <c r="I392" t="s">
        <v>1130</v>
      </c>
      <c r="J392">
        <v>5</v>
      </c>
      <c r="K392" t="s">
        <v>26</v>
      </c>
      <c r="L392" t="s">
        <v>1131</v>
      </c>
      <c r="M392" t="s">
        <v>28</v>
      </c>
      <c r="N392" t="s">
        <v>657</v>
      </c>
      <c r="O392" t="s">
        <v>1132</v>
      </c>
      <c r="P392" t="s">
        <v>404</v>
      </c>
    </row>
    <row r="393" spans="1:16" x14ac:dyDescent="0.25">
      <c r="A393" t="s">
        <v>1324</v>
      </c>
      <c r="B393" t="s">
        <v>1200</v>
      </c>
      <c r="C393" s="1" t="s">
        <v>1325</v>
      </c>
      <c r="D393" t="s">
        <v>42</v>
      </c>
      <c r="E393" t="s">
        <v>43</v>
      </c>
      <c r="F393" s="2">
        <v>16196.61</v>
      </c>
      <c r="G393" s="1" t="s">
        <v>1326</v>
      </c>
      <c r="H393" t="s">
        <v>655</v>
      </c>
      <c r="I393" t="s">
        <v>1130</v>
      </c>
      <c r="J393">
        <v>10</v>
      </c>
      <c r="K393" t="s">
        <v>26</v>
      </c>
      <c r="L393" t="s">
        <v>1131</v>
      </c>
      <c r="M393" t="s">
        <v>28</v>
      </c>
      <c r="N393" t="s">
        <v>657</v>
      </c>
      <c r="O393" t="s">
        <v>1132</v>
      </c>
      <c r="P393" t="s">
        <v>404</v>
      </c>
    </row>
    <row r="394" spans="1:16" x14ac:dyDescent="0.25">
      <c r="A394" t="s">
        <v>1327</v>
      </c>
      <c r="B394" t="s">
        <v>1200</v>
      </c>
      <c r="C394" s="1" t="s">
        <v>1328</v>
      </c>
      <c r="D394" t="s">
        <v>21</v>
      </c>
      <c r="E394" t="s">
        <v>22</v>
      </c>
      <c r="F394" s="2">
        <v>41467.91</v>
      </c>
      <c r="G394" s="1" t="s">
        <v>1329</v>
      </c>
      <c r="H394" t="s">
        <v>655</v>
      </c>
      <c r="I394" t="s">
        <v>1130</v>
      </c>
      <c r="J394">
        <v>5</v>
      </c>
      <c r="K394" t="s">
        <v>26</v>
      </c>
      <c r="L394" t="s">
        <v>1131</v>
      </c>
      <c r="M394" t="s">
        <v>28</v>
      </c>
      <c r="N394" t="s">
        <v>657</v>
      </c>
      <c r="O394" t="s">
        <v>1132</v>
      </c>
      <c r="P394" t="s">
        <v>404</v>
      </c>
    </row>
    <row r="395" spans="1:16" x14ac:dyDescent="0.25">
      <c r="A395" t="s">
        <v>1330</v>
      </c>
      <c r="B395" t="s">
        <v>1200</v>
      </c>
      <c r="C395" s="1" t="s">
        <v>1331</v>
      </c>
      <c r="D395" t="s">
        <v>21</v>
      </c>
      <c r="E395" t="s">
        <v>22</v>
      </c>
      <c r="F395" s="2">
        <v>54441.23</v>
      </c>
      <c r="G395" s="1" t="s">
        <v>1332</v>
      </c>
      <c r="H395" t="s">
        <v>655</v>
      </c>
      <c r="I395" t="s">
        <v>1130</v>
      </c>
      <c r="J395">
        <v>6</v>
      </c>
      <c r="K395" t="s">
        <v>26</v>
      </c>
      <c r="L395" t="s">
        <v>1131</v>
      </c>
      <c r="M395" t="s">
        <v>28</v>
      </c>
      <c r="N395" t="s">
        <v>657</v>
      </c>
      <c r="O395" t="s">
        <v>1132</v>
      </c>
      <c r="P395" t="s">
        <v>404</v>
      </c>
    </row>
    <row r="396" spans="1:16" x14ac:dyDescent="0.25">
      <c r="A396" t="s">
        <v>1333</v>
      </c>
      <c r="B396" t="s">
        <v>1334</v>
      </c>
      <c r="C396" s="1" t="s">
        <v>1335</v>
      </c>
      <c r="D396" t="s">
        <v>21</v>
      </c>
      <c r="E396" t="s">
        <v>22</v>
      </c>
      <c r="F396" s="2">
        <v>47368.81</v>
      </c>
      <c r="G396" s="1" t="s">
        <v>1336</v>
      </c>
      <c r="H396" t="s">
        <v>1337</v>
      </c>
      <c r="I396" t="s">
        <v>1130</v>
      </c>
      <c r="J396">
        <v>7</v>
      </c>
      <c r="K396" t="s">
        <v>26</v>
      </c>
      <c r="L396" t="s">
        <v>1338</v>
      </c>
      <c r="M396" t="s">
        <v>28</v>
      </c>
      <c r="N396" t="s">
        <v>1339</v>
      </c>
      <c r="O396" t="s">
        <v>1132</v>
      </c>
      <c r="P396" t="s">
        <v>31</v>
      </c>
    </row>
    <row r="397" spans="1:16" x14ac:dyDescent="0.25">
      <c r="A397" t="s">
        <v>1340</v>
      </c>
      <c r="B397" t="s">
        <v>1334</v>
      </c>
      <c r="C397" s="1" t="s">
        <v>1341</v>
      </c>
      <c r="D397" t="s">
        <v>21</v>
      </c>
      <c r="E397" t="s">
        <v>22</v>
      </c>
      <c r="F397" s="2">
        <v>143574.18</v>
      </c>
      <c r="G397" s="1" t="s">
        <v>1342</v>
      </c>
      <c r="H397" t="s">
        <v>1337</v>
      </c>
      <c r="I397" t="s">
        <v>1130</v>
      </c>
      <c r="J397">
        <v>10</v>
      </c>
      <c r="K397" t="s">
        <v>26</v>
      </c>
      <c r="L397" t="s">
        <v>1338</v>
      </c>
      <c r="M397" t="s">
        <v>28</v>
      </c>
      <c r="N397" t="s">
        <v>1339</v>
      </c>
      <c r="O397" t="s">
        <v>1132</v>
      </c>
      <c r="P397" t="s">
        <v>31</v>
      </c>
    </row>
    <row r="398" spans="1:16" x14ac:dyDescent="0.25">
      <c r="A398" t="s">
        <v>1343</v>
      </c>
      <c r="B398" t="s">
        <v>1334</v>
      </c>
      <c r="C398" s="1" t="s">
        <v>1344</v>
      </c>
      <c r="D398" t="s">
        <v>42</v>
      </c>
      <c r="E398" t="s">
        <v>43</v>
      </c>
      <c r="F398" s="2">
        <v>67277.32</v>
      </c>
      <c r="G398" s="1" t="s">
        <v>1345</v>
      </c>
      <c r="H398" t="s">
        <v>1337</v>
      </c>
      <c r="I398" t="s">
        <v>308</v>
      </c>
      <c r="J398">
        <v>8</v>
      </c>
      <c r="K398" t="s">
        <v>26</v>
      </c>
      <c r="L398" t="s">
        <v>1346</v>
      </c>
      <c r="M398" t="s">
        <v>28</v>
      </c>
      <c r="N398" t="s">
        <v>1339</v>
      </c>
      <c r="O398" t="s">
        <v>252</v>
      </c>
      <c r="P398" t="s">
        <v>404</v>
      </c>
    </row>
    <row r="399" spans="1:16" x14ac:dyDescent="0.25">
      <c r="A399" t="s">
        <v>1347</v>
      </c>
      <c r="B399" t="s">
        <v>1334</v>
      </c>
      <c r="C399" s="1" t="s">
        <v>1348</v>
      </c>
      <c r="D399" t="s">
        <v>42</v>
      </c>
      <c r="E399" t="s">
        <v>43</v>
      </c>
      <c r="F399" s="2">
        <v>89860.08</v>
      </c>
      <c r="G399" s="1" t="s">
        <v>1349</v>
      </c>
      <c r="H399" t="s">
        <v>1337</v>
      </c>
      <c r="I399" t="s">
        <v>743</v>
      </c>
      <c r="J399">
        <v>6</v>
      </c>
      <c r="K399" t="s">
        <v>26</v>
      </c>
      <c r="L399" t="s">
        <v>1350</v>
      </c>
      <c r="M399" t="s">
        <v>28</v>
      </c>
      <c r="N399" t="s">
        <v>1339</v>
      </c>
      <c r="O399" t="s">
        <v>745</v>
      </c>
      <c r="P399" t="s">
        <v>404</v>
      </c>
    </row>
    <row r="400" spans="1:16" x14ac:dyDescent="0.25">
      <c r="A400" t="s">
        <v>1351</v>
      </c>
      <c r="B400" t="s">
        <v>1334</v>
      </c>
      <c r="C400" s="1" t="s">
        <v>1352</v>
      </c>
      <c r="D400" t="s">
        <v>42</v>
      </c>
      <c r="E400" t="s">
        <v>43</v>
      </c>
      <c r="F400" s="2">
        <v>65787.31</v>
      </c>
      <c r="G400" s="1" t="s">
        <v>1353</v>
      </c>
      <c r="H400" t="s">
        <v>1337</v>
      </c>
      <c r="I400" t="s">
        <v>743</v>
      </c>
      <c r="J400">
        <v>6</v>
      </c>
      <c r="K400" t="s">
        <v>26</v>
      </c>
      <c r="L400" t="s">
        <v>1350</v>
      </c>
      <c r="M400" t="s">
        <v>28</v>
      </c>
      <c r="N400" t="s">
        <v>1339</v>
      </c>
      <c r="O400" t="s">
        <v>745</v>
      </c>
      <c r="P400" t="s">
        <v>404</v>
      </c>
    </row>
    <row r="401" spans="1:16" x14ac:dyDescent="0.25">
      <c r="A401" t="s">
        <v>1354</v>
      </c>
      <c r="B401" t="s">
        <v>1334</v>
      </c>
      <c r="C401" s="1" t="s">
        <v>1355</v>
      </c>
      <c r="D401" t="s">
        <v>42</v>
      </c>
      <c r="E401" t="s">
        <v>43</v>
      </c>
      <c r="F401" s="2">
        <v>56034.62</v>
      </c>
      <c r="G401" s="1" t="s">
        <v>1356</v>
      </c>
      <c r="H401" t="s">
        <v>1337</v>
      </c>
      <c r="I401" t="s">
        <v>308</v>
      </c>
      <c r="J401">
        <v>8</v>
      </c>
      <c r="K401" t="s">
        <v>26</v>
      </c>
      <c r="L401" t="s">
        <v>1346</v>
      </c>
      <c r="M401" t="s">
        <v>28</v>
      </c>
      <c r="N401" t="s">
        <v>1339</v>
      </c>
      <c r="O401" t="s">
        <v>252</v>
      </c>
      <c r="P401" t="s">
        <v>404</v>
      </c>
    </row>
    <row r="402" spans="1:16" x14ac:dyDescent="0.25">
      <c r="A402" t="s">
        <v>1357</v>
      </c>
      <c r="B402" t="s">
        <v>1334</v>
      </c>
      <c r="C402" s="1" t="s">
        <v>1358</v>
      </c>
      <c r="D402" t="s">
        <v>21</v>
      </c>
      <c r="E402" t="s">
        <v>22</v>
      </c>
      <c r="F402" s="2">
        <v>27236.06</v>
      </c>
      <c r="G402" s="1" t="s">
        <v>1359</v>
      </c>
      <c r="H402" t="s">
        <v>1337</v>
      </c>
      <c r="I402" t="s">
        <v>250</v>
      </c>
      <c r="J402">
        <v>5</v>
      </c>
      <c r="K402" t="s">
        <v>26</v>
      </c>
      <c r="L402" t="s">
        <v>1346</v>
      </c>
      <c r="M402" t="s">
        <v>28</v>
      </c>
      <c r="N402" t="s">
        <v>1339</v>
      </c>
      <c r="O402" t="s">
        <v>252</v>
      </c>
      <c r="P402" t="s">
        <v>404</v>
      </c>
    </row>
    <row r="403" spans="1:16" x14ac:dyDescent="0.25">
      <c r="A403" t="s">
        <v>1360</v>
      </c>
      <c r="B403" t="s">
        <v>1334</v>
      </c>
      <c r="C403" s="1" t="s">
        <v>1361</v>
      </c>
      <c r="D403" t="s">
        <v>21</v>
      </c>
      <c r="E403" t="s">
        <v>22</v>
      </c>
      <c r="F403" s="2">
        <v>115865.98</v>
      </c>
      <c r="G403" s="1" t="s">
        <v>1362</v>
      </c>
      <c r="H403" t="s">
        <v>1337</v>
      </c>
      <c r="I403" t="s">
        <v>743</v>
      </c>
      <c r="J403">
        <v>6</v>
      </c>
      <c r="K403" t="s">
        <v>26</v>
      </c>
      <c r="L403" t="s">
        <v>1350</v>
      </c>
      <c r="M403" t="s">
        <v>28</v>
      </c>
      <c r="N403" t="s">
        <v>1339</v>
      </c>
      <c r="O403" t="s">
        <v>745</v>
      </c>
      <c r="P403" t="s">
        <v>404</v>
      </c>
    </row>
    <row r="404" spans="1:16" x14ac:dyDescent="0.25">
      <c r="A404" t="s">
        <v>1363</v>
      </c>
      <c r="B404" t="s">
        <v>1334</v>
      </c>
      <c r="C404" s="1" t="s">
        <v>1364</v>
      </c>
      <c r="D404" t="s">
        <v>21</v>
      </c>
      <c r="E404" t="s">
        <v>22</v>
      </c>
      <c r="F404" s="2">
        <v>28884.22</v>
      </c>
      <c r="G404" s="1" t="s">
        <v>1365</v>
      </c>
      <c r="H404" t="s">
        <v>1337</v>
      </c>
      <c r="I404" t="s">
        <v>743</v>
      </c>
      <c r="J404">
        <v>4</v>
      </c>
      <c r="K404" t="s">
        <v>26</v>
      </c>
      <c r="L404" t="s">
        <v>1350</v>
      </c>
      <c r="M404" t="s">
        <v>28</v>
      </c>
      <c r="N404" t="s">
        <v>1339</v>
      </c>
      <c r="O404" t="s">
        <v>745</v>
      </c>
      <c r="P404" t="s">
        <v>404</v>
      </c>
    </row>
    <row r="405" spans="1:16" x14ac:dyDescent="0.25">
      <c r="A405" t="s">
        <v>1366</v>
      </c>
      <c r="B405" t="s">
        <v>1334</v>
      </c>
      <c r="C405" s="1" t="s">
        <v>1367</v>
      </c>
      <c r="D405" t="s">
        <v>21</v>
      </c>
      <c r="E405" t="s">
        <v>22</v>
      </c>
      <c r="F405" s="2">
        <v>47448.8</v>
      </c>
      <c r="G405" s="1" t="s">
        <v>1368</v>
      </c>
      <c r="H405" t="s">
        <v>1337</v>
      </c>
      <c r="I405" t="s">
        <v>743</v>
      </c>
      <c r="J405">
        <v>5</v>
      </c>
      <c r="K405" t="s">
        <v>26</v>
      </c>
      <c r="L405" t="s">
        <v>1350</v>
      </c>
      <c r="M405" t="s">
        <v>28</v>
      </c>
      <c r="N405" t="s">
        <v>1339</v>
      </c>
      <c r="O405" t="s">
        <v>745</v>
      </c>
      <c r="P405" t="s">
        <v>404</v>
      </c>
    </row>
    <row r="406" spans="1:16" x14ac:dyDescent="0.25">
      <c r="A406" t="s">
        <v>1369</v>
      </c>
      <c r="B406" t="s">
        <v>1334</v>
      </c>
      <c r="C406" s="1" t="s">
        <v>1370</v>
      </c>
      <c r="D406" t="s">
        <v>42</v>
      </c>
      <c r="E406" t="s">
        <v>43</v>
      </c>
      <c r="F406" s="2">
        <v>79808.56</v>
      </c>
      <c r="G406" s="1" t="s">
        <v>1371</v>
      </c>
      <c r="H406" t="s">
        <v>1337</v>
      </c>
      <c r="I406" t="s">
        <v>743</v>
      </c>
      <c r="J406">
        <v>5</v>
      </c>
      <c r="K406" t="s">
        <v>26</v>
      </c>
      <c r="L406" t="s">
        <v>1350</v>
      </c>
      <c r="M406" t="s">
        <v>28</v>
      </c>
      <c r="N406" t="s">
        <v>1339</v>
      </c>
      <c r="O406" t="s">
        <v>745</v>
      </c>
      <c r="P406" t="s">
        <v>404</v>
      </c>
    </row>
    <row r="407" spans="1:16" x14ac:dyDescent="0.25">
      <c r="A407" t="s">
        <v>1372</v>
      </c>
      <c r="B407" t="s">
        <v>1334</v>
      </c>
      <c r="C407" s="1" t="s">
        <v>1373</v>
      </c>
      <c r="D407" t="s">
        <v>42</v>
      </c>
      <c r="E407" t="s">
        <v>43</v>
      </c>
      <c r="F407" s="2">
        <v>63713.77</v>
      </c>
      <c r="G407" s="1" t="s">
        <v>1374</v>
      </c>
      <c r="H407" t="s">
        <v>1337</v>
      </c>
      <c r="I407" t="s">
        <v>743</v>
      </c>
      <c r="J407">
        <v>7</v>
      </c>
      <c r="K407" t="s">
        <v>26</v>
      </c>
      <c r="L407" t="s">
        <v>1350</v>
      </c>
      <c r="M407" t="s">
        <v>28</v>
      </c>
      <c r="N407" t="s">
        <v>1339</v>
      </c>
      <c r="O407" t="s">
        <v>745</v>
      </c>
      <c r="P407" t="s">
        <v>404</v>
      </c>
    </row>
    <row r="408" spans="1:16" x14ac:dyDescent="0.25">
      <c r="A408" t="s">
        <v>1375</v>
      </c>
      <c r="B408" t="s">
        <v>1334</v>
      </c>
      <c r="C408" s="1" t="s">
        <v>1376</v>
      </c>
      <c r="D408" t="s">
        <v>42</v>
      </c>
      <c r="E408" t="s">
        <v>43</v>
      </c>
      <c r="F408" s="2">
        <v>98396.72</v>
      </c>
      <c r="G408" s="1" t="s">
        <v>1377</v>
      </c>
      <c r="H408" t="s">
        <v>1337</v>
      </c>
      <c r="I408" t="s">
        <v>743</v>
      </c>
      <c r="J408">
        <v>6</v>
      </c>
      <c r="K408" t="s">
        <v>26</v>
      </c>
      <c r="L408" t="s">
        <v>1350</v>
      </c>
      <c r="M408" t="s">
        <v>28</v>
      </c>
      <c r="N408" t="s">
        <v>1339</v>
      </c>
      <c r="O408" t="s">
        <v>745</v>
      </c>
      <c r="P408" t="s">
        <v>404</v>
      </c>
    </row>
    <row r="409" spans="1:16" x14ac:dyDescent="0.25">
      <c r="A409" t="s">
        <v>1378</v>
      </c>
      <c r="B409" t="s">
        <v>1334</v>
      </c>
      <c r="C409" s="1" t="s">
        <v>1379</v>
      </c>
      <c r="D409" t="s">
        <v>42</v>
      </c>
      <c r="E409" t="s">
        <v>43</v>
      </c>
      <c r="F409" s="2">
        <v>62264.21</v>
      </c>
      <c r="G409" s="1" t="s">
        <v>1380</v>
      </c>
      <c r="H409" t="s">
        <v>1337</v>
      </c>
      <c r="I409" t="s">
        <v>743</v>
      </c>
      <c r="J409">
        <v>6</v>
      </c>
      <c r="K409" t="s">
        <v>26</v>
      </c>
      <c r="L409" t="s">
        <v>1381</v>
      </c>
      <c r="M409" t="s">
        <v>28</v>
      </c>
      <c r="N409" t="s">
        <v>1339</v>
      </c>
      <c r="O409" t="s">
        <v>745</v>
      </c>
      <c r="P409" t="s">
        <v>31</v>
      </c>
    </row>
    <row r="410" spans="1:16" x14ac:dyDescent="0.25">
      <c r="A410" t="s">
        <v>1382</v>
      </c>
      <c r="B410" t="s">
        <v>1334</v>
      </c>
      <c r="C410" s="1" t="s">
        <v>1383</v>
      </c>
      <c r="D410" t="s">
        <v>21</v>
      </c>
      <c r="E410" t="s">
        <v>22</v>
      </c>
      <c r="F410" s="2">
        <v>375736.05</v>
      </c>
      <c r="G410" s="1" t="s">
        <v>1384</v>
      </c>
      <c r="H410" t="s">
        <v>1337</v>
      </c>
      <c r="I410" t="s">
        <v>743</v>
      </c>
      <c r="J410">
        <v>7</v>
      </c>
      <c r="K410" t="s">
        <v>26</v>
      </c>
      <c r="L410" t="s">
        <v>1350</v>
      </c>
      <c r="M410" t="s">
        <v>28</v>
      </c>
      <c r="N410" t="s">
        <v>1339</v>
      </c>
      <c r="O410" t="s">
        <v>745</v>
      </c>
      <c r="P410" t="s">
        <v>404</v>
      </c>
    </row>
    <row r="411" spans="1:16" x14ac:dyDescent="0.25">
      <c r="A411" t="s">
        <v>1385</v>
      </c>
      <c r="B411" t="s">
        <v>1334</v>
      </c>
      <c r="C411" s="1" t="s">
        <v>1386</v>
      </c>
      <c r="D411" t="s">
        <v>42</v>
      </c>
      <c r="E411" t="s">
        <v>43</v>
      </c>
      <c r="F411" s="2">
        <v>54719.01</v>
      </c>
      <c r="G411" s="1" t="s">
        <v>1387</v>
      </c>
      <c r="H411" t="s">
        <v>1337</v>
      </c>
      <c r="I411" t="s">
        <v>308</v>
      </c>
      <c r="J411">
        <v>8</v>
      </c>
      <c r="K411" t="s">
        <v>26</v>
      </c>
      <c r="L411" t="s">
        <v>1346</v>
      </c>
      <c r="M411" t="s">
        <v>28</v>
      </c>
      <c r="N411" t="s">
        <v>1339</v>
      </c>
      <c r="O411" t="s">
        <v>252</v>
      </c>
      <c r="P411" t="s">
        <v>404</v>
      </c>
    </row>
    <row r="412" spans="1:16" x14ac:dyDescent="0.25">
      <c r="A412" t="s">
        <v>1388</v>
      </c>
      <c r="B412" t="s">
        <v>1334</v>
      </c>
      <c r="C412" s="1" t="s">
        <v>1389</v>
      </c>
      <c r="D412" t="s">
        <v>42</v>
      </c>
      <c r="E412" t="s">
        <v>43</v>
      </c>
      <c r="F412" s="2">
        <v>48551.5</v>
      </c>
      <c r="G412" s="1" t="s">
        <v>1390</v>
      </c>
      <c r="H412" t="s">
        <v>1337</v>
      </c>
      <c r="I412" t="s">
        <v>308</v>
      </c>
      <c r="J412">
        <v>9</v>
      </c>
      <c r="K412" t="s">
        <v>26</v>
      </c>
      <c r="L412" t="s">
        <v>1346</v>
      </c>
      <c r="M412" t="s">
        <v>28</v>
      </c>
      <c r="N412" t="s">
        <v>1339</v>
      </c>
      <c r="O412" t="s">
        <v>252</v>
      </c>
      <c r="P412" t="s">
        <v>404</v>
      </c>
    </row>
    <row r="413" spans="1:16" x14ac:dyDescent="0.25">
      <c r="A413" t="s">
        <v>1391</v>
      </c>
      <c r="B413" t="s">
        <v>1334</v>
      </c>
      <c r="C413" s="1" t="s">
        <v>1392</v>
      </c>
      <c r="D413" t="s">
        <v>42</v>
      </c>
      <c r="E413" t="s">
        <v>43</v>
      </c>
      <c r="F413" s="2">
        <v>71632.79</v>
      </c>
      <c r="G413" s="1" t="s">
        <v>1393</v>
      </c>
      <c r="H413" t="s">
        <v>1337</v>
      </c>
      <c r="I413" t="s">
        <v>743</v>
      </c>
      <c r="J413">
        <v>7</v>
      </c>
      <c r="K413" t="s">
        <v>26</v>
      </c>
      <c r="L413" t="s">
        <v>1350</v>
      </c>
      <c r="M413" t="s">
        <v>28</v>
      </c>
      <c r="N413" t="s">
        <v>1339</v>
      </c>
      <c r="O413" t="s">
        <v>745</v>
      </c>
      <c r="P413" t="s">
        <v>404</v>
      </c>
    </row>
    <row r="414" spans="1:16" x14ac:dyDescent="0.25">
      <c r="A414" t="s">
        <v>1394</v>
      </c>
      <c r="B414" t="s">
        <v>1334</v>
      </c>
      <c r="C414" s="1" t="s">
        <v>1395</v>
      </c>
      <c r="D414" t="s">
        <v>42</v>
      </c>
      <c r="E414" t="s">
        <v>43</v>
      </c>
      <c r="F414" s="2">
        <v>48186.72</v>
      </c>
      <c r="G414" s="1" t="s">
        <v>1396</v>
      </c>
      <c r="H414" t="s">
        <v>1337</v>
      </c>
      <c r="I414" t="s">
        <v>743</v>
      </c>
      <c r="J414">
        <v>6</v>
      </c>
      <c r="K414" t="s">
        <v>26</v>
      </c>
      <c r="L414" t="s">
        <v>1350</v>
      </c>
      <c r="M414" t="s">
        <v>28</v>
      </c>
      <c r="N414" t="s">
        <v>1339</v>
      </c>
      <c r="O414" t="s">
        <v>745</v>
      </c>
      <c r="P414" t="s">
        <v>404</v>
      </c>
    </row>
    <row r="415" spans="1:16" x14ac:dyDescent="0.25">
      <c r="A415" t="s">
        <v>1397</v>
      </c>
      <c r="B415" t="s">
        <v>1334</v>
      </c>
      <c r="C415" s="1" t="s">
        <v>1398</v>
      </c>
      <c r="D415" t="s">
        <v>42</v>
      </c>
      <c r="E415" t="s">
        <v>43</v>
      </c>
      <c r="F415" s="2">
        <v>54019.53</v>
      </c>
      <c r="G415" s="1" t="s">
        <v>1399</v>
      </c>
      <c r="H415" t="s">
        <v>1337</v>
      </c>
      <c r="I415" t="s">
        <v>743</v>
      </c>
      <c r="J415">
        <v>8</v>
      </c>
      <c r="K415" t="s">
        <v>26</v>
      </c>
      <c r="L415" t="s">
        <v>1350</v>
      </c>
      <c r="M415" t="s">
        <v>28</v>
      </c>
      <c r="N415" t="s">
        <v>1339</v>
      </c>
      <c r="O415" t="s">
        <v>745</v>
      </c>
      <c r="P415" t="s">
        <v>404</v>
      </c>
    </row>
    <row r="416" spans="1:16" x14ac:dyDescent="0.25">
      <c r="A416" t="s">
        <v>1400</v>
      </c>
      <c r="B416" t="s">
        <v>1334</v>
      </c>
      <c r="C416" s="1" t="s">
        <v>1401</v>
      </c>
      <c r="D416" t="s">
        <v>42</v>
      </c>
      <c r="E416" t="s">
        <v>43</v>
      </c>
      <c r="F416" s="2">
        <v>62856.03</v>
      </c>
      <c r="G416" s="1" t="s">
        <v>1402</v>
      </c>
      <c r="H416" t="s">
        <v>1337</v>
      </c>
      <c r="I416" t="s">
        <v>743</v>
      </c>
      <c r="J416">
        <v>8</v>
      </c>
      <c r="K416" t="s">
        <v>26</v>
      </c>
      <c r="L416" t="s">
        <v>1350</v>
      </c>
      <c r="M416" t="s">
        <v>28</v>
      </c>
      <c r="N416" t="s">
        <v>1339</v>
      </c>
      <c r="O416" t="s">
        <v>745</v>
      </c>
      <c r="P416" t="s">
        <v>404</v>
      </c>
    </row>
    <row r="417" spans="1:16" x14ac:dyDescent="0.25">
      <c r="A417" t="s">
        <v>1403</v>
      </c>
      <c r="B417" t="s">
        <v>1334</v>
      </c>
      <c r="C417" s="1" t="s">
        <v>1404</v>
      </c>
      <c r="D417" t="s">
        <v>21</v>
      </c>
      <c r="E417" t="s">
        <v>22</v>
      </c>
      <c r="F417" s="2">
        <v>47638.02</v>
      </c>
      <c r="G417" s="1" t="s">
        <v>1405</v>
      </c>
      <c r="H417" t="s">
        <v>1337</v>
      </c>
      <c r="I417" t="s">
        <v>250</v>
      </c>
      <c r="J417">
        <v>6</v>
      </c>
      <c r="K417" t="s">
        <v>26</v>
      </c>
      <c r="L417" t="s">
        <v>1346</v>
      </c>
      <c r="M417" t="s">
        <v>28</v>
      </c>
      <c r="N417" t="s">
        <v>1339</v>
      </c>
      <c r="O417" t="s">
        <v>252</v>
      </c>
      <c r="P417" t="s">
        <v>404</v>
      </c>
    </row>
    <row r="418" spans="1:16" x14ac:dyDescent="0.25">
      <c r="A418" t="s">
        <v>1406</v>
      </c>
      <c r="B418" t="s">
        <v>1334</v>
      </c>
      <c r="C418" s="1" t="s">
        <v>1407</v>
      </c>
      <c r="D418" t="s">
        <v>21</v>
      </c>
      <c r="E418" t="s">
        <v>22</v>
      </c>
      <c r="F418" s="2">
        <v>52209.47</v>
      </c>
      <c r="G418" s="1" t="s">
        <v>1408</v>
      </c>
      <c r="H418" t="s">
        <v>1337</v>
      </c>
      <c r="I418" t="s">
        <v>743</v>
      </c>
      <c r="J418">
        <v>6</v>
      </c>
      <c r="K418" t="s">
        <v>26</v>
      </c>
      <c r="L418" t="s">
        <v>1350</v>
      </c>
      <c r="M418" t="s">
        <v>28</v>
      </c>
      <c r="N418" t="s">
        <v>1339</v>
      </c>
      <c r="O418" t="s">
        <v>745</v>
      </c>
      <c r="P418" t="s">
        <v>404</v>
      </c>
    </row>
    <row r="419" spans="1:16" x14ac:dyDescent="0.25">
      <c r="A419" t="s">
        <v>1409</v>
      </c>
      <c r="B419" t="s">
        <v>1334</v>
      </c>
      <c r="C419" s="1" t="s">
        <v>1410</v>
      </c>
      <c r="D419" t="s">
        <v>21</v>
      </c>
      <c r="E419" t="s">
        <v>22</v>
      </c>
      <c r="F419" s="2">
        <v>35011.93</v>
      </c>
      <c r="G419" s="1" t="s">
        <v>1411</v>
      </c>
      <c r="H419" t="s">
        <v>1337</v>
      </c>
      <c r="I419" t="s">
        <v>743</v>
      </c>
      <c r="J419">
        <v>6</v>
      </c>
      <c r="K419" t="s">
        <v>26</v>
      </c>
      <c r="L419" t="s">
        <v>1350</v>
      </c>
      <c r="M419" t="s">
        <v>28</v>
      </c>
      <c r="N419" t="s">
        <v>1339</v>
      </c>
      <c r="O419" t="s">
        <v>745</v>
      </c>
      <c r="P419" t="s">
        <v>404</v>
      </c>
    </row>
    <row r="420" spans="1:16" x14ac:dyDescent="0.25">
      <c r="A420" t="s">
        <v>1412</v>
      </c>
      <c r="B420" t="s">
        <v>1334</v>
      </c>
      <c r="C420" s="1" t="s">
        <v>1413</v>
      </c>
      <c r="D420" t="s">
        <v>21</v>
      </c>
      <c r="E420" t="s">
        <v>22</v>
      </c>
      <c r="F420" s="2">
        <v>41801.76</v>
      </c>
      <c r="G420" s="1" t="s">
        <v>1414</v>
      </c>
      <c r="H420" t="s">
        <v>1337</v>
      </c>
      <c r="I420" t="s">
        <v>743</v>
      </c>
      <c r="J420">
        <v>6</v>
      </c>
      <c r="K420" t="s">
        <v>26</v>
      </c>
      <c r="L420" t="s">
        <v>1350</v>
      </c>
      <c r="M420" t="s">
        <v>28</v>
      </c>
      <c r="N420" t="s">
        <v>1339</v>
      </c>
      <c r="O420" t="s">
        <v>745</v>
      </c>
      <c r="P420" t="s">
        <v>404</v>
      </c>
    </row>
    <row r="421" spans="1:16" x14ac:dyDescent="0.25">
      <c r="A421" t="s">
        <v>1415</v>
      </c>
      <c r="B421" t="s">
        <v>1334</v>
      </c>
      <c r="C421" s="1" t="s">
        <v>1416</v>
      </c>
      <c r="D421" t="s">
        <v>21</v>
      </c>
      <c r="E421" t="s">
        <v>22</v>
      </c>
      <c r="F421" s="2">
        <v>44924.67</v>
      </c>
      <c r="G421" s="1" t="s">
        <v>1417</v>
      </c>
      <c r="H421" t="s">
        <v>1337</v>
      </c>
      <c r="I421" t="s">
        <v>743</v>
      </c>
      <c r="J421">
        <v>6</v>
      </c>
      <c r="K421" t="s">
        <v>26</v>
      </c>
      <c r="L421" t="s">
        <v>1350</v>
      </c>
      <c r="M421" t="s">
        <v>28</v>
      </c>
      <c r="N421" t="s">
        <v>1339</v>
      </c>
      <c r="O421" t="s">
        <v>745</v>
      </c>
      <c r="P421" t="s">
        <v>404</v>
      </c>
    </row>
    <row r="422" spans="1:16" x14ac:dyDescent="0.25">
      <c r="A422" t="s">
        <v>1418</v>
      </c>
      <c r="B422" t="s">
        <v>1334</v>
      </c>
      <c r="C422" s="1" t="s">
        <v>1419</v>
      </c>
      <c r="D422" t="s">
        <v>21</v>
      </c>
      <c r="E422" t="s">
        <v>22</v>
      </c>
      <c r="F422" s="2">
        <v>57481.16</v>
      </c>
      <c r="G422" s="1" t="s">
        <v>1420</v>
      </c>
      <c r="H422" t="s">
        <v>1337</v>
      </c>
      <c r="I422" t="s">
        <v>743</v>
      </c>
      <c r="J422">
        <v>6</v>
      </c>
      <c r="K422" t="s">
        <v>26</v>
      </c>
      <c r="L422" t="s">
        <v>1350</v>
      </c>
      <c r="M422" t="s">
        <v>28</v>
      </c>
      <c r="N422" t="s">
        <v>1339</v>
      </c>
      <c r="O422" t="s">
        <v>745</v>
      </c>
      <c r="P422" t="s">
        <v>404</v>
      </c>
    </row>
    <row r="423" spans="1:16" x14ac:dyDescent="0.25">
      <c r="A423" t="s">
        <v>1421</v>
      </c>
      <c r="B423" t="s">
        <v>1334</v>
      </c>
      <c r="C423" s="1" t="s">
        <v>1422</v>
      </c>
      <c r="D423" t="s">
        <v>21</v>
      </c>
      <c r="E423" t="s">
        <v>22</v>
      </c>
      <c r="F423" s="2">
        <v>176691.43</v>
      </c>
      <c r="G423" s="1" t="s">
        <v>1423</v>
      </c>
      <c r="H423" t="s">
        <v>1337</v>
      </c>
      <c r="I423" t="s">
        <v>737</v>
      </c>
      <c r="J423">
        <v>5</v>
      </c>
      <c r="K423" t="s">
        <v>26</v>
      </c>
      <c r="L423" t="s">
        <v>1424</v>
      </c>
      <c r="M423" t="s">
        <v>28</v>
      </c>
      <c r="N423" t="s">
        <v>1339</v>
      </c>
      <c r="O423" t="s">
        <v>739</v>
      </c>
      <c r="P423" t="s">
        <v>404</v>
      </c>
    </row>
    <row r="424" spans="1:16" x14ac:dyDescent="0.25">
      <c r="A424" t="s">
        <v>1425</v>
      </c>
      <c r="B424" t="s">
        <v>1334</v>
      </c>
      <c r="C424" s="1" t="s">
        <v>1426</v>
      </c>
      <c r="D424" t="s">
        <v>21</v>
      </c>
      <c r="E424" t="s">
        <v>22</v>
      </c>
      <c r="F424" s="2">
        <v>220646.88</v>
      </c>
      <c r="G424" s="1" t="s">
        <v>1427</v>
      </c>
      <c r="H424" t="s">
        <v>1337</v>
      </c>
      <c r="I424" t="s">
        <v>743</v>
      </c>
      <c r="J424">
        <v>6</v>
      </c>
      <c r="K424" t="s">
        <v>26</v>
      </c>
      <c r="L424" t="s">
        <v>1350</v>
      </c>
      <c r="M424" t="s">
        <v>28</v>
      </c>
      <c r="N424" t="s">
        <v>1339</v>
      </c>
      <c r="O424" t="s">
        <v>745</v>
      </c>
      <c r="P424" t="s">
        <v>404</v>
      </c>
    </row>
    <row r="425" spans="1:16" x14ac:dyDescent="0.25">
      <c r="A425" t="s">
        <v>1428</v>
      </c>
      <c r="B425" t="s">
        <v>1334</v>
      </c>
      <c r="C425" s="1" t="s">
        <v>1429</v>
      </c>
      <c r="D425" t="s">
        <v>21</v>
      </c>
      <c r="E425" t="s">
        <v>22</v>
      </c>
      <c r="F425" s="2">
        <v>46170.8</v>
      </c>
      <c r="G425" s="1" t="s">
        <v>1430</v>
      </c>
      <c r="H425" t="s">
        <v>1337</v>
      </c>
      <c r="I425" t="s">
        <v>743</v>
      </c>
      <c r="J425">
        <v>6</v>
      </c>
      <c r="K425" t="s">
        <v>26</v>
      </c>
      <c r="L425" t="s">
        <v>1350</v>
      </c>
      <c r="M425" t="s">
        <v>28</v>
      </c>
      <c r="N425" t="s">
        <v>1339</v>
      </c>
      <c r="O425" t="s">
        <v>745</v>
      </c>
      <c r="P425" t="s">
        <v>404</v>
      </c>
    </row>
    <row r="426" spans="1:16" x14ac:dyDescent="0.25">
      <c r="A426" t="s">
        <v>1431</v>
      </c>
      <c r="B426" t="s">
        <v>1334</v>
      </c>
      <c r="C426" s="1" t="s">
        <v>1432</v>
      </c>
      <c r="D426" t="s">
        <v>21</v>
      </c>
      <c r="E426" t="s">
        <v>22</v>
      </c>
      <c r="F426" s="2">
        <v>105665.68</v>
      </c>
      <c r="G426" s="1" t="s">
        <v>1433</v>
      </c>
      <c r="H426" t="s">
        <v>1337</v>
      </c>
      <c r="I426" t="s">
        <v>743</v>
      </c>
      <c r="J426">
        <v>6</v>
      </c>
      <c r="K426" t="s">
        <v>26</v>
      </c>
      <c r="L426" t="s">
        <v>1350</v>
      </c>
      <c r="M426" t="s">
        <v>28</v>
      </c>
      <c r="N426" t="s">
        <v>1339</v>
      </c>
      <c r="O426" t="s">
        <v>745</v>
      </c>
      <c r="P426" t="s">
        <v>404</v>
      </c>
    </row>
    <row r="427" spans="1:16" x14ac:dyDescent="0.25">
      <c r="A427" t="s">
        <v>1434</v>
      </c>
      <c r="B427" t="s">
        <v>1334</v>
      </c>
      <c r="C427" s="1" t="s">
        <v>1435</v>
      </c>
      <c r="D427" t="s">
        <v>21</v>
      </c>
      <c r="E427" t="s">
        <v>22</v>
      </c>
      <c r="F427" s="2">
        <v>64002.65</v>
      </c>
      <c r="G427" s="1" t="s">
        <v>1436</v>
      </c>
      <c r="H427" t="s">
        <v>1337</v>
      </c>
      <c r="I427" t="s">
        <v>743</v>
      </c>
      <c r="J427">
        <v>6</v>
      </c>
      <c r="K427" t="s">
        <v>26</v>
      </c>
      <c r="L427" t="s">
        <v>1350</v>
      </c>
      <c r="M427" t="s">
        <v>28</v>
      </c>
      <c r="N427" t="s">
        <v>1339</v>
      </c>
      <c r="O427" t="s">
        <v>745</v>
      </c>
      <c r="P427" t="s">
        <v>404</v>
      </c>
    </row>
    <row r="428" spans="1:16" x14ac:dyDescent="0.25">
      <c r="A428" t="s">
        <v>1437</v>
      </c>
      <c r="B428" t="s">
        <v>1334</v>
      </c>
      <c r="C428" s="1" t="s">
        <v>1438</v>
      </c>
      <c r="D428" t="s">
        <v>21</v>
      </c>
      <c r="E428" t="s">
        <v>22</v>
      </c>
      <c r="F428" s="2">
        <v>65451.52</v>
      </c>
      <c r="G428" s="1" t="s">
        <v>1439</v>
      </c>
      <c r="H428" t="s">
        <v>1337</v>
      </c>
      <c r="I428" t="s">
        <v>743</v>
      </c>
      <c r="J428">
        <v>6</v>
      </c>
      <c r="K428" t="s">
        <v>26</v>
      </c>
      <c r="L428" t="s">
        <v>1350</v>
      </c>
      <c r="M428" t="s">
        <v>28</v>
      </c>
      <c r="N428" t="s">
        <v>1339</v>
      </c>
      <c r="O428" t="s">
        <v>745</v>
      </c>
      <c r="P428" t="s">
        <v>404</v>
      </c>
    </row>
    <row r="429" spans="1:16" x14ac:dyDescent="0.25">
      <c r="A429" t="s">
        <v>1440</v>
      </c>
      <c r="B429" t="s">
        <v>1334</v>
      </c>
      <c r="C429" s="1" t="s">
        <v>1441</v>
      </c>
      <c r="D429" t="s">
        <v>21</v>
      </c>
      <c r="E429" t="s">
        <v>22</v>
      </c>
      <c r="F429" s="2">
        <v>46690.45</v>
      </c>
      <c r="G429" s="1" t="s">
        <v>1442</v>
      </c>
      <c r="H429" t="s">
        <v>1337</v>
      </c>
      <c r="I429" t="s">
        <v>743</v>
      </c>
      <c r="J429">
        <v>7</v>
      </c>
      <c r="K429" t="s">
        <v>26</v>
      </c>
      <c r="L429" t="s">
        <v>1350</v>
      </c>
      <c r="M429" t="s">
        <v>28</v>
      </c>
      <c r="N429" t="s">
        <v>1339</v>
      </c>
      <c r="O429" t="s">
        <v>745</v>
      </c>
      <c r="P429" t="s">
        <v>404</v>
      </c>
    </row>
    <row r="430" spans="1:16" x14ac:dyDescent="0.25">
      <c r="A430" t="s">
        <v>1443</v>
      </c>
      <c r="B430" t="s">
        <v>1334</v>
      </c>
      <c r="C430" s="1" t="s">
        <v>1444</v>
      </c>
      <c r="D430" t="s">
        <v>21</v>
      </c>
      <c r="E430" t="s">
        <v>22</v>
      </c>
      <c r="F430" s="2">
        <v>46690.45</v>
      </c>
      <c r="G430" s="1" t="s">
        <v>1442</v>
      </c>
      <c r="H430" t="s">
        <v>1337</v>
      </c>
      <c r="I430" t="s">
        <v>743</v>
      </c>
      <c r="J430">
        <v>7</v>
      </c>
      <c r="K430" t="s">
        <v>26</v>
      </c>
      <c r="L430" t="s">
        <v>1350</v>
      </c>
      <c r="M430" t="s">
        <v>28</v>
      </c>
      <c r="N430" t="s">
        <v>1339</v>
      </c>
      <c r="O430" t="s">
        <v>745</v>
      </c>
      <c r="P430" t="s">
        <v>404</v>
      </c>
    </row>
    <row r="431" spans="1:16" x14ac:dyDescent="0.25">
      <c r="A431" t="s">
        <v>1445</v>
      </c>
      <c r="B431" t="s">
        <v>1334</v>
      </c>
      <c r="C431" s="1" t="s">
        <v>1446</v>
      </c>
      <c r="D431" t="s">
        <v>21</v>
      </c>
      <c r="E431" t="s">
        <v>22</v>
      </c>
      <c r="F431" s="2">
        <v>74634.38</v>
      </c>
      <c r="G431" s="1" t="s">
        <v>1447</v>
      </c>
      <c r="H431" t="s">
        <v>1337</v>
      </c>
      <c r="I431" t="s">
        <v>743</v>
      </c>
      <c r="J431">
        <v>7</v>
      </c>
      <c r="K431" t="s">
        <v>26</v>
      </c>
      <c r="L431" t="s">
        <v>1350</v>
      </c>
      <c r="M431" t="s">
        <v>28</v>
      </c>
      <c r="N431" t="s">
        <v>1339</v>
      </c>
      <c r="O431" t="s">
        <v>745</v>
      </c>
      <c r="P431" t="s">
        <v>404</v>
      </c>
    </row>
    <row r="432" spans="1:16" x14ac:dyDescent="0.25">
      <c r="A432" t="s">
        <v>1448</v>
      </c>
      <c r="B432" t="s">
        <v>1334</v>
      </c>
      <c r="C432" s="1" t="s">
        <v>1449</v>
      </c>
      <c r="D432" t="s">
        <v>42</v>
      </c>
      <c r="E432" t="s">
        <v>43</v>
      </c>
      <c r="F432" s="2">
        <v>35951.83</v>
      </c>
      <c r="G432" s="1" t="s">
        <v>1450</v>
      </c>
      <c r="H432" t="s">
        <v>1337</v>
      </c>
      <c r="I432" t="s">
        <v>743</v>
      </c>
      <c r="J432">
        <v>6</v>
      </c>
      <c r="K432" t="s">
        <v>26</v>
      </c>
      <c r="L432" t="s">
        <v>1350</v>
      </c>
      <c r="M432" t="s">
        <v>28</v>
      </c>
      <c r="N432" t="s">
        <v>1339</v>
      </c>
      <c r="O432" t="s">
        <v>745</v>
      </c>
      <c r="P432" t="s">
        <v>404</v>
      </c>
    </row>
    <row r="433" spans="1:16" x14ac:dyDescent="0.25">
      <c r="A433" t="s">
        <v>1451</v>
      </c>
      <c r="B433" t="s">
        <v>1334</v>
      </c>
      <c r="C433" s="1" t="s">
        <v>1452</v>
      </c>
      <c r="D433" t="s">
        <v>42</v>
      </c>
      <c r="E433" t="s">
        <v>43</v>
      </c>
      <c r="F433" s="2">
        <v>35150.54</v>
      </c>
      <c r="G433" s="1" t="s">
        <v>1453</v>
      </c>
      <c r="H433" t="s">
        <v>1337</v>
      </c>
      <c r="I433" t="s">
        <v>743</v>
      </c>
      <c r="J433">
        <v>5</v>
      </c>
      <c r="K433" t="s">
        <v>26</v>
      </c>
      <c r="L433" t="s">
        <v>1350</v>
      </c>
      <c r="M433" t="s">
        <v>28</v>
      </c>
      <c r="N433" t="s">
        <v>1339</v>
      </c>
      <c r="O433" t="s">
        <v>745</v>
      </c>
      <c r="P433" t="s">
        <v>404</v>
      </c>
    </row>
    <row r="434" spans="1:16" x14ac:dyDescent="0.25">
      <c r="A434" t="s">
        <v>1454</v>
      </c>
      <c r="B434" t="s">
        <v>1334</v>
      </c>
      <c r="C434" s="1" t="s">
        <v>1455</v>
      </c>
      <c r="D434" t="s">
        <v>42</v>
      </c>
      <c r="E434" t="s">
        <v>43</v>
      </c>
      <c r="F434" s="2">
        <v>59547.39</v>
      </c>
      <c r="G434" s="1" t="s">
        <v>1456</v>
      </c>
      <c r="H434" t="s">
        <v>1337</v>
      </c>
      <c r="I434" t="s">
        <v>1219</v>
      </c>
      <c r="J434">
        <v>5</v>
      </c>
      <c r="K434" t="s">
        <v>26</v>
      </c>
      <c r="L434" t="s">
        <v>1457</v>
      </c>
      <c r="M434" t="s">
        <v>28</v>
      </c>
      <c r="N434" t="s">
        <v>1339</v>
      </c>
      <c r="O434" t="s">
        <v>68</v>
      </c>
      <c r="P434" t="s">
        <v>404</v>
      </c>
    </row>
    <row r="435" spans="1:16" x14ac:dyDescent="0.25">
      <c r="A435" t="s">
        <v>1458</v>
      </c>
      <c r="B435" t="s">
        <v>1334</v>
      </c>
      <c r="C435" s="1" t="s">
        <v>1459</v>
      </c>
      <c r="D435" t="s">
        <v>21</v>
      </c>
      <c r="E435" t="s">
        <v>22</v>
      </c>
      <c r="F435" s="2">
        <v>51989.61</v>
      </c>
      <c r="G435" s="1" t="s">
        <v>1460</v>
      </c>
      <c r="H435" t="s">
        <v>1337</v>
      </c>
      <c r="I435" t="s">
        <v>859</v>
      </c>
      <c r="J435">
        <v>6</v>
      </c>
      <c r="K435" t="s">
        <v>26</v>
      </c>
      <c r="L435" t="s">
        <v>1461</v>
      </c>
      <c r="M435" t="s">
        <v>28</v>
      </c>
      <c r="N435" t="s">
        <v>1339</v>
      </c>
      <c r="O435" t="s">
        <v>259</v>
      </c>
      <c r="P435" t="s">
        <v>404</v>
      </c>
    </row>
    <row r="436" spans="1:16" x14ac:dyDescent="0.25">
      <c r="A436" t="s">
        <v>1462</v>
      </c>
      <c r="B436" t="s">
        <v>1334</v>
      </c>
      <c r="C436" s="1" t="s">
        <v>1463</v>
      </c>
      <c r="D436" t="s">
        <v>21</v>
      </c>
      <c r="E436" t="s">
        <v>22</v>
      </c>
      <c r="F436" s="2">
        <v>49360.46</v>
      </c>
      <c r="G436" s="1" t="s">
        <v>1464</v>
      </c>
      <c r="H436" t="s">
        <v>1337</v>
      </c>
      <c r="I436" t="s">
        <v>859</v>
      </c>
      <c r="J436">
        <v>6</v>
      </c>
      <c r="K436" t="s">
        <v>26</v>
      </c>
      <c r="L436" t="s">
        <v>1461</v>
      </c>
      <c r="M436" t="s">
        <v>28</v>
      </c>
      <c r="N436" t="s">
        <v>1339</v>
      </c>
      <c r="O436" t="s">
        <v>259</v>
      </c>
      <c r="P436" t="s">
        <v>404</v>
      </c>
    </row>
    <row r="437" spans="1:16" x14ac:dyDescent="0.25">
      <c r="A437" t="s">
        <v>1465</v>
      </c>
      <c r="B437" t="s">
        <v>1334</v>
      </c>
      <c r="C437" s="1" t="s">
        <v>1466</v>
      </c>
      <c r="D437" t="s">
        <v>21</v>
      </c>
      <c r="E437" t="s">
        <v>22</v>
      </c>
      <c r="F437" s="2">
        <v>60211.51</v>
      </c>
      <c r="G437" s="1" t="s">
        <v>1467</v>
      </c>
      <c r="H437" t="s">
        <v>1337</v>
      </c>
      <c r="I437" t="s">
        <v>743</v>
      </c>
      <c r="J437">
        <v>5</v>
      </c>
      <c r="K437" t="s">
        <v>26</v>
      </c>
      <c r="L437" t="s">
        <v>1350</v>
      </c>
      <c r="M437" t="s">
        <v>28</v>
      </c>
      <c r="N437" t="s">
        <v>1339</v>
      </c>
      <c r="O437" t="s">
        <v>745</v>
      </c>
      <c r="P437" t="s">
        <v>404</v>
      </c>
    </row>
    <row r="438" spans="1:16" x14ac:dyDescent="0.25">
      <c r="A438" t="s">
        <v>1468</v>
      </c>
      <c r="B438" t="s">
        <v>1334</v>
      </c>
      <c r="C438" s="1" t="s">
        <v>1469</v>
      </c>
      <c r="D438" t="s">
        <v>231</v>
      </c>
      <c r="E438" t="s">
        <v>232</v>
      </c>
      <c r="F438" s="2">
        <v>10828.84</v>
      </c>
      <c r="G438" s="1" t="s">
        <v>1470</v>
      </c>
      <c r="H438" t="s">
        <v>1337</v>
      </c>
      <c r="I438" t="s">
        <v>743</v>
      </c>
      <c r="J438">
        <v>13</v>
      </c>
      <c r="K438" t="s">
        <v>26</v>
      </c>
      <c r="L438" t="s">
        <v>1350</v>
      </c>
      <c r="M438" t="s">
        <v>28</v>
      </c>
      <c r="N438" t="s">
        <v>1339</v>
      </c>
      <c r="O438" t="s">
        <v>745</v>
      </c>
      <c r="P438" t="s">
        <v>404</v>
      </c>
    </row>
    <row r="439" spans="1:16" x14ac:dyDescent="0.25">
      <c r="A439" t="s">
        <v>1471</v>
      </c>
      <c r="B439" t="s">
        <v>1334</v>
      </c>
      <c r="C439" s="1" t="s">
        <v>1472</v>
      </c>
      <c r="D439" t="s">
        <v>21</v>
      </c>
      <c r="E439" t="s">
        <v>22</v>
      </c>
      <c r="F439" s="2">
        <v>74502.5</v>
      </c>
      <c r="G439" s="1" t="s">
        <v>1473</v>
      </c>
      <c r="H439" t="s">
        <v>1337</v>
      </c>
      <c r="I439" t="s">
        <v>743</v>
      </c>
      <c r="J439">
        <v>6</v>
      </c>
      <c r="K439" t="s">
        <v>26</v>
      </c>
      <c r="L439" t="s">
        <v>1350</v>
      </c>
      <c r="M439" t="s">
        <v>28</v>
      </c>
      <c r="N439" t="s">
        <v>1339</v>
      </c>
      <c r="O439" t="s">
        <v>745</v>
      </c>
      <c r="P439" t="s">
        <v>404</v>
      </c>
    </row>
    <row r="440" spans="1:16" x14ac:dyDescent="0.25">
      <c r="A440" t="s">
        <v>1474</v>
      </c>
      <c r="B440" t="s">
        <v>1334</v>
      </c>
      <c r="C440" s="1" t="s">
        <v>1475</v>
      </c>
      <c r="D440" t="s">
        <v>21</v>
      </c>
      <c r="E440" t="s">
        <v>22</v>
      </c>
      <c r="F440" s="2">
        <v>62363.13</v>
      </c>
      <c r="G440" s="1" t="s">
        <v>1476</v>
      </c>
      <c r="H440" t="s">
        <v>1337</v>
      </c>
      <c r="I440" t="s">
        <v>743</v>
      </c>
      <c r="J440">
        <v>6</v>
      </c>
      <c r="K440" t="s">
        <v>26</v>
      </c>
      <c r="L440" t="s">
        <v>1350</v>
      </c>
      <c r="M440" t="s">
        <v>28</v>
      </c>
      <c r="N440" t="s">
        <v>1339</v>
      </c>
      <c r="O440" t="s">
        <v>745</v>
      </c>
      <c r="P440" t="s">
        <v>404</v>
      </c>
    </row>
    <row r="441" spans="1:16" x14ac:dyDescent="0.25">
      <c r="A441" t="s">
        <v>1477</v>
      </c>
      <c r="B441" t="s">
        <v>1334</v>
      </c>
      <c r="C441" s="1" t="s">
        <v>1478</v>
      </c>
      <c r="D441" t="s">
        <v>21</v>
      </c>
      <c r="E441" t="s">
        <v>22</v>
      </c>
      <c r="F441" s="2">
        <v>107495.26</v>
      </c>
      <c r="G441" s="1" t="s">
        <v>1479</v>
      </c>
      <c r="H441" t="s">
        <v>1337</v>
      </c>
      <c r="I441" t="s">
        <v>743</v>
      </c>
      <c r="J441">
        <v>6</v>
      </c>
      <c r="K441" t="s">
        <v>26</v>
      </c>
      <c r="L441" t="s">
        <v>1350</v>
      </c>
      <c r="M441" t="s">
        <v>28</v>
      </c>
      <c r="N441" t="s">
        <v>1339</v>
      </c>
      <c r="O441" t="s">
        <v>745</v>
      </c>
      <c r="P441" t="s">
        <v>404</v>
      </c>
    </row>
    <row r="442" spans="1:16" x14ac:dyDescent="0.25">
      <c r="A442" t="s">
        <v>1480</v>
      </c>
      <c r="B442" t="s">
        <v>1334</v>
      </c>
      <c r="C442" s="1" t="s">
        <v>1481</v>
      </c>
      <c r="D442" t="s">
        <v>21</v>
      </c>
      <c r="E442" t="s">
        <v>22</v>
      </c>
      <c r="F442" s="2">
        <v>53238.67</v>
      </c>
      <c r="G442" s="1" t="s">
        <v>1482</v>
      </c>
      <c r="H442" t="s">
        <v>1337</v>
      </c>
      <c r="I442" t="s">
        <v>743</v>
      </c>
      <c r="J442">
        <v>6</v>
      </c>
      <c r="K442" t="s">
        <v>26</v>
      </c>
      <c r="L442" t="s">
        <v>1350</v>
      </c>
      <c r="M442" t="s">
        <v>28</v>
      </c>
      <c r="N442" t="s">
        <v>1339</v>
      </c>
      <c r="O442" t="s">
        <v>745</v>
      </c>
      <c r="P442" t="s">
        <v>404</v>
      </c>
    </row>
    <row r="443" spans="1:16" x14ac:dyDescent="0.25">
      <c r="A443" t="s">
        <v>1483</v>
      </c>
      <c r="B443" t="s">
        <v>1334</v>
      </c>
      <c r="C443" s="1" t="s">
        <v>1484</v>
      </c>
      <c r="D443" t="s">
        <v>21</v>
      </c>
      <c r="E443" t="s">
        <v>22</v>
      </c>
      <c r="F443" s="2">
        <v>34695.09</v>
      </c>
      <c r="G443" s="1" t="s">
        <v>1485</v>
      </c>
      <c r="H443" t="s">
        <v>1337</v>
      </c>
      <c r="I443" t="s">
        <v>743</v>
      </c>
      <c r="J443">
        <v>5</v>
      </c>
      <c r="K443" t="s">
        <v>26</v>
      </c>
      <c r="L443" t="s">
        <v>1486</v>
      </c>
      <c r="M443" t="s">
        <v>28</v>
      </c>
      <c r="N443" t="s">
        <v>1339</v>
      </c>
      <c r="O443" t="s">
        <v>745</v>
      </c>
      <c r="P443" t="s">
        <v>440</v>
      </c>
    </row>
    <row r="444" spans="1:16" x14ac:dyDescent="0.25">
      <c r="A444" t="s">
        <v>1487</v>
      </c>
      <c r="B444" t="s">
        <v>1334</v>
      </c>
      <c r="C444" s="1" t="s">
        <v>1488</v>
      </c>
      <c r="D444" t="s">
        <v>63</v>
      </c>
      <c r="E444" t="s">
        <v>64</v>
      </c>
      <c r="F444" s="2">
        <v>28121.15</v>
      </c>
      <c r="G444" s="1" t="s">
        <v>1489</v>
      </c>
      <c r="H444" t="s">
        <v>1337</v>
      </c>
      <c r="I444" t="s">
        <v>743</v>
      </c>
      <c r="J444">
        <v>4</v>
      </c>
      <c r="K444" t="s">
        <v>26</v>
      </c>
      <c r="L444" t="s">
        <v>1381</v>
      </c>
      <c r="M444" t="s">
        <v>28</v>
      </c>
      <c r="N444" t="s">
        <v>1339</v>
      </c>
      <c r="O444" t="s">
        <v>745</v>
      </c>
      <c r="P444" t="s">
        <v>31</v>
      </c>
    </row>
    <row r="445" spans="1:16" x14ac:dyDescent="0.25">
      <c r="A445" t="s">
        <v>1490</v>
      </c>
      <c r="B445" t="s">
        <v>1491</v>
      </c>
      <c r="C445" s="1" t="s">
        <v>1492</v>
      </c>
      <c r="D445" t="s">
        <v>63</v>
      </c>
      <c r="E445" t="s">
        <v>64</v>
      </c>
      <c r="F445" s="2">
        <v>70982.76</v>
      </c>
      <c r="G445" s="1" t="s">
        <v>1493</v>
      </c>
      <c r="H445" t="s">
        <v>655</v>
      </c>
      <c r="I445" t="s">
        <v>863</v>
      </c>
      <c r="J445">
        <v>4</v>
      </c>
      <c r="K445" t="s">
        <v>26</v>
      </c>
      <c r="L445" t="s">
        <v>1494</v>
      </c>
      <c r="M445" t="s">
        <v>28</v>
      </c>
      <c r="N445" t="s">
        <v>657</v>
      </c>
      <c r="O445" t="s">
        <v>259</v>
      </c>
      <c r="P445" t="s">
        <v>31</v>
      </c>
    </row>
    <row r="446" spans="1:16" x14ac:dyDescent="0.25">
      <c r="A446" t="s">
        <v>1495</v>
      </c>
      <c r="B446" t="s">
        <v>1491</v>
      </c>
      <c r="C446" s="1" t="s">
        <v>1496</v>
      </c>
      <c r="D446" t="s">
        <v>21</v>
      </c>
      <c r="E446" t="s">
        <v>22</v>
      </c>
      <c r="F446" s="2">
        <v>38944.47</v>
      </c>
      <c r="G446" s="1" t="s">
        <v>1497</v>
      </c>
      <c r="H446" t="s">
        <v>655</v>
      </c>
      <c r="I446" t="s">
        <v>1498</v>
      </c>
      <c r="J446">
        <v>6</v>
      </c>
      <c r="K446" t="s">
        <v>26</v>
      </c>
      <c r="L446" t="s">
        <v>1499</v>
      </c>
      <c r="M446" t="s">
        <v>28</v>
      </c>
      <c r="N446" t="s">
        <v>657</v>
      </c>
      <c r="O446" t="s">
        <v>1500</v>
      </c>
      <c r="P446" t="s">
        <v>31</v>
      </c>
    </row>
    <row r="447" spans="1:16" x14ac:dyDescent="0.25">
      <c r="A447" t="s">
        <v>1501</v>
      </c>
      <c r="B447" t="s">
        <v>1491</v>
      </c>
      <c r="C447" s="1" t="s">
        <v>1502</v>
      </c>
      <c r="D447" t="s">
        <v>21</v>
      </c>
      <c r="E447" t="s">
        <v>22</v>
      </c>
      <c r="F447" s="2">
        <v>43994.43</v>
      </c>
      <c r="G447" s="1" t="s">
        <v>1503</v>
      </c>
      <c r="H447" t="s">
        <v>655</v>
      </c>
      <c r="I447" t="s">
        <v>1498</v>
      </c>
      <c r="J447">
        <v>7</v>
      </c>
      <c r="K447" t="s">
        <v>26</v>
      </c>
      <c r="L447" t="s">
        <v>1499</v>
      </c>
      <c r="M447" t="s">
        <v>28</v>
      </c>
      <c r="N447" t="s">
        <v>657</v>
      </c>
      <c r="O447" t="s">
        <v>1500</v>
      </c>
      <c r="P447" t="s">
        <v>31</v>
      </c>
    </row>
    <row r="448" spans="1:16" x14ac:dyDescent="0.25">
      <c r="A448" t="s">
        <v>1504</v>
      </c>
      <c r="B448" t="s">
        <v>1491</v>
      </c>
      <c r="C448" s="1" t="s">
        <v>1505</v>
      </c>
      <c r="D448" t="s">
        <v>21</v>
      </c>
      <c r="E448" t="s">
        <v>22</v>
      </c>
      <c r="F448" s="2">
        <v>68917.42</v>
      </c>
      <c r="G448" s="1" t="s">
        <v>1506</v>
      </c>
      <c r="H448" t="s">
        <v>655</v>
      </c>
      <c r="I448" t="s">
        <v>648</v>
      </c>
      <c r="J448">
        <v>4</v>
      </c>
      <c r="K448" t="s">
        <v>26</v>
      </c>
      <c r="L448" t="s">
        <v>656</v>
      </c>
      <c r="M448" t="s">
        <v>28</v>
      </c>
      <c r="N448" t="s">
        <v>657</v>
      </c>
      <c r="O448" t="s">
        <v>650</v>
      </c>
      <c r="P448" t="s">
        <v>31</v>
      </c>
    </row>
    <row r="449" spans="1:16" x14ac:dyDescent="0.25">
      <c r="A449" t="s">
        <v>1507</v>
      </c>
      <c r="B449" t="s">
        <v>1491</v>
      </c>
      <c r="C449" s="1" t="s">
        <v>1508</v>
      </c>
      <c r="D449" t="s">
        <v>21</v>
      </c>
      <c r="E449" t="s">
        <v>22</v>
      </c>
      <c r="F449" s="2">
        <v>56282.34</v>
      </c>
      <c r="G449" s="1" t="s">
        <v>1509</v>
      </c>
      <c r="H449" t="s">
        <v>655</v>
      </c>
      <c r="I449" t="s">
        <v>648</v>
      </c>
      <c r="J449">
        <v>7</v>
      </c>
      <c r="K449" t="s">
        <v>26</v>
      </c>
      <c r="L449" t="s">
        <v>656</v>
      </c>
      <c r="M449" t="s">
        <v>28</v>
      </c>
      <c r="N449" t="s">
        <v>657</v>
      </c>
      <c r="O449" t="s">
        <v>650</v>
      </c>
      <c r="P449" t="s">
        <v>31</v>
      </c>
    </row>
    <row r="450" spans="1:16" x14ac:dyDescent="0.25">
      <c r="A450" t="s">
        <v>1510</v>
      </c>
      <c r="B450" t="s">
        <v>1491</v>
      </c>
      <c r="C450" s="1" t="s">
        <v>1511</v>
      </c>
      <c r="D450" t="s">
        <v>21</v>
      </c>
      <c r="E450" t="s">
        <v>22</v>
      </c>
      <c r="F450" s="2">
        <v>60101.62</v>
      </c>
      <c r="G450" s="1" t="s">
        <v>1512</v>
      </c>
      <c r="H450" t="s">
        <v>655</v>
      </c>
      <c r="I450" t="s">
        <v>648</v>
      </c>
      <c r="J450">
        <v>12</v>
      </c>
      <c r="K450" t="s">
        <v>26</v>
      </c>
      <c r="L450" t="s">
        <v>656</v>
      </c>
      <c r="M450" t="s">
        <v>28</v>
      </c>
      <c r="N450" t="s">
        <v>657</v>
      </c>
      <c r="O450" t="s">
        <v>650</v>
      </c>
      <c r="P450" t="s">
        <v>31</v>
      </c>
    </row>
    <row r="451" spans="1:16" x14ac:dyDescent="0.25">
      <c r="A451" t="s">
        <v>1513</v>
      </c>
      <c r="B451" t="s">
        <v>1491</v>
      </c>
      <c r="C451" s="1" t="s">
        <v>1514</v>
      </c>
      <c r="D451" t="s">
        <v>21</v>
      </c>
      <c r="E451" t="s">
        <v>22</v>
      </c>
      <c r="F451" s="2">
        <v>54096.05</v>
      </c>
      <c r="G451" s="1" t="s">
        <v>1515</v>
      </c>
      <c r="H451" t="s">
        <v>655</v>
      </c>
      <c r="I451" t="s">
        <v>648</v>
      </c>
      <c r="J451">
        <v>8</v>
      </c>
      <c r="K451" t="s">
        <v>26</v>
      </c>
      <c r="L451" t="s">
        <v>656</v>
      </c>
      <c r="M451" t="s">
        <v>28</v>
      </c>
      <c r="N451" t="s">
        <v>657</v>
      </c>
      <c r="O451" t="s">
        <v>650</v>
      </c>
      <c r="P451" t="s">
        <v>31</v>
      </c>
    </row>
    <row r="452" spans="1:16" x14ac:dyDescent="0.25">
      <c r="A452" t="s">
        <v>1516</v>
      </c>
      <c r="B452" t="s">
        <v>1491</v>
      </c>
      <c r="C452" s="1" t="s">
        <v>1517</v>
      </c>
      <c r="D452" t="s">
        <v>21</v>
      </c>
      <c r="E452" t="s">
        <v>22</v>
      </c>
      <c r="F452" s="2">
        <v>53875.39</v>
      </c>
      <c r="G452" s="1" t="s">
        <v>1518</v>
      </c>
      <c r="H452" t="s">
        <v>655</v>
      </c>
      <c r="I452" t="s">
        <v>648</v>
      </c>
      <c r="J452">
        <v>6</v>
      </c>
      <c r="K452" t="s">
        <v>26</v>
      </c>
      <c r="L452" t="s">
        <v>656</v>
      </c>
      <c r="M452" t="s">
        <v>28</v>
      </c>
      <c r="N452" t="s">
        <v>657</v>
      </c>
      <c r="O452" t="s">
        <v>650</v>
      </c>
      <c r="P452" t="s">
        <v>31</v>
      </c>
    </row>
    <row r="453" spans="1:16" x14ac:dyDescent="0.25">
      <c r="A453" t="s">
        <v>1519</v>
      </c>
      <c r="B453" t="s">
        <v>1491</v>
      </c>
      <c r="C453" s="1" t="s">
        <v>1520</v>
      </c>
      <c r="D453" t="s">
        <v>21</v>
      </c>
      <c r="E453" t="s">
        <v>22</v>
      </c>
      <c r="F453" s="2">
        <v>74418.62</v>
      </c>
      <c r="G453" s="1" t="s">
        <v>1521</v>
      </c>
      <c r="H453" t="s">
        <v>655</v>
      </c>
      <c r="I453" t="s">
        <v>648</v>
      </c>
      <c r="J453">
        <v>12</v>
      </c>
      <c r="K453" t="s">
        <v>26</v>
      </c>
      <c r="L453" t="s">
        <v>656</v>
      </c>
      <c r="M453" t="s">
        <v>28</v>
      </c>
      <c r="N453" t="s">
        <v>657</v>
      </c>
      <c r="O453" t="s">
        <v>650</v>
      </c>
      <c r="P453" t="s">
        <v>31</v>
      </c>
    </row>
    <row r="454" spans="1:16" x14ac:dyDescent="0.25">
      <c r="A454" t="s">
        <v>1522</v>
      </c>
      <c r="B454" t="s">
        <v>1491</v>
      </c>
      <c r="C454" s="1" t="s">
        <v>1523</v>
      </c>
      <c r="D454" t="s">
        <v>21</v>
      </c>
      <c r="E454" t="s">
        <v>22</v>
      </c>
      <c r="F454" s="2">
        <v>66665.75</v>
      </c>
      <c r="G454" s="1" t="s">
        <v>1524</v>
      </c>
      <c r="H454" t="s">
        <v>655</v>
      </c>
      <c r="I454" t="s">
        <v>1130</v>
      </c>
      <c r="J454">
        <v>9</v>
      </c>
      <c r="K454" t="s">
        <v>26</v>
      </c>
      <c r="L454" t="s">
        <v>1203</v>
      </c>
      <c r="M454" t="s">
        <v>28</v>
      </c>
      <c r="N454" t="s">
        <v>657</v>
      </c>
      <c r="O454" t="s">
        <v>1132</v>
      </c>
      <c r="P454" t="s">
        <v>31</v>
      </c>
    </row>
    <row r="455" spans="1:16" x14ac:dyDescent="0.25">
      <c r="A455" t="s">
        <v>1525</v>
      </c>
      <c r="B455" t="s">
        <v>1491</v>
      </c>
      <c r="C455" s="1" t="s">
        <v>1526</v>
      </c>
      <c r="D455" t="s">
        <v>21</v>
      </c>
      <c r="E455" t="s">
        <v>22</v>
      </c>
      <c r="F455" s="2">
        <v>176088.2</v>
      </c>
      <c r="G455" s="1" t="s">
        <v>1527</v>
      </c>
      <c r="H455" t="s">
        <v>655</v>
      </c>
      <c r="I455" t="s">
        <v>648</v>
      </c>
      <c r="J455">
        <v>14</v>
      </c>
      <c r="K455" t="s">
        <v>26</v>
      </c>
      <c r="L455" t="s">
        <v>656</v>
      </c>
      <c r="M455" t="s">
        <v>28</v>
      </c>
      <c r="N455" t="s">
        <v>657</v>
      </c>
      <c r="O455" t="s">
        <v>650</v>
      </c>
      <c r="P455" t="s">
        <v>31</v>
      </c>
    </row>
    <row r="456" spans="1:16" x14ac:dyDescent="0.25">
      <c r="A456" t="s">
        <v>1528</v>
      </c>
      <c r="B456" t="s">
        <v>1491</v>
      </c>
      <c r="C456" s="1" t="s">
        <v>1529</v>
      </c>
      <c r="D456" t="s">
        <v>21</v>
      </c>
      <c r="E456" t="s">
        <v>22</v>
      </c>
      <c r="F456" s="2">
        <v>78130.46</v>
      </c>
      <c r="G456" s="1" t="s">
        <v>1530</v>
      </c>
      <c r="H456" t="s">
        <v>655</v>
      </c>
      <c r="I456" t="s">
        <v>648</v>
      </c>
      <c r="J456">
        <v>12</v>
      </c>
      <c r="K456" t="s">
        <v>26</v>
      </c>
      <c r="L456" t="s">
        <v>656</v>
      </c>
      <c r="M456" t="s">
        <v>28</v>
      </c>
      <c r="N456" t="s">
        <v>657</v>
      </c>
      <c r="O456" t="s">
        <v>650</v>
      </c>
      <c r="P456" t="s">
        <v>31</v>
      </c>
    </row>
    <row r="457" spans="1:16" x14ac:dyDescent="0.25">
      <c r="A457" t="s">
        <v>1531</v>
      </c>
      <c r="B457" t="s">
        <v>1491</v>
      </c>
      <c r="C457" s="1" t="s">
        <v>1532</v>
      </c>
      <c r="D457" t="s">
        <v>21</v>
      </c>
      <c r="E457" t="s">
        <v>22</v>
      </c>
      <c r="F457" s="2">
        <v>15599.23</v>
      </c>
      <c r="G457" s="1" t="s">
        <v>1533</v>
      </c>
      <c r="H457" t="s">
        <v>655</v>
      </c>
      <c r="I457" t="s">
        <v>805</v>
      </c>
      <c r="J457">
        <v>6</v>
      </c>
      <c r="K457" t="s">
        <v>26</v>
      </c>
      <c r="L457" t="s">
        <v>1192</v>
      </c>
      <c r="M457" t="s">
        <v>28</v>
      </c>
      <c r="N457" t="s">
        <v>657</v>
      </c>
      <c r="O457" t="s">
        <v>807</v>
      </c>
      <c r="P457" t="s">
        <v>31</v>
      </c>
    </row>
    <row r="458" spans="1:16" x14ac:dyDescent="0.25">
      <c r="A458" t="s">
        <v>1534</v>
      </c>
      <c r="B458" t="s">
        <v>1491</v>
      </c>
      <c r="C458" s="1" t="s">
        <v>1535</v>
      </c>
      <c r="D458" t="s">
        <v>21</v>
      </c>
      <c r="E458" t="s">
        <v>22</v>
      </c>
      <c r="F458" s="2">
        <v>70154.47</v>
      </c>
      <c r="G458" s="1" t="s">
        <v>1536</v>
      </c>
      <c r="H458" t="s">
        <v>655</v>
      </c>
      <c r="I458" t="s">
        <v>1130</v>
      </c>
      <c r="J458">
        <v>8</v>
      </c>
      <c r="K458" t="s">
        <v>26</v>
      </c>
      <c r="L458" t="s">
        <v>1203</v>
      </c>
      <c r="M458" t="s">
        <v>28</v>
      </c>
      <c r="N458" t="s">
        <v>657</v>
      </c>
      <c r="O458" t="s">
        <v>1132</v>
      </c>
      <c r="P458" t="s">
        <v>31</v>
      </c>
    </row>
    <row r="459" spans="1:16" x14ac:dyDescent="0.25">
      <c r="A459" t="s">
        <v>1537</v>
      </c>
      <c r="B459" t="s">
        <v>1491</v>
      </c>
      <c r="C459" s="1" t="s">
        <v>1538</v>
      </c>
      <c r="D459" t="s">
        <v>42</v>
      </c>
      <c r="E459" t="s">
        <v>43</v>
      </c>
      <c r="F459" s="2">
        <v>19900.34</v>
      </c>
      <c r="G459" s="1" t="s">
        <v>1539</v>
      </c>
      <c r="H459" t="s">
        <v>655</v>
      </c>
      <c r="I459" t="s">
        <v>648</v>
      </c>
      <c r="J459">
        <v>3</v>
      </c>
      <c r="K459" t="s">
        <v>26</v>
      </c>
      <c r="L459" t="s">
        <v>656</v>
      </c>
      <c r="M459" t="s">
        <v>28</v>
      </c>
      <c r="N459" t="s">
        <v>657</v>
      </c>
      <c r="O459" t="s">
        <v>650</v>
      </c>
      <c r="P459" t="s">
        <v>31</v>
      </c>
    </row>
    <row r="460" spans="1:16" x14ac:dyDescent="0.25">
      <c r="A460" t="s">
        <v>1540</v>
      </c>
      <c r="B460" t="s">
        <v>1491</v>
      </c>
      <c r="C460" s="1" t="s">
        <v>1541</v>
      </c>
      <c r="D460" t="s">
        <v>21</v>
      </c>
      <c r="E460" t="s">
        <v>22</v>
      </c>
      <c r="F460" s="2">
        <v>58768.88</v>
      </c>
      <c r="G460" s="1" t="s">
        <v>1542</v>
      </c>
      <c r="H460" t="s">
        <v>655</v>
      </c>
      <c r="I460" t="s">
        <v>1130</v>
      </c>
      <c r="J460">
        <v>8</v>
      </c>
      <c r="K460" t="s">
        <v>26</v>
      </c>
      <c r="L460" t="s">
        <v>1203</v>
      </c>
      <c r="M460" t="s">
        <v>28</v>
      </c>
      <c r="N460" t="s">
        <v>657</v>
      </c>
      <c r="O460" t="s">
        <v>1132</v>
      </c>
      <c r="P460" t="s">
        <v>31</v>
      </c>
    </row>
    <row r="461" spans="1:16" x14ac:dyDescent="0.25">
      <c r="A461" t="s">
        <v>1543</v>
      </c>
      <c r="B461" t="s">
        <v>1491</v>
      </c>
      <c r="C461" s="1" t="s">
        <v>1544</v>
      </c>
      <c r="D461" t="s">
        <v>21</v>
      </c>
      <c r="E461" t="s">
        <v>22</v>
      </c>
      <c r="F461" s="2">
        <v>32753.4</v>
      </c>
      <c r="G461" s="1" t="s">
        <v>1545</v>
      </c>
      <c r="H461" t="s">
        <v>655</v>
      </c>
      <c r="I461" t="s">
        <v>308</v>
      </c>
      <c r="J461">
        <v>9</v>
      </c>
      <c r="K461" t="s">
        <v>26</v>
      </c>
      <c r="L461" t="s">
        <v>1164</v>
      </c>
      <c r="M461" t="s">
        <v>28</v>
      </c>
      <c r="N461" t="s">
        <v>657</v>
      </c>
      <c r="O461" t="s">
        <v>252</v>
      </c>
      <c r="P461" t="s">
        <v>31</v>
      </c>
    </row>
    <row r="462" spans="1:16" x14ac:dyDescent="0.25">
      <c r="A462" t="s">
        <v>1546</v>
      </c>
      <c r="B462" t="s">
        <v>1491</v>
      </c>
      <c r="C462" s="1" t="s">
        <v>1547</v>
      </c>
      <c r="D462" t="s">
        <v>21</v>
      </c>
      <c r="E462" t="s">
        <v>22</v>
      </c>
      <c r="F462" s="2">
        <v>106965.48</v>
      </c>
      <c r="G462" s="1" t="s">
        <v>1548</v>
      </c>
      <c r="H462" t="s">
        <v>655</v>
      </c>
      <c r="I462" t="s">
        <v>1130</v>
      </c>
      <c r="J462">
        <v>12</v>
      </c>
      <c r="K462" t="s">
        <v>26</v>
      </c>
      <c r="L462" t="s">
        <v>1203</v>
      </c>
      <c r="M462" t="s">
        <v>28</v>
      </c>
      <c r="N462" t="s">
        <v>657</v>
      </c>
      <c r="O462" t="s">
        <v>1132</v>
      </c>
      <c r="P462" t="s">
        <v>31</v>
      </c>
    </row>
    <row r="463" spans="1:16" x14ac:dyDescent="0.25">
      <c r="A463" t="s">
        <v>1549</v>
      </c>
      <c r="B463" t="s">
        <v>1491</v>
      </c>
      <c r="C463" s="1" t="s">
        <v>1550</v>
      </c>
      <c r="D463" t="s">
        <v>21</v>
      </c>
      <c r="E463" t="s">
        <v>22</v>
      </c>
      <c r="F463" s="2">
        <v>84870.19</v>
      </c>
      <c r="G463" s="1" t="s">
        <v>1551</v>
      </c>
      <c r="H463" t="s">
        <v>655</v>
      </c>
      <c r="I463" t="s">
        <v>1130</v>
      </c>
      <c r="J463">
        <v>7</v>
      </c>
      <c r="K463" t="s">
        <v>26</v>
      </c>
      <c r="L463" t="s">
        <v>1203</v>
      </c>
      <c r="M463" t="s">
        <v>28</v>
      </c>
      <c r="N463" t="s">
        <v>657</v>
      </c>
      <c r="O463" t="s">
        <v>1132</v>
      </c>
      <c r="P463" t="s">
        <v>31</v>
      </c>
    </row>
    <row r="464" spans="1:16" x14ac:dyDescent="0.25">
      <c r="A464" t="s">
        <v>1552</v>
      </c>
      <c r="B464" t="s">
        <v>1491</v>
      </c>
      <c r="C464" s="1" t="s">
        <v>1553</v>
      </c>
      <c r="D464" t="s">
        <v>21</v>
      </c>
      <c r="E464" t="s">
        <v>22</v>
      </c>
      <c r="F464" s="2">
        <v>90598.18</v>
      </c>
      <c r="G464" s="1" t="s">
        <v>1554</v>
      </c>
      <c r="H464" t="s">
        <v>655</v>
      </c>
      <c r="I464" t="s">
        <v>1130</v>
      </c>
      <c r="J464">
        <v>8</v>
      </c>
      <c r="K464" t="s">
        <v>26</v>
      </c>
      <c r="L464" t="s">
        <v>1203</v>
      </c>
      <c r="M464" t="s">
        <v>28</v>
      </c>
      <c r="N464" t="s">
        <v>657</v>
      </c>
      <c r="O464" t="s">
        <v>1132</v>
      </c>
      <c r="P464" t="s">
        <v>31</v>
      </c>
    </row>
    <row r="465" spans="1:16" x14ac:dyDescent="0.25">
      <c r="A465" t="s">
        <v>1555</v>
      </c>
      <c r="B465" t="s">
        <v>1491</v>
      </c>
      <c r="C465" s="1" t="s">
        <v>1556</v>
      </c>
      <c r="D465" t="s">
        <v>21</v>
      </c>
      <c r="E465" t="s">
        <v>22</v>
      </c>
      <c r="F465" s="2">
        <v>291192.54</v>
      </c>
      <c r="G465" s="1" t="s">
        <v>1557</v>
      </c>
      <c r="H465" t="s">
        <v>655</v>
      </c>
      <c r="I465" t="s">
        <v>401</v>
      </c>
      <c r="J465">
        <v>3</v>
      </c>
      <c r="K465" t="s">
        <v>26</v>
      </c>
      <c r="L465" t="s">
        <v>1558</v>
      </c>
      <c r="M465" t="s">
        <v>28</v>
      </c>
      <c r="N465" t="s">
        <v>657</v>
      </c>
      <c r="O465" t="s">
        <v>403</v>
      </c>
      <c r="P465" t="s">
        <v>31</v>
      </c>
    </row>
    <row r="466" spans="1:16" x14ac:dyDescent="0.25">
      <c r="A466" t="s">
        <v>1559</v>
      </c>
      <c r="B466" t="s">
        <v>1560</v>
      </c>
      <c r="C466" s="1" t="s">
        <v>1561</v>
      </c>
      <c r="D466" t="s">
        <v>42</v>
      </c>
      <c r="E466" t="s">
        <v>43</v>
      </c>
      <c r="F466" s="2">
        <v>154063.35</v>
      </c>
      <c r="G466" s="1" t="s">
        <v>1562</v>
      </c>
      <c r="H466" t="s">
        <v>655</v>
      </c>
      <c r="I466" t="s">
        <v>1498</v>
      </c>
      <c r="J466">
        <v>6</v>
      </c>
      <c r="K466" t="s">
        <v>26</v>
      </c>
      <c r="L466" t="s">
        <v>1499</v>
      </c>
      <c r="M466" t="s">
        <v>28</v>
      </c>
      <c r="N466" t="s">
        <v>657</v>
      </c>
      <c r="O466" t="s">
        <v>1500</v>
      </c>
      <c r="P466" t="s">
        <v>31</v>
      </c>
    </row>
    <row r="467" spans="1:16" x14ac:dyDescent="0.25">
      <c r="A467" t="s">
        <v>1563</v>
      </c>
      <c r="B467" t="s">
        <v>1560</v>
      </c>
      <c r="C467" s="1" t="s">
        <v>1564</v>
      </c>
      <c r="D467" t="s">
        <v>21</v>
      </c>
      <c r="E467" t="s">
        <v>22</v>
      </c>
      <c r="F467" s="2">
        <v>879553.09</v>
      </c>
      <c r="G467" s="1" t="s">
        <v>1565</v>
      </c>
      <c r="H467" t="s">
        <v>655</v>
      </c>
      <c r="I467" t="s">
        <v>1498</v>
      </c>
      <c r="J467">
        <v>9</v>
      </c>
      <c r="K467" t="s">
        <v>26</v>
      </c>
      <c r="L467" t="s">
        <v>1499</v>
      </c>
      <c r="M467" t="s">
        <v>28</v>
      </c>
      <c r="N467" t="s">
        <v>657</v>
      </c>
      <c r="O467" t="s">
        <v>1500</v>
      </c>
      <c r="P467" t="s">
        <v>31</v>
      </c>
    </row>
    <row r="468" spans="1:16" x14ac:dyDescent="0.25">
      <c r="A468" t="s">
        <v>1566</v>
      </c>
      <c r="B468" t="s">
        <v>1560</v>
      </c>
      <c r="C468" s="1" t="s">
        <v>1567</v>
      </c>
      <c r="D468" t="s">
        <v>21</v>
      </c>
      <c r="E468" t="s">
        <v>22</v>
      </c>
      <c r="F468" s="2">
        <v>589448.03</v>
      </c>
      <c r="G468" s="1" t="s">
        <v>1568</v>
      </c>
      <c r="H468" t="s">
        <v>655</v>
      </c>
      <c r="I468" t="s">
        <v>1498</v>
      </c>
      <c r="J468">
        <v>9</v>
      </c>
      <c r="K468" t="s">
        <v>26</v>
      </c>
      <c r="L468" t="s">
        <v>1499</v>
      </c>
      <c r="M468" t="s">
        <v>28</v>
      </c>
      <c r="N468" t="s">
        <v>657</v>
      </c>
      <c r="O468" t="s">
        <v>1500</v>
      </c>
      <c r="P468" t="s">
        <v>31</v>
      </c>
    </row>
    <row r="469" spans="1:16" x14ac:dyDescent="0.25">
      <c r="A469" t="s">
        <v>1569</v>
      </c>
      <c r="B469" t="s">
        <v>1560</v>
      </c>
      <c r="C469" s="1" t="s">
        <v>1570</v>
      </c>
      <c r="D469" t="s">
        <v>21</v>
      </c>
      <c r="E469" t="s">
        <v>22</v>
      </c>
      <c r="F469" s="2">
        <v>380775.5</v>
      </c>
      <c r="G469" s="1" t="s">
        <v>1571</v>
      </c>
      <c r="H469" t="s">
        <v>655</v>
      </c>
      <c r="I469" t="s">
        <v>1498</v>
      </c>
      <c r="J469">
        <v>9</v>
      </c>
      <c r="K469" t="s">
        <v>26</v>
      </c>
      <c r="L469" t="s">
        <v>1499</v>
      </c>
      <c r="M469" t="s">
        <v>28</v>
      </c>
      <c r="N469" t="s">
        <v>657</v>
      </c>
      <c r="O469" t="s">
        <v>1500</v>
      </c>
      <c r="P469" t="s">
        <v>31</v>
      </c>
    </row>
    <row r="470" spans="1:16" x14ac:dyDescent="0.25">
      <c r="A470" t="s">
        <v>1572</v>
      </c>
      <c r="B470" t="s">
        <v>1560</v>
      </c>
      <c r="C470" s="1" t="s">
        <v>1573</v>
      </c>
      <c r="D470" t="s">
        <v>21</v>
      </c>
      <c r="E470" t="s">
        <v>22</v>
      </c>
      <c r="F470" s="2">
        <v>393185.49</v>
      </c>
      <c r="G470" s="1" t="s">
        <v>1574</v>
      </c>
      <c r="H470" t="s">
        <v>655</v>
      </c>
      <c r="I470" t="s">
        <v>1498</v>
      </c>
      <c r="J470">
        <v>9</v>
      </c>
      <c r="K470" t="s">
        <v>26</v>
      </c>
      <c r="L470" t="s">
        <v>1499</v>
      </c>
      <c r="M470" t="s">
        <v>28</v>
      </c>
      <c r="N470" t="s">
        <v>657</v>
      </c>
      <c r="O470" t="s">
        <v>1500</v>
      </c>
      <c r="P470" t="s">
        <v>31</v>
      </c>
    </row>
    <row r="471" spans="1:16" x14ac:dyDescent="0.25">
      <c r="A471" t="s">
        <v>1575</v>
      </c>
      <c r="B471" t="s">
        <v>1560</v>
      </c>
      <c r="C471" s="1" t="s">
        <v>1576</v>
      </c>
      <c r="D471" t="s">
        <v>21</v>
      </c>
      <c r="E471" t="s">
        <v>22</v>
      </c>
      <c r="F471" s="2">
        <v>611744.24</v>
      </c>
      <c r="G471" s="1" t="s">
        <v>1577</v>
      </c>
      <c r="H471" t="s">
        <v>655</v>
      </c>
      <c r="I471" t="s">
        <v>1498</v>
      </c>
      <c r="J471">
        <v>9</v>
      </c>
      <c r="K471" t="s">
        <v>26</v>
      </c>
      <c r="L471" t="s">
        <v>1499</v>
      </c>
      <c r="M471" t="s">
        <v>28</v>
      </c>
      <c r="N471" t="s">
        <v>657</v>
      </c>
      <c r="O471" t="s">
        <v>1500</v>
      </c>
      <c r="P471" t="s">
        <v>31</v>
      </c>
    </row>
    <row r="472" spans="1:16" x14ac:dyDescent="0.25">
      <c r="A472" t="s">
        <v>1578</v>
      </c>
      <c r="B472" t="s">
        <v>1560</v>
      </c>
      <c r="C472" s="1" t="s">
        <v>1579</v>
      </c>
      <c r="D472" t="s">
        <v>21</v>
      </c>
      <c r="E472" t="s">
        <v>22</v>
      </c>
      <c r="F472" s="2">
        <v>397427.67</v>
      </c>
      <c r="G472" s="1" t="s">
        <v>1580</v>
      </c>
      <c r="H472" t="s">
        <v>655</v>
      </c>
      <c r="I472" t="s">
        <v>1498</v>
      </c>
      <c r="J472">
        <v>9</v>
      </c>
      <c r="K472" t="s">
        <v>26</v>
      </c>
      <c r="L472" t="s">
        <v>1499</v>
      </c>
      <c r="M472" t="s">
        <v>28</v>
      </c>
      <c r="N472" t="s">
        <v>657</v>
      </c>
      <c r="O472" t="s">
        <v>1500</v>
      </c>
      <c r="P472" t="s">
        <v>31</v>
      </c>
    </row>
    <row r="473" spans="1:16" x14ac:dyDescent="0.25">
      <c r="A473" t="s">
        <v>1581</v>
      </c>
      <c r="B473" t="s">
        <v>1560</v>
      </c>
      <c r="C473" s="1" t="s">
        <v>1582</v>
      </c>
      <c r="D473" t="s">
        <v>42</v>
      </c>
      <c r="E473" t="s">
        <v>43</v>
      </c>
      <c r="F473" s="2">
        <v>434089.67</v>
      </c>
      <c r="G473" s="1" t="s">
        <v>1583</v>
      </c>
      <c r="H473" t="s">
        <v>655</v>
      </c>
      <c r="I473" t="s">
        <v>1498</v>
      </c>
      <c r="J473">
        <v>9</v>
      </c>
      <c r="K473" t="s">
        <v>26</v>
      </c>
      <c r="L473" t="s">
        <v>1499</v>
      </c>
      <c r="M473" t="s">
        <v>28</v>
      </c>
      <c r="N473" t="s">
        <v>657</v>
      </c>
      <c r="O473" t="s">
        <v>1500</v>
      </c>
      <c r="P473" t="s">
        <v>31</v>
      </c>
    </row>
    <row r="474" spans="1:16" x14ac:dyDescent="0.25">
      <c r="A474" t="s">
        <v>1584</v>
      </c>
      <c r="B474" t="s">
        <v>1560</v>
      </c>
      <c r="C474" s="1" t="s">
        <v>1585</v>
      </c>
      <c r="D474" t="s">
        <v>42</v>
      </c>
      <c r="E474" t="s">
        <v>43</v>
      </c>
      <c r="F474" s="2">
        <v>540297.69</v>
      </c>
      <c r="G474" s="1" t="s">
        <v>1586</v>
      </c>
      <c r="H474" t="s">
        <v>655</v>
      </c>
      <c r="I474" t="s">
        <v>1498</v>
      </c>
      <c r="J474">
        <v>9</v>
      </c>
      <c r="K474" t="s">
        <v>26</v>
      </c>
      <c r="L474" t="s">
        <v>1499</v>
      </c>
      <c r="M474" t="s">
        <v>28</v>
      </c>
      <c r="N474" t="s">
        <v>657</v>
      </c>
      <c r="O474" t="s">
        <v>1500</v>
      </c>
      <c r="P474" t="s">
        <v>31</v>
      </c>
    </row>
    <row r="475" spans="1:16" x14ac:dyDescent="0.25">
      <c r="A475" t="s">
        <v>1587</v>
      </c>
      <c r="B475" t="s">
        <v>1560</v>
      </c>
      <c r="C475" s="1" t="s">
        <v>1588</v>
      </c>
      <c r="D475" t="s">
        <v>42</v>
      </c>
      <c r="E475" t="s">
        <v>43</v>
      </c>
      <c r="F475" s="2">
        <v>875470.32</v>
      </c>
      <c r="G475" s="1" t="s">
        <v>1589</v>
      </c>
      <c r="H475" t="s">
        <v>655</v>
      </c>
      <c r="I475" t="s">
        <v>1498</v>
      </c>
      <c r="J475">
        <v>9</v>
      </c>
      <c r="K475" t="s">
        <v>26</v>
      </c>
      <c r="L475" t="s">
        <v>1499</v>
      </c>
      <c r="M475" t="s">
        <v>28</v>
      </c>
      <c r="N475" t="s">
        <v>657</v>
      </c>
      <c r="O475" t="s">
        <v>1500</v>
      </c>
      <c r="P475" t="s">
        <v>31</v>
      </c>
    </row>
    <row r="476" spans="1:16" x14ac:dyDescent="0.25">
      <c r="A476" t="s">
        <v>1590</v>
      </c>
      <c r="B476" t="s">
        <v>1560</v>
      </c>
      <c r="C476" s="1" t="s">
        <v>1591</v>
      </c>
      <c r="D476" t="s">
        <v>42</v>
      </c>
      <c r="E476" t="s">
        <v>43</v>
      </c>
      <c r="F476" s="2">
        <v>448737.41</v>
      </c>
      <c r="G476" s="1" t="s">
        <v>1592</v>
      </c>
      <c r="H476" t="s">
        <v>655</v>
      </c>
      <c r="I476" t="s">
        <v>1498</v>
      </c>
      <c r="J476">
        <v>9</v>
      </c>
      <c r="K476" t="s">
        <v>26</v>
      </c>
      <c r="L476" t="s">
        <v>1499</v>
      </c>
      <c r="M476" t="s">
        <v>28</v>
      </c>
      <c r="N476" t="s">
        <v>657</v>
      </c>
      <c r="O476" t="s">
        <v>1500</v>
      </c>
      <c r="P476" t="s">
        <v>31</v>
      </c>
    </row>
    <row r="477" spans="1:16" x14ac:dyDescent="0.25">
      <c r="A477" t="s">
        <v>1593</v>
      </c>
      <c r="B477" t="s">
        <v>1560</v>
      </c>
      <c r="C477" s="1" t="s">
        <v>1594</v>
      </c>
      <c r="D477" t="s">
        <v>21</v>
      </c>
      <c r="E477" t="s">
        <v>22</v>
      </c>
      <c r="F477" s="2">
        <v>390617.87</v>
      </c>
      <c r="G477" s="1" t="s">
        <v>1595</v>
      </c>
      <c r="H477" t="s">
        <v>655</v>
      </c>
      <c r="I477" t="s">
        <v>1498</v>
      </c>
      <c r="J477">
        <v>9</v>
      </c>
      <c r="K477" t="s">
        <v>26</v>
      </c>
      <c r="L477" t="s">
        <v>1499</v>
      </c>
      <c r="M477" t="s">
        <v>28</v>
      </c>
      <c r="N477" t="s">
        <v>657</v>
      </c>
      <c r="O477" t="s">
        <v>1500</v>
      </c>
      <c r="P477" t="s">
        <v>31</v>
      </c>
    </row>
    <row r="478" spans="1:16" x14ac:dyDescent="0.25">
      <c r="A478" t="s">
        <v>1596</v>
      </c>
      <c r="B478" t="s">
        <v>1560</v>
      </c>
      <c r="C478" s="1" t="s">
        <v>1597</v>
      </c>
      <c r="D478" t="s">
        <v>21</v>
      </c>
      <c r="E478" t="s">
        <v>22</v>
      </c>
      <c r="F478" s="2">
        <v>376357.74</v>
      </c>
      <c r="G478" s="1" t="s">
        <v>1598</v>
      </c>
      <c r="H478" t="s">
        <v>655</v>
      </c>
      <c r="I478" t="s">
        <v>1498</v>
      </c>
      <c r="J478">
        <v>9</v>
      </c>
      <c r="K478" t="s">
        <v>26</v>
      </c>
      <c r="L478" t="s">
        <v>1499</v>
      </c>
      <c r="M478" t="s">
        <v>28</v>
      </c>
      <c r="N478" t="s">
        <v>657</v>
      </c>
      <c r="O478" t="s">
        <v>1500</v>
      </c>
      <c r="P478" t="s">
        <v>31</v>
      </c>
    </row>
    <row r="479" spans="1:16" x14ac:dyDescent="0.25">
      <c r="A479" t="s">
        <v>1599</v>
      </c>
      <c r="B479" t="s">
        <v>1560</v>
      </c>
      <c r="C479" s="1" t="s">
        <v>1600</v>
      </c>
      <c r="D479" t="s">
        <v>21</v>
      </c>
      <c r="E479" t="s">
        <v>22</v>
      </c>
      <c r="F479" s="2">
        <v>817550.81</v>
      </c>
      <c r="G479" s="1" t="s">
        <v>1601</v>
      </c>
      <c r="H479" t="s">
        <v>655</v>
      </c>
      <c r="I479" t="s">
        <v>1498</v>
      </c>
      <c r="J479">
        <v>10</v>
      </c>
      <c r="K479" t="s">
        <v>26</v>
      </c>
      <c r="L479" t="s">
        <v>1499</v>
      </c>
      <c r="M479" t="s">
        <v>28</v>
      </c>
      <c r="N479" t="s">
        <v>657</v>
      </c>
      <c r="O479" t="s">
        <v>1500</v>
      </c>
      <c r="P479" t="s">
        <v>31</v>
      </c>
    </row>
    <row r="480" spans="1:16" x14ac:dyDescent="0.25">
      <c r="A480" t="s">
        <v>1602</v>
      </c>
      <c r="B480" t="s">
        <v>1560</v>
      </c>
      <c r="C480" s="1" t="s">
        <v>1603</v>
      </c>
      <c r="D480" t="s">
        <v>21</v>
      </c>
      <c r="E480" t="s">
        <v>22</v>
      </c>
      <c r="F480" s="2">
        <v>365214.91</v>
      </c>
      <c r="G480" s="1" t="s">
        <v>1604</v>
      </c>
      <c r="H480" t="s">
        <v>655</v>
      </c>
      <c r="I480" t="s">
        <v>1498</v>
      </c>
      <c r="J480">
        <v>9</v>
      </c>
      <c r="K480" t="s">
        <v>26</v>
      </c>
      <c r="L480" t="s">
        <v>1499</v>
      </c>
      <c r="M480" t="s">
        <v>28</v>
      </c>
      <c r="N480" t="s">
        <v>657</v>
      </c>
      <c r="O480" t="s">
        <v>1500</v>
      </c>
      <c r="P480" t="s">
        <v>31</v>
      </c>
    </row>
    <row r="481" spans="1:16" x14ac:dyDescent="0.25">
      <c r="A481" t="s">
        <v>1605</v>
      </c>
      <c r="B481" t="s">
        <v>1560</v>
      </c>
      <c r="C481" s="1" t="s">
        <v>1606</v>
      </c>
      <c r="D481" t="s">
        <v>63</v>
      </c>
      <c r="E481" t="s">
        <v>64</v>
      </c>
      <c r="F481" s="2">
        <v>175539.79</v>
      </c>
      <c r="G481" s="1" t="s">
        <v>1607</v>
      </c>
      <c r="H481" t="s">
        <v>655</v>
      </c>
      <c r="I481" t="s">
        <v>1498</v>
      </c>
      <c r="J481">
        <v>4</v>
      </c>
      <c r="K481" t="s">
        <v>26</v>
      </c>
      <c r="L481" t="s">
        <v>1499</v>
      </c>
      <c r="M481" t="s">
        <v>28</v>
      </c>
      <c r="N481" t="s">
        <v>657</v>
      </c>
      <c r="O481" t="s">
        <v>1500</v>
      </c>
      <c r="P481" t="s">
        <v>31</v>
      </c>
    </row>
    <row r="482" spans="1:16" x14ac:dyDescent="0.25">
      <c r="A482" t="s">
        <v>1608</v>
      </c>
      <c r="B482" t="s">
        <v>1560</v>
      </c>
      <c r="C482" s="1" t="s">
        <v>1609</v>
      </c>
      <c r="D482" t="s">
        <v>63</v>
      </c>
      <c r="E482" t="s">
        <v>64</v>
      </c>
      <c r="F482" s="2">
        <v>242527.79</v>
      </c>
      <c r="G482" s="1" t="s">
        <v>1610</v>
      </c>
      <c r="H482" t="s">
        <v>655</v>
      </c>
      <c r="I482" t="s">
        <v>1498</v>
      </c>
      <c r="J482">
        <v>4</v>
      </c>
      <c r="K482" t="s">
        <v>26</v>
      </c>
      <c r="L482" t="s">
        <v>1499</v>
      </c>
      <c r="M482" t="s">
        <v>28</v>
      </c>
      <c r="N482" t="s">
        <v>657</v>
      </c>
      <c r="O482" t="s">
        <v>1500</v>
      </c>
      <c r="P482" t="s">
        <v>31</v>
      </c>
    </row>
    <row r="483" spans="1:16" x14ac:dyDescent="0.25">
      <c r="A483" t="s">
        <v>1611</v>
      </c>
      <c r="B483" t="s">
        <v>1560</v>
      </c>
      <c r="C483" s="1" t="s">
        <v>1612</v>
      </c>
      <c r="D483" t="s">
        <v>63</v>
      </c>
      <c r="E483" t="s">
        <v>64</v>
      </c>
      <c r="F483" s="2">
        <v>210141.79</v>
      </c>
      <c r="G483" s="1" t="s">
        <v>1613</v>
      </c>
      <c r="H483" t="s">
        <v>655</v>
      </c>
      <c r="I483" t="s">
        <v>1498</v>
      </c>
      <c r="J483">
        <v>4</v>
      </c>
      <c r="K483" t="s">
        <v>26</v>
      </c>
      <c r="L483" t="s">
        <v>1499</v>
      </c>
      <c r="M483" t="s">
        <v>28</v>
      </c>
      <c r="N483" t="s">
        <v>657</v>
      </c>
      <c r="O483" t="s">
        <v>1500</v>
      </c>
      <c r="P483" t="s">
        <v>31</v>
      </c>
    </row>
    <row r="484" spans="1:16" x14ac:dyDescent="0.25">
      <c r="A484" t="s">
        <v>1614</v>
      </c>
      <c r="B484" t="s">
        <v>1560</v>
      </c>
      <c r="C484" s="1" t="s">
        <v>1615</v>
      </c>
      <c r="D484" t="s">
        <v>63</v>
      </c>
      <c r="E484" t="s">
        <v>64</v>
      </c>
      <c r="F484" s="2">
        <v>156338.92</v>
      </c>
      <c r="G484" s="1" t="s">
        <v>1616</v>
      </c>
      <c r="H484" t="s">
        <v>655</v>
      </c>
      <c r="I484" t="s">
        <v>1498</v>
      </c>
      <c r="J484">
        <v>4</v>
      </c>
      <c r="K484" t="s">
        <v>26</v>
      </c>
      <c r="L484" t="s">
        <v>1499</v>
      </c>
      <c r="M484" t="s">
        <v>28</v>
      </c>
      <c r="N484" t="s">
        <v>657</v>
      </c>
      <c r="O484" t="s">
        <v>1500</v>
      </c>
      <c r="P484" t="s">
        <v>31</v>
      </c>
    </row>
    <row r="485" spans="1:16" x14ac:dyDescent="0.25">
      <c r="A485" t="s">
        <v>1617</v>
      </c>
      <c r="B485" t="s">
        <v>1560</v>
      </c>
      <c r="C485" s="1" t="s">
        <v>1618</v>
      </c>
      <c r="D485" t="s">
        <v>63</v>
      </c>
      <c r="E485" t="s">
        <v>64</v>
      </c>
      <c r="F485" s="2">
        <v>171327.79</v>
      </c>
      <c r="G485" s="1" t="s">
        <v>1619</v>
      </c>
      <c r="H485" t="s">
        <v>655</v>
      </c>
      <c r="I485" t="s">
        <v>1498</v>
      </c>
      <c r="J485">
        <v>4</v>
      </c>
      <c r="K485" t="s">
        <v>26</v>
      </c>
      <c r="L485" t="s">
        <v>1499</v>
      </c>
      <c r="M485" t="s">
        <v>28</v>
      </c>
      <c r="N485" t="s">
        <v>657</v>
      </c>
      <c r="O485" t="s">
        <v>1500</v>
      </c>
      <c r="P485" t="s">
        <v>31</v>
      </c>
    </row>
    <row r="486" spans="1:16" x14ac:dyDescent="0.25">
      <c r="A486" t="s">
        <v>1620</v>
      </c>
      <c r="B486" t="s">
        <v>1560</v>
      </c>
      <c r="C486" s="1" t="s">
        <v>1621</v>
      </c>
      <c r="D486" t="s">
        <v>63</v>
      </c>
      <c r="E486" t="s">
        <v>64</v>
      </c>
      <c r="F486" s="2">
        <v>275027.79</v>
      </c>
      <c r="G486" s="1" t="s">
        <v>1622</v>
      </c>
      <c r="H486" t="s">
        <v>655</v>
      </c>
      <c r="I486" t="s">
        <v>1498</v>
      </c>
      <c r="J486">
        <v>4</v>
      </c>
      <c r="K486" t="s">
        <v>26</v>
      </c>
      <c r="L486" t="s">
        <v>1499</v>
      </c>
      <c r="M486" t="s">
        <v>28</v>
      </c>
      <c r="N486" t="s">
        <v>657</v>
      </c>
      <c r="O486" t="s">
        <v>1500</v>
      </c>
      <c r="P486" t="s">
        <v>31</v>
      </c>
    </row>
    <row r="487" spans="1:16" x14ac:dyDescent="0.25">
      <c r="A487" t="s">
        <v>1623</v>
      </c>
      <c r="B487" t="s">
        <v>1560</v>
      </c>
      <c r="C487" s="1" t="s">
        <v>1624</v>
      </c>
      <c r="D487" t="s">
        <v>63</v>
      </c>
      <c r="E487" t="s">
        <v>64</v>
      </c>
      <c r="F487" s="2">
        <v>370577.33</v>
      </c>
      <c r="G487" s="1" t="s">
        <v>1625</v>
      </c>
      <c r="H487" t="s">
        <v>655</v>
      </c>
      <c r="I487" t="s">
        <v>1498</v>
      </c>
      <c r="J487">
        <v>9</v>
      </c>
      <c r="K487" t="s">
        <v>26</v>
      </c>
      <c r="L487" t="s">
        <v>1499</v>
      </c>
      <c r="M487" t="s">
        <v>28</v>
      </c>
      <c r="N487" t="s">
        <v>657</v>
      </c>
      <c r="O487" t="s">
        <v>1500</v>
      </c>
      <c r="P487" t="s">
        <v>31</v>
      </c>
    </row>
    <row r="488" spans="1:16" x14ac:dyDescent="0.25">
      <c r="A488" t="s">
        <v>1626</v>
      </c>
      <c r="B488" t="s">
        <v>1560</v>
      </c>
      <c r="C488" s="1" t="s">
        <v>1627</v>
      </c>
      <c r="D488" t="s">
        <v>42</v>
      </c>
      <c r="E488" t="s">
        <v>43</v>
      </c>
      <c r="F488" s="2">
        <v>738611.2</v>
      </c>
      <c r="G488" s="1" t="s">
        <v>1628</v>
      </c>
      <c r="H488" t="s">
        <v>655</v>
      </c>
      <c r="I488" t="s">
        <v>805</v>
      </c>
      <c r="J488">
        <v>9</v>
      </c>
      <c r="K488" t="s">
        <v>26</v>
      </c>
      <c r="L488" t="s">
        <v>1192</v>
      </c>
      <c r="M488" t="s">
        <v>28</v>
      </c>
      <c r="N488" t="s">
        <v>657</v>
      </c>
      <c r="O488" t="s">
        <v>807</v>
      </c>
      <c r="P488" t="s">
        <v>31</v>
      </c>
    </row>
    <row r="489" spans="1:16" x14ac:dyDescent="0.25">
      <c r="A489" t="s">
        <v>1629</v>
      </c>
      <c r="B489" t="s">
        <v>1560</v>
      </c>
      <c r="C489" s="1" t="s">
        <v>1630</v>
      </c>
      <c r="D489" t="s">
        <v>21</v>
      </c>
      <c r="E489" t="s">
        <v>22</v>
      </c>
      <c r="F489" s="2">
        <v>595290.37</v>
      </c>
      <c r="G489" s="1" t="s">
        <v>1631</v>
      </c>
      <c r="H489" t="s">
        <v>655</v>
      </c>
      <c r="I489" t="s">
        <v>805</v>
      </c>
      <c r="J489">
        <v>8</v>
      </c>
      <c r="K489" t="s">
        <v>26</v>
      </c>
      <c r="L489" t="s">
        <v>1192</v>
      </c>
      <c r="M489" t="s">
        <v>28</v>
      </c>
      <c r="N489" t="s">
        <v>657</v>
      </c>
      <c r="O489" t="s">
        <v>807</v>
      </c>
      <c r="P489" t="s">
        <v>31</v>
      </c>
    </row>
    <row r="490" spans="1:16" x14ac:dyDescent="0.25">
      <c r="A490" t="s">
        <v>1632</v>
      </c>
      <c r="B490" t="s">
        <v>1560</v>
      </c>
      <c r="C490" s="1" t="s">
        <v>1633</v>
      </c>
      <c r="D490" t="s">
        <v>42</v>
      </c>
      <c r="E490" t="s">
        <v>43</v>
      </c>
      <c r="F490" s="2">
        <v>75923.67</v>
      </c>
      <c r="G490" s="1" t="s">
        <v>1634</v>
      </c>
      <c r="H490" t="s">
        <v>655</v>
      </c>
      <c r="I490" t="s">
        <v>300</v>
      </c>
      <c r="J490">
        <v>6</v>
      </c>
      <c r="K490" t="s">
        <v>26</v>
      </c>
      <c r="L490" t="s">
        <v>685</v>
      </c>
      <c r="M490" t="s">
        <v>28</v>
      </c>
      <c r="N490" t="s">
        <v>657</v>
      </c>
      <c r="O490" t="s">
        <v>303</v>
      </c>
      <c r="P490" t="s">
        <v>31</v>
      </c>
    </row>
    <row r="491" spans="1:16" x14ac:dyDescent="0.25">
      <c r="A491" t="s">
        <v>1635</v>
      </c>
      <c r="B491" t="s">
        <v>1560</v>
      </c>
      <c r="C491" s="1" t="s">
        <v>1636</v>
      </c>
      <c r="D491" t="s">
        <v>42</v>
      </c>
      <c r="E491" t="s">
        <v>43</v>
      </c>
      <c r="F491" s="2">
        <v>94908</v>
      </c>
      <c r="G491" s="1" t="s">
        <v>1637</v>
      </c>
      <c r="H491" t="s">
        <v>655</v>
      </c>
      <c r="I491" t="s">
        <v>300</v>
      </c>
      <c r="J491">
        <v>6</v>
      </c>
      <c r="K491" t="s">
        <v>26</v>
      </c>
      <c r="L491" t="s">
        <v>685</v>
      </c>
      <c r="M491" t="s">
        <v>28</v>
      </c>
      <c r="N491" t="s">
        <v>657</v>
      </c>
      <c r="O491" t="s">
        <v>303</v>
      </c>
      <c r="P491" t="s">
        <v>31</v>
      </c>
    </row>
    <row r="492" spans="1:16" x14ac:dyDescent="0.25">
      <c r="A492" t="s">
        <v>1638</v>
      </c>
      <c r="B492" t="s">
        <v>1560</v>
      </c>
      <c r="C492" s="1" t="s">
        <v>1639</v>
      </c>
      <c r="D492" t="s">
        <v>42</v>
      </c>
      <c r="E492" t="s">
        <v>43</v>
      </c>
      <c r="F492" s="2">
        <v>281801.08</v>
      </c>
      <c r="G492" s="1" t="s">
        <v>1640</v>
      </c>
      <c r="H492" t="s">
        <v>655</v>
      </c>
      <c r="I492" t="s">
        <v>300</v>
      </c>
      <c r="J492">
        <v>6</v>
      </c>
      <c r="K492" t="s">
        <v>26</v>
      </c>
      <c r="L492" t="s">
        <v>685</v>
      </c>
      <c r="M492" t="s">
        <v>28</v>
      </c>
      <c r="N492" t="s">
        <v>657</v>
      </c>
      <c r="O492" t="s">
        <v>303</v>
      </c>
      <c r="P492" t="s">
        <v>31</v>
      </c>
    </row>
    <row r="493" spans="1:16" x14ac:dyDescent="0.25">
      <c r="A493" t="s">
        <v>1641</v>
      </c>
      <c r="B493" t="s">
        <v>1560</v>
      </c>
      <c r="C493" s="1" t="s">
        <v>1642</v>
      </c>
      <c r="D493" t="s">
        <v>42</v>
      </c>
      <c r="E493" t="s">
        <v>43</v>
      </c>
      <c r="F493" s="2">
        <v>82268.5</v>
      </c>
      <c r="G493" s="1" t="s">
        <v>1643</v>
      </c>
      <c r="H493" t="s">
        <v>655</v>
      </c>
      <c r="I493" t="s">
        <v>300</v>
      </c>
      <c r="J493">
        <v>6</v>
      </c>
      <c r="K493" t="s">
        <v>26</v>
      </c>
      <c r="L493" t="s">
        <v>685</v>
      </c>
      <c r="M493" t="s">
        <v>28</v>
      </c>
      <c r="N493" t="s">
        <v>657</v>
      </c>
      <c r="O493" t="s">
        <v>303</v>
      </c>
      <c r="P493" t="s">
        <v>31</v>
      </c>
    </row>
    <row r="494" spans="1:16" x14ac:dyDescent="0.25">
      <c r="A494" t="s">
        <v>1644</v>
      </c>
      <c r="B494" t="s">
        <v>1560</v>
      </c>
      <c r="C494" s="1" t="s">
        <v>1645</v>
      </c>
      <c r="D494" t="s">
        <v>21</v>
      </c>
      <c r="E494" t="s">
        <v>22</v>
      </c>
      <c r="F494" s="2">
        <v>85960.43</v>
      </c>
      <c r="G494" s="1" t="s">
        <v>1646</v>
      </c>
      <c r="H494" t="s">
        <v>655</v>
      </c>
      <c r="I494" t="s">
        <v>300</v>
      </c>
      <c r="J494">
        <v>6</v>
      </c>
      <c r="K494" t="s">
        <v>26</v>
      </c>
      <c r="L494" t="s">
        <v>685</v>
      </c>
      <c r="M494" t="s">
        <v>28</v>
      </c>
      <c r="N494" t="s">
        <v>657</v>
      </c>
      <c r="O494" t="s">
        <v>303</v>
      </c>
      <c r="P494" t="s">
        <v>31</v>
      </c>
    </row>
    <row r="495" spans="1:16" x14ac:dyDescent="0.25">
      <c r="A495" t="s">
        <v>1647</v>
      </c>
      <c r="B495" t="s">
        <v>1560</v>
      </c>
      <c r="C495" s="1" t="s">
        <v>1648</v>
      </c>
      <c r="D495" t="s">
        <v>42</v>
      </c>
      <c r="E495" t="s">
        <v>43</v>
      </c>
      <c r="F495" s="2">
        <v>43605.48</v>
      </c>
      <c r="G495" s="1" t="s">
        <v>1649</v>
      </c>
      <c r="H495" t="s">
        <v>655</v>
      </c>
      <c r="I495" t="s">
        <v>1498</v>
      </c>
      <c r="J495">
        <v>6</v>
      </c>
      <c r="K495" t="s">
        <v>26</v>
      </c>
      <c r="L495" t="s">
        <v>1499</v>
      </c>
      <c r="M495" t="s">
        <v>28</v>
      </c>
      <c r="N495" t="s">
        <v>657</v>
      </c>
      <c r="O495" t="s">
        <v>1500</v>
      </c>
      <c r="P495" t="s">
        <v>31</v>
      </c>
    </row>
    <row r="496" spans="1:16" x14ac:dyDescent="0.25">
      <c r="A496" t="s">
        <v>1650</v>
      </c>
      <c r="B496" t="s">
        <v>1560</v>
      </c>
      <c r="C496" s="1" t="s">
        <v>1651</v>
      </c>
      <c r="D496" t="s">
        <v>63</v>
      </c>
      <c r="E496" t="s">
        <v>64</v>
      </c>
      <c r="F496" s="2">
        <v>333497.09</v>
      </c>
      <c r="G496" s="1" t="s">
        <v>1652</v>
      </c>
      <c r="H496" t="s">
        <v>655</v>
      </c>
      <c r="I496" t="s">
        <v>1498</v>
      </c>
      <c r="J496">
        <v>9</v>
      </c>
      <c r="K496" t="s">
        <v>26</v>
      </c>
      <c r="L496" t="s">
        <v>1499</v>
      </c>
      <c r="M496" t="s">
        <v>28</v>
      </c>
      <c r="N496" t="s">
        <v>657</v>
      </c>
      <c r="O496" t="s">
        <v>1500</v>
      </c>
      <c r="P496" t="s">
        <v>31</v>
      </c>
    </row>
    <row r="497" spans="1:16" x14ac:dyDescent="0.25">
      <c r="A497" t="s">
        <v>1653</v>
      </c>
      <c r="B497" t="s">
        <v>1560</v>
      </c>
      <c r="C497" s="1" t="s">
        <v>1654</v>
      </c>
      <c r="D497" t="s">
        <v>63</v>
      </c>
      <c r="E497" t="s">
        <v>64</v>
      </c>
      <c r="F497" s="2">
        <v>470189.58</v>
      </c>
      <c r="G497" s="1" t="s">
        <v>1655</v>
      </c>
      <c r="H497" t="s">
        <v>655</v>
      </c>
      <c r="I497" t="s">
        <v>1498</v>
      </c>
      <c r="J497">
        <v>8</v>
      </c>
      <c r="K497" t="s">
        <v>26</v>
      </c>
      <c r="L497" t="s">
        <v>1499</v>
      </c>
      <c r="M497" t="s">
        <v>28</v>
      </c>
      <c r="N497" t="s">
        <v>657</v>
      </c>
      <c r="O497" t="s">
        <v>1500</v>
      </c>
      <c r="P497" t="s">
        <v>31</v>
      </c>
    </row>
    <row r="498" spans="1:16" x14ac:dyDescent="0.25">
      <c r="A498" t="s">
        <v>1656</v>
      </c>
      <c r="B498" t="s">
        <v>1560</v>
      </c>
      <c r="C498" s="1" t="s">
        <v>1657</v>
      </c>
      <c r="D498" t="s">
        <v>63</v>
      </c>
      <c r="E498" t="s">
        <v>64</v>
      </c>
      <c r="F498" s="2">
        <v>1128287.67</v>
      </c>
      <c r="G498" s="1" t="s">
        <v>1658</v>
      </c>
      <c r="H498" t="s">
        <v>655</v>
      </c>
      <c r="I498" t="s">
        <v>1498</v>
      </c>
      <c r="J498">
        <v>9</v>
      </c>
      <c r="K498" t="s">
        <v>26</v>
      </c>
      <c r="L498" t="s">
        <v>1499</v>
      </c>
      <c r="M498" t="s">
        <v>28</v>
      </c>
      <c r="N498" t="s">
        <v>657</v>
      </c>
      <c r="O498" t="s">
        <v>1500</v>
      </c>
      <c r="P498" t="s">
        <v>31</v>
      </c>
    </row>
    <row r="499" spans="1:16" x14ac:dyDescent="0.25">
      <c r="A499" t="s">
        <v>1659</v>
      </c>
      <c r="B499" t="s">
        <v>1560</v>
      </c>
      <c r="C499" s="1" t="s">
        <v>1660</v>
      </c>
      <c r="D499" t="s">
        <v>63</v>
      </c>
      <c r="E499" t="s">
        <v>64</v>
      </c>
      <c r="F499" s="2">
        <v>1368014.03</v>
      </c>
      <c r="G499" s="1" t="s">
        <v>1661</v>
      </c>
      <c r="H499" t="s">
        <v>655</v>
      </c>
      <c r="I499" t="s">
        <v>1498</v>
      </c>
      <c r="J499">
        <v>9</v>
      </c>
      <c r="K499" t="s">
        <v>26</v>
      </c>
      <c r="L499" t="s">
        <v>1499</v>
      </c>
      <c r="M499" t="s">
        <v>28</v>
      </c>
      <c r="N499" t="s">
        <v>657</v>
      </c>
      <c r="O499" t="s">
        <v>1500</v>
      </c>
      <c r="P499" t="s">
        <v>31</v>
      </c>
    </row>
    <row r="500" spans="1:16" x14ac:dyDescent="0.25">
      <c r="A500" t="s">
        <v>1662</v>
      </c>
      <c r="B500" t="s">
        <v>1560</v>
      </c>
      <c r="C500" s="1" t="s">
        <v>1663</v>
      </c>
      <c r="D500" t="s">
        <v>21</v>
      </c>
      <c r="E500" t="s">
        <v>22</v>
      </c>
      <c r="F500" s="2">
        <v>114756.95</v>
      </c>
      <c r="G500" s="1" t="s">
        <v>1664</v>
      </c>
      <c r="H500" t="s">
        <v>655</v>
      </c>
      <c r="I500" t="s">
        <v>1498</v>
      </c>
      <c r="J500">
        <v>8</v>
      </c>
      <c r="K500" t="s">
        <v>26</v>
      </c>
      <c r="L500" t="s">
        <v>1499</v>
      </c>
      <c r="M500" t="s">
        <v>28</v>
      </c>
      <c r="N500" t="s">
        <v>657</v>
      </c>
      <c r="O500" t="s">
        <v>1500</v>
      </c>
      <c r="P500" t="s">
        <v>31</v>
      </c>
    </row>
    <row r="501" spans="1:16" x14ac:dyDescent="0.25">
      <c r="A501" t="s">
        <v>1665</v>
      </c>
      <c r="B501" t="s">
        <v>1560</v>
      </c>
      <c r="C501" s="1" t="s">
        <v>1666</v>
      </c>
      <c r="D501" t="s">
        <v>21</v>
      </c>
      <c r="E501" t="s">
        <v>22</v>
      </c>
      <c r="F501" s="2">
        <v>145621.1</v>
      </c>
      <c r="G501" s="1" t="s">
        <v>1667</v>
      </c>
      <c r="H501" t="s">
        <v>655</v>
      </c>
      <c r="I501" t="s">
        <v>1498</v>
      </c>
      <c r="J501">
        <v>8</v>
      </c>
      <c r="K501" t="s">
        <v>26</v>
      </c>
      <c r="L501" t="s">
        <v>1499</v>
      </c>
      <c r="M501" t="s">
        <v>28</v>
      </c>
      <c r="N501" t="s">
        <v>657</v>
      </c>
      <c r="O501" t="s">
        <v>1500</v>
      </c>
      <c r="P501" t="s">
        <v>31</v>
      </c>
    </row>
    <row r="502" spans="1:16" x14ac:dyDescent="0.25">
      <c r="A502" t="s">
        <v>1668</v>
      </c>
      <c r="B502" t="s">
        <v>1560</v>
      </c>
      <c r="C502" s="1" t="s">
        <v>1669</v>
      </c>
      <c r="D502" t="s">
        <v>21</v>
      </c>
      <c r="E502" t="s">
        <v>22</v>
      </c>
      <c r="F502" s="2">
        <v>358010.2</v>
      </c>
      <c r="G502" s="1" t="s">
        <v>1670</v>
      </c>
      <c r="H502" t="s">
        <v>655</v>
      </c>
      <c r="I502" t="s">
        <v>1498</v>
      </c>
      <c r="J502">
        <v>8</v>
      </c>
      <c r="K502" t="s">
        <v>26</v>
      </c>
      <c r="L502" t="s">
        <v>1499</v>
      </c>
      <c r="M502" t="s">
        <v>28</v>
      </c>
      <c r="N502" t="s">
        <v>657</v>
      </c>
      <c r="O502" t="s">
        <v>1500</v>
      </c>
      <c r="P502" t="s">
        <v>31</v>
      </c>
    </row>
    <row r="503" spans="1:16" x14ac:dyDescent="0.25">
      <c r="A503" t="s">
        <v>1671</v>
      </c>
      <c r="B503" t="s">
        <v>1560</v>
      </c>
      <c r="C503" s="1" t="s">
        <v>1672</v>
      </c>
      <c r="D503" t="s">
        <v>21</v>
      </c>
      <c r="E503" t="s">
        <v>22</v>
      </c>
      <c r="F503" s="2">
        <v>134281.2</v>
      </c>
      <c r="G503" s="1" t="s">
        <v>1673</v>
      </c>
      <c r="H503" t="s">
        <v>655</v>
      </c>
      <c r="I503" t="s">
        <v>1498</v>
      </c>
      <c r="J503">
        <v>8</v>
      </c>
      <c r="K503" t="s">
        <v>26</v>
      </c>
      <c r="L503" t="s">
        <v>1499</v>
      </c>
      <c r="M503" t="s">
        <v>28</v>
      </c>
      <c r="N503" t="s">
        <v>657</v>
      </c>
      <c r="O503" t="s">
        <v>1500</v>
      </c>
      <c r="P503" t="s">
        <v>31</v>
      </c>
    </row>
    <row r="504" spans="1:16" x14ac:dyDescent="0.25">
      <c r="A504" t="s">
        <v>1674</v>
      </c>
      <c r="B504" t="s">
        <v>1560</v>
      </c>
      <c r="C504" s="1" t="s">
        <v>1675</v>
      </c>
      <c r="D504" t="s">
        <v>21</v>
      </c>
      <c r="E504" t="s">
        <v>22</v>
      </c>
      <c r="F504" s="2">
        <v>265010.2</v>
      </c>
      <c r="G504" s="1" t="s">
        <v>1676</v>
      </c>
      <c r="H504" t="s">
        <v>655</v>
      </c>
      <c r="I504" t="s">
        <v>1498</v>
      </c>
      <c r="J504">
        <v>8</v>
      </c>
      <c r="K504" t="s">
        <v>26</v>
      </c>
      <c r="L504" t="s">
        <v>1499</v>
      </c>
      <c r="M504" t="s">
        <v>28</v>
      </c>
      <c r="N504" t="s">
        <v>657</v>
      </c>
      <c r="O504" t="s">
        <v>1500</v>
      </c>
      <c r="P504" t="s">
        <v>31</v>
      </c>
    </row>
    <row r="505" spans="1:16" x14ac:dyDescent="0.25">
      <c r="A505" t="s">
        <v>1677</v>
      </c>
      <c r="B505" t="s">
        <v>1678</v>
      </c>
      <c r="C505" s="1" t="s">
        <v>1679</v>
      </c>
      <c r="D505" t="s">
        <v>42</v>
      </c>
      <c r="E505" t="s">
        <v>43</v>
      </c>
      <c r="F505" s="2">
        <v>91541.51</v>
      </c>
      <c r="G505" s="1" t="s">
        <v>1680</v>
      </c>
      <c r="H505" t="s">
        <v>655</v>
      </c>
      <c r="I505" t="s">
        <v>540</v>
      </c>
      <c r="J505">
        <v>9</v>
      </c>
      <c r="K505" t="s">
        <v>26</v>
      </c>
      <c r="L505" t="s">
        <v>698</v>
      </c>
      <c r="M505" t="s">
        <v>28</v>
      </c>
      <c r="N505" t="s">
        <v>657</v>
      </c>
      <c r="O505" t="s">
        <v>542</v>
      </c>
      <c r="P505" t="s">
        <v>31</v>
      </c>
    </row>
    <row r="506" spans="1:16" x14ac:dyDescent="0.25">
      <c r="A506" t="s">
        <v>1681</v>
      </c>
      <c r="B506" t="s">
        <v>1678</v>
      </c>
      <c r="C506" s="1" t="s">
        <v>1682</v>
      </c>
      <c r="D506" t="s">
        <v>42</v>
      </c>
      <c r="E506" t="s">
        <v>43</v>
      </c>
      <c r="F506" s="2">
        <v>95438.38</v>
      </c>
      <c r="G506" s="1" t="s">
        <v>1683</v>
      </c>
      <c r="H506" t="s">
        <v>655</v>
      </c>
      <c r="I506" t="s">
        <v>540</v>
      </c>
      <c r="J506">
        <v>10</v>
      </c>
      <c r="K506" t="s">
        <v>26</v>
      </c>
      <c r="L506" t="s">
        <v>698</v>
      </c>
      <c r="M506" t="s">
        <v>28</v>
      </c>
      <c r="N506" t="s">
        <v>657</v>
      </c>
      <c r="O506" t="s">
        <v>542</v>
      </c>
      <c r="P506" t="s">
        <v>31</v>
      </c>
    </row>
    <row r="507" spans="1:16" x14ac:dyDescent="0.25">
      <c r="A507" t="s">
        <v>1684</v>
      </c>
      <c r="B507" t="s">
        <v>1678</v>
      </c>
      <c r="C507" s="1" t="s">
        <v>1685</v>
      </c>
      <c r="D507" t="s">
        <v>21</v>
      </c>
      <c r="E507" t="s">
        <v>22</v>
      </c>
      <c r="F507" s="2">
        <v>363361.29</v>
      </c>
      <c r="G507" s="1" t="s">
        <v>1686</v>
      </c>
      <c r="H507" t="s">
        <v>655</v>
      </c>
      <c r="I507" t="s">
        <v>1687</v>
      </c>
      <c r="J507">
        <v>4</v>
      </c>
      <c r="K507" t="s">
        <v>26</v>
      </c>
      <c r="L507" t="s">
        <v>1499</v>
      </c>
      <c r="M507" t="s">
        <v>28</v>
      </c>
      <c r="N507" t="s">
        <v>657</v>
      </c>
      <c r="O507" t="s">
        <v>1500</v>
      </c>
      <c r="P507" t="s">
        <v>31</v>
      </c>
    </row>
    <row r="508" spans="1:16" x14ac:dyDescent="0.25">
      <c r="A508" t="s">
        <v>1688</v>
      </c>
      <c r="B508" t="s">
        <v>1678</v>
      </c>
      <c r="C508" s="1" t="s">
        <v>1689</v>
      </c>
      <c r="D508" t="s">
        <v>21</v>
      </c>
      <c r="E508" t="s">
        <v>22</v>
      </c>
      <c r="F508" s="2">
        <v>207979.29</v>
      </c>
      <c r="G508" s="1" t="s">
        <v>1690</v>
      </c>
      <c r="H508" t="s">
        <v>655</v>
      </c>
      <c r="I508" t="s">
        <v>1498</v>
      </c>
      <c r="J508">
        <v>4</v>
      </c>
      <c r="K508" t="s">
        <v>26</v>
      </c>
      <c r="L508" t="s">
        <v>1499</v>
      </c>
      <c r="M508" t="s">
        <v>28</v>
      </c>
      <c r="N508" t="s">
        <v>657</v>
      </c>
      <c r="O508" t="s">
        <v>1500</v>
      </c>
      <c r="P508" t="s">
        <v>31</v>
      </c>
    </row>
    <row r="509" spans="1:16" x14ac:dyDescent="0.25">
      <c r="A509" t="s">
        <v>1691</v>
      </c>
      <c r="B509" t="s">
        <v>1678</v>
      </c>
      <c r="C509" s="1" t="s">
        <v>1692</v>
      </c>
      <c r="D509" t="s">
        <v>42</v>
      </c>
      <c r="E509" t="s">
        <v>43</v>
      </c>
      <c r="F509" s="2">
        <v>200041.2</v>
      </c>
      <c r="G509" s="1" t="s">
        <v>1693</v>
      </c>
      <c r="H509" t="s">
        <v>655</v>
      </c>
      <c r="I509" t="s">
        <v>308</v>
      </c>
      <c r="J509">
        <v>9</v>
      </c>
      <c r="K509" t="s">
        <v>26</v>
      </c>
      <c r="L509" t="s">
        <v>1164</v>
      </c>
      <c r="M509" t="s">
        <v>28</v>
      </c>
      <c r="N509" t="s">
        <v>657</v>
      </c>
      <c r="O509" t="s">
        <v>252</v>
      </c>
      <c r="P509" t="s">
        <v>31</v>
      </c>
    </row>
    <row r="510" spans="1:16" x14ac:dyDescent="0.25">
      <c r="A510" t="s">
        <v>1694</v>
      </c>
      <c r="B510" t="s">
        <v>1678</v>
      </c>
      <c r="C510" s="1" t="s">
        <v>1695</v>
      </c>
      <c r="D510" t="s">
        <v>21</v>
      </c>
      <c r="E510" t="s">
        <v>22</v>
      </c>
      <c r="F510" s="2">
        <v>303419.88</v>
      </c>
      <c r="G510" s="1" t="s">
        <v>1696</v>
      </c>
      <c r="H510" t="s">
        <v>655</v>
      </c>
      <c r="I510" t="s">
        <v>1498</v>
      </c>
      <c r="J510">
        <v>4</v>
      </c>
      <c r="K510" t="s">
        <v>26</v>
      </c>
      <c r="L510" t="s">
        <v>1499</v>
      </c>
      <c r="M510" t="s">
        <v>28</v>
      </c>
      <c r="N510" t="s">
        <v>657</v>
      </c>
      <c r="O510" t="s">
        <v>1500</v>
      </c>
      <c r="P510" t="s">
        <v>31</v>
      </c>
    </row>
    <row r="511" spans="1:16" x14ac:dyDescent="0.25">
      <c r="A511" t="s">
        <v>1697</v>
      </c>
      <c r="B511" t="s">
        <v>1678</v>
      </c>
      <c r="C511" s="1" t="s">
        <v>1698</v>
      </c>
      <c r="D511" t="s">
        <v>63</v>
      </c>
      <c r="E511" t="s">
        <v>64</v>
      </c>
      <c r="F511" s="2">
        <v>142509.3</v>
      </c>
      <c r="G511" s="1" t="s">
        <v>1699</v>
      </c>
      <c r="H511" t="s">
        <v>655</v>
      </c>
      <c r="I511" t="s">
        <v>1498</v>
      </c>
      <c r="J511">
        <v>5</v>
      </c>
      <c r="K511" t="s">
        <v>26</v>
      </c>
      <c r="L511" t="s">
        <v>1700</v>
      </c>
      <c r="M511" t="s">
        <v>28</v>
      </c>
      <c r="N511" t="s">
        <v>657</v>
      </c>
      <c r="O511" t="s">
        <v>1500</v>
      </c>
      <c r="P511" t="s">
        <v>404</v>
      </c>
    </row>
    <row r="512" spans="1:16" x14ac:dyDescent="0.25">
      <c r="A512" t="s">
        <v>1701</v>
      </c>
      <c r="B512" t="s">
        <v>1678</v>
      </c>
      <c r="C512" s="1" t="s">
        <v>1702</v>
      </c>
      <c r="D512" t="s">
        <v>21</v>
      </c>
      <c r="E512" t="s">
        <v>22</v>
      </c>
      <c r="F512" s="2">
        <v>224637.24</v>
      </c>
      <c r="G512" s="1" t="s">
        <v>1703</v>
      </c>
      <c r="H512" t="s">
        <v>655</v>
      </c>
      <c r="I512" t="s">
        <v>1498</v>
      </c>
      <c r="J512">
        <v>5</v>
      </c>
      <c r="K512" t="s">
        <v>26</v>
      </c>
      <c r="L512" t="s">
        <v>1700</v>
      </c>
      <c r="M512" t="s">
        <v>28</v>
      </c>
      <c r="N512" t="s">
        <v>657</v>
      </c>
      <c r="O512" t="s">
        <v>1500</v>
      </c>
      <c r="P512" t="s">
        <v>404</v>
      </c>
    </row>
    <row r="513" spans="1:16" x14ac:dyDescent="0.25">
      <c r="A513" t="s">
        <v>1704</v>
      </c>
      <c r="B513" t="s">
        <v>1678</v>
      </c>
      <c r="C513" s="1" t="s">
        <v>1705</v>
      </c>
      <c r="D513" t="s">
        <v>21</v>
      </c>
      <c r="E513" t="s">
        <v>22</v>
      </c>
      <c r="F513" s="2">
        <v>221233.2</v>
      </c>
      <c r="G513" s="1" t="s">
        <v>1706</v>
      </c>
      <c r="H513" t="s">
        <v>655</v>
      </c>
      <c r="I513" t="s">
        <v>1498</v>
      </c>
      <c r="J513">
        <v>11</v>
      </c>
      <c r="K513" t="s">
        <v>26</v>
      </c>
      <c r="L513" t="s">
        <v>1700</v>
      </c>
      <c r="M513" t="s">
        <v>28</v>
      </c>
      <c r="N513" t="s">
        <v>657</v>
      </c>
      <c r="O513" t="s">
        <v>1500</v>
      </c>
      <c r="P513" t="s">
        <v>404</v>
      </c>
    </row>
    <row r="514" spans="1:16" x14ac:dyDescent="0.25">
      <c r="A514" t="s">
        <v>1707</v>
      </c>
      <c r="B514" t="s">
        <v>1678</v>
      </c>
      <c r="C514" s="1" t="s">
        <v>1708</v>
      </c>
      <c r="D514" t="s">
        <v>63</v>
      </c>
      <c r="E514" t="s">
        <v>64</v>
      </c>
      <c r="F514" s="2">
        <v>421727.62</v>
      </c>
      <c r="G514" s="1" t="s">
        <v>1709</v>
      </c>
      <c r="H514" t="s">
        <v>655</v>
      </c>
      <c r="I514" t="s">
        <v>1498</v>
      </c>
      <c r="J514">
        <v>8</v>
      </c>
      <c r="K514" t="s">
        <v>26</v>
      </c>
      <c r="L514" t="s">
        <v>1700</v>
      </c>
      <c r="M514" t="s">
        <v>28</v>
      </c>
      <c r="N514" t="s">
        <v>657</v>
      </c>
      <c r="O514" t="s">
        <v>1500</v>
      </c>
      <c r="P514" t="s">
        <v>404</v>
      </c>
    </row>
    <row r="515" spans="1:16" x14ac:dyDescent="0.25">
      <c r="A515" t="s">
        <v>1710</v>
      </c>
      <c r="B515" t="s">
        <v>1678</v>
      </c>
      <c r="C515" s="1" t="s">
        <v>1711</v>
      </c>
      <c r="D515" t="s">
        <v>21</v>
      </c>
      <c r="E515" t="s">
        <v>22</v>
      </c>
      <c r="F515" s="2">
        <v>91883.05</v>
      </c>
      <c r="G515" s="1" t="s">
        <v>1712</v>
      </c>
      <c r="H515" t="s">
        <v>655</v>
      </c>
      <c r="I515" t="s">
        <v>1498</v>
      </c>
      <c r="J515">
        <v>7</v>
      </c>
      <c r="K515" t="s">
        <v>26</v>
      </c>
      <c r="L515" t="s">
        <v>1700</v>
      </c>
      <c r="M515" t="s">
        <v>28</v>
      </c>
      <c r="N515" t="s">
        <v>657</v>
      </c>
      <c r="O515" t="s">
        <v>1500</v>
      </c>
      <c r="P515" t="s">
        <v>404</v>
      </c>
    </row>
    <row r="516" spans="1:16" x14ac:dyDescent="0.25">
      <c r="A516" t="s">
        <v>1713</v>
      </c>
      <c r="B516" t="s">
        <v>1678</v>
      </c>
      <c r="C516" s="1" t="s">
        <v>1714</v>
      </c>
      <c r="D516" t="s">
        <v>21</v>
      </c>
      <c r="E516" t="s">
        <v>22</v>
      </c>
      <c r="F516" s="2">
        <v>171857.78</v>
      </c>
      <c r="G516" s="1" t="s">
        <v>1715</v>
      </c>
      <c r="H516" t="s">
        <v>655</v>
      </c>
      <c r="I516" t="s">
        <v>1498</v>
      </c>
      <c r="J516">
        <v>8</v>
      </c>
      <c r="K516" t="s">
        <v>26</v>
      </c>
      <c r="L516" t="s">
        <v>1700</v>
      </c>
      <c r="M516" t="s">
        <v>28</v>
      </c>
      <c r="N516" t="s">
        <v>657</v>
      </c>
      <c r="O516" t="s">
        <v>1500</v>
      </c>
      <c r="P516" t="s">
        <v>404</v>
      </c>
    </row>
    <row r="517" spans="1:16" x14ac:dyDescent="0.25">
      <c r="A517" t="s">
        <v>1716</v>
      </c>
      <c r="B517" t="s">
        <v>1678</v>
      </c>
      <c r="C517" s="1" t="s">
        <v>1717</v>
      </c>
      <c r="D517" t="s">
        <v>42</v>
      </c>
      <c r="E517" t="s">
        <v>43</v>
      </c>
      <c r="F517" s="2">
        <v>12068.45</v>
      </c>
      <c r="G517" s="1" t="s">
        <v>1718</v>
      </c>
      <c r="H517" t="s">
        <v>655</v>
      </c>
      <c r="I517" t="s">
        <v>805</v>
      </c>
      <c r="J517">
        <v>6</v>
      </c>
      <c r="K517" t="s">
        <v>26</v>
      </c>
      <c r="L517" t="s">
        <v>1148</v>
      </c>
      <c r="M517" t="s">
        <v>28</v>
      </c>
      <c r="N517" t="s">
        <v>657</v>
      </c>
      <c r="O517" t="s">
        <v>807</v>
      </c>
      <c r="P517" t="s">
        <v>404</v>
      </c>
    </row>
    <row r="518" spans="1:16" x14ac:dyDescent="0.25">
      <c r="A518" t="s">
        <v>1719</v>
      </c>
      <c r="B518" t="s">
        <v>1678</v>
      </c>
      <c r="C518" s="1" t="s">
        <v>1720</v>
      </c>
      <c r="D518" t="s">
        <v>21</v>
      </c>
      <c r="E518" t="s">
        <v>22</v>
      </c>
      <c r="F518" s="2">
        <v>221874.28</v>
      </c>
      <c r="G518" s="1" t="s">
        <v>1721</v>
      </c>
      <c r="H518" t="s">
        <v>655</v>
      </c>
      <c r="I518" t="s">
        <v>1687</v>
      </c>
      <c r="J518">
        <v>11</v>
      </c>
      <c r="K518" t="s">
        <v>26</v>
      </c>
      <c r="L518" t="s">
        <v>1700</v>
      </c>
      <c r="M518" t="s">
        <v>28</v>
      </c>
      <c r="N518" t="s">
        <v>657</v>
      </c>
      <c r="O518" t="s">
        <v>1500</v>
      </c>
      <c r="P518" t="s">
        <v>404</v>
      </c>
    </row>
    <row r="519" spans="1:16" x14ac:dyDescent="0.25">
      <c r="A519" t="s">
        <v>1722</v>
      </c>
      <c r="B519" t="s">
        <v>1678</v>
      </c>
      <c r="C519" s="1" t="s">
        <v>1723</v>
      </c>
      <c r="D519" t="s">
        <v>21</v>
      </c>
      <c r="E519" t="s">
        <v>22</v>
      </c>
      <c r="F519" s="2">
        <v>224019.25</v>
      </c>
      <c r="G519" s="1" t="s">
        <v>1724</v>
      </c>
      <c r="H519" t="s">
        <v>655</v>
      </c>
      <c r="I519" t="s">
        <v>1498</v>
      </c>
      <c r="J519">
        <v>4</v>
      </c>
      <c r="K519" t="s">
        <v>26</v>
      </c>
      <c r="L519" t="s">
        <v>1499</v>
      </c>
      <c r="M519" t="s">
        <v>28</v>
      </c>
      <c r="N519" t="s">
        <v>657</v>
      </c>
      <c r="O519" t="s">
        <v>1500</v>
      </c>
      <c r="P519" t="s">
        <v>31</v>
      </c>
    </row>
    <row r="520" spans="1:16" x14ac:dyDescent="0.25">
      <c r="A520" t="s">
        <v>1725</v>
      </c>
      <c r="B520" t="s">
        <v>1678</v>
      </c>
      <c r="C520" s="1" t="s">
        <v>1726</v>
      </c>
      <c r="D520" t="s">
        <v>21</v>
      </c>
      <c r="E520" t="s">
        <v>22</v>
      </c>
      <c r="F520" s="2">
        <v>184512.94</v>
      </c>
      <c r="G520" s="1" t="s">
        <v>1727</v>
      </c>
      <c r="H520" t="s">
        <v>655</v>
      </c>
      <c r="I520" t="s">
        <v>1498</v>
      </c>
      <c r="J520">
        <v>4</v>
      </c>
      <c r="K520" t="s">
        <v>26</v>
      </c>
      <c r="L520" t="s">
        <v>1499</v>
      </c>
      <c r="M520" t="s">
        <v>28</v>
      </c>
      <c r="N520" t="s">
        <v>657</v>
      </c>
      <c r="O520" t="s">
        <v>1500</v>
      </c>
      <c r="P520" t="s">
        <v>31</v>
      </c>
    </row>
    <row r="521" spans="1:16" x14ac:dyDescent="0.25">
      <c r="A521" t="s">
        <v>1728</v>
      </c>
      <c r="B521" t="s">
        <v>1678</v>
      </c>
      <c r="C521" s="1" t="s">
        <v>1729</v>
      </c>
      <c r="D521" t="s">
        <v>21</v>
      </c>
      <c r="E521" t="s">
        <v>22</v>
      </c>
      <c r="F521" s="2">
        <v>587723.89</v>
      </c>
      <c r="G521" s="1" t="s">
        <v>1730</v>
      </c>
      <c r="H521" t="s">
        <v>655</v>
      </c>
      <c r="I521" t="s">
        <v>401</v>
      </c>
      <c r="J521">
        <v>5</v>
      </c>
      <c r="K521" t="s">
        <v>26</v>
      </c>
      <c r="L521" t="s">
        <v>1558</v>
      </c>
      <c r="M521" t="s">
        <v>28</v>
      </c>
      <c r="N521" t="s">
        <v>657</v>
      </c>
      <c r="O521" t="s">
        <v>403</v>
      </c>
      <c r="P521" t="s">
        <v>31</v>
      </c>
    </row>
    <row r="522" spans="1:16" x14ac:dyDescent="0.25">
      <c r="A522" t="s">
        <v>1731</v>
      </c>
      <c r="B522" t="s">
        <v>1678</v>
      </c>
      <c r="C522" s="1" t="s">
        <v>1732</v>
      </c>
      <c r="D522" t="s">
        <v>42</v>
      </c>
      <c r="E522" t="s">
        <v>43</v>
      </c>
      <c r="F522" s="2">
        <v>193976.68</v>
      </c>
      <c r="G522" s="1" t="s">
        <v>1733</v>
      </c>
      <c r="H522" t="s">
        <v>655</v>
      </c>
      <c r="I522" t="s">
        <v>401</v>
      </c>
      <c r="J522">
        <v>5</v>
      </c>
      <c r="K522" t="s">
        <v>26</v>
      </c>
      <c r="L522" t="s">
        <v>1558</v>
      </c>
      <c r="M522" t="s">
        <v>28</v>
      </c>
      <c r="N522" t="s">
        <v>657</v>
      </c>
      <c r="O522" t="s">
        <v>403</v>
      </c>
      <c r="P522" t="s">
        <v>31</v>
      </c>
    </row>
    <row r="523" spans="1:16" x14ac:dyDescent="0.25">
      <c r="A523" t="s">
        <v>1734</v>
      </c>
      <c r="B523" t="s">
        <v>1735</v>
      </c>
      <c r="C523" s="1" t="s">
        <v>1736</v>
      </c>
      <c r="D523" t="s">
        <v>63</v>
      </c>
      <c r="E523" t="s">
        <v>64</v>
      </c>
      <c r="F523" s="2">
        <v>665592.83</v>
      </c>
      <c r="G523" s="1" t="s">
        <v>1737</v>
      </c>
      <c r="H523" t="s">
        <v>655</v>
      </c>
      <c r="I523" t="s">
        <v>712</v>
      </c>
      <c r="J523">
        <v>6</v>
      </c>
      <c r="K523" t="s">
        <v>26</v>
      </c>
      <c r="L523" t="s">
        <v>1164</v>
      </c>
      <c r="M523" t="s">
        <v>28</v>
      </c>
      <c r="N523" t="s">
        <v>657</v>
      </c>
      <c r="O523" t="s">
        <v>252</v>
      </c>
      <c r="P523" t="s">
        <v>31</v>
      </c>
    </row>
    <row r="524" spans="1:16" x14ac:dyDescent="0.25">
      <c r="A524" t="s">
        <v>1738</v>
      </c>
      <c r="B524" t="s">
        <v>1735</v>
      </c>
      <c r="C524" s="1" t="s">
        <v>1739</v>
      </c>
      <c r="D524" t="s">
        <v>63</v>
      </c>
      <c r="E524" t="s">
        <v>64</v>
      </c>
      <c r="F524" s="2">
        <v>82641.39</v>
      </c>
      <c r="G524" s="1" t="s">
        <v>1740</v>
      </c>
      <c r="H524" t="s">
        <v>655</v>
      </c>
      <c r="I524" t="s">
        <v>712</v>
      </c>
      <c r="J524">
        <v>4</v>
      </c>
      <c r="K524" t="s">
        <v>26</v>
      </c>
      <c r="L524" t="s">
        <v>1164</v>
      </c>
      <c r="M524" t="s">
        <v>28</v>
      </c>
      <c r="N524" t="s">
        <v>657</v>
      </c>
      <c r="O524" t="s">
        <v>252</v>
      </c>
      <c r="P524" t="s">
        <v>31</v>
      </c>
    </row>
    <row r="525" spans="1:16" x14ac:dyDescent="0.25">
      <c r="A525" t="s">
        <v>1741</v>
      </c>
      <c r="B525" t="s">
        <v>1735</v>
      </c>
      <c r="C525" s="1" t="s">
        <v>1742</v>
      </c>
      <c r="D525" t="s">
        <v>63</v>
      </c>
      <c r="E525" t="s">
        <v>64</v>
      </c>
      <c r="F525" s="2">
        <v>174582.49</v>
      </c>
      <c r="G525" s="1" t="s">
        <v>1743</v>
      </c>
      <c r="H525" t="s">
        <v>655</v>
      </c>
      <c r="I525" t="s">
        <v>712</v>
      </c>
      <c r="J525">
        <v>6</v>
      </c>
      <c r="K525" t="s">
        <v>26</v>
      </c>
      <c r="L525" t="s">
        <v>1154</v>
      </c>
      <c r="M525" t="s">
        <v>28</v>
      </c>
      <c r="N525" t="s">
        <v>657</v>
      </c>
      <c r="O525" t="s">
        <v>252</v>
      </c>
      <c r="P525" t="s">
        <v>404</v>
      </c>
    </row>
    <row r="526" spans="1:16" x14ac:dyDescent="0.25">
      <c r="A526" t="s">
        <v>1744</v>
      </c>
      <c r="B526" t="s">
        <v>1735</v>
      </c>
      <c r="C526" s="1" t="s">
        <v>1745</v>
      </c>
      <c r="D526" t="s">
        <v>63</v>
      </c>
      <c r="E526" t="s">
        <v>64</v>
      </c>
      <c r="F526" s="2">
        <v>325482.41</v>
      </c>
      <c r="G526" s="1" t="s">
        <v>1746</v>
      </c>
      <c r="H526" t="s">
        <v>655</v>
      </c>
      <c r="I526" t="s">
        <v>712</v>
      </c>
      <c r="J526">
        <v>6</v>
      </c>
      <c r="K526" t="s">
        <v>26</v>
      </c>
      <c r="L526" t="s">
        <v>1154</v>
      </c>
      <c r="M526" t="s">
        <v>28</v>
      </c>
      <c r="N526" t="s">
        <v>657</v>
      </c>
      <c r="O526" t="s">
        <v>252</v>
      </c>
      <c r="P526" t="s">
        <v>404</v>
      </c>
    </row>
    <row r="527" spans="1:16" x14ac:dyDescent="0.25">
      <c r="A527" t="s">
        <v>1747</v>
      </c>
      <c r="B527" t="s">
        <v>1735</v>
      </c>
      <c r="C527" s="1" t="s">
        <v>1748</v>
      </c>
      <c r="D527" t="s">
        <v>63</v>
      </c>
      <c r="E527" t="s">
        <v>64</v>
      </c>
      <c r="F527" s="2">
        <v>345867.38</v>
      </c>
      <c r="G527" s="1" t="s">
        <v>1749</v>
      </c>
      <c r="H527" t="s">
        <v>655</v>
      </c>
      <c r="I527" t="s">
        <v>712</v>
      </c>
      <c r="J527">
        <v>6</v>
      </c>
      <c r="K527" t="s">
        <v>26</v>
      </c>
      <c r="L527" t="s">
        <v>1154</v>
      </c>
      <c r="M527" t="s">
        <v>28</v>
      </c>
      <c r="N527" t="s">
        <v>657</v>
      </c>
      <c r="O527" t="s">
        <v>252</v>
      </c>
      <c r="P527" t="s">
        <v>404</v>
      </c>
    </row>
    <row r="528" spans="1:16" x14ac:dyDescent="0.25">
      <c r="A528" t="s">
        <v>1750</v>
      </c>
      <c r="B528" t="s">
        <v>1735</v>
      </c>
      <c r="C528" s="1" t="s">
        <v>1751</v>
      </c>
      <c r="D528" t="s">
        <v>63</v>
      </c>
      <c r="E528" t="s">
        <v>64</v>
      </c>
      <c r="F528" s="2">
        <v>154961.7</v>
      </c>
      <c r="G528" s="1" t="s">
        <v>1752</v>
      </c>
      <c r="H528" t="s">
        <v>655</v>
      </c>
      <c r="I528" t="s">
        <v>805</v>
      </c>
      <c r="J528">
        <v>5</v>
      </c>
      <c r="K528" t="s">
        <v>26</v>
      </c>
      <c r="L528" t="s">
        <v>1148</v>
      </c>
      <c r="M528" t="s">
        <v>28</v>
      </c>
      <c r="N528" t="s">
        <v>657</v>
      </c>
      <c r="O528" t="s">
        <v>807</v>
      </c>
      <c r="P528" t="s">
        <v>404</v>
      </c>
    </row>
    <row r="529" spans="1:16" x14ac:dyDescent="0.25">
      <c r="A529" t="s">
        <v>1753</v>
      </c>
      <c r="B529" t="s">
        <v>1735</v>
      </c>
      <c r="C529" s="1" t="s">
        <v>1754</v>
      </c>
      <c r="D529" t="s">
        <v>63</v>
      </c>
      <c r="E529" t="s">
        <v>64</v>
      </c>
      <c r="F529" s="2">
        <v>253097.91</v>
      </c>
      <c r="G529" s="1" t="s">
        <v>1755</v>
      </c>
      <c r="H529" t="s">
        <v>655</v>
      </c>
      <c r="I529" t="s">
        <v>401</v>
      </c>
      <c r="J529">
        <v>5</v>
      </c>
      <c r="K529" t="s">
        <v>26</v>
      </c>
      <c r="L529" t="s">
        <v>1756</v>
      </c>
      <c r="M529" t="s">
        <v>28</v>
      </c>
      <c r="N529" t="s">
        <v>657</v>
      </c>
      <c r="O529" t="s">
        <v>403</v>
      </c>
      <c r="P529" t="s">
        <v>404</v>
      </c>
    </row>
    <row r="530" spans="1:16" x14ac:dyDescent="0.25">
      <c r="A530" t="s">
        <v>1757</v>
      </c>
      <c r="B530" t="s">
        <v>1735</v>
      </c>
      <c r="C530" s="1" t="s">
        <v>1758</v>
      </c>
      <c r="D530" t="s">
        <v>63</v>
      </c>
      <c r="E530" t="s">
        <v>64</v>
      </c>
      <c r="F530" s="2">
        <v>804636.33</v>
      </c>
      <c r="G530" s="1" t="s">
        <v>1759</v>
      </c>
      <c r="H530" t="s">
        <v>655</v>
      </c>
      <c r="I530" t="s">
        <v>401</v>
      </c>
      <c r="J530">
        <v>6</v>
      </c>
      <c r="K530" t="s">
        <v>26</v>
      </c>
      <c r="L530" t="s">
        <v>1756</v>
      </c>
      <c r="M530" t="s">
        <v>28</v>
      </c>
      <c r="N530" t="s">
        <v>657</v>
      </c>
      <c r="O530" t="s">
        <v>403</v>
      </c>
      <c r="P530" t="s">
        <v>404</v>
      </c>
    </row>
    <row r="531" spans="1:16" x14ac:dyDescent="0.25">
      <c r="A531" t="s">
        <v>1760</v>
      </c>
      <c r="B531" t="s">
        <v>1735</v>
      </c>
      <c r="C531" s="1" t="s">
        <v>1761</v>
      </c>
      <c r="D531" t="s">
        <v>63</v>
      </c>
      <c r="E531" t="s">
        <v>64</v>
      </c>
      <c r="F531" s="2">
        <v>46243.77</v>
      </c>
      <c r="G531" s="1" t="s">
        <v>1762</v>
      </c>
      <c r="H531" t="s">
        <v>655</v>
      </c>
      <c r="I531" t="s">
        <v>712</v>
      </c>
      <c r="J531">
        <v>7</v>
      </c>
      <c r="K531" t="s">
        <v>26</v>
      </c>
      <c r="L531" t="s">
        <v>1154</v>
      </c>
      <c r="M531" t="s">
        <v>28</v>
      </c>
      <c r="N531" t="s">
        <v>657</v>
      </c>
      <c r="O531" t="s">
        <v>252</v>
      </c>
      <c r="P531" t="s">
        <v>404</v>
      </c>
    </row>
    <row r="532" spans="1:16" x14ac:dyDescent="0.25">
      <c r="A532" t="s">
        <v>1763</v>
      </c>
      <c r="B532" t="s">
        <v>1735</v>
      </c>
      <c r="C532" s="1" t="s">
        <v>1764</v>
      </c>
      <c r="D532" t="s">
        <v>63</v>
      </c>
      <c r="E532" t="s">
        <v>64</v>
      </c>
      <c r="F532" s="2">
        <v>106236.29</v>
      </c>
      <c r="G532" s="1" t="s">
        <v>1765</v>
      </c>
      <c r="H532" t="s">
        <v>655</v>
      </c>
      <c r="I532" t="s">
        <v>712</v>
      </c>
      <c r="J532">
        <v>5</v>
      </c>
      <c r="K532" t="s">
        <v>26</v>
      </c>
      <c r="L532" t="s">
        <v>1154</v>
      </c>
      <c r="M532" t="s">
        <v>28</v>
      </c>
      <c r="N532" t="s">
        <v>657</v>
      </c>
      <c r="O532" t="s">
        <v>252</v>
      </c>
      <c r="P532" t="s">
        <v>404</v>
      </c>
    </row>
    <row r="533" spans="1:16" x14ac:dyDescent="0.25">
      <c r="A533" t="s">
        <v>1766</v>
      </c>
      <c r="B533" t="s">
        <v>1735</v>
      </c>
      <c r="C533" s="1" t="s">
        <v>1767</v>
      </c>
      <c r="D533" t="s">
        <v>63</v>
      </c>
      <c r="E533" t="s">
        <v>64</v>
      </c>
      <c r="F533" s="2">
        <v>293653.29</v>
      </c>
      <c r="G533" s="1" t="s">
        <v>1768</v>
      </c>
      <c r="H533" t="s">
        <v>655</v>
      </c>
      <c r="I533" t="s">
        <v>712</v>
      </c>
      <c r="J533">
        <v>5</v>
      </c>
      <c r="K533" t="s">
        <v>26</v>
      </c>
      <c r="L533" t="s">
        <v>1154</v>
      </c>
      <c r="M533" t="s">
        <v>28</v>
      </c>
      <c r="N533" t="s">
        <v>657</v>
      </c>
      <c r="O533" t="s">
        <v>252</v>
      </c>
      <c r="P533" t="s">
        <v>404</v>
      </c>
    </row>
    <row r="534" spans="1:16" x14ac:dyDescent="0.25">
      <c r="A534" t="s">
        <v>1769</v>
      </c>
      <c r="B534" t="s">
        <v>1735</v>
      </c>
      <c r="C534" s="1" t="s">
        <v>1770</v>
      </c>
      <c r="D534" t="s">
        <v>63</v>
      </c>
      <c r="E534" t="s">
        <v>64</v>
      </c>
      <c r="F534" s="2">
        <v>214218.29</v>
      </c>
      <c r="G534" s="1" t="s">
        <v>1771</v>
      </c>
      <c r="H534" t="s">
        <v>655</v>
      </c>
      <c r="I534" t="s">
        <v>712</v>
      </c>
      <c r="J534">
        <v>5</v>
      </c>
      <c r="K534" t="s">
        <v>26</v>
      </c>
      <c r="L534" t="s">
        <v>1154</v>
      </c>
      <c r="M534" t="s">
        <v>28</v>
      </c>
      <c r="N534" t="s">
        <v>657</v>
      </c>
      <c r="O534" t="s">
        <v>252</v>
      </c>
      <c r="P534" t="s">
        <v>404</v>
      </c>
    </row>
    <row r="535" spans="1:16" x14ac:dyDescent="0.25">
      <c r="A535" t="s">
        <v>1772</v>
      </c>
      <c r="B535" t="s">
        <v>1735</v>
      </c>
      <c r="C535" s="1" t="s">
        <v>1773</v>
      </c>
      <c r="D535" t="s">
        <v>63</v>
      </c>
      <c r="E535" t="s">
        <v>64</v>
      </c>
      <c r="F535" s="2">
        <v>240817.53</v>
      </c>
      <c r="G535" s="1" t="s">
        <v>1774</v>
      </c>
      <c r="H535" t="s">
        <v>655</v>
      </c>
      <c r="I535" t="s">
        <v>712</v>
      </c>
      <c r="J535">
        <v>5</v>
      </c>
      <c r="K535" t="s">
        <v>26</v>
      </c>
      <c r="L535" t="s">
        <v>1154</v>
      </c>
      <c r="M535" t="s">
        <v>28</v>
      </c>
      <c r="N535" t="s">
        <v>657</v>
      </c>
      <c r="O535" t="s">
        <v>252</v>
      </c>
      <c r="P535" t="s">
        <v>404</v>
      </c>
    </row>
    <row r="536" spans="1:16" x14ac:dyDescent="0.25">
      <c r="A536" t="s">
        <v>1775</v>
      </c>
      <c r="B536" t="s">
        <v>1735</v>
      </c>
      <c r="C536" s="1" t="s">
        <v>1776</v>
      </c>
      <c r="D536" t="s">
        <v>63</v>
      </c>
      <c r="E536" t="s">
        <v>64</v>
      </c>
      <c r="F536" s="2">
        <v>522317.53</v>
      </c>
      <c r="G536" s="1" t="s">
        <v>1777</v>
      </c>
      <c r="H536" t="s">
        <v>655</v>
      </c>
      <c r="I536" t="s">
        <v>712</v>
      </c>
      <c r="J536">
        <v>5</v>
      </c>
      <c r="K536" t="s">
        <v>26</v>
      </c>
      <c r="L536" t="s">
        <v>1154</v>
      </c>
      <c r="M536" t="s">
        <v>28</v>
      </c>
      <c r="N536" t="s">
        <v>657</v>
      </c>
      <c r="O536" t="s">
        <v>252</v>
      </c>
      <c r="P536" t="s">
        <v>404</v>
      </c>
    </row>
    <row r="537" spans="1:16" x14ac:dyDescent="0.25">
      <c r="A537" t="s">
        <v>1778</v>
      </c>
      <c r="B537" t="s">
        <v>1735</v>
      </c>
      <c r="C537" s="1" t="s">
        <v>1779</v>
      </c>
      <c r="D537" t="s">
        <v>63</v>
      </c>
      <c r="E537" t="s">
        <v>64</v>
      </c>
      <c r="F537" s="2">
        <v>627077.53</v>
      </c>
      <c r="G537" s="1" t="s">
        <v>1780</v>
      </c>
      <c r="H537" t="s">
        <v>655</v>
      </c>
      <c r="I537" t="s">
        <v>712</v>
      </c>
      <c r="J537">
        <v>5</v>
      </c>
      <c r="K537" t="s">
        <v>26</v>
      </c>
      <c r="L537" t="s">
        <v>1154</v>
      </c>
      <c r="M537" t="s">
        <v>28</v>
      </c>
      <c r="N537" t="s">
        <v>657</v>
      </c>
      <c r="O537" t="s">
        <v>252</v>
      </c>
      <c r="P537" t="s">
        <v>404</v>
      </c>
    </row>
    <row r="538" spans="1:16" x14ac:dyDescent="0.25">
      <c r="A538" t="s">
        <v>1781</v>
      </c>
      <c r="B538" t="s">
        <v>1735</v>
      </c>
      <c r="C538" s="1" t="s">
        <v>1782</v>
      </c>
      <c r="D538" t="s">
        <v>63</v>
      </c>
      <c r="E538" t="s">
        <v>64</v>
      </c>
      <c r="F538" s="2">
        <v>59117.05</v>
      </c>
      <c r="G538" s="1" t="s">
        <v>1783</v>
      </c>
      <c r="H538" t="s">
        <v>655</v>
      </c>
      <c r="I538" t="s">
        <v>805</v>
      </c>
      <c r="J538">
        <v>4</v>
      </c>
      <c r="K538" t="s">
        <v>26</v>
      </c>
      <c r="L538" t="s">
        <v>1784</v>
      </c>
      <c r="M538" t="s">
        <v>28</v>
      </c>
      <c r="N538" t="s">
        <v>657</v>
      </c>
      <c r="O538" t="s">
        <v>807</v>
      </c>
      <c r="P538" t="s">
        <v>440</v>
      </c>
    </row>
    <row r="539" spans="1:16" x14ac:dyDescent="0.25">
      <c r="A539" t="s">
        <v>1785</v>
      </c>
      <c r="B539" t="s">
        <v>1735</v>
      </c>
      <c r="C539" s="1" t="s">
        <v>1786</v>
      </c>
      <c r="D539" t="s">
        <v>63</v>
      </c>
      <c r="E539" t="s">
        <v>64</v>
      </c>
      <c r="F539" s="2">
        <v>125783.22</v>
      </c>
      <c r="G539" s="1" t="s">
        <v>1787</v>
      </c>
      <c r="H539" t="s">
        <v>655</v>
      </c>
      <c r="I539" t="s">
        <v>401</v>
      </c>
      <c r="J539">
        <v>5</v>
      </c>
      <c r="K539" t="s">
        <v>26</v>
      </c>
      <c r="L539" t="s">
        <v>1756</v>
      </c>
      <c r="M539" t="s">
        <v>28</v>
      </c>
      <c r="N539" t="s">
        <v>657</v>
      </c>
      <c r="O539" t="s">
        <v>403</v>
      </c>
      <c r="P539" t="s">
        <v>404</v>
      </c>
    </row>
    <row r="540" spans="1:16" x14ac:dyDescent="0.25">
      <c r="A540" t="s">
        <v>1788</v>
      </c>
      <c r="B540" t="s">
        <v>1735</v>
      </c>
      <c r="C540" s="1" t="s">
        <v>1789</v>
      </c>
      <c r="D540" t="s">
        <v>63</v>
      </c>
      <c r="E540" t="s">
        <v>64</v>
      </c>
      <c r="F540" s="2">
        <v>168883.22</v>
      </c>
      <c r="G540" s="1" t="s">
        <v>1790</v>
      </c>
      <c r="H540" t="s">
        <v>655</v>
      </c>
      <c r="I540" t="s">
        <v>401</v>
      </c>
      <c r="J540">
        <v>5</v>
      </c>
      <c r="K540" t="s">
        <v>26</v>
      </c>
      <c r="L540" t="s">
        <v>1756</v>
      </c>
      <c r="M540" t="s">
        <v>28</v>
      </c>
      <c r="N540" t="s">
        <v>657</v>
      </c>
      <c r="O540" t="s">
        <v>403</v>
      </c>
      <c r="P540" t="s">
        <v>404</v>
      </c>
    </row>
    <row r="541" spans="1:16" x14ac:dyDescent="0.25">
      <c r="A541" t="s">
        <v>1791</v>
      </c>
      <c r="B541" t="s">
        <v>1735</v>
      </c>
      <c r="C541" s="1" t="s">
        <v>1792</v>
      </c>
      <c r="D541" t="s">
        <v>63</v>
      </c>
      <c r="E541" t="s">
        <v>64</v>
      </c>
      <c r="F541" s="2">
        <v>538997.91</v>
      </c>
      <c r="G541" s="1" t="s">
        <v>1793</v>
      </c>
      <c r="H541" t="s">
        <v>655</v>
      </c>
      <c r="I541" t="s">
        <v>401</v>
      </c>
      <c r="J541">
        <v>5</v>
      </c>
      <c r="K541" t="s">
        <v>26</v>
      </c>
      <c r="L541" t="s">
        <v>1756</v>
      </c>
      <c r="M541" t="s">
        <v>28</v>
      </c>
      <c r="N541" t="s">
        <v>657</v>
      </c>
      <c r="O541" t="s">
        <v>403</v>
      </c>
      <c r="P541" t="s">
        <v>404</v>
      </c>
    </row>
    <row r="542" spans="1:16" x14ac:dyDescent="0.25">
      <c r="A542" t="s">
        <v>1794</v>
      </c>
      <c r="B542" t="s">
        <v>1735</v>
      </c>
      <c r="C542" s="1" t="s">
        <v>1795</v>
      </c>
      <c r="D542" t="s">
        <v>63</v>
      </c>
      <c r="E542" t="s">
        <v>64</v>
      </c>
      <c r="F542" s="2">
        <v>762562.61</v>
      </c>
      <c r="G542" s="1" t="s">
        <v>1796</v>
      </c>
      <c r="H542" t="s">
        <v>655</v>
      </c>
      <c r="I542" t="s">
        <v>401</v>
      </c>
      <c r="J542">
        <v>5</v>
      </c>
      <c r="K542" t="s">
        <v>26</v>
      </c>
      <c r="L542" t="s">
        <v>1756</v>
      </c>
      <c r="M542" t="s">
        <v>28</v>
      </c>
      <c r="N542" t="s">
        <v>657</v>
      </c>
      <c r="O542" t="s">
        <v>403</v>
      </c>
      <c r="P542" t="s">
        <v>404</v>
      </c>
    </row>
    <row r="543" spans="1:16" x14ac:dyDescent="0.25">
      <c r="A543" t="s">
        <v>1797</v>
      </c>
      <c r="B543" t="s">
        <v>1735</v>
      </c>
      <c r="C543" s="1" t="s">
        <v>1798</v>
      </c>
      <c r="D543" t="s">
        <v>63</v>
      </c>
      <c r="E543" t="s">
        <v>64</v>
      </c>
      <c r="F543" s="2">
        <v>123583.22</v>
      </c>
      <c r="G543" s="1" t="s">
        <v>1799</v>
      </c>
      <c r="H543" t="s">
        <v>655</v>
      </c>
      <c r="I543" t="s">
        <v>401</v>
      </c>
      <c r="J543">
        <v>5</v>
      </c>
      <c r="K543" t="s">
        <v>26</v>
      </c>
      <c r="L543" t="s">
        <v>1756</v>
      </c>
      <c r="M543" t="s">
        <v>28</v>
      </c>
      <c r="N543" t="s">
        <v>657</v>
      </c>
      <c r="O543" t="s">
        <v>403</v>
      </c>
      <c r="P543" t="s">
        <v>404</v>
      </c>
    </row>
    <row r="544" spans="1:16" x14ac:dyDescent="0.25">
      <c r="A544" t="s">
        <v>1800</v>
      </c>
      <c r="B544" t="s">
        <v>1801</v>
      </c>
      <c r="C544" s="1" t="s">
        <v>1802</v>
      </c>
      <c r="D544" t="s">
        <v>63</v>
      </c>
      <c r="E544" t="s">
        <v>64</v>
      </c>
      <c r="F544" s="2">
        <v>49186</v>
      </c>
      <c r="G544" s="1" t="s">
        <v>1803</v>
      </c>
      <c r="H544" t="s">
        <v>655</v>
      </c>
      <c r="I544" t="s">
        <v>1687</v>
      </c>
      <c r="J544">
        <v>4</v>
      </c>
      <c r="K544" t="s">
        <v>26</v>
      </c>
      <c r="L544" t="s">
        <v>1499</v>
      </c>
      <c r="M544" t="s">
        <v>28</v>
      </c>
      <c r="N544" t="s">
        <v>657</v>
      </c>
      <c r="O544" t="s">
        <v>1500</v>
      </c>
      <c r="P544" t="s">
        <v>31</v>
      </c>
    </row>
    <row r="545" spans="1:16" x14ac:dyDescent="0.25">
      <c r="A545" t="s">
        <v>1804</v>
      </c>
      <c r="B545" t="s">
        <v>1801</v>
      </c>
      <c r="C545" s="1" t="s">
        <v>1805</v>
      </c>
      <c r="D545" t="s">
        <v>63</v>
      </c>
      <c r="E545" t="s">
        <v>64</v>
      </c>
      <c r="F545" s="2">
        <v>48320</v>
      </c>
      <c r="G545" s="1" t="s">
        <v>1806</v>
      </c>
      <c r="H545" t="s">
        <v>655</v>
      </c>
      <c r="I545" t="s">
        <v>1687</v>
      </c>
      <c r="J545">
        <v>4</v>
      </c>
      <c r="K545" t="s">
        <v>26</v>
      </c>
      <c r="L545" t="s">
        <v>1499</v>
      </c>
      <c r="M545" t="s">
        <v>28</v>
      </c>
      <c r="N545" t="s">
        <v>657</v>
      </c>
      <c r="O545" t="s">
        <v>1500</v>
      </c>
      <c r="P545" t="s">
        <v>31</v>
      </c>
    </row>
    <row r="546" spans="1:16" x14ac:dyDescent="0.25">
      <c r="A546" t="s">
        <v>1807</v>
      </c>
      <c r="B546" t="s">
        <v>1801</v>
      </c>
      <c r="C546" s="1" t="s">
        <v>1808</v>
      </c>
      <c r="D546" t="s">
        <v>63</v>
      </c>
      <c r="E546" t="s">
        <v>64</v>
      </c>
      <c r="F546" s="2">
        <v>109514.7</v>
      </c>
      <c r="G546" s="1" t="s">
        <v>1809</v>
      </c>
      <c r="H546" t="s">
        <v>655</v>
      </c>
      <c r="I546" t="s">
        <v>1687</v>
      </c>
      <c r="J546">
        <v>4</v>
      </c>
      <c r="K546" t="s">
        <v>26</v>
      </c>
      <c r="L546" t="s">
        <v>1499</v>
      </c>
      <c r="M546" t="s">
        <v>28</v>
      </c>
      <c r="N546" t="s">
        <v>657</v>
      </c>
      <c r="O546" t="s">
        <v>1500</v>
      </c>
      <c r="P546" t="s">
        <v>31</v>
      </c>
    </row>
    <row r="547" spans="1:16" x14ac:dyDescent="0.25">
      <c r="A547" t="s">
        <v>1810</v>
      </c>
      <c r="B547" t="s">
        <v>1801</v>
      </c>
      <c r="C547" s="1" t="s">
        <v>1811</v>
      </c>
      <c r="D547" t="s">
        <v>21</v>
      </c>
      <c r="E547" t="s">
        <v>22</v>
      </c>
      <c r="F547" s="2">
        <v>76044.05</v>
      </c>
      <c r="G547" s="1" t="s">
        <v>1812</v>
      </c>
      <c r="H547" t="s">
        <v>655</v>
      </c>
      <c r="I547" t="s">
        <v>1687</v>
      </c>
      <c r="J547">
        <v>4</v>
      </c>
      <c r="K547" t="s">
        <v>26</v>
      </c>
      <c r="L547" t="s">
        <v>1499</v>
      </c>
      <c r="M547" t="s">
        <v>28</v>
      </c>
      <c r="N547" t="s">
        <v>657</v>
      </c>
      <c r="O547" t="s">
        <v>1500</v>
      </c>
      <c r="P547" t="s">
        <v>31</v>
      </c>
    </row>
    <row r="548" spans="1:16" x14ac:dyDescent="0.25">
      <c r="A548" t="s">
        <v>1813</v>
      </c>
      <c r="B548" t="s">
        <v>1801</v>
      </c>
      <c r="C548" s="1" t="s">
        <v>1814</v>
      </c>
      <c r="D548" t="s">
        <v>21</v>
      </c>
      <c r="E548" t="s">
        <v>22</v>
      </c>
      <c r="F548" s="2">
        <v>40954.66</v>
      </c>
      <c r="G548" s="1" t="s">
        <v>1815</v>
      </c>
      <c r="H548" t="s">
        <v>655</v>
      </c>
      <c r="I548" t="s">
        <v>1687</v>
      </c>
      <c r="J548">
        <v>4</v>
      </c>
      <c r="K548" t="s">
        <v>26</v>
      </c>
      <c r="L548" t="s">
        <v>1499</v>
      </c>
      <c r="M548" t="s">
        <v>28</v>
      </c>
      <c r="N548" t="s">
        <v>657</v>
      </c>
      <c r="O548" t="s">
        <v>1500</v>
      </c>
      <c r="P548" t="s">
        <v>31</v>
      </c>
    </row>
    <row r="549" spans="1:16" x14ac:dyDescent="0.25">
      <c r="A549" t="s">
        <v>1816</v>
      </c>
      <c r="B549" t="s">
        <v>1801</v>
      </c>
      <c r="C549" s="1" t="s">
        <v>1817</v>
      </c>
      <c r="D549" t="s">
        <v>21</v>
      </c>
      <c r="E549" t="s">
        <v>22</v>
      </c>
      <c r="F549" s="2">
        <v>48168.46</v>
      </c>
      <c r="G549" s="1" t="s">
        <v>1818</v>
      </c>
      <c r="H549" t="s">
        <v>655</v>
      </c>
      <c r="I549" t="s">
        <v>1687</v>
      </c>
      <c r="J549">
        <v>4</v>
      </c>
      <c r="K549" t="s">
        <v>26</v>
      </c>
      <c r="L549" t="s">
        <v>1499</v>
      </c>
      <c r="M549" t="s">
        <v>28</v>
      </c>
      <c r="N549" t="s">
        <v>657</v>
      </c>
      <c r="O549" t="s">
        <v>1500</v>
      </c>
      <c r="P549" t="s">
        <v>31</v>
      </c>
    </row>
    <row r="550" spans="1:16" x14ac:dyDescent="0.25">
      <c r="A550" t="s">
        <v>1819</v>
      </c>
      <c r="B550" t="s">
        <v>1820</v>
      </c>
      <c r="C550" s="1" t="s">
        <v>1821</v>
      </c>
      <c r="D550" t="s">
        <v>21</v>
      </c>
      <c r="E550" t="s">
        <v>22</v>
      </c>
      <c r="F550" s="2">
        <v>62689.75</v>
      </c>
      <c r="G550" s="1" t="s">
        <v>1822</v>
      </c>
      <c r="H550" t="s">
        <v>1823</v>
      </c>
      <c r="I550" t="s">
        <v>1130</v>
      </c>
      <c r="J550">
        <v>4</v>
      </c>
      <c r="K550" t="s">
        <v>26</v>
      </c>
      <c r="L550" t="s">
        <v>1824</v>
      </c>
      <c r="M550" t="s">
        <v>28</v>
      </c>
      <c r="N550" t="s">
        <v>1825</v>
      </c>
      <c r="O550" t="s">
        <v>1132</v>
      </c>
      <c r="P550" t="s">
        <v>31</v>
      </c>
    </row>
    <row r="551" spans="1:16" x14ac:dyDescent="0.25">
      <c r="A551" t="s">
        <v>1826</v>
      </c>
      <c r="B551" t="s">
        <v>1820</v>
      </c>
      <c r="C551" s="1" t="s">
        <v>1827</v>
      </c>
      <c r="D551" t="s">
        <v>21</v>
      </c>
      <c r="E551" t="s">
        <v>22</v>
      </c>
      <c r="F551" s="2">
        <v>119411.98</v>
      </c>
      <c r="G551" s="1" t="s">
        <v>1828</v>
      </c>
      <c r="H551" t="s">
        <v>1823</v>
      </c>
      <c r="I551" t="s">
        <v>1219</v>
      </c>
      <c r="J551">
        <v>7</v>
      </c>
      <c r="K551" t="s">
        <v>26</v>
      </c>
      <c r="L551" t="s">
        <v>1829</v>
      </c>
      <c r="M551" t="s">
        <v>28</v>
      </c>
      <c r="N551" t="s">
        <v>1825</v>
      </c>
      <c r="O551" t="s">
        <v>68</v>
      </c>
      <c r="P551" t="s">
        <v>31</v>
      </c>
    </row>
    <row r="552" spans="1:16" x14ac:dyDescent="0.25">
      <c r="A552" t="s">
        <v>1830</v>
      </c>
      <c r="B552" t="s">
        <v>1820</v>
      </c>
      <c r="C552" s="1" t="s">
        <v>1831</v>
      </c>
      <c r="D552" t="s">
        <v>21</v>
      </c>
      <c r="E552" t="s">
        <v>22</v>
      </c>
      <c r="F552" s="2">
        <v>5402.16</v>
      </c>
      <c r="G552" s="1" t="s">
        <v>1832</v>
      </c>
      <c r="H552" t="s">
        <v>1833</v>
      </c>
      <c r="I552" t="s">
        <v>555</v>
      </c>
      <c r="J552">
        <v>3</v>
      </c>
      <c r="K552" t="s">
        <v>26</v>
      </c>
      <c r="L552" t="s">
        <v>1834</v>
      </c>
      <c r="M552" t="s">
        <v>28</v>
      </c>
      <c r="N552" t="s">
        <v>1835</v>
      </c>
      <c r="O552" t="s">
        <v>47</v>
      </c>
      <c r="P552" t="s">
        <v>31</v>
      </c>
    </row>
    <row r="553" spans="1:16" x14ac:dyDescent="0.25">
      <c r="A553" t="s">
        <v>1836</v>
      </c>
      <c r="B553" t="s">
        <v>1820</v>
      </c>
      <c r="C553" s="1" t="s">
        <v>1837</v>
      </c>
      <c r="D553" t="s">
        <v>21</v>
      </c>
      <c r="E553" t="s">
        <v>22</v>
      </c>
      <c r="F553" s="2">
        <v>105619.44</v>
      </c>
      <c r="G553" s="1" t="s">
        <v>1838</v>
      </c>
      <c r="H553" t="s">
        <v>1823</v>
      </c>
      <c r="I553" t="s">
        <v>300</v>
      </c>
      <c r="J553">
        <v>5</v>
      </c>
      <c r="K553" t="s">
        <v>26</v>
      </c>
      <c r="L553" t="s">
        <v>1839</v>
      </c>
      <c r="M553" t="s">
        <v>28</v>
      </c>
      <c r="N553" t="s">
        <v>1825</v>
      </c>
      <c r="O553" t="s">
        <v>303</v>
      </c>
      <c r="P553" t="s">
        <v>31</v>
      </c>
    </row>
    <row r="554" spans="1:16" x14ac:dyDescent="0.25">
      <c r="A554" t="s">
        <v>1840</v>
      </c>
      <c r="B554" t="s">
        <v>1820</v>
      </c>
      <c r="C554" s="1" t="s">
        <v>1841</v>
      </c>
      <c r="D554" t="s">
        <v>21</v>
      </c>
      <c r="E554" t="s">
        <v>22</v>
      </c>
      <c r="F554" s="2">
        <v>58740.91</v>
      </c>
      <c r="G554" s="1" t="s">
        <v>1842</v>
      </c>
      <c r="H554" t="s">
        <v>1823</v>
      </c>
      <c r="I554" t="s">
        <v>1219</v>
      </c>
      <c r="J554">
        <v>7</v>
      </c>
      <c r="K554" t="s">
        <v>26</v>
      </c>
      <c r="L554" t="s">
        <v>1829</v>
      </c>
      <c r="M554" t="s">
        <v>28</v>
      </c>
      <c r="N554" t="s">
        <v>1825</v>
      </c>
      <c r="O554" t="s">
        <v>68</v>
      </c>
      <c r="P554" t="s">
        <v>31</v>
      </c>
    </row>
    <row r="555" spans="1:16" x14ac:dyDescent="0.25">
      <c r="A555" t="s">
        <v>1843</v>
      </c>
      <c r="B555" t="s">
        <v>1820</v>
      </c>
      <c r="C555" s="1" t="s">
        <v>1844</v>
      </c>
      <c r="D555" t="s">
        <v>21</v>
      </c>
      <c r="E555" t="s">
        <v>22</v>
      </c>
      <c r="F555" s="2">
        <v>10884.9</v>
      </c>
      <c r="G555" s="1" t="s">
        <v>1845</v>
      </c>
      <c r="H555" t="s">
        <v>1823</v>
      </c>
      <c r="I555" t="s">
        <v>661</v>
      </c>
      <c r="J555">
        <v>9</v>
      </c>
      <c r="K555" t="s">
        <v>26</v>
      </c>
      <c r="L555" t="s">
        <v>1846</v>
      </c>
      <c r="M555" t="s">
        <v>28</v>
      </c>
      <c r="N555" t="s">
        <v>1825</v>
      </c>
      <c r="O555" t="s">
        <v>663</v>
      </c>
      <c r="P555" t="s">
        <v>31</v>
      </c>
    </row>
    <row r="556" spans="1:16" x14ac:dyDescent="0.25">
      <c r="A556" t="s">
        <v>1847</v>
      </c>
      <c r="B556" t="s">
        <v>1820</v>
      </c>
      <c r="C556" s="1" t="s">
        <v>1848</v>
      </c>
      <c r="D556" t="s">
        <v>21</v>
      </c>
      <c r="E556" t="s">
        <v>22</v>
      </c>
      <c r="F556" s="2">
        <v>15909.9</v>
      </c>
      <c r="G556" s="1" t="s">
        <v>1849</v>
      </c>
      <c r="H556" t="s">
        <v>1823</v>
      </c>
      <c r="I556" t="s">
        <v>661</v>
      </c>
      <c r="J556">
        <v>10</v>
      </c>
      <c r="K556" t="s">
        <v>26</v>
      </c>
      <c r="L556" t="s">
        <v>1846</v>
      </c>
      <c r="M556" t="s">
        <v>28</v>
      </c>
      <c r="N556" t="s">
        <v>1825</v>
      </c>
      <c r="O556" t="s">
        <v>663</v>
      </c>
      <c r="P556" t="s">
        <v>31</v>
      </c>
    </row>
    <row r="557" spans="1:16" x14ac:dyDescent="0.25">
      <c r="A557" t="s">
        <v>1850</v>
      </c>
      <c r="B557" t="s">
        <v>1820</v>
      </c>
      <c r="C557" s="1" t="s">
        <v>1851</v>
      </c>
      <c r="D557" t="s">
        <v>21</v>
      </c>
      <c r="E557" t="s">
        <v>22</v>
      </c>
      <c r="F557" s="2">
        <v>25693.7</v>
      </c>
      <c r="G557" s="1" t="s">
        <v>1852</v>
      </c>
      <c r="H557" t="s">
        <v>1823</v>
      </c>
      <c r="I557" t="s">
        <v>805</v>
      </c>
      <c r="J557">
        <v>4</v>
      </c>
      <c r="K557" t="s">
        <v>26</v>
      </c>
      <c r="L557" t="s">
        <v>1853</v>
      </c>
      <c r="M557" t="s">
        <v>28</v>
      </c>
      <c r="N557" t="s">
        <v>1825</v>
      </c>
      <c r="O557" t="s">
        <v>807</v>
      </c>
      <c r="P557" t="s">
        <v>31</v>
      </c>
    </row>
    <row r="558" spans="1:16" x14ac:dyDescent="0.25">
      <c r="A558" t="s">
        <v>1854</v>
      </c>
      <c r="B558" t="s">
        <v>1820</v>
      </c>
      <c r="C558" s="1" t="s">
        <v>1855</v>
      </c>
      <c r="D558" t="s">
        <v>21</v>
      </c>
      <c r="E558" t="s">
        <v>22</v>
      </c>
      <c r="F558" s="2">
        <v>143915.08</v>
      </c>
      <c r="G558" s="1" t="s">
        <v>1856</v>
      </c>
      <c r="H558" t="s">
        <v>1823</v>
      </c>
      <c r="I558" t="s">
        <v>540</v>
      </c>
      <c r="J558">
        <v>16</v>
      </c>
      <c r="K558" t="s">
        <v>26</v>
      </c>
      <c r="L558" t="s">
        <v>1857</v>
      </c>
      <c r="M558" t="s">
        <v>28</v>
      </c>
      <c r="N558" t="s">
        <v>1825</v>
      </c>
      <c r="O558" t="s">
        <v>542</v>
      </c>
      <c r="P558" t="s">
        <v>31</v>
      </c>
    </row>
    <row r="559" spans="1:16" x14ac:dyDescent="0.25">
      <c r="A559" t="s">
        <v>1858</v>
      </c>
      <c r="B559" t="s">
        <v>1820</v>
      </c>
      <c r="C559" s="1" t="s">
        <v>1859</v>
      </c>
      <c r="D559" t="s">
        <v>21</v>
      </c>
      <c r="E559" t="s">
        <v>22</v>
      </c>
      <c r="F559" s="2">
        <v>28516.92</v>
      </c>
      <c r="G559" s="1" t="s">
        <v>1860</v>
      </c>
      <c r="H559" t="s">
        <v>1823</v>
      </c>
      <c r="I559" t="s">
        <v>1130</v>
      </c>
      <c r="J559">
        <v>5</v>
      </c>
      <c r="K559" t="s">
        <v>26</v>
      </c>
      <c r="L559" t="s">
        <v>1824</v>
      </c>
      <c r="M559" t="s">
        <v>28</v>
      </c>
      <c r="N559" t="s">
        <v>1825</v>
      </c>
      <c r="O559" t="s">
        <v>1132</v>
      </c>
      <c r="P559" t="s">
        <v>31</v>
      </c>
    </row>
    <row r="560" spans="1:16" x14ac:dyDescent="0.25">
      <c r="A560" t="s">
        <v>1861</v>
      </c>
      <c r="B560" t="s">
        <v>1820</v>
      </c>
      <c r="C560" s="1" t="s">
        <v>1862</v>
      </c>
      <c r="D560" t="s">
        <v>21</v>
      </c>
      <c r="E560" t="s">
        <v>22</v>
      </c>
      <c r="F560" s="2">
        <v>24344.32</v>
      </c>
      <c r="G560" s="1" t="s">
        <v>1863</v>
      </c>
      <c r="H560" t="s">
        <v>1823</v>
      </c>
      <c r="I560" t="s">
        <v>66</v>
      </c>
      <c r="J560">
        <v>4</v>
      </c>
      <c r="K560" t="s">
        <v>26</v>
      </c>
      <c r="L560" t="s">
        <v>1829</v>
      </c>
      <c r="M560" t="s">
        <v>28</v>
      </c>
      <c r="N560" t="s">
        <v>1825</v>
      </c>
      <c r="O560" t="s">
        <v>68</v>
      </c>
      <c r="P560" t="s">
        <v>31</v>
      </c>
    </row>
    <row r="561" spans="1:16" x14ac:dyDescent="0.25">
      <c r="A561" t="s">
        <v>1864</v>
      </c>
      <c r="B561" t="s">
        <v>1820</v>
      </c>
      <c r="C561" s="1" t="s">
        <v>1865</v>
      </c>
      <c r="D561" t="s">
        <v>42</v>
      </c>
      <c r="E561" t="s">
        <v>43</v>
      </c>
      <c r="F561" s="2">
        <v>48340.05</v>
      </c>
      <c r="G561" s="1" t="s">
        <v>1866</v>
      </c>
      <c r="H561" t="s">
        <v>1823</v>
      </c>
      <c r="I561" t="s">
        <v>1219</v>
      </c>
      <c r="J561">
        <v>3</v>
      </c>
      <c r="K561" t="s">
        <v>26</v>
      </c>
      <c r="L561" t="s">
        <v>1829</v>
      </c>
      <c r="M561" t="s">
        <v>28</v>
      </c>
      <c r="N561" t="s">
        <v>1825</v>
      </c>
      <c r="O561" t="s">
        <v>68</v>
      </c>
      <c r="P561" t="s">
        <v>31</v>
      </c>
    </row>
    <row r="562" spans="1:16" x14ac:dyDescent="0.25">
      <c r="A562" t="s">
        <v>1867</v>
      </c>
      <c r="B562" t="s">
        <v>1868</v>
      </c>
      <c r="C562" s="1" t="s">
        <v>1869</v>
      </c>
      <c r="D562" t="s">
        <v>63</v>
      </c>
      <c r="E562" t="s">
        <v>64</v>
      </c>
      <c r="F562" s="2">
        <v>1731000.35</v>
      </c>
      <c r="G562" s="1" t="s">
        <v>1870</v>
      </c>
      <c r="H562" t="s">
        <v>1823</v>
      </c>
      <c r="I562" t="s">
        <v>308</v>
      </c>
      <c r="J562">
        <v>1</v>
      </c>
      <c r="K562" t="s">
        <v>26</v>
      </c>
      <c r="L562" t="s">
        <v>1871</v>
      </c>
      <c r="M562" t="s">
        <v>28</v>
      </c>
      <c r="N562" t="s">
        <v>1825</v>
      </c>
      <c r="O562" t="s">
        <v>252</v>
      </c>
      <c r="P562" t="s">
        <v>31</v>
      </c>
    </row>
    <row r="563" spans="1:16" x14ac:dyDescent="0.25">
      <c r="A563" t="s">
        <v>1872</v>
      </c>
      <c r="B563" t="s">
        <v>1868</v>
      </c>
      <c r="C563" s="1" t="s">
        <v>1873</v>
      </c>
      <c r="D563" t="s">
        <v>1151</v>
      </c>
      <c r="E563" t="s">
        <v>1152</v>
      </c>
      <c r="F563" s="2">
        <v>4039614.1</v>
      </c>
      <c r="G563" s="1" t="s">
        <v>1874</v>
      </c>
      <c r="H563" t="s">
        <v>1823</v>
      </c>
      <c r="I563" t="s">
        <v>257</v>
      </c>
      <c r="J563">
        <v>1</v>
      </c>
      <c r="K563" t="s">
        <v>26</v>
      </c>
      <c r="L563" t="s">
        <v>1875</v>
      </c>
      <c r="M563" t="s">
        <v>28</v>
      </c>
      <c r="N563" t="s">
        <v>1825</v>
      </c>
      <c r="O563" t="s">
        <v>259</v>
      </c>
      <c r="P563" t="s">
        <v>31</v>
      </c>
    </row>
    <row r="564" spans="1:16" x14ac:dyDescent="0.25">
      <c r="A564" t="s">
        <v>1876</v>
      </c>
      <c r="B564" t="s">
        <v>1868</v>
      </c>
      <c r="C564" s="1" t="s">
        <v>1877</v>
      </c>
      <c r="D564" t="s">
        <v>1151</v>
      </c>
      <c r="E564" t="s">
        <v>1152</v>
      </c>
      <c r="F564" s="2">
        <v>4009920.02</v>
      </c>
      <c r="G564" s="1" t="s">
        <v>1878</v>
      </c>
      <c r="H564" t="s">
        <v>1823</v>
      </c>
      <c r="I564" t="s">
        <v>257</v>
      </c>
      <c r="J564">
        <v>2</v>
      </c>
      <c r="K564" t="s">
        <v>26</v>
      </c>
      <c r="L564" t="s">
        <v>1875</v>
      </c>
      <c r="M564" t="s">
        <v>28</v>
      </c>
      <c r="N564" t="s">
        <v>1825</v>
      </c>
      <c r="O564" t="s">
        <v>259</v>
      </c>
      <c r="P564" t="s">
        <v>31</v>
      </c>
    </row>
    <row r="565" spans="1:16" x14ac:dyDescent="0.25">
      <c r="A565" t="s">
        <v>1879</v>
      </c>
      <c r="B565" t="s">
        <v>1868</v>
      </c>
      <c r="C565" s="1" t="s">
        <v>1880</v>
      </c>
      <c r="D565" t="s">
        <v>1151</v>
      </c>
      <c r="E565" t="s">
        <v>1152</v>
      </c>
      <c r="F565" s="2">
        <v>1333666.67</v>
      </c>
      <c r="G565" s="1" t="s">
        <v>1881</v>
      </c>
      <c r="H565" t="s">
        <v>1823</v>
      </c>
      <c r="I565" t="s">
        <v>308</v>
      </c>
      <c r="J565">
        <v>1</v>
      </c>
      <c r="K565" t="s">
        <v>26</v>
      </c>
      <c r="L565" t="s">
        <v>1871</v>
      </c>
      <c r="M565" t="s">
        <v>28</v>
      </c>
      <c r="N565" t="s">
        <v>1825</v>
      </c>
      <c r="O565" t="s">
        <v>252</v>
      </c>
      <c r="P565" t="s">
        <v>31</v>
      </c>
    </row>
    <row r="566" spans="1:16" x14ac:dyDescent="0.25">
      <c r="A566" t="s">
        <v>1882</v>
      </c>
      <c r="B566" t="s">
        <v>1868</v>
      </c>
      <c r="C566" s="1" t="s">
        <v>1883</v>
      </c>
      <c r="D566" t="s">
        <v>1151</v>
      </c>
      <c r="E566" t="s">
        <v>1152</v>
      </c>
      <c r="F566" s="2">
        <v>3847667</v>
      </c>
      <c r="G566" s="1" t="s">
        <v>1884</v>
      </c>
      <c r="H566" t="s">
        <v>1823</v>
      </c>
      <c r="I566" t="s">
        <v>257</v>
      </c>
      <c r="J566">
        <v>1</v>
      </c>
      <c r="K566" t="s">
        <v>26</v>
      </c>
      <c r="L566" t="s">
        <v>1875</v>
      </c>
      <c r="M566" t="s">
        <v>28</v>
      </c>
      <c r="N566" t="s">
        <v>1825</v>
      </c>
      <c r="O566" t="s">
        <v>259</v>
      </c>
      <c r="P566" t="s">
        <v>31</v>
      </c>
    </row>
    <row r="567" spans="1:16" x14ac:dyDescent="0.25">
      <c r="A567" t="s">
        <v>1885</v>
      </c>
      <c r="B567" t="s">
        <v>1868</v>
      </c>
      <c r="C567" s="1" t="s">
        <v>1886</v>
      </c>
      <c r="D567" t="s">
        <v>1151</v>
      </c>
      <c r="E567" t="s">
        <v>1152</v>
      </c>
      <c r="F567" s="2">
        <v>3441083.33</v>
      </c>
      <c r="G567" s="1" t="s">
        <v>1887</v>
      </c>
      <c r="H567" t="s">
        <v>1823</v>
      </c>
      <c r="I567" t="s">
        <v>257</v>
      </c>
      <c r="J567">
        <v>1</v>
      </c>
      <c r="K567" t="s">
        <v>26</v>
      </c>
      <c r="L567" t="s">
        <v>1875</v>
      </c>
      <c r="M567" t="s">
        <v>28</v>
      </c>
      <c r="N567" t="s">
        <v>1825</v>
      </c>
      <c r="O567" t="s">
        <v>259</v>
      </c>
      <c r="P567" t="s">
        <v>31</v>
      </c>
    </row>
    <row r="568" spans="1:16" x14ac:dyDescent="0.25">
      <c r="A568" t="s">
        <v>1888</v>
      </c>
      <c r="B568" t="s">
        <v>1868</v>
      </c>
      <c r="C568" s="1" t="s">
        <v>1889</v>
      </c>
      <c r="D568" t="s">
        <v>42</v>
      </c>
      <c r="E568" t="s">
        <v>43</v>
      </c>
      <c r="F568" s="2">
        <v>5614.24</v>
      </c>
      <c r="G568" s="1" t="s">
        <v>1890</v>
      </c>
      <c r="H568" t="s">
        <v>1823</v>
      </c>
      <c r="I568" t="s">
        <v>737</v>
      </c>
      <c r="J568">
        <v>4</v>
      </c>
      <c r="K568" t="s">
        <v>26</v>
      </c>
      <c r="L568" t="s">
        <v>1891</v>
      </c>
      <c r="M568" t="s">
        <v>28</v>
      </c>
      <c r="N568" t="s">
        <v>1825</v>
      </c>
      <c r="O568" t="s">
        <v>739</v>
      </c>
      <c r="P568" t="s">
        <v>31</v>
      </c>
    </row>
    <row r="569" spans="1:16" x14ac:dyDescent="0.25">
      <c r="A569" t="s">
        <v>1892</v>
      </c>
      <c r="B569" t="s">
        <v>1868</v>
      </c>
      <c r="C569" s="1" t="s">
        <v>1893</v>
      </c>
      <c r="D569" t="s">
        <v>1894</v>
      </c>
      <c r="E569" t="s">
        <v>1152</v>
      </c>
      <c r="F569" s="2">
        <v>7090310.56</v>
      </c>
      <c r="G569" s="1" t="s">
        <v>1895</v>
      </c>
      <c r="H569" t="s">
        <v>1823</v>
      </c>
      <c r="I569" t="s">
        <v>1896</v>
      </c>
      <c r="J569">
        <v>3</v>
      </c>
      <c r="K569" t="s">
        <v>26</v>
      </c>
      <c r="L569" t="s">
        <v>1829</v>
      </c>
      <c r="M569" t="s">
        <v>28</v>
      </c>
      <c r="N569" t="s">
        <v>1825</v>
      </c>
      <c r="O569" t="s">
        <v>68</v>
      </c>
      <c r="P569" t="s">
        <v>31</v>
      </c>
    </row>
    <row r="570" spans="1:16" x14ac:dyDescent="0.25">
      <c r="A570" t="s">
        <v>1897</v>
      </c>
      <c r="B570" t="s">
        <v>1868</v>
      </c>
      <c r="C570" s="1" t="s">
        <v>1898</v>
      </c>
      <c r="D570" t="s">
        <v>63</v>
      </c>
      <c r="E570" t="s">
        <v>64</v>
      </c>
      <c r="F570" s="2">
        <v>360100</v>
      </c>
      <c r="G570" s="1" t="s">
        <v>1899</v>
      </c>
      <c r="H570" t="s">
        <v>1823</v>
      </c>
      <c r="I570" t="s">
        <v>1896</v>
      </c>
      <c r="J570">
        <v>4</v>
      </c>
      <c r="K570" t="s">
        <v>1900</v>
      </c>
      <c r="L570" t="s">
        <v>1829</v>
      </c>
      <c r="M570" t="s">
        <v>28</v>
      </c>
      <c r="N570" t="s">
        <v>1825</v>
      </c>
      <c r="O570" t="s">
        <v>68</v>
      </c>
      <c r="P570" t="s">
        <v>31</v>
      </c>
    </row>
    <row r="571" spans="1:16" x14ac:dyDescent="0.25">
      <c r="A571" t="s">
        <v>1901</v>
      </c>
      <c r="B571" t="s">
        <v>1902</v>
      </c>
      <c r="C571" s="1" t="s">
        <v>1903</v>
      </c>
      <c r="D571" t="s">
        <v>42</v>
      </c>
      <c r="E571" t="s">
        <v>43</v>
      </c>
      <c r="F571" s="2">
        <v>602136.98</v>
      </c>
      <c r="G571" s="1" t="s">
        <v>1904</v>
      </c>
      <c r="H571" t="s">
        <v>655</v>
      </c>
      <c r="I571" t="s">
        <v>401</v>
      </c>
      <c r="J571">
        <v>10</v>
      </c>
      <c r="K571" t="s">
        <v>26</v>
      </c>
      <c r="L571" t="s">
        <v>1558</v>
      </c>
      <c r="M571" t="s">
        <v>28</v>
      </c>
      <c r="N571" t="s">
        <v>657</v>
      </c>
      <c r="O571" t="s">
        <v>403</v>
      </c>
      <c r="P571" t="s">
        <v>31</v>
      </c>
    </row>
    <row r="572" spans="1:16" x14ac:dyDescent="0.25">
      <c r="A572" t="s">
        <v>1905</v>
      </c>
      <c r="B572" t="s">
        <v>1902</v>
      </c>
      <c r="C572" s="1" t="s">
        <v>1906</v>
      </c>
      <c r="D572" t="s">
        <v>42</v>
      </c>
      <c r="E572" t="s">
        <v>43</v>
      </c>
      <c r="F572" s="2">
        <v>362888.42</v>
      </c>
      <c r="G572" s="1" t="s">
        <v>1907</v>
      </c>
      <c r="H572" t="s">
        <v>655</v>
      </c>
      <c r="I572" t="s">
        <v>859</v>
      </c>
      <c r="J572">
        <v>5</v>
      </c>
      <c r="K572" t="s">
        <v>26</v>
      </c>
      <c r="L572" t="s">
        <v>1494</v>
      </c>
      <c r="M572" t="s">
        <v>28</v>
      </c>
      <c r="N572" t="s">
        <v>657</v>
      </c>
      <c r="O572" t="s">
        <v>259</v>
      </c>
      <c r="P572" t="s">
        <v>31</v>
      </c>
    </row>
    <row r="573" spans="1:16" x14ac:dyDescent="0.25">
      <c r="A573" t="s">
        <v>1908</v>
      </c>
      <c r="B573" t="s">
        <v>1902</v>
      </c>
      <c r="C573" s="1" t="s">
        <v>1909</v>
      </c>
      <c r="D573" t="s">
        <v>21</v>
      </c>
      <c r="E573" t="s">
        <v>22</v>
      </c>
      <c r="F573" s="2">
        <v>241140.26</v>
      </c>
      <c r="G573" s="1" t="s">
        <v>1910</v>
      </c>
      <c r="H573" t="s">
        <v>655</v>
      </c>
      <c r="I573" t="s">
        <v>712</v>
      </c>
      <c r="J573">
        <v>11</v>
      </c>
      <c r="K573" t="s">
        <v>26</v>
      </c>
      <c r="L573" t="s">
        <v>1164</v>
      </c>
      <c r="M573" t="s">
        <v>28</v>
      </c>
      <c r="N573" t="s">
        <v>657</v>
      </c>
      <c r="O573" t="s">
        <v>252</v>
      </c>
      <c r="P573" t="s">
        <v>31</v>
      </c>
    </row>
    <row r="574" spans="1:16" x14ac:dyDescent="0.25">
      <c r="A574" t="s">
        <v>1911</v>
      </c>
      <c r="B574" t="s">
        <v>1902</v>
      </c>
      <c r="C574" s="1" t="s">
        <v>1912</v>
      </c>
      <c r="D574" t="s">
        <v>21</v>
      </c>
      <c r="E574" t="s">
        <v>22</v>
      </c>
      <c r="F574" s="2">
        <v>144161.36</v>
      </c>
      <c r="G574" s="1" t="s">
        <v>1913</v>
      </c>
      <c r="H574" t="s">
        <v>655</v>
      </c>
      <c r="I574" t="s">
        <v>712</v>
      </c>
      <c r="J574">
        <v>8</v>
      </c>
      <c r="K574" t="s">
        <v>26</v>
      </c>
      <c r="L574" t="s">
        <v>1164</v>
      </c>
      <c r="M574" t="s">
        <v>28</v>
      </c>
      <c r="N574" t="s">
        <v>657</v>
      </c>
      <c r="O574" t="s">
        <v>252</v>
      </c>
      <c r="P574" t="s">
        <v>31</v>
      </c>
    </row>
    <row r="575" spans="1:16" x14ac:dyDescent="0.25">
      <c r="A575" t="s">
        <v>1914</v>
      </c>
      <c r="B575" t="s">
        <v>1902</v>
      </c>
      <c r="C575" s="1" t="s">
        <v>1915</v>
      </c>
      <c r="D575" t="s">
        <v>42</v>
      </c>
      <c r="E575" t="s">
        <v>43</v>
      </c>
      <c r="F575" s="2">
        <v>61411.56</v>
      </c>
      <c r="G575" s="1" t="s">
        <v>1916</v>
      </c>
      <c r="H575" t="s">
        <v>655</v>
      </c>
      <c r="I575" t="s">
        <v>805</v>
      </c>
      <c r="J575">
        <v>3</v>
      </c>
      <c r="K575" t="s">
        <v>26</v>
      </c>
      <c r="L575" t="s">
        <v>1192</v>
      </c>
      <c r="M575" t="s">
        <v>28</v>
      </c>
      <c r="N575" t="s">
        <v>657</v>
      </c>
      <c r="O575" t="s">
        <v>807</v>
      </c>
      <c r="P575" t="s">
        <v>31</v>
      </c>
    </row>
    <row r="576" spans="1:16" x14ac:dyDescent="0.25">
      <c r="A576" t="s">
        <v>1917</v>
      </c>
      <c r="B576" t="s">
        <v>1902</v>
      </c>
      <c r="C576" s="1" t="s">
        <v>1918</v>
      </c>
      <c r="D576" t="s">
        <v>42</v>
      </c>
      <c r="E576" t="s">
        <v>43</v>
      </c>
      <c r="F576" s="2">
        <v>82019.89</v>
      </c>
      <c r="G576" s="1" t="s">
        <v>1919</v>
      </c>
      <c r="H576" t="s">
        <v>655</v>
      </c>
      <c r="I576" t="s">
        <v>25</v>
      </c>
      <c r="J576">
        <v>11</v>
      </c>
      <c r="K576" t="s">
        <v>26</v>
      </c>
      <c r="L576" t="s">
        <v>1920</v>
      </c>
      <c r="M576" t="s">
        <v>28</v>
      </c>
      <c r="N576" t="s">
        <v>657</v>
      </c>
      <c r="O576" t="s">
        <v>30</v>
      </c>
      <c r="P576" t="s">
        <v>79</v>
      </c>
    </row>
    <row r="577" spans="1:16" x14ac:dyDescent="0.25">
      <c r="A577" t="s">
        <v>1921</v>
      </c>
      <c r="B577" t="s">
        <v>1902</v>
      </c>
      <c r="C577" s="1" t="s">
        <v>1922</v>
      </c>
      <c r="D577" t="s">
        <v>42</v>
      </c>
      <c r="E577" t="s">
        <v>43</v>
      </c>
      <c r="F577" s="2">
        <v>31266.08</v>
      </c>
      <c r="G577" s="1" t="s">
        <v>1923</v>
      </c>
      <c r="H577" t="s">
        <v>655</v>
      </c>
      <c r="I577" t="s">
        <v>45</v>
      </c>
      <c r="J577">
        <v>6</v>
      </c>
      <c r="K577" t="s">
        <v>26</v>
      </c>
      <c r="L577" t="s">
        <v>1924</v>
      </c>
      <c r="M577" t="s">
        <v>28</v>
      </c>
      <c r="N577" t="s">
        <v>657</v>
      </c>
      <c r="O577" t="s">
        <v>47</v>
      </c>
      <c r="P577" t="s">
        <v>31</v>
      </c>
    </row>
    <row r="578" spans="1:16" x14ac:dyDescent="0.25">
      <c r="A578" t="s">
        <v>1925</v>
      </c>
      <c r="B578" t="s">
        <v>1902</v>
      </c>
      <c r="C578" s="1" t="s">
        <v>1926</v>
      </c>
      <c r="D578" t="s">
        <v>21</v>
      </c>
      <c r="E578" t="s">
        <v>22</v>
      </c>
      <c r="F578" s="2">
        <v>105980.11</v>
      </c>
      <c r="G578" s="1" t="s">
        <v>1927</v>
      </c>
      <c r="H578" t="s">
        <v>655</v>
      </c>
      <c r="I578" t="s">
        <v>45</v>
      </c>
      <c r="J578">
        <v>10</v>
      </c>
      <c r="K578" t="s">
        <v>26</v>
      </c>
      <c r="L578" t="s">
        <v>1924</v>
      </c>
      <c r="M578" t="s">
        <v>28</v>
      </c>
      <c r="N578" t="s">
        <v>657</v>
      </c>
      <c r="O578" t="s">
        <v>47</v>
      </c>
      <c r="P578" t="s">
        <v>31</v>
      </c>
    </row>
    <row r="579" spans="1:16" x14ac:dyDescent="0.25">
      <c r="A579" t="s">
        <v>1928</v>
      </c>
      <c r="B579" t="s">
        <v>1902</v>
      </c>
      <c r="C579" s="1" t="s">
        <v>1929</v>
      </c>
      <c r="D579" t="s">
        <v>21</v>
      </c>
      <c r="E579" t="s">
        <v>22</v>
      </c>
      <c r="F579" s="2">
        <v>152574.21</v>
      </c>
      <c r="G579" s="1" t="s">
        <v>1930</v>
      </c>
      <c r="H579" t="s">
        <v>655</v>
      </c>
      <c r="I579" t="s">
        <v>45</v>
      </c>
      <c r="J579">
        <v>9</v>
      </c>
      <c r="K579" t="s">
        <v>26</v>
      </c>
      <c r="L579" t="s">
        <v>1924</v>
      </c>
      <c r="M579" t="s">
        <v>28</v>
      </c>
      <c r="N579" t="s">
        <v>657</v>
      </c>
      <c r="O579" t="s">
        <v>47</v>
      </c>
      <c r="P579" t="s">
        <v>31</v>
      </c>
    </row>
    <row r="580" spans="1:16" x14ac:dyDescent="0.25">
      <c r="A580" t="s">
        <v>1931</v>
      </c>
      <c r="B580" t="s">
        <v>1902</v>
      </c>
      <c r="C580" s="1" t="s">
        <v>1932</v>
      </c>
      <c r="D580" t="s">
        <v>63</v>
      </c>
      <c r="E580" t="s">
        <v>64</v>
      </c>
      <c r="F580" s="2">
        <v>471963.31</v>
      </c>
      <c r="G580" s="1" t="s">
        <v>1933</v>
      </c>
      <c r="H580" t="s">
        <v>655</v>
      </c>
      <c r="I580" t="s">
        <v>401</v>
      </c>
      <c r="J580">
        <v>4</v>
      </c>
      <c r="K580" t="s">
        <v>26</v>
      </c>
      <c r="L580" t="s">
        <v>1756</v>
      </c>
      <c r="M580" t="s">
        <v>28</v>
      </c>
      <c r="N580" t="s">
        <v>657</v>
      </c>
      <c r="O580" t="s">
        <v>403</v>
      </c>
      <c r="P580" t="s">
        <v>404</v>
      </c>
    </row>
    <row r="581" spans="1:16" x14ac:dyDescent="0.25">
      <c r="A581" t="s">
        <v>1934</v>
      </c>
      <c r="B581" t="s">
        <v>1902</v>
      </c>
      <c r="C581" s="1" t="s">
        <v>1935</v>
      </c>
      <c r="D581" t="s">
        <v>42</v>
      </c>
      <c r="E581" t="s">
        <v>43</v>
      </c>
      <c r="F581" s="2">
        <v>25242.09</v>
      </c>
      <c r="G581" s="1" t="s">
        <v>1936</v>
      </c>
      <c r="H581" t="s">
        <v>655</v>
      </c>
      <c r="I581" t="s">
        <v>250</v>
      </c>
      <c r="J581">
        <v>9</v>
      </c>
      <c r="K581" t="s">
        <v>26</v>
      </c>
      <c r="L581" t="s">
        <v>1154</v>
      </c>
      <c r="M581" t="s">
        <v>28</v>
      </c>
      <c r="N581" t="s">
        <v>657</v>
      </c>
      <c r="O581" t="s">
        <v>252</v>
      </c>
      <c r="P581" t="s">
        <v>404</v>
      </c>
    </row>
    <row r="582" spans="1:16" x14ac:dyDescent="0.25">
      <c r="A582" t="s">
        <v>1937</v>
      </c>
      <c r="B582" t="s">
        <v>1902</v>
      </c>
      <c r="C582" s="1" t="s">
        <v>1938</v>
      </c>
      <c r="D582" t="s">
        <v>63</v>
      </c>
      <c r="E582" t="s">
        <v>64</v>
      </c>
      <c r="F582" s="2">
        <v>69015.26</v>
      </c>
      <c r="G582" s="1" t="s">
        <v>1939</v>
      </c>
      <c r="H582" t="s">
        <v>655</v>
      </c>
      <c r="I582" t="s">
        <v>308</v>
      </c>
      <c r="J582">
        <v>6</v>
      </c>
      <c r="K582" t="s">
        <v>26</v>
      </c>
      <c r="L582" t="s">
        <v>1154</v>
      </c>
      <c r="M582" t="s">
        <v>28</v>
      </c>
      <c r="N582" t="s">
        <v>657</v>
      </c>
      <c r="O582" t="s">
        <v>252</v>
      </c>
      <c r="P582" t="s">
        <v>404</v>
      </c>
    </row>
    <row r="583" spans="1:16" x14ac:dyDescent="0.25">
      <c r="A583" t="s">
        <v>1940</v>
      </c>
      <c r="B583" t="s">
        <v>1941</v>
      </c>
      <c r="C583" s="1" t="s">
        <v>1942</v>
      </c>
      <c r="D583" t="s">
        <v>42</v>
      </c>
      <c r="E583" t="s">
        <v>43</v>
      </c>
      <c r="F583" s="2">
        <v>64221.3</v>
      </c>
      <c r="G583" s="1" t="s">
        <v>1943</v>
      </c>
      <c r="H583" t="s">
        <v>307</v>
      </c>
      <c r="I583" t="s">
        <v>859</v>
      </c>
      <c r="J583">
        <v>5</v>
      </c>
      <c r="K583" t="s">
        <v>26</v>
      </c>
      <c r="L583" t="s">
        <v>852</v>
      </c>
      <c r="M583" t="s">
        <v>28</v>
      </c>
      <c r="N583" t="s">
        <v>310</v>
      </c>
      <c r="O583" t="s">
        <v>259</v>
      </c>
      <c r="P583" t="s">
        <v>31</v>
      </c>
    </row>
    <row r="584" spans="1:16" x14ac:dyDescent="0.25">
      <c r="A584" t="s">
        <v>1944</v>
      </c>
      <c r="B584" t="s">
        <v>1941</v>
      </c>
      <c r="C584" s="1" t="s">
        <v>1945</v>
      </c>
      <c r="D584" t="s">
        <v>42</v>
      </c>
      <c r="E584" t="s">
        <v>43</v>
      </c>
      <c r="F584" s="2">
        <v>93204.79</v>
      </c>
      <c r="G584" s="1" t="s">
        <v>1946</v>
      </c>
      <c r="H584" t="s">
        <v>307</v>
      </c>
      <c r="I584" t="s">
        <v>859</v>
      </c>
      <c r="J584">
        <v>8</v>
      </c>
      <c r="K584" t="s">
        <v>26</v>
      </c>
      <c r="L584" t="s">
        <v>852</v>
      </c>
      <c r="M584" t="s">
        <v>28</v>
      </c>
      <c r="N584" t="s">
        <v>310</v>
      </c>
      <c r="O584" t="s">
        <v>259</v>
      </c>
      <c r="P584" t="s">
        <v>31</v>
      </c>
    </row>
    <row r="585" spans="1:16" x14ac:dyDescent="0.25">
      <c r="A585" t="s">
        <v>1947</v>
      </c>
      <c r="B585" t="s">
        <v>1941</v>
      </c>
      <c r="C585" s="1" t="s">
        <v>1948</v>
      </c>
      <c r="D585" t="s">
        <v>42</v>
      </c>
      <c r="E585" t="s">
        <v>43</v>
      </c>
      <c r="F585" s="2">
        <v>9407.55</v>
      </c>
      <c r="G585" s="1" t="s">
        <v>1949</v>
      </c>
      <c r="H585" t="s">
        <v>307</v>
      </c>
      <c r="I585" t="s">
        <v>859</v>
      </c>
      <c r="J585">
        <v>2</v>
      </c>
      <c r="K585" t="s">
        <v>26</v>
      </c>
      <c r="L585" t="s">
        <v>852</v>
      </c>
      <c r="M585" t="s">
        <v>28</v>
      </c>
      <c r="N585" t="s">
        <v>310</v>
      </c>
      <c r="O585" t="s">
        <v>259</v>
      </c>
      <c r="P585" t="s">
        <v>31</v>
      </c>
    </row>
    <row r="586" spans="1:16" x14ac:dyDescent="0.25">
      <c r="A586" t="s">
        <v>1950</v>
      </c>
      <c r="B586" t="s">
        <v>1941</v>
      </c>
      <c r="C586" s="1" t="s">
        <v>1951</v>
      </c>
      <c r="D586" t="s">
        <v>42</v>
      </c>
      <c r="E586" t="s">
        <v>43</v>
      </c>
      <c r="F586" s="2">
        <v>1732.2</v>
      </c>
      <c r="G586" s="1" t="s">
        <v>1952</v>
      </c>
      <c r="H586" t="s">
        <v>307</v>
      </c>
      <c r="I586" t="s">
        <v>859</v>
      </c>
      <c r="J586">
        <v>2</v>
      </c>
      <c r="K586" t="s">
        <v>26</v>
      </c>
      <c r="L586" t="s">
        <v>852</v>
      </c>
      <c r="M586" t="s">
        <v>28</v>
      </c>
      <c r="N586" t="s">
        <v>310</v>
      </c>
      <c r="O586" t="s">
        <v>259</v>
      </c>
      <c r="P586" t="s">
        <v>31</v>
      </c>
    </row>
    <row r="587" spans="1:16" x14ac:dyDescent="0.25">
      <c r="A587" t="s">
        <v>1953</v>
      </c>
      <c r="B587" t="s">
        <v>1941</v>
      </c>
      <c r="C587" s="1" t="s">
        <v>1954</v>
      </c>
      <c r="D587" t="s">
        <v>42</v>
      </c>
      <c r="E587" t="s">
        <v>43</v>
      </c>
      <c r="F587" s="2">
        <v>13134</v>
      </c>
      <c r="G587" s="1" t="s">
        <v>1955</v>
      </c>
      <c r="H587" t="s">
        <v>307</v>
      </c>
      <c r="I587" t="s">
        <v>859</v>
      </c>
      <c r="J587">
        <v>2</v>
      </c>
      <c r="K587" t="s">
        <v>26</v>
      </c>
      <c r="L587" t="s">
        <v>852</v>
      </c>
      <c r="M587" t="s">
        <v>28</v>
      </c>
      <c r="N587" t="s">
        <v>310</v>
      </c>
      <c r="O587" t="s">
        <v>259</v>
      </c>
      <c r="P587" t="s">
        <v>31</v>
      </c>
    </row>
    <row r="588" spans="1:16" x14ac:dyDescent="0.25">
      <c r="A588" t="s">
        <v>1956</v>
      </c>
      <c r="B588" t="s">
        <v>1941</v>
      </c>
      <c r="C588" s="1" t="s">
        <v>1957</v>
      </c>
      <c r="D588" t="s">
        <v>42</v>
      </c>
      <c r="E588" t="s">
        <v>43</v>
      </c>
      <c r="F588" s="2">
        <v>20931</v>
      </c>
      <c r="G588" s="1" t="s">
        <v>1958</v>
      </c>
      <c r="H588" t="s">
        <v>307</v>
      </c>
      <c r="I588" t="s">
        <v>859</v>
      </c>
      <c r="J588">
        <v>2</v>
      </c>
      <c r="K588" t="s">
        <v>26</v>
      </c>
      <c r="L588" t="s">
        <v>852</v>
      </c>
      <c r="M588" t="s">
        <v>28</v>
      </c>
      <c r="N588" t="s">
        <v>310</v>
      </c>
      <c r="O588" t="s">
        <v>259</v>
      </c>
      <c r="P588" t="s">
        <v>31</v>
      </c>
    </row>
    <row r="589" spans="1:16" x14ac:dyDescent="0.25">
      <c r="A589" t="s">
        <v>1959</v>
      </c>
      <c r="B589" t="s">
        <v>1941</v>
      </c>
      <c r="C589" s="1" t="s">
        <v>1960</v>
      </c>
      <c r="D589" t="s">
        <v>42</v>
      </c>
      <c r="E589" t="s">
        <v>43</v>
      </c>
      <c r="F589" s="2">
        <v>152295.7</v>
      </c>
      <c r="G589" s="1" t="s">
        <v>1961</v>
      </c>
      <c r="H589" t="s">
        <v>307</v>
      </c>
      <c r="I589" t="s">
        <v>859</v>
      </c>
      <c r="J589">
        <v>5</v>
      </c>
      <c r="K589" t="s">
        <v>26</v>
      </c>
      <c r="L589" t="s">
        <v>852</v>
      </c>
      <c r="M589" t="s">
        <v>28</v>
      </c>
      <c r="N589" t="s">
        <v>310</v>
      </c>
      <c r="O589" t="s">
        <v>259</v>
      </c>
      <c r="P589" t="s">
        <v>31</v>
      </c>
    </row>
    <row r="590" spans="1:16" x14ac:dyDescent="0.25">
      <c r="A590" t="s">
        <v>1962</v>
      </c>
      <c r="B590" t="s">
        <v>1941</v>
      </c>
      <c r="C590" s="1" t="s">
        <v>1963</v>
      </c>
      <c r="D590" t="s">
        <v>63</v>
      </c>
      <c r="E590" t="s">
        <v>64</v>
      </c>
      <c r="F590" s="2">
        <v>209733</v>
      </c>
      <c r="G590" s="1" t="s">
        <v>1964</v>
      </c>
      <c r="H590" t="s">
        <v>307</v>
      </c>
      <c r="I590" t="s">
        <v>257</v>
      </c>
      <c r="J590">
        <v>8</v>
      </c>
      <c r="K590" t="s">
        <v>26</v>
      </c>
      <c r="L590" t="s">
        <v>852</v>
      </c>
      <c r="M590" t="s">
        <v>28</v>
      </c>
      <c r="N590" t="s">
        <v>310</v>
      </c>
      <c r="O590" t="s">
        <v>259</v>
      </c>
      <c r="P590" t="s">
        <v>31</v>
      </c>
    </row>
    <row r="591" spans="1:16" x14ac:dyDescent="0.25">
      <c r="A591" t="s">
        <v>1965</v>
      </c>
      <c r="B591" t="s">
        <v>1941</v>
      </c>
      <c r="C591" s="1" t="s">
        <v>1966</v>
      </c>
      <c r="D591" t="s">
        <v>63</v>
      </c>
      <c r="E591" t="s">
        <v>64</v>
      </c>
      <c r="F591" s="2">
        <v>145240.59</v>
      </c>
      <c r="G591" s="1" t="s">
        <v>1967</v>
      </c>
      <c r="H591" t="s">
        <v>307</v>
      </c>
      <c r="I591" t="s">
        <v>859</v>
      </c>
      <c r="J591">
        <v>9</v>
      </c>
      <c r="K591" t="s">
        <v>26</v>
      </c>
      <c r="L591" t="s">
        <v>852</v>
      </c>
      <c r="M591" t="s">
        <v>28</v>
      </c>
      <c r="N591" t="s">
        <v>310</v>
      </c>
      <c r="O591" t="s">
        <v>259</v>
      </c>
      <c r="P591" t="s">
        <v>31</v>
      </c>
    </row>
    <row r="592" spans="1:16" x14ac:dyDescent="0.25">
      <c r="A592" t="s">
        <v>1968</v>
      </c>
      <c r="B592" t="s">
        <v>1941</v>
      </c>
      <c r="C592" s="1" t="s">
        <v>1969</v>
      </c>
      <c r="D592" t="s">
        <v>63</v>
      </c>
      <c r="E592" t="s">
        <v>64</v>
      </c>
      <c r="F592" s="2">
        <v>183048.07</v>
      </c>
      <c r="G592" s="1" t="s">
        <v>1970</v>
      </c>
      <c r="H592" t="s">
        <v>307</v>
      </c>
      <c r="I592" t="s">
        <v>257</v>
      </c>
      <c r="J592">
        <v>7</v>
      </c>
      <c r="K592" t="s">
        <v>26</v>
      </c>
      <c r="L592" t="s">
        <v>852</v>
      </c>
      <c r="M592" t="s">
        <v>28</v>
      </c>
      <c r="N592" t="s">
        <v>310</v>
      </c>
      <c r="O592" t="s">
        <v>259</v>
      </c>
      <c r="P592" t="s">
        <v>31</v>
      </c>
    </row>
    <row r="593" spans="1:16" x14ac:dyDescent="0.25">
      <c r="A593" t="s">
        <v>1971</v>
      </c>
      <c r="B593" t="s">
        <v>1941</v>
      </c>
      <c r="C593" s="1" t="s">
        <v>1972</v>
      </c>
      <c r="D593" t="s">
        <v>63</v>
      </c>
      <c r="E593" t="s">
        <v>64</v>
      </c>
      <c r="F593" s="2">
        <v>122132.07</v>
      </c>
      <c r="G593" s="1" t="s">
        <v>1973</v>
      </c>
      <c r="H593" t="s">
        <v>307</v>
      </c>
      <c r="I593" t="s">
        <v>859</v>
      </c>
      <c r="J593">
        <v>6</v>
      </c>
      <c r="K593" t="s">
        <v>26</v>
      </c>
      <c r="L593" t="s">
        <v>852</v>
      </c>
      <c r="M593" t="s">
        <v>28</v>
      </c>
      <c r="N593" t="s">
        <v>310</v>
      </c>
      <c r="O593" t="s">
        <v>259</v>
      </c>
      <c r="P593" t="s">
        <v>31</v>
      </c>
    </row>
    <row r="594" spans="1:16" x14ac:dyDescent="0.25">
      <c r="A594" t="s">
        <v>1974</v>
      </c>
      <c r="B594" t="s">
        <v>1941</v>
      </c>
      <c r="C594" s="1" t="s">
        <v>1975</v>
      </c>
      <c r="D594" t="s">
        <v>63</v>
      </c>
      <c r="E594" t="s">
        <v>64</v>
      </c>
      <c r="F594" s="2">
        <v>280978.29</v>
      </c>
      <c r="G594" s="1" t="s">
        <v>1976</v>
      </c>
      <c r="H594" t="s">
        <v>307</v>
      </c>
      <c r="I594" t="s">
        <v>859</v>
      </c>
      <c r="J594">
        <v>5</v>
      </c>
      <c r="K594" t="s">
        <v>26</v>
      </c>
      <c r="L594" t="s">
        <v>852</v>
      </c>
      <c r="M594" t="s">
        <v>28</v>
      </c>
      <c r="N594" t="s">
        <v>310</v>
      </c>
      <c r="O594" t="s">
        <v>259</v>
      </c>
      <c r="P594" t="s">
        <v>31</v>
      </c>
    </row>
    <row r="595" spans="1:16" x14ac:dyDescent="0.25">
      <c r="A595" t="s">
        <v>1977</v>
      </c>
      <c r="B595" t="s">
        <v>1941</v>
      </c>
      <c r="C595" s="1" t="s">
        <v>1978</v>
      </c>
      <c r="D595" t="s">
        <v>63</v>
      </c>
      <c r="E595" t="s">
        <v>64</v>
      </c>
      <c r="F595" s="2">
        <v>332185.29</v>
      </c>
      <c r="G595" s="1" t="s">
        <v>1979</v>
      </c>
      <c r="H595" t="s">
        <v>307</v>
      </c>
      <c r="I595" t="s">
        <v>859</v>
      </c>
      <c r="J595">
        <v>5</v>
      </c>
      <c r="K595" t="s">
        <v>26</v>
      </c>
      <c r="L595" t="s">
        <v>852</v>
      </c>
      <c r="M595" t="s">
        <v>28</v>
      </c>
      <c r="N595" t="s">
        <v>310</v>
      </c>
      <c r="O595" t="s">
        <v>259</v>
      </c>
      <c r="P595" t="s">
        <v>31</v>
      </c>
    </row>
    <row r="596" spans="1:16" x14ac:dyDescent="0.25">
      <c r="A596" t="s">
        <v>1980</v>
      </c>
      <c r="B596" t="s">
        <v>1941</v>
      </c>
      <c r="C596" s="1" t="s">
        <v>1981</v>
      </c>
      <c r="D596" t="s">
        <v>63</v>
      </c>
      <c r="E596" t="s">
        <v>64</v>
      </c>
      <c r="F596" s="2">
        <v>91810.53</v>
      </c>
      <c r="G596" s="1" t="s">
        <v>1982</v>
      </c>
      <c r="H596" t="s">
        <v>307</v>
      </c>
      <c r="I596" t="s">
        <v>859</v>
      </c>
      <c r="J596">
        <v>6</v>
      </c>
      <c r="K596" t="s">
        <v>26</v>
      </c>
      <c r="L596" t="s">
        <v>852</v>
      </c>
      <c r="M596" t="s">
        <v>28</v>
      </c>
      <c r="N596" t="s">
        <v>310</v>
      </c>
      <c r="O596" t="s">
        <v>259</v>
      </c>
      <c r="P596" t="s">
        <v>31</v>
      </c>
    </row>
    <row r="597" spans="1:16" x14ac:dyDescent="0.25">
      <c r="A597" t="s">
        <v>1983</v>
      </c>
      <c r="B597" t="s">
        <v>1941</v>
      </c>
      <c r="C597" s="1" t="s">
        <v>1984</v>
      </c>
      <c r="D597" t="s">
        <v>63</v>
      </c>
      <c r="E597" t="s">
        <v>64</v>
      </c>
      <c r="F597" s="2">
        <v>10898.2</v>
      </c>
      <c r="G597" s="1" t="s">
        <v>1985</v>
      </c>
      <c r="H597" t="s">
        <v>307</v>
      </c>
      <c r="I597" t="s">
        <v>859</v>
      </c>
      <c r="J597">
        <v>2</v>
      </c>
      <c r="K597" t="s">
        <v>26</v>
      </c>
      <c r="L597" t="s">
        <v>852</v>
      </c>
      <c r="M597" t="s">
        <v>28</v>
      </c>
      <c r="N597" t="s">
        <v>310</v>
      </c>
      <c r="O597" t="s">
        <v>259</v>
      </c>
      <c r="P597" t="s">
        <v>31</v>
      </c>
    </row>
    <row r="598" spans="1:16" x14ac:dyDescent="0.25">
      <c r="A598" t="s">
        <v>1986</v>
      </c>
      <c r="B598" t="s">
        <v>1941</v>
      </c>
      <c r="C598" s="1" t="s">
        <v>1987</v>
      </c>
      <c r="D598" t="s">
        <v>63</v>
      </c>
      <c r="E598" t="s">
        <v>64</v>
      </c>
      <c r="F598" s="2">
        <v>10358</v>
      </c>
      <c r="G598" s="1" t="s">
        <v>1988</v>
      </c>
      <c r="H598" t="s">
        <v>307</v>
      </c>
      <c r="I598" t="s">
        <v>859</v>
      </c>
      <c r="J598">
        <v>2</v>
      </c>
      <c r="K598" t="s">
        <v>26</v>
      </c>
      <c r="L598" t="s">
        <v>852</v>
      </c>
      <c r="M598" t="s">
        <v>28</v>
      </c>
      <c r="N598" t="s">
        <v>310</v>
      </c>
      <c r="O598" t="s">
        <v>259</v>
      </c>
      <c r="P598" t="s">
        <v>31</v>
      </c>
    </row>
    <row r="599" spans="1:16" x14ac:dyDescent="0.25">
      <c r="A599" t="s">
        <v>1989</v>
      </c>
      <c r="B599" t="s">
        <v>1990</v>
      </c>
      <c r="C599" s="1" t="s">
        <v>1991</v>
      </c>
      <c r="D599" t="s">
        <v>42</v>
      </c>
      <c r="E599" t="s">
        <v>43</v>
      </c>
      <c r="F599" s="2">
        <v>132969</v>
      </c>
      <c r="G599" s="1" t="s">
        <v>1992</v>
      </c>
      <c r="H599" t="s">
        <v>307</v>
      </c>
      <c r="I599" t="s">
        <v>859</v>
      </c>
      <c r="J599">
        <v>5</v>
      </c>
      <c r="K599" t="s">
        <v>26</v>
      </c>
      <c r="L599" t="s">
        <v>852</v>
      </c>
      <c r="M599" t="s">
        <v>28</v>
      </c>
      <c r="N599" t="s">
        <v>310</v>
      </c>
      <c r="O599" t="s">
        <v>259</v>
      </c>
      <c r="P599" t="s">
        <v>31</v>
      </c>
    </row>
    <row r="600" spans="1:16" x14ac:dyDescent="0.25">
      <c r="A600" t="s">
        <v>1993</v>
      </c>
      <c r="B600" t="s">
        <v>1990</v>
      </c>
      <c r="C600" s="1" t="s">
        <v>1994</v>
      </c>
      <c r="D600" t="s">
        <v>42</v>
      </c>
      <c r="E600" t="s">
        <v>43</v>
      </c>
      <c r="F600" s="2">
        <v>12151</v>
      </c>
      <c r="G600" s="1" t="s">
        <v>1995</v>
      </c>
      <c r="H600" t="s">
        <v>307</v>
      </c>
      <c r="I600" t="s">
        <v>257</v>
      </c>
      <c r="J600">
        <v>5</v>
      </c>
      <c r="K600" t="s">
        <v>26</v>
      </c>
      <c r="L600" t="s">
        <v>852</v>
      </c>
      <c r="M600" t="s">
        <v>28</v>
      </c>
      <c r="N600" t="s">
        <v>310</v>
      </c>
      <c r="O600" t="s">
        <v>259</v>
      </c>
      <c r="P600" t="s">
        <v>31</v>
      </c>
    </row>
    <row r="601" spans="1:16" x14ac:dyDescent="0.25">
      <c r="A601" t="s">
        <v>1996</v>
      </c>
      <c r="B601" t="s">
        <v>1990</v>
      </c>
      <c r="C601" s="1" t="s">
        <v>1997</v>
      </c>
      <c r="D601" t="s">
        <v>42</v>
      </c>
      <c r="E601" t="s">
        <v>43</v>
      </c>
      <c r="F601" s="2">
        <v>3554.6</v>
      </c>
      <c r="G601" s="1" t="s">
        <v>1998</v>
      </c>
      <c r="H601" t="s">
        <v>307</v>
      </c>
      <c r="I601" t="s">
        <v>859</v>
      </c>
      <c r="J601">
        <v>3</v>
      </c>
      <c r="K601" t="s">
        <v>26</v>
      </c>
      <c r="L601" t="s">
        <v>852</v>
      </c>
      <c r="M601" t="s">
        <v>28</v>
      </c>
      <c r="N601" t="s">
        <v>310</v>
      </c>
      <c r="O601" t="s">
        <v>259</v>
      </c>
      <c r="P601" t="s">
        <v>31</v>
      </c>
    </row>
    <row r="602" spans="1:16" x14ac:dyDescent="0.25">
      <c r="A602" t="s">
        <v>1999</v>
      </c>
      <c r="B602" t="s">
        <v>1990</v>
      </c>
      <c r="C602" s="1" t="s">
        <v>2000</v>
      </c>
      <c r="D602" t="s">
        <v>63</v>
      </c>
      <c r="E602" t="s">
        <v>64</v>
      </c>
      <c r="F602" s="2">
        <v>460385.91</v>
      </c>
      <c r="G602" s="1" t="s">
        <v>2001</v>
      </c>
      <c r="H602" t="s">
        <v>307</v>
      </c>
      <c r="I602" t="s">
        <v>257</v>
      </c>
      <c r="J602">
        <v>10</v>
      </c>
      <c r="K602" t="s">
        <v>26</v>
      </c>
      <c r="L602" t="s">
        <v>852</v>
      </c>
      <c r="M602" t="s">
        <v>28</v>
      </c>
      <c r="N602" t="s">
        <v>310</v>
      </c>
      <c r="O602" t="s">
        <v>259</v>
      </c>
      <c r="P602" t="s">
        <v>31</v>
      </c>
    </row>
    <row r="603" spans="1:16" x14ac:dyDescent="0.25">
      <c r="A603" t="s">
        <v>2002</v>
      </c>
      <c r="B603" t="s">
        <v>1990</v>
      </c>
      <c r="C603" s="1" t="s">
        <v>2003</v>
      </c>
      <c r="D603" t="s">
        <v>42</v>
      </c>
      <c r="E603" t="s">
        <v>43</v>
      </c>
      <c r="F603" s="2">
        <v>66919.03</v>
      </c>
      <c r="G603" s="1" t="s">
        <v>2004</v>
      </c>
      <c r="H603" t="s">
        <v>307</v>
      </c>
      <c r="I603" t="s">
        <v>743</v>
      </c>
      <c r="J603">
        <v>10</v>
      </c>
      <c r="K603" t="s">
        <v>26</v>
      </c>
      <c r="L603" t="s">
        <v>2005</v>
      </c>
      <c r="M603" t="s">
        <v>28</v>
      </c>
      <c r="N603" t="s">
        <v>310</v>
      </c>
      <c r="O603" t="s">
        <v>745</v>
      </c>
      <c r="P603" t="s">
        <v>31</v>
      </c>
    </row>
    <row r="604" spans="1:16" x14ac:dyDescent="0.25">
      <c r="A604" t="s">
        <v>2006</v>
      </c>
      <c r="B604" t="s">
        <v>1990</v>
      </c>
      <c r="C604" s="1" t="s">
        <v>2007</v>
      </c>
      <c r="D604" t="s">
        <v>42</v>
      </c>
      <c r="E604" t="s">
        <v>43</v>
      </c>
      <c r="F604" s="2">
        <v>95007.72</v>
      </c>
      <c r="G604" s="1" t="s">
        <v>2008</v>
      </c>
      <c r="H604" t="s">
        <v>307</v>
      </c>
      <c r="I604" t="s">
        <v>743</v>
      </c>
      <c r="J604">
        <v>10</v>
      </c>
      <c r="K604" t="s">
        <v>26</v>
      </c>
      <c r="L604" t="s">
        <v>2005</v>
      </c>
      <c r="M604" t="s">
        <v>28</v>
      </c>
      <c r="N604" t="s">
        <v>310</v>
      </c>
      <c r="O604" t="s">
        <v>745</v>
      </c>
      <c r="P604" t="s">
        <v>31</v>
      </c>
    </row>
    <row r="605" spans="1:16" x14ac:dyDescent="0.25">
      <c r="A605" t="s">
        <v>2009</v>
      </c>
      <c r="B605" t="s">
        <v>1990</v>
      </c>
      <c r="C605" s="1" t="s">
        <v>2010</v>
      </c>
      <c r="D605" t="s">
        <v>42</v>
      </c>
      <c r="E605" t="s">
        <v>43</v>
      </c>
      <c r="F605" s="2">
        <v>69052.58</v>
      </c>
      <c r="G605" s="1" t="s">
        <v>2011</v>
      </c>
      <c r="H605" t="s">
        <v>307</v>
      </c>
      <c r="I605" t="s">
        <v>743</v>
      </c>
      <c r="J605">
        <v>6</v>
      </c>
      <c r="K605" t="s">
        <v>26</v>
      </c>
      <c r="L605" t="s">
        <v>2005</v>
      </c>
      <c r="M605" t="s">
        <v>28</v>
      </c>
      <c r="N605" t="s">
        <v>310</v>
      </c>
      <c r="O605" t="s">
        <v>745</v>
      </c>
      <c r="P605" t="s">
        <v>31</v>
      </c>
    </row>
    <row r="606" spans="1:16" x14ac:dyDescent="0.25">
      <c r="A606" t="s">
        <v>2012</v>
      </c>
      <c r="B606" t="s">
        <v>1990</v>
      </c>
      <c r="C606" s="1" t="s">
        <v>2013</v>
      </c>
      <c r="D606" t="s">
        <v>42</v>
      </c>
      <c r="E606" t="s">
        <v>43</v>
      </c>
      <c r="F606" s="2">
        <v>132036.81</v>
      </c>
      <c r="G606" s="1" t="s">
        <v>2014</v>
      </c>
      <c r="H606" t="s">
        <v>307</v>
      </c>
      <c r="I606" t="s">
        <v>743</v>
      </c>
      <c r="J606">
        <v>5</v>
      </c>
      <c r="K606" t="s">
        <v>26</v>
      </c>
      <c r="L606" t="s">
        <v>2005</v>
      </c>
      <c r="M606" t="s">
        <v>28</v>
      </c>
      <c r="N606" t="s">
        <v>310</v>
      </c>
      <c r="O606" t="s">
        <v>745</v>
      </c>
      <c r="P606" t="s">
        <v>31</v>
      </c>
    </row>
    <row r="607" spans="1:16" x14ac:dyDescent="0.25">
      <c r="A607" t="s">
        <v>2015</v>
      </c>
      <c r="B607" t="s">
        <v>1990</v>
      </c>
      <c r="C607" s="1" t="s">
        <v>2016</v>
      </c>
      <c r="D607" t="s">
        <v>42</v>
      </c>
      <c r="E607" t="s">
        <v>43</v>
      </c>
      <c r="F607" s="2">
        <v>95602.13</v>
      </c>
      <c r="G607" s="1" t="s">
        <v>2017</v>
      </c>
      <c r="H607" t="s">
        <v>307</v>
      </c>
      <c r="I607" t="s">
        <v>805</v>
      </c>
      <c r="J607">
        <v>3</v>
      </c>
      <c r="K607" t="s">
        <v>26</v>
      </c>
      <c r="L607" t="s">
        <v>891</v>
      </c>
      <c r="M607" t="s">
        <v>28</v>
      </c>
      <c r="N607" t="s">
        <v>310</v>
      </c>
      <c r="O607" t="s">
        <v>807</v>
      </c>
      <c r="P607" t="s">
        <v>31</v>
      </c>
    </row>
    <row r="608" spans="1:16" x14ac:dyDescent="0.25">
      <c r="A608" t="s">
        <v>2018</v>
      </c>
      <c r="B608" t="s">
        <v>1990</v>
      </c>
      <c r="C608" s="1" t="s">
        <v>2019</v>
      </c>
      <c r="D608" t="s">
        <v>63</v>
      </c>
      <c r="E608" t="s">
        <v>64</v>
      </c>
      <c r="F608" s="2">
        <v>119945.55</v>
      </c>
      <c r="G608" s="1" t="s">
        <v>2020</v>
      </c>
      <c r="H608" t="s">
        <v>307</v>
      </c>
      <c r="I608" t="s">
        <v>805</v>
      </c>
      <c r="J608">
        <v>2</v>
      </c>
      <c r="K608" t="s">
        <v>26</v>
      </c>
      <c r="L608" t="s">
        <v>891</v>
      </c>
      <c r="M608" t="s">
        <v>28</v>
      </c>
      <c r="N608" t="s">
        <v>310</v>
      </c>
      <c r="O608" t="s">
        <v>807</v>
      </c>
      <c r="P608" t="s">
        <v>31</v>
      </c>
    </row>
    <row r="609" spans="1:16" x14ac:dyDescent="0.25">
      <c r="A609" t="s">
        <v>2021</v>
      </c>
      <c r="B609" t="s">
        <v>1990</v>
      </c>
      <c r="C609" s="1" t="s">
        <v>2022</v>
      </c>
      <c r="D609" t="s">
        <v>63</v>
      </c>
      <c r="E609" t="s">
        <v>64</v>
      </c>
      <c r="F609" s="2">
        <v>729806.5</v>
      </c>
      <c r="G609" s="1" t="s">
        <v>2023</v>
      </c>
      <c r="H609" t="s">
        <v>307</v>
      </c>
      <c r="I609" t="s">
        <v>805</v>
      </c>
      <c r="J609">
        <v>3</v>
      </c>
      <c r="K609" t="s">
        <v>26</v>
      </c>
      <c r="L609" t="s">
        <v>891</v>
      </c>
      <c r="M609" t="s">
        <v>28</v>
      </c>
      <c r="N609" t="s">
        <v>310</v>
      </c>
      <c r="O609" t="s">
        <v>807</v>
      </c>
      <c r="P609" t="s">
        <v>31</v>
      </c>
    </row>
    <row r="610" spans="1:16" x14ac:dyDescent="0.25">
      <c r="A610" t="s">
        <v>2024</v>
      </c>
      <c r="B610" t="s">
        <v>1990</v>
      </c>
      <c r="C610" s="1" t="s">
        <v>2025</v>
      </c>
      <c r="D610" t="s">
        <v>42</v>
      </c>
      <c r="E610" t="s">
        <v>43</v>
      </c>
      <c r="F610" s="2">
        <v>123068.28</v>
      </c>
      <c r="G610" s="1" t="s">
        <v>2026</v>
      </c>
      <c r="H610" t="s">
        <v>307</v>
      </c>
      <c r="I610" t="s">
        <v>805</v>
      </c>
      <c r="J610">
        <v>10</v>
      </c>
      <c r="K610" t="s">
        <v>26</v>
      </c>
      <c r="L610" t="s">
        <v>891</v>
      </c>
      <c r="M610" t="s">
        <v>28</v>
      </c>
      <c r="N610" t="s">
        <v>310</v>
      </c>
      <c r="O610" t="s">
        <v>807</v>
      </c>
      <c r="P610" t="s">
        <v>31</v>
      </c>
    </row>
    <row r="611" spans="1:16" x14ac:dyDescent="0.25">
      <c r="A611" t="s">
        <v>2027</v>
      </c>
      <c r="B611" t="s">
        <v>1990</v>
      </c>
      <c r="C611" s="1" t="s">
        <v>2028</v>
      </c>
      <c r="D611" t="s">
        <v>42</v>
      </c>
      <c r="E611" t="s">
        <v>43</v>
      </c>
      <c r="F611" s="2">
        <v>67886.96</v>
      </c>
      <c r="G611" s="1" t="s">
        <v>2029</v>
      </c>
      <c r="H611" t="s">
        <v>307</v>
      </c>
      <c r="I611" t="s">
        <v>805</v>
      </c>
      <c r="J611">
        <v>11</v>
      </c>
      <c r="K611" t="s">
        <v>26</v>
      </c>
      <c r="L611" t="s">
        <v>891</v>
      </c>
      <c r="M611" t="s">
        <v>28</v>
      </c>
      <c r="N611" t="s">
        <v>310</v>
      </c>
      <c r="O611" t="s">
        <v>807</v>
      </c>
      <c r="P611" t="s">
        <v>31</v>
      </c>
    </row>
    <row r="612" spans="1:16" x14ac:dyDescent="0.25">
      <c r="A612" t="s">
        <v>2030</v>
      </c>
      <c r="B612" t="s">
        <v>1990</v>
      </c>
      <c r="C612" s="1" t="s">
        <v>2031</v>
      </c>
      <c r="D612" t="s">
        <v>42</v>
      </c>
      <c r="E612" t="s">
        <v>43</v>
      </c>
      <c r="F612" s="2">
        <v>131525.76</v>
      </c>
      <c r="G612" s="1" t="s">
        <v>2032</v>
      </c>
      <c r="H612" t="s">
        <v>307</v>
      </c>
      <c r="I612" t="s">
        <v>805</v>
      </c>
      <c r="J612">
        <v>5</v>
      </c>
      <c r="K612" t="s">
        <v>26</v>
      </c>
      <c r="L612" t="s">
        <v>891</v>
      </c>
      <c r="M612" t="s">
        <v>28</v>
      </c>
      <c r="N612" t="s">
        <v>310</v>
      </c>
      <c r="O612" t="s">
        <v>807</v>
      </c>
      <c r="P612" t="s">
        <v>31</v>
      </c>
    </row>
    <row r="613" spans="1:16" x14ac:dyDescent="0.25">
      <c r="A613" t="s">
        <v>2033</v>
      </c>
      <c r="B613" t="s">
        <v>1990</v>
      </c>
      <c r="C613" s="1" t="s">
        <v>2034</v>
      </c>
      <c r="D613" t="s">
        <v>63</v>
      </c>
      <c r="E613" t="s">
        <v>64</v>
      </c>
      <c r="F613" s="2">
        <v>950826.31</v>
      </c>
      <c r="G613" s="1" t="s">
        <v>2035</v>
      </c>
      <c r="H613" t="s">
        <v>307</v>
      </c>
      <c r="I613" t="s">
        <v>805</v>
      </c>
      <c r="J613">
        <v>5</v>
      </c>
      <c r="K613" t="s">
        <v>26</v>
      </c>
      <c r="L613" t="s">
        <v>891</v>
      </c>
      <c r="M613" t="s">
        <v>28</v>
      </c>
      <c r="N613" t="s">
        <v>310</v>
      </c>
      <c r="O613" t="s">
        <v>807</v>
      </c>
      <c r="P613" t="s">
        <v>31</v>
      </c>
    </row>
    <row r="614" spans="1:16" x14ac:dyDescent="0.25">
      <c r="A614" t="s">
        <v>2036</v>
      </c>
      <c r="B614" t="s">
        <v>1990</v>
      </c>
      <c r="C614" s="1" t="s">
        <v>2037</v>
      </c>
      <c r="D614" t="s">
        <v>63</v>
      </c>
      <c r="E614" t="s">
        <v>64</v>
      </c>
      <c r="F614" s="2">
        <v>19015.2</v>
      </c>
      <c r="G614" s="1" t="s">
        <v>2038</v>
      </c>
      <c r="H614" t="s">
        <v>307</v>
      </c>
      <c r="I614" t="s">
        <v>805</v>
      </c>
      <c r="J614">
        <v>2</v>
      </c>
      <c r="K614" t="s">
        <v>26</v>
      </c>
      <c r="L614" t="s">
        <v>891</v>
      </c>
      <c r="M614" t="s">
        <v>28</v>
      </c>
      <c r="N614" t="s">
        <v>310</v>
      </c>
      <c r="O614" t="s">
        <v>807</v>
      </c>
      <c r="P614" t="s">
        <v>31</v>
      </c>
    </row>
    <row r="615" spans="1:16" x14ac:dyDescent="0.25">
      <c r="A615" t="s">
        <v>2039</v>
      </c>
      <c r="B615" t="s">
        <v>1990</v>
      </c>
      <c r="C615" s="1" t="s">
        <v>2040</v>
      </c>
      <c r="D615" t="s">
        <v>63</v>
      </c>
      <c r="E615" t="s">
        <v>64</v>
      </c>
      <c r="F615" s="2">
        <v>252059</v>
      </c>
      <c r="G615" s="1" t="s">
        <v>2041</v>
      </c>
      <c r="H615" t="s">
        <v>307</v>
      </c>
      <c r="I615" t="s">
        <v>1498</v>
      </c>
      <c r="J615">
        <v>2</v>
      </c>
      <c r="K615" t="s">
        <v>26</v>
      </c>
      <c r="L615" t="s">
        <v>2042</v>
      </c>
      <c r="M615" t="s">
        <v>28</v>
      </c>
      <c r="N615" t="s">
        <v>310</v>
      </c>
      <c r="O615" t="s">
        <v>1500</v>
      </c>
      <c r="P615" t="s">
        <v>31</v>
      </c>
    </row>
    <row r="616" spans="1:16" x14ac:dyDescent="0.25">
      <c r="A616" t="s">
        <v>2043</v>
      </c>
      <c r="B616" t="s">
        <v>1990</v>
      </c>
      <c r="C616" s="1" t="s">
        <v>2044</v>
      </c>
      <c r="D616" t="s">
        <v>63</v>
      </c>
      <c r="E616" t="s">
        <v>64</v>
      </c>
      <c r="F616" s="2">
        <v>460966</v>
      </c>
      <c r="G616" s="1" t="s">
        <v>2045</v>
      </c>
      <c r="H616" t="s">
        <v>307</v>
      </c>
      <c r="I616" t="s">
        <v>1498</v>
      </c>
      <c r="J616">
        <v>3</v>
      </c>
      <c r="K616" t="s">
        <v>26</v>
      </c>
      <c r="L616" t="s">
        <v>2042</v>
      </c>
      <c r="M616" t="s">
        <v>28</v>
      </c>
      <c r="N616" t="s">
        <v>310</v>
      </c>
      <c r="O616" t="s">
        <v>1500</v>
      </c>
      <c r="P616" t="s">
        <v>31</v>
      </c>
    </row>
    <row r="617" spans="1:16" x14ac:dyDescent="0.25">
      <c r="A617" t="s">
        <v>2046</v>
      </c>
      <c r="B617" t="s">
        <v>1990</v>
      </c>
      <c r="C617" s="1" t="s">
        <v>2047</v>
      </c>
      <c r="D617" t="s">
        <v>63</v>
      </c>
      <c r="E617" t="s">
        <v>64</v>
      </c>
      <c r="F617" s="2">
        <v>4814</v>
      </c>
      <c r="G617" s="1" t="s">
        <v>2048</v>
      </c>
      <c r="H617" t="s">
        <v>307</v>
      </c>
      <c r="I617" t="s">
        <v>805</v>
      </c>
      <c r="J617">
        <v>2</v>
      </c>
      <c r="K617" t="s">
        <v>26</v>
      </c>
      <c r="L617" t="s">
        <v>891</v>
      </c>
      <c r="M617" t="s">
        <v>28</v>
      </c>
      <c r="N617" t="s">
        <v>310</v>
      </c>
      <c r="O617" t="s">
        <v>807</v>
      </c>
      <c r="P617" t="s">
        <v>31</v>
      </c>
    </row>
    <row r="618" spans="1:16" x14ac:dyDescent="0.25">
      <c r="A618" t="s">
        <v>2049</v>
      </c>
      <c r="B618" t="s">
        <v>1990</v>
      </c>
      <c r="C618" s="1" t="s">
        <v>2050</v>
      </c>
      <c r="D618" t="s">
        <v>63</v>
      </c>
      <c r="E618" t="s">
        <v>64</v>
      </c>
      <c r="F618" s="2">
        <v>23775.33</v>
      </c>
      <c r="G618" s="1" t="s">
        <v>2051</v>
      </c>
      <c r="H618" t="s">
        <v>307</v>
      </c>
      <c r="I618" t="s">
        <v>257</v>
      </c>
      <c r="J618">
        <v>2</v>
      </c>
      <c r="K618" t="s">
        <v>26</v>
      </c>
      <c r="L618" t="s">
        <v>852</v>
      </c>
      <c r="M618" t="s">
        <v>28</v>
      </c>
      <c r="N618" t="s">
        <v>310</v>
      </c>
      <c r="O618" t="s">
        <v>259</v>
      </c>
      <c r="P618" t="s">
        <v>31</v>
      </c>
    </row>
    <row r="619" spans="1:16" x14ac:dyDescent="0.25">
      <c r="A619" t="s">
        <v>2052</v>
      </c>
      <c r="B619" t="s">
        <v>1990</v>
      </c>
      <c r="C619" s="1" t="s">
        <v>2053</v>
      </c>
      <c r="D619" t="s">
        <v>63</v>
      </c>
      <c r="E619" t="s">
        <v>64</v>
      </c>
      <c r="F619" s="2">
        <v>7347</v>
      </c>
      <c r="G619" s="1" t="s">
        <v>2054</v>
      </c>
      <c r="H619" t="s">
        <v>307</v>
      </c>
      <c r="I619" t="s">
        <v>805</v>
      </c>
      <c r="J619">
        <v>2</v>
      </c>
      <c r="K619" t="s">
        <v>26</v>
      </c>
      <c r="L619" t="s">
        <v>891</v>
      </c>
      <c r="M619" t="s">
        <v>28</v>
      </c>
      <c r="N619" t="s">
        <v>310</v>
      </c>
      <c r="O619" t="s">
        <v>807</v>
      </c>
      <c r="P619" t="s">
        <v>31</v>
      </c>
    </row>
    <row r="620" spans="1:16" x14ac:dyDescent="0.25">
      <c r="A620" t="s">
        <v>2055</v>
      </c>
      <c r="B620" t="s">
        <v>1990</v>
      </c>
      <c r="C620" s="1" t="s">
        <v>2056</v>
      </c>
      <c r="D620" t="s">
        <v>63</v>
      </c>
      <c r="E620" t="s">
        <v>64</v>
      </c>
      <c r="F620" s="2">
        <v>13524</v>
      </c>
      <c r="G620" s="1" t="s">
        <v>2057</v>
      </c>
      <c r="H620" t="s">
        <v>307</v>
      </c>
      <c r="I620" t="s">
        <v>805</v>
      </c>
      <c r="J620">
        <v>2</v>
      </c>
      <c r="K620" t="s">
        <v>26</v>
      </c>
      <c r="L620" t="s">
        <v>891</v>
      </c>
      <c r="M620" t="s">
        <v>28</v>
      </c>
      <c r="N620" t="s">
        <v>310</v>
      </c>
      <c r="O620" t="s">
        <v>807</v>
      </c>
      <c r="P620" t="s">
        <v>31</v>
      </c>
    </row>
    <row r="621" spans="1:16" x14ac:dyDescent="0.25">
      <c r="A621" t="s">
        <v>2058</v>
      </c>
      <c r="B621" t="s">
        <v>1990</v>
      </c>
      <c r="C621" s="1" t="s">
        <v>2059</v>
      </c>
      <c r="D621" t="s">
        <v>63</v>
      </c>
      <c r="E621" t="s">
        <v>64</v>
      </c>
      <c r="F621" s="2">
        <v>9528</v>
      </c>
      <c r="G621" s="1" t="s">
        <v>2060</v>
      </c>
      <c r="H621" t="s">
        <v>307</v>
      </c>
      <c r="I621" t="s">
        <v>805</v>
      </c>
      <c r="J621">
        <v>2</v>
      </c>
      <c r="K621" t="s">
        <v>26</v>
      </c>
      <c r="L621" t="s">
        <v>891</v>
      </c>
      <c r="M621" t="s">
        <v>28</v>
      </c>
      <c r="N621" t="s">
        <v>310</v>
      </c>
      <c r="O621" t="s">
        <v>807</v>
      </c>
      <c r="P621" t="s">
        <v>31</v>
      </c>
    </row>
    <row r="622" spans="1:16" x14ac:dyDescent="0.25">
      <c r="A622" t="s">
        <v>2061</v>
      </c>
      <c r="B622" t="s">
        <v>1990</v>
      </c>
      <c r="C622" s="1" t="s">
        <v>2062</v>
      </c>
      <c r="D622" t="s">
        <v>63</v>
      </c>
      <c r="E622" t="s">
        <v>64</v>
      </c>
      <c r="F622" s="2">
        <v>19783.67</v>
      </c>
      <c r="G622" s="1" t="s">
        <v>2063</v>
      </c>
      <c r="H622" t="s">
        <v>307</v>
      </c>
      <c r="I622" t="s">
        <v>859</v>
      </c>
      <c r="J622">
        <v>2</v>
      </c>
      <c r="K622" t="s">
        <v>26</v>
      </c>
      <c r="L622" t="s">
        <v>852</v>
      </c>
      <c r="M622" t="s">
        <v>28</v>
      </c>
      <c r="N622" t="s">
        <v>310</v>
      </c>
      <c r="O622" t="s">
        <v>259</v>
      </c>
      <c r="P622" t="s">
        <v>31</v>
      </c>
    </row>
    <row r="623" spans="1:16" x14ac:dyDescent="0.25">
      <c r="A623" t="s">
        <v>2064</v>
      </c>
      <c r="B623" t="s">
        <v>1990</v>
      </c>
      <c r="C623" s="1" t="s">
        <v>2065</v>
      </c>
      <c r="D623" t="s">
        <v>63</v>
      </c>
      <c r="E623" t="s">
        <v>64</v>
      </c>
      <c r="F623" s="2">
        <v>19785.33</v>
      </c>
      <c r="G623" s="1" t="s">
        <v>2066</v>
      </c>
      <c r="H623" t="s">
        <v>307</v>
      </c>
      <c r="I623" t="s">
        <v>859</v>
      </c>
      <c r="J623">
        <v>2</v>
      </c>
      <c r="K623" t="s">
        <v>26</v>
      </c>
      <c r="L623" t="s">
        <v>852</v>
      </c>
      <c r="M623" t="s">
        <v>28</v>
      </c>
      <c r="N623" t="s">
        <v>310</v>
      </c>
      <c r="O623" t="s">
        <v>259</v>
      </c>
      <c r="P623" t="s">
        <v>31</v>
      </c>
    </row>
    <row r="624" spans="1:16" x14ac:dyDescent="0.25">
      <c r="A624" t="s">
        <v>2067</v>
      </c>
      <c r="B624" t="s">
        <v>1990</v>
      </c>
      <c r="C624" s="1" t="s">
        <v>2068</v>
      </c>
      <c r="D624" t="s">
        <v>63</v>
      </c>
      <c r="E624" t="s">
        <v>64</v>
      </c>
      <c r="F624" s="2">
        <v>14921</v>
      </c>
      <c r="G624" s="1" t="s">
        <v>2069</v>
      </c>
      <c r="H624" t="s">
        <v>307</v>
      </c>
      <c r="I624" t="s">
        <v>257</v>
      </c>
      <c r="J624">
        <v>2</v>
      </c>
      <c r="K624" t="s">
        <v>26</v>
      </c>
      <c r="L624" t="s">
        <v>852</v>
      </c>
      <c r="M624" t="s">
        <v>28</v>
      </c>
      <c r="N624" t="s">
        <v>310</v>
      </c>
      <c r="O624" t="s">
        <v>259</v>
      </c>
      <c r="P624" t="s">
        <v>31</v>
      </c>
    </row>
    <row r="625" spans="1:16" x14ac:dyDescent="0.25">
      <c r="A625" t="s">
        <v>2070</v>
      </c>
      <c r="B625" t="s">
        <v>1990</v>
      </c>
      <c r="C625" s="1" t="s">
        <v>2071</v>
      </c>
      <c r="D625" t="s">
        <v>42</v>
      </c>
      <c r="E625" t="s">
        <v>43</v>
      </c>
      <c r="F625" s="2">
        <v>18528</v>
      </c>
      <c r="G625" s="1" t="s">
        <v>2072</v>
      </c>
      <c r="H625" t="s">
        <v>307</v>
      </c>
      <c r="I625" t="s">
        <v>805</v>
      </c>
      <c r="J625">
        <v>2</v>
      </c>
      <c r="K625" t="s">
        <v>26</v>
      </c>
      <c r="L625" t="s">
        <v>891</v>
      </c>
      <c r="M625" t="s">
        <v>28</v>
      </c>
      <c r="N625" t="s">
        <v>310</v>
      </c>
      <c r="O625" t="s">
        <v>807</v>
      </c>
      <c r="P625" t="s">
        <v>31</v>
      </c>
    </row>
    <row r="626" spans="1:16" x14ac:dyDescent="0.25">
      <c r="A626" t="s">
        <v>2073</v>
      </c>
      <c r="B626" t="s">
        <v>1990</v>
      </c>
      <c r="C626" s="1" t="s">
        <v>2074</v>
      </c>
      <c r="D626" t="s">
        <v>63</v>
      </c>
      <c r="E626" t="s">
        <v>64</v>
      </c>
      <c r="F626" s="2">
        <v>543296</v>
      </c>
      <c r="G626" s="1" t="s">
        <v>2075</v>
      </c>
      <c r="H626" t="s">
        <v>307</v>
      </c>
      <c r="I626" t="s">
        <v>805</v>
      </c>
      <c r="J626">
        <v>2</v>
      </c>
      <c r="K626" t="s">
        <v>26</v>
      </c>
      <c r="L626" t="s">
        <v>891</v>
      </c>
      <c r="M626" t="s">
        <v>28</v>
      </c>
      <c r="N626" t="s">
        <v>310</v>
      </c>
      <c r="O626" t="s">
        <v>807</v>
      </c>
      <c r="P626" t="s">
        <v>31</v>
      </c>
    </row>
    <row r="627" spans="1:16" x14ac:dyDescent="0.25">
      <c r="A627" t="s">
        <v>2076</v>
      </c>
      <c r="B627" t="s">
        <v>1990</v>
      </c>
      <c r="C627" s="1" t="s">
        <v>2077</v>
      </c>
      <c r="D627" t="s">
        <v>63</v>
      </c>
      <c r="E627" t="s">
        <v>64</v>
      </c>
      <c r="F627" s="2">
        <v>22875.3</v>
      </c>
      <c r="G627" s="1" t="s">
        <v>2078</v>
      </c>
      <c r="H627" t="s">
        <v>307</v>
      </c>
      <c r="I627" t="s">
        <v>805</v>
      </c>
      <c r="J627">
        <v>2</v>
      </c>
      <c r="K627" t="s">
        <v>26</v>
      </c>
      <c r="L627" t="s">
        <v>891</v>
      </c>
      <c r="M627" t="s">
        <v>28</v>
      </c>
      <c r="N627" t="s">
        <v>310</v>
      </c>
      <c r="O627" t="s">
        <v>807</v>
      </c>
      <c r="P627" t="s">
        <v>31</v>
      </c>
    </row>
    <row r="628" spans="1:16" x14ac:dyDescent="0.25">
      <c r="A628" t="s">
        <v>2079</v>
      </c>
      <c r="B628" t="s">
        <v>1990</v>
      </c>
      <c r="C628" s="1" t="s">
        <v>2080</v>
      </c>
      <c r="D628" t="s">
        <v>63</v>
      </c>
      <c r="E628" t="s">
        <v>64</v>
      </c>
      <c r="F628" s="2">
        <v>1095380.65</v>
      </c>
      <c r="G628" s="1" t="s">
        <v>2081</v>
      </c>
      <c r="H628" t="s">
        <v>307</v>
      </c>
      <c r="I628" t="s">
        <v>805</v>
      </c>
      <c r="J628">
        <v>5</v>
      </c>
      <c r="K628" t="s">
        <v>26</v>
      </c>
      <c r="L628" t="s">
        <v>891</v>
      </c>
      <c r="M628" t="s">
        <v>28</v>
      </c>
      <c r="N628" t="s">
        <v>310</v>
      </c>
      <c r="O628" t="s">
        <v>807</v>
      </c>
      <c r="P628" t="s">
        <v>31</v>
      </c>
    </row>
    <row r="629" spans="1:16" x14ac:dyDescent="0.25">
      <c r="A629" t="s">
        <v>2082</v>
      </c>
      <c r="B629" t="s">
        <v>1990</v>
      </c>
      <c r="C629" s="1" t="s">
        <v>2083</v>
      </c>
      <c r="D629" t="s">
        <v>63</v>
      </c>
      <c r="E629" t="s">
        <v>64</v>
      </c>
      <c r="F629" s="2">
        <v>40874.8</v>
      </c>
      <c r="G629" s="1" t="s">
        <v>2084</v>
      </c>
      <c r="H629" t="s">
        <v>307</v>
      </c>
      <c r="I629" t="s">
        <v>859</v>
      </c>
      <c r="J629">
        <v>4</v>
      </c>
      <c r="K629" t="s">
        <v>26</v>
      </c>
      <c r="L629" t="s">
        <v>852</v>
      </c>
      <c r="M629" t="s">
        <v>28</v>
      </c>
      <c r="N629" t="s">
        <v>310</v>
      </c>
      <c r="O629" t="s">
        <v>259</v>
      </c>
      <c r="P629" t="s">
        <v>31</v>
      </c>
    </row>
    <row r="630" spans="1:16" x14ac:dyDescent="0.25">
      <c r="A630" t="s">
        <v>2085</v>
      </c>
      <c r="B630" t="s">
        <v>1990</v>
      </c>
      <c r="C630" s="1" t="s">
        <v>2086</v>
      </c>
      <c r="D630" t="s">
        <v>63</v>
      </c>
      <c r="E630" t="s">
        <v>64</v>
      </c>
      <c r="F630" s="2">
        <v>29514.77</v>
      </c>
      <c r="G630" s="1" t="s">
        <v>2087</v>
      </c>
      <c r="H630" t="s">
        <v>307</v>
      </c>
      <c r="I630" t="s">
        <v>257</v>
      </c>
      <c r="J630">
        <v>4</v>
      </c>
      <c r="K630" t="s">
        <v>26</v>
      </c>
      <c r="L630" t="s">
        <v>852</v>
      </c>
      <c r="M630" t="s">
        <v>28</v>
      </c>
      <c r="N630" t="s">
        <v>310</v>
      </c>
      <c r="O630" t="s">
        <v>259</v>
      </c>
      <c r="P630" t="s">
        <v>31</v>
      </c>
    </row>
    <row r="631" spans="1:16" x14ac:dyDescent="0.25">
      <c r="A631" t="s">
        <v>2088</v>
      </c>
      <c r="B631" t="s">
        <v>1990</v>
      </c>
      <c r="C631" s="1" t="s">
        <v>2089</v>
      </c>
      <c r="D631" t="s">
        <v>42</v>
      </c>
      <c r="E631" t="s">
        <v>43</v>
      </c>
      <c r="F631" s="2">
        <v>88611.96</v>
      </c>
      <c r="G631" s="1" t="s">
        <v>2090</v>
      </c>
      <c r="H631" t="s">
        <v>307</v>
      </c>
      <c r="I631" t="s">
        <v>805</v>
      </c>
      <c r="J631">
        <v>2</v>
      </c>
      <c r="K631" t="s">
        <v>26</v>
      </c>
      <c r="L631" t="s">
        <v>891</v>
      </c>
      <c r="M631" t="s">
        <v>28</v>
      </c>
      <c r="N631" t="s">
        <v>310</v>
      </c>
      <c r="O631" t="s">
        <v>807</v>
      </c>
      <c r="P631" t="s">
        <v>31</v>
      </c>
    </row>
    <row r="632" spans="1:16" x14ac:dyDescent="0.25">
      <c r="A632" t="s">
        <v>2091</v>
      </c>
      <c r="B632" t="s">
        <v>1990</v>
      </c>
      <c r="C632" s="1" t="s">
        <v>2092</v>
      </c>
      <c r="D632" t="s">
        <v>42</v>
      </c>
      <c r="E632" t="s">
        <v>43</v>
      </c>
      <c r="F632" s="2">
        <v>4323.47</v>
      </c>
      <c r="G632" s="1" t="s">
        <v>2093</v>
      </c>
      <c r="H632" t="s">
        <v>307</v>
      </c>
      <c r="I632" t="s">
        <v>859</v>
      </c>
      <c r="J632">
        <v>3</v>
      </c>
      <c r="K632" t="s">
        <v>26</v>
      </c>
      <c r="L632" t="s">
        <v>852</v>
      </c>
      <c r="M632" t="s">
        <v>28</v>
      </c>
      <c r="N632" t="s">
        <v>310</v>
      </c>
      <c r="O632" t="s">
        <v>259</v>
      </c>
      <c r="P632" t="s">
        <v>31</v>
      </c>
    </row>
    <row r="633" spans="1:16" x14ac:dyDescent="0.25">
      <c r="A633" t="s">
        <v>2094</v>
      </c>
      <c r="B633" t="s">
        <v>1990</v>
      </c>
      <c r="C633" s="1" t="s">
        <v>2095</v>
      </c>
      <c r="D633" t="s">
        <v>63</v>
      </c>
      <c r="E633" t="s">
        <v>64</v>
      </c>
      <c r="F633" s="2">
        <v>1287988.67</v>
      </c>
      <c r="G633" s="1" t="s">
        <v>2096</v>
      </c>
      <c r="H633" t="s">
        <v>307</v>
      </c>
      <c r="I633" t="s">
        <v>805</v>
      </c>
      <c r="J633">
        <v>2</v>
      </c>
      <c r="K633" t="s">
        <v>26</v>
      </c>
      <c r="L633" t="s">
        <v>891</v>
      </c>
      <c r="M633" t="s">
        <v>28</v>
      </c>
      <c r="N633" t="s">
        <v>310</v>
      </c>
      <c r="O633" t="s">
        <v>807</v>
      </c>
      <c r="P633" t="s">
        <v>31</v>
      </c>
    </row>
    <row r="634" spans="1:16" x14ac:dyDescent="0.25">
      <c r="A634" t="s">
        <v>2097</v>
      </c>
      <c r="B634" t="s">
        <v>2098</v>
      </c>
      <c r="C634" s="1" t="s">
        <v>2099</v>
      </c>
      <c r="D634" t="s">
        <v>42</v>
      </c>
      <c r="E634" t="s">
        <v>43</v>
      </c>
      <c r="F634" s="2">
        <v>101793.27</v>
      </c>
      <c r="G634" s="1" t="s">
        <v>2100</v>
      </c>
      <c r="H634" t="s">
        <v>1823</v>
      </c>
      <c r="I634" t="s">
        <v>1498</v>
      </c>
      <c r="J634">
        <v>4</v>
      </c>
      <c r="K634" t="s">
        <v>26</v>
      </c>
      <c r="L634" t="s">
        <v>2101</v>
      </c>
      <c r="M634" t="s">
        <v>28</v>
      </c>
      <c r="N634" t="s">
        <v>1825</v>
      </c>
      <c r="O634" t="s">
        <v>1500</v>
      </c>
      <c r="P634" t="s">
        <v>31</v>
      </c>
    </row>
    <row r="635" spans="1:16" x14ac:dyDescent="0.25">
      <c r="A635" t="s">
        <v>2102</v>
      </c>
      <c r="B635" t="s">
        <v>2103</v>
      </c>
      <c r="C635" s="1" t="s">
        <v>2104</v>
      </c>
      <c r="D635" t="s">
        <v>287</v>
      </c>
      <c r="E635" t="s">
        <v>288</v>
      </c>
      <c r="F635" s="2">
        <v>9776.59</v>
      </c>
      <c r="G635" s="1" t="s">
        <v>2105</v>
      </c>
      <c r="H635" t="s">
        <v>351</v>
      </c>
      <c r="I635" t="s">
        <v>58</v>
      </c>
      <c r="J635">
        <v>2</v>
      </c>
      <c r="K635" t="s">
        <v>26</v>
      </c>
      <c r="L635" t="s">
        <v>2106</v>
      </c>
      <c r="M635" t="s">
        <v>2107</v>
      </c>
      <c r="N635" t="s">
        <v>353</v>
      </c>
      <c r="O635" t="s">
        <v>60</v>
      </c>
      <c r="P635" t="s">
        <v>31</v>
      </c>
    </row>
    <row r="636" spans="1:16" x14ac:dyDescent="0.25">
      <c r="A636" t="s">
        <v>2108</v>
      </c>
      <c r="B636" t="s">
        <v>2103</v>
      </c>
      <c r="C636" s="1" t="s">
        <v>2109</v>
      </c>
      <c r="D636" t="s">
        <v>21</v>
      </c>
      <c r="E636" t="s">
        <v>22</v>
      </c>
      <c r="F636" s="2">
        <v>33242.33</v>
      </c>
      <c r="G636" s="1" t="s">
        <v>2110</v>
      </c>
      <c r="H636" t="s">
        <v>351</v>
      </c>
      <c r="I636" t="s">
        <v>58</v>
      </c>
      <c r="J636">
        <v>7</v>
      </c>
      <c r="K636" t="s">
        <v>26</v>
      </c>
      <c r="L636" t="s">
        <v>2106</v>
      </c>
      <c r="M636" t="s">
        <v>2107</v>
      </c>
      <c r="N636" t="s">
        <v>353</v>
      </c>
      <c r="O636" t="s">
        <v>60</v>
      </c>
      <c r="P636" t="s">
        <v>31</v>
      </c>
    </row>
    <row r="637" spans="1:16" x14ac:dyDescent="0.25">
      <c r="A637" t="s">
        <v>2111</v>
      </c>
      <c r="B637" t="s">
        <v>2103</v>
      </c>
      <c r="C637" s="1" t="s">
        <v>2112</v>
      </c>
      <c r="D637" t="s">
        <v>21</v>
      </c>
      <c r="E637" t="s">
        <v>22</v>
      </c>
      <c r="F637" s="2">
        <v>58828.84</v>
      </c>
      <c r="G637" s="1" t="s">
        <v>2113</v>
      </c>
      <c r="H637" t="s">
        <v>351</v>
      </c>
      <c r="I637" t="s">
        <v>58</v>
      </c>
      <c r="J637">
        <v>7</v>
      </c>
      <c r="K637" t="s">
        <v>26</v>
      </c>
      <c r="L637" t="s">
        <v>2106</v>
      </c>
      <c r="M637" t="s">
        <v>2107</v>
      </c>
      <c r="N637" t="s">
        <v>353</v>
      </c>
      <c r="O637" t="s">
        <v>60</v>
      </c>
      <c r="P637" t="s">
        <v>31</v>
      </c>
    </row>
    <row r="638" spans="1:16" x14ac:dyDescent="0.25">
      <c r="A638" t="s">
        <v>2114</v>
      </c>
      <c r="B638" t="s">
        <v>2103</v>
      </c>
      <c r="C638" s="1" t="s">
        <v>2115</v>
      </c>
      <c r="D638" t="s">
        <v>21</v>
      </c>
      <c r="E638" t="s">
        <v>22</v>
      </c>
      <c r="F638" s="2">
        <v>6308.88</v>
      </c>
      <c r="G638" s="1" t="s">
        <v>2116</v>
      </c>
      <c r="H638" t="s">
        <v>24</v>
      </c>
      <c r="I638" t="s">
        <v>54</v>
      </c>
      <c r="J638">
        <v>6</v>
      </c>
      <c r="K638" t="s">
        <v>26</v>
      </c>
      <c r="L638" t="s">
        <v>2117</v>
      </c>
      <c r="M638" t="s">
        <v>2107</v>
      </c>
      <c r="N638" t="s">
        <v>29</v>
      </c>
      <c r="O638" t="s">
        <v>47</v>
      </c>
      <c r="P638" t="s">
        <v>31</v>
      </c>
    </row>
    <row r="639" spans="1:16" x14ac:dyDescent="0.25">
      <c r="A639" t="s">
        <v>2118</v>
      </c>
      <c r="B639" t="s">
        <v>2103</v>
      </c>
      <c r="C639" s="1" t="s">
        <v>2119</v>
      </c>
      <c r="D639" t="s">
        <v>42</v>
      </c>
      <c r="E639" t="s">
        <v>43</v>
      </c>
      <c r="F639" s="2">
        <v>800.6</v>
      </c>
      <c r="G639" s="1" t="s">
        <v>2120</v>
      </c>
      <c r="H639" t="s">
        <v>24</v>
      </c>
      <c r="I639" t="s">
        <v>54</v>
      </c>
      <c r="J639">
        <v>5</v>
      </c>
      <c r="K639" t="s">
        <v>26</v>
      </c>
      <c r="L639" t="s">
        <v>2117</v>
      </c>
      <c r="M639" t="s">
        <v>2107</v>
      </c>
      <c r="N639" t="s">
        <v>29</v>
      </c>
      <c r="O639" t="s">
        <v>47</v>
      </c>
      <c r="P639" t="s">
        <v>31</v>
      </c>
    </row>
    <row r="640" spans="1:16" x14ac:dyDescent="0.25">
      <c r="A640" t="s">
        <v>2121</v>
      </c>
      <c r="B640" t="s">
        <v>2103</v>
      </c>
      <c r="C640" s="1" t="s">
        <v>2122</v>
      </c>
      <c r="D640" t="s">
        <v>34</v>
      </c>
      <c r="E640" t="s">
        <v>35</v>
      </c>
      <c r="F640" s="2">
        <v>114144.14</v>
      </c>
      <c r="G640" s="1" t="s">
        <v>2123</v>
      </c>
      <c r="H640" t="s">
        <v>307</v>
      </c>
      <c r="I640" t="s">
        <v>58</v>
      </c>
      <c r="J640">
        <v>6</v>
      </c>
      <c r="K640" t="s">
        <v>26</v>
      </c>
      <c r="L640" t="s">
        <v>2124</v>
      </c>
      <c r="M640" t="s">
        <v>2107</v>
      </c>
      <c r="N640" t="s">
        <v>310</v>
      </c>
      <c r="O640" t="s">
        <v>60</v>
      </c>
      <c r="P640" t="s">
        <v>31</v>
      </c>
    </row>
    <row r="641" spans="1:16" x14ac:dyDescent="0.25">
      <c r="A641" t="s">
        <v>2125</v>
      </c>
      <c r="B641" t="s">
        <v>2103</v>
      </c>
      <c r="C641" s="1" t="s">
        <v>2126</v>
      </c>
      <c r="D641" t="s">
        <v>34</v>
      </c>
      <c r="E641" t="s">
        <v>35</v>
      </c>
      <c r="F641" s="2">
        <v>140961.93</v>
      </c>
      <c r="G641" s="1" t="s">
        <v>2127</v>
      </c>
      <c r="H641" t="s">
        <v>307</v>
      </c>
      <c r="I641" t="s">
        <v>58</v>
      </c>
      <c r="J641">
        <v>5</v>
      </c>
      <c r="K641" t="s">
        <v>26</v>
      </c>
      <c r="L641" t="s">
        <v>2124</v>
      </c>
      <c r="M641" t="s">
        <v>2107</v>
      </c>
      <c r="N641" t="s">
        <v>310</v>
      </c>
      <c r="O641" t="s">
        <v>60</v>
      </c>
      <c r="P641" t="s">
        <v>31</v>
      </c>
    </row>
    <row r="642" spans="1:16" x14ac:dyDescent="0.25">
      <c r="A642" t="s">
        <v>2128</v>
      </c>
      <c r="B642" t="s">
        <v>2103</v>
      </c>
      <c r="C642" s="1" t="s">
        <v>2129</v>
      </c>
      <c r="D642" t="s">
        <v>34</v>
      </c>
      <c r="E642" t="s">
        <v>35</v>
      </c>
      <c r="F642" s="2">
        <v>98606.72</v>
      </c>
      <c r="G642" s="1" t="s">
        <v>2130</v>
      </c>
      <c r="H642" t="s">
        <v>307</v>
      </c>
      <c r="I642" t="s">
        <v>58</v>
      </c>
      <c r="J642">
        <v>6</v>
      </c>
      <c r="K642" t="s">
        <v>26</v>
      </c>
      <c r="L642" t="s">
        <v>2124</v>
      </c>
      <c r="M642" t="s">
        <v>2107</v>
      </c>
      <c r="N642" t="s">
        <v>310</v>
      </c>
      <c r="O642" t="s">
        <v>60</v>
      </c>
      <c r="P642" t="s">
        <v>31</v>
      </c>
    </row>
    <row r="643" spans="1:16" x14ac:dyDescent="0.25">
      <c r="A643" t="s">
        <v>2131</v>
      </c>
      <c r="B643" t="s">
        <v>2103</v>
      </c>
      <c r="C643" s="1" t="s">
        <v>2132</v>
      </c>
      <c r="D643" t="s">
        <v>34</v>
      </c>
      <c r="E643" t="s">
        <v>35</v>
      </c>
      <c r="F643" s="2">
        <v>27067.35</v>
      </c>
      <c r="G643" s="1" t="s">
        <v>2133</v>
      </c>
      <c r="H643" t="s">
        <v>351</v>
      </c>
      <c r="I643" t="s">
        <v>58</v>
      </c>
      <c r="J643">
        <v>4</v>
      </c>
      <c r="K643" t="s">
        <v>26</v>
      </c>
      <c r="L643" t="s">
        <v>2106</v>
      </c>
      <c r="M643" t="s">
        <v>2107</v>
      </c>
      <c r="N643" t="s">
        <v>353</v>
      </c>
      <c r="O643" t="s">
        <v>60</v>
      </c>
      <c r="P643" t="s">
        <v>31</v>
      </c>
    </row>
    <row r="644" spans="1:16" x14ac:dyDescent="0.25">
      <c r="A644" t="s">
        <v>2134</v>
      </c>
      <c r="B644" t="s">
        <v>2103</v>
      </c>
      <c r="C644" s="1" t="s">
        <v>2135</v>
      </c>
      <c r="D644" t="s">
        <v>34</v>
      </c>
      <c r="E644" t="s">
        <v>35</v>
      </c>
      <c r="F644" s="2">
        <v>129592.46</v>
      </c>
      <c r="G644" s="1" t="s">
        <v>2136</v>
      </c>
      <c r="H644" t="s">
        <v>307</v>
      </c>
      <c r="I644" t="s">
        <v>58</v>
      </c>
      <c r="J644">
        <v>5</v>
      </c>
      <c r="K644" t="s">
        <v>26</v>
      </c>
      <c r="L644" t="s">
        <v>2124</v>
      </c>
      <c r="M644" t="s">
        <v>2107</v>
      </c>
      <c r="N644" t="s">
        <v>310</v>
      </c>
      <c r="O644" t="s">
        <v>60</v>
      </c>
      <c r="P644" t="s">
        <v>31</v>
      </c>
    </row>
    <row r="645" spans="1:16" x14ac:dyDescent="0.25">
      <c r="A645" t="s">
        <v>2137</v>
      </c>
      <c r="B645" t="s">
        <v>2103</v>
      </c>
      <c r="C645" s="1" t="s">
        <v>2138</v>
      </c>
      <c r="D645" t="s">
        <v>34</v>
      </c>
      <c r="E645" t="s">
        <v>35</v>
      </c>
      <c r="F645" s="2">
        <v>79455.3</v>
      </c>
      <c r="G645" s="1" t="s">
        <v>2139</v>
      </c>
      <c r="H645" t="s">
        <v>307</v>
      </c>
      <c r="I645" t="s">
        <v>58</v>
      </c>
      <c r="J645">
        <v>7</v>
      </c>
      <c r="K645" t="s">
        <v>26</v>
      </c>
      <c r="L645" t="s">
        <v>2124</v>
      </c>
      <c r="M645" t="s">
        <v>2107</v>
      </c>
      <c r="N645" t="s">
        <v>310</v>
      </c>
      <c r="O645" t="s">
        <v>60</v>
      </c>
      <c r="P645" t="s">
        <v>31</v>
      </c>
    </row>
    <row r="646" spans="1:16" x14ac:dyDescent="0.25">
      <c r="A646" t="s">
        <v>2140</v>
      </c>
      <c r="B646" t="s">
        <v>2103</v>
      </c>
      <c r="C646" s="1" t="s">
        <v>2141</v>
      </c>
      <c r="D646" t="s">
        <v>42</v>
      </c>
      <c r="E646" t="s">
        <v>43</v>
      </c>
      <c r="F646" s="2">
        <v>27667.97</v>
      </c>
      <c r="G646" s="1" t="s">
        <v>2142</v>
      </c>
      <c r="H646" t="s">
        <v>307</v>
      </c>
      <c r="I646" t="s">
        <v>308</v>
      </c>
      <c r="J646">
        <v>5</v>
      </c>
      <c r="K646" t="s">
        <v>26</v>
      </c>
      <c r="L646" t="s">
        <v>2143</v>
      </c>
      <c r="M646" t="s">
        <v>2107</v>
      </c>
      <c r="N646" t="s">
        <v>310</v>
      </c>
      <c r="O646" t="s">
        <v>252</v>
      </c>
      <c r="P646" t="s">
        <v>404</v>
      </c>
    </row>
    <row r="647" spans="1:16" x14ac:dyDescent="0.25">
      <c r="A647" t="s">
        <v>2144</v>
      </c>
      <c r="B647" t="s">
        <v>2103</v>
      </c>
      <c r="C647" s="1" t="s">
        <v>2145</v>
      </c>
      <c r="D647" t="s">
        <v>42</v>
      </c>
      <c r="E647" t="s">
        <v>43</v>
      </c>
      <c r="F647" s="2">
        <v>39673.67</v>
      </c>
      <c r="G647" s="1" t="s">
        <v>2146</v>
      </c>
      <c r="H647" t="s">
        <v>307</v>
      </c>
      <c r="I647" t="s">
        <v>308</v>
      </c>
      <c r="J647">
        <v>5</v>
      </c>
      <c r="K647" t="s">
        <v>26</v>
      </c>
      <c r="L647" t="s">
        <v>2143</v>
      </c>
      <c r="M647" t="s">
        <v>2107</v>
      </c>
      <c r="N647" t="s">
        <v>310</v>
      </c>
      <c r="O647" t="s">
        <v>252</v>
      </c>
      <c r="P647" t="s">
        <v>404</v>
      </c>
    </row>
    <row r="648" spans="1:16" x14ac:dyDescent="0.25">
      <c r="A648" t="s">
        <v>2147</v>
      </c>
      <c r="B648" t="s">
        <v>2103</v>
      </c>
      <c r="C648" s="1" t="s">
        <v>2148</v>
      </c>
      <c r="D648" t="s">
        <v>42</v>
      </c>
      <c r="E648" t="s">
        <v>43</v>
      </c>
      <c r="F648" s="2">
        <v>78008.12</v>
      </c>
      <c r="G648" s="1" t="s">
        <v>2149</v>
      </c>
      <c r="H648" t="s">
        <v>307</v>
      </c>
      <c r="I648" t="s">
        <v>308</v>
      </c>
      <c r="J648">
        <v>5</v>
      </c>
      <c r="K648" t="s">
        <v>26</v>
      </c>
      <c r="L648" t="s">
        <v>2143</v>
      </c>
      <c r="M648" t="s">
        <v>2107</v>
      </c>
      <c r="N648" t="s">
        <v>310</v>
      </c>
      <c r="O648" t="s">
        <v>252</v>
      </c>
      <c r="P648" t="s">
        <v>404</v>
      </c>
    </row>
    <row r="649" spans="1:16" x14ac:dyDescent="0.25">
      <c r="A649" t="s">
        <v>2150</v>
      </c>
      <c r="B649" t="s">
        <v>2103</v>
      </c>
      <c r="C649" s="1" t="s">
        <v>2151</v>
      </c>
      <c r="D649" t="s">
        <v>42</v>
      </c>
      <c r="E649" t="s">
        <v>43</v>
      </c>
      <c r="F649" s="2">
        <v>6376.62</v>
      </c>
      <c r="G649" s="1" t="s">
        <v>2152</v>
      </c>
      <c r="H649" t="s">
        <v>307</v>
      </c>
      <c r="I649" t="s">
        <v>308</v>
      </c>
      <c r="J649">
        <v>7</v>
      </c>
      <c r="K649" t="s">
        <v>26</v>
      </c>
      <c r="L649" t="s">
        <v>2143</v>
      </c>
      <c r="M649" t="s">
        <v>2107</v>
      </c>
      <c r="N649" t="s">
        <v>310</v>
      </c>
      <c r="O649" t="s">
        <v>252</v>
      </c>
      <c r="P649" t="s">
        <v>404</v>
      </c>
    </row>
    <row r="650" spans="1:16" x14ac:dyDescent="0.25">
      <c r="A650" t="s">
        <v>2153</v>
      </c>
      <c r="B650" t="s">
        <v>2103</v>
      </c>
      <c r="C650" s="1" t="s">
        <v>2154</v>
      </c>
      <c r="D650" t="s">
        <v>42</v>
      </c>
      <c r="E650" t="s">
        <v>43</v>
      </c>
      <c r="F650" s="2">
        <v>3939.15</v>
      </c>
      <c r="G650" s="1" t="s">
        <v>2155</v>
      </c>
      <c r="H650" t="s">
        <v>307</v>
      </c>
      <c r="I650" t="s">
        <v>250</v>
      </c>
      <c r="J650">
        <v>7</v>
      </c>
      <c r="K650" t="s">
        <v>26</v>
      </c>
      <c r="L650" t="s">
        <v>2143</v>
      </c>
      <c r="M650" t="s">
        <v>2107</v>
      </c>
      <c r="N650" t="s">
        <v>310</v>
      </c>
      <c r="O650" t="s">
        <v>252</v>
      </c>
      <c r="P650" t="s">
        <v>404</v>
      </c>
    </row>
    <row r="651" spans="1:16" x14ac:dyDescent="0.25">
      <c r="A651" t="s">
        <v>2156</v>
      </c>
      <c r="B651" t="s">
        <v>2103</v>
      </c>
      <c r="C651" s="1" t="s">
        <v>2157</v>
      </c>
      <c r="D651" t="s">
        <v>42</v>
      </c>
      <c r="E651" t="s">
        <v>43</v>
      </c>
      <c r="F651" s="2">
        <v>5246.14</v>
      </c>
      <c r="G651" s="1" t="s">
        <v>2158</v>
      </c>
      <c r="H651" t="s">
        <v>307</v>
      </c>
      <c r="I651" t="s">
        <v>250</v>
      </c>
      <c r="J651">
        <v>7</v>
      </c>
      <c r="K651" t="s">
        <v>26</v>
      </c>
      <c r="L651" t="s">
        <v>2143</v>
      </c>
      <c r="M651" t="s">
        <v>2107</v>
      </c>
      <c r="N651" t="s">
        <v>310</v>
      </c>
      <c r="O651" t="s">
        <v>252</v>
      </c>
      <c r="P651" t="s">
        <v>404</v>
      </c>
    </row>
    <row r="652" spans="1:16" x14ac:dyDescent="0.25">
      <c r="A652" t="s">
        <v>2159</v>
      </c>
      <c r="B652" t="s">
        <v>2103</v>
      </c>
      <c r="C652" s="1" t="s">
        <v>2160</v>
      </c>
      <c r="D652" t="s">
        <v>42</v>
      </c>
      <c r="E652" t="s">
        <v>43</v>
      </c>
      <c r="F652" s="2">
        <v>17064.34</v>
      </c>
      <c r="G652" s="1" t="s">
        <v>2161</v>
      </c>
      <c r="H652" t="s">
        <v>307</v>
      </c>
      <c r="I652" t="s">
        <v>250</v>
      </c>
      <c r="J652">
        <v>7</v>
      </c>
      <c r="K652" t="s">
        <v>26</v>
      </c>
      <c r="L652" t="s">
        <v>2143</v>
      </c>
      <c r="M652" t="s">
        <v>2107</v>
      </c>
      <c r="N652" t="s">
        <v>310</v>
      </c>
      <c r="O652" t="s">
        <v>252</v>
      </c>
      <c r="P652" t="s">
        <v>404</v>
      </c>
    </row>
    <row r="653" spans="1:16" x14ac:dyDescent="0.25">
      <c r="A653" t="s">
        <v>2162</v>
      </c>
      <c r="B653" t="s">
        <v>2103</v>
      </c>
      <c r="C653" s="1" t="s">
        <v>2163</v>
      </c>
      <c r="D653" t="s">
        <v>42</v>
      </c>
      <c r="E653" t="s">
        <v>43</v>
      </c>
      <c r="F653" s="2">
        <v>13583.38</v>
      </c>
      <c r="G653" s="1" t="s">
        <v>2164</v>
      </c>
      <c r="H653" t="s">
        <v>307</v>
      </c>
      <c r="I653" t="s">
        <v>250</v>
      </c>
      <c r="J653">
        <v>7</v>
      </c>
      <c r="K653" t="s">
        <v>26</v>
      </c>
      <c r="L653" t="s">
        <v>2143</v>
      </c>
      <c r="M653" t="s">
        <v>2107</v>
      </c>
      <c r="N653" t="s">
        <v>310</v>
      </c>
      <c r="O653" t="s">
        <v>252</v>
      </c>
      <c r="P653" t="s">
        <v>404</v>
      </c>
    </row>
    <row r="654" spans="1:16" x14ac:dyDescent="0.25">
      <c r="A654" t="s">
        <v>2165</v>
      </c>
      <c r="B654" t="s">
        <v>2103</v>
      </c>
      <c r="C654" s="1" t="s">
        <v>2166</v>
      </c>
      <c r="D654" t="s">
        <v>42</v>
      </c>
      <c r="E654" t="s">
        <v>43</v>
      </c>
      <c r="F654" s="2">
        <v>10580.63</v>
      </c>
      <c r="G654" s="1" t="s">
        <v>2167</v>
      </c>
      <c r="H654" t="s">
        <v>307</v>
      </c>
      <c r="I654" t="s">
        <v>250</v>
      </c>
      <c r="J654">
        <v>7</v>
      </c>
      <c r="K654" t="s">
        <v>26</v>
      </c>
      <c r="L654" t="s">
        <v>2143</v>
      </c>
      <c r="M654" t="s">
        <v>2107</v>
      </c>
      <c r="N654" t="s">
        <v>310</v>
      </c>
      <c r="O654" t="s">
        <v>252</v>
      </c>
      <c r="P654" t="s">
        <v>404</v>
      </c>
    </row>
    <row r="655" spans="1:16" x14ac:dyDescent="0.25">
      <c r="A655" t="s">
        <v>2168</v>
      </c>
      <c r="B655" t="s">
        <v>2103</v>
      </c>
      <c r="C655" s="1" t="s">
        <v>2169</v>
      </c>
      <c r="D655" t="s">
        <v>42</v>
      </c>
      <c r="E655" t="s">
        <v>43</v>
      </c>
      <c r="F655" s="2">
        <v>12021.25</v>
      </c>
      <c r="G655" s="1" t="s">
        <v>2170</v>
      </c>
      <c r="H655" t="s">
        <v>307</v>
      </c>
      <c r="I655" t="s">
        <v>250</v>
      </c>
      <c r="J655">
        <v>7</v>
      </c>
      <c r="K655" t="s">
        <v>26</v>
      </c>
      <c r="L655" t="s">
        <v>2143</v>
      </c>
      <c r="M655" t="s">
        <v>2107</v>
      </c>
      <c r="N655" t="s">
        <v>310</v>
      </c>
      <c r="O655" t="s">
        <v>252</v>
      </c>
      <c r="P655" t="s">
        <v>404</v>
      </c>
    </row>
    <row r="656" spans="1:16" x14ac:dyDescent="0.25">
      <c r="A656" t="s">
        <v>2171</v>
      </c>
      <c r="B656" t="s">
        <v>2103</v>
      </c>
      <c r="C656" s="1" t="s">
        <v>2172</v>
      </c>
      <c r="D656" t="s">
        <v>42</v>
      </c>
      <c r="E656" t="s">
        <v>43</v>
      </c>
      <c r="F656" s="2">
        <v>24083.36</v>
      </c>
      <c r="G656" s="1" t="s">
        <v>2173</v>
      </c>
      <c r="H656" t="s">
        <v>307</v>
      </c>
      <c r="I656" t="s">
        <v>250</v>
      </c>
      <c r="J656">
        <v>7</v>
      </c>
      <c r="K656" t="s">
        <v>26</v>
      </c>
      <c r="L656" t="s">
        <v>2143</v>
      </c>
      <c r="M656" t="s">
        <v>2107</v>
      </c>
      <c r="N656" t="s">
        <v>310</v>
      </c>
      <c r="O656" t="s">
        <v>252</v>
      </c>
      <c r="P656" t="s">
        <v>404</v>
      </c>
    </row>
    <row r="657" spans="1:16" x14ac:dyDescent="0.25">
      <c r="A657" t="s">
        <v>2174</v>
      </c>
      <c r="B657" t="s">
        <v>2103</v>
      </c>
      <c r="C657" s="1" t="s">
        <v>2175</v>
      </c>
      <c r="D657" t="s">
        <v>42</v>
      </c>
      <c r="E657" t="s">
        <v>43</v>
      </c>
      <c r="F657" s="2">
        <v>7323.97</v>
      </c>
      <c r="G657" s="1" t="s">
        <v>2176</v>
      </c>
      <c r="H657" t="s">
        <v>307</v>
      </c>
      <c r="I657" t="s">
        <v>250</v>
      </c>
      <c r="J657">
        <v>7</v>
      </c>
      <c r="K657" t="s">
        <v>26</v>
      </c>
      <c r="L657" t="s">
        <v>2143</v>
      </c>
      <c r="M657" t="s">
        <v>2107</v>
      </c>
      <c r="N657" t="s">
        <v>310</v>
      </c>
      <c r="O657" t="s">
        <v>252</v>
      </c>
      <c r="P657" t="s">
        <v>404</v>
      </c>
    </row>
    <row r="658" spans="1:16" x14ac:dyDescent="0.25">
      <c r="A658" t="s">
        <v>2177</v>
      </c>
      <c r="B658" t="s">
        <v>2103</v>
      </c>
      <c r="C658" s="1" t="s">
        <v>2178</v>
      </c>
      <c r="D658" t="s">
        <v>42</v>
      </c>
      <c r="E658" t="s">
        <v>43</v>
      </c>
      <c r="F658" s="2">
        <v>231573.58</v>
      </c>
      <c r="G658" s="1" t="s">
        <v>2179</v>
      </c>
      <c r="H658" t="s">
        <v>307</v>
      </c>
      <c r="I658" t="s">
        <v>308</v>
      </c>
      <c r="J658">
        <v>5</v>
      </c>
      <c r="K658" t="s">
        <v>26</v>
      </c>
      <c r="L658" t="s">
        <v>2143</v>
      </c>
      <c r="M658" t="s">
        <v>2107</v>
      </c>
      <c r="N658" t="s">
        <v>310</v>
      </c>
      <c r="O658" t="s">
        <v>252</v>
      </c>
      <c r="P658" t="s">
        <v>404</v>
      </c>
    </row>
    <row r="659" spans="1:16" x14ac:dyDescent="0.25">
      <c r="A659" t="s">
        <v>2180</v>
      </c>
      <c r="B659" t="s">
        <v>2103</v>
      </c>
      <c r="C659" s="1" t="s">
        <v>2181</v>
      </c>
      <c r="D659" t="s">
        <v>42</v>
      </c>
      <c r="E659" t="s">
        <v>43</v>
      </c>
      <c r="F659" s="2">
        <v>194742.37</v>
      </c>
      <c r="G659" s="1" t="s">
        <v>2182</v>
      </c>
      <c r="H659" t="s">
        <v>307</v>
      </c>
      <c r="I659" t="s">
        <v>308</v>
      </c>
      <c r="J659">
        <v>5</v>
      </c>
      <c r="K659" t="s">
        <v>26</v>
      </c>
      <c r="L659" t="s">
        <v>2143</v>
      </c>
      <c r="M659" t="s">
        <v>2107</v>
      </c>
      <c r="N659" t="s">
        <v>310</v>
      </c>
      <c r="O659" t="s">
        <v>252</v>
      </c>
      <c r="P659" t="s">
        <v>404</v>
      </c>
    </row>
    <row r="660" spans="1:16" x14ac:dyDescent="0.25">
      <c r="A660" t="s">
        <v>2183</v>
      </c>
      <c r="B660" t="s">
        <v>2103</v>
      </c>
      <c r="C660" s="1" t="s">
        <v>2184</v>
      </c>
      <c r="D660" t="s">
        <v>42</v>
      </c>
      <c r="E660" t="s">
        <v>43</v>
      </c>
      <c r="F660" s="2">
        <v>14981.34</v>
      </c>
      <c r="G660" s="1" t="s">
        <v>2185</v>
      </c>
      <c r="H660" t="s">
        <v>307</v>
      </c>
      <c r="I660" t="s">
        <v>308</v>
      </c>
      <c r="J660">
        <v>5</v>
      </c>
      <c r="K660" t="s">
        <v>26</v>
      </c>
      <c r="L660" t="s">
        <v>2143</v>
      </c>
      <c r="M660" t="s">
        <v>2107</v>
      </c>
      <c r="N660" t="s">
        <v>310</v>
      </c>
      <c r="O660" t="s">
        <v>252</v>
      </c>
      <c r="P660" t="s">
        <v>404</v>
      </c>
    </row>
    <row r="661" spans="1:16" x14ac:dyDescent="0.25">
      <c r="A661" t="s">
        <v>2186</v>
      </c>
      <c r="B661" t="s">
        <v>2103</v>
      </c>
      <c r="C661" s="1" t="s">
        <v>2187</v>
      </c>
      <c r="D661" t="s">
        <v>42</v>
      </c>
      <c r="E661" t="s">
        <v>43</v>
      </c>
      <c r="F661" s="2">
        <v>10462.07</v>
      </c>
      <c r="G661" s="1" t="s">
        <v>2188</v>
      </c>
      <c r="H661" t="s">
        <v>307</v>
      </c>
      <c r="I661" t="s">
        <v>308</v>
      </c>
      <c r="J661">
        <v>5</v>
      </c>
      <c r="K661" t="s">
        <v>26</v>
      </c>
      <c r="L661" t="s">
        <v>2143</v>
      </c>
      <c r="M661" t="s">
        <v>2107</v>
      </c>
      <c r="N661" t="s">
        <v>310</v>
      </c>
      <c r="O661" t="s">
        <v>252</v>
      </c>
      <c r="P661" t="s">
        <v>404</v>
      </c>
    </row>
    <row r="662" spans="1:16" x14ac:dyDescent="0.25">
      <c r="A662" t="s">
        <v>2189</v>
      </c>
      <c r="B662" t="s">
        <v>2103</v>
      </c>
      <c r="C662" s="1" t="s">
        <v>2190</v>
      </c>
      <c r="D662" t="s">
        <v>42</v>
      </c>
      <c r="E662" t="s">
        <v>43</v>
      </c>
      <c r="F662" s="2">
        <v>17728.79</v>
      </c>
      <c r="G662" s="1" t="s">
        <v>2191</v>
      </c>
      <c r="H662" t="s">
        <v>307</v>
      </c>
      <c r="I662" t="s">
        <v>308</v>
      </c>
      <c r="J662">
        <v>6</v>
      </c>
      <c r="K662" t="s">
        <v>26</v>
      </c>
      <c r="L662" t="s">
        <v>2143</v>
      </c>
      <c r="M662" t="s">
        <v>2107</v>
      </c>
      <c r="N662" t="s">
        <v>310</v>
      </c>
      <c r="O662" t="s">
        <v>252</v>
      </c>
      <c r="P662" t="s">
        <v>404</v>
      </c>
    </row>
    <row r="663" spans="1:16" x14ac:dyDescent="0.25">
      <c r="A663" t="s">
        <v>2192</v>
      </c>
      <c r="B663" t="s">
        <v>2103</v>
      </c>
      <c r="C663" s="1" t="s">
        <v>2193</v>
      </c>
      <c r="D663" t="s">
        <v>42</v>
      </c>
      <c r="E663" t="s">
        <v>43</v>
      </c>
      <c r="F663" s="2">
        <v>42770.42</v>
      </c>
      <c r="G663" s="1" t="s">
        <v>2194</v>
      </c>
      <c r="H663" t="s">
        <v>307</v>
      </c>
      <c r="I663" t="s">
        <v>308</v>
      </c>
      <c r="J663">
        <v>6</v>
      </c>
      <c r="K663" t="s">
        <v>26</v>
      </c>
      <c r="L663" t="s">
        <v>2143</v>
      </c>
      <c r="M663" t="s">
        <v>2107</v>
      </c>
      <c r="N663" t="s">
        <v>310</v>
      </c>
      <c r="O663" t="s">
        <v>252</v>
      </c>
      <c r="P663" t="s">
        <v>404</v>
      </c>
    </row>
    <row r="664" spans="1:16" x14ac:dyDescent="0.25">
      <c r="A664" t="s">
        <v>2195</v>
      </c>
      <c r="B664" t="s">
        <v>2103</v>
      </c>
      <c r="C664" s="1" t="s">
        <v>2196</v>
      </c>
      <c r="D664" t="s">
        <v>42</v>
      </c>
      <c r="E664" t="s">
        <v>43</v>
      </c>
      <c r="F664" s="2">
        <v>20900.9</v>
      </c>
      <c r="G664" s="1" t="s">
        <v>2197</v>
      </c>
      <c r="H664" t="s">
        <v>307</v>
      </c>
      <c r="I664" t="s">
        <v>308</v>
      </c>
      <c r="J664">
        <v>5</v>
      </c>
      <c r="K664" t="s">
        <v>26</v>
      </c>
      <c r="L664" t="s">
        <v>2143</v>
      </c>
      <c r="M664" t="s">
        <v>2107</v>
      </c>
      <c r="N664" t="s">
        <v>310</v>
      </c>
      <c r="O664" t="s">
        <v>252</v>
      </c>
      <c r="P664" t="s">
        <v>404</v>
      </c>
    </row>
    <row r="665" spans="1:16" x14ac:dyDescent="0.25">
      <c r="A665" t="s">
        <v>2198</v>
      </c>
      <c r="B665" t="s">
        <v>2103</v>
      </c>
      <c r="C665" s="1" t="s">
        <v>2199</v>
      </c>
      <c r="D665" t="s">
        <v>42</v>
      </c>
      <c r="E665" t="s">
        <v>43</v>
      </c>
      <c r="F665" s="2">
        <v>17491.55</v>
      </c>
      <c r="G665" s="1" t="s">
        <v>2200</v>
      </c>
      <c r="H665" t="s">
        <v>307</v>
      </c>
      <c r="I665" t="s">
        <v>308</v>
      </c>
      <c r="J665">
        <v>5</v>
      </c>
      <c r="K665" t="s">
        <v>26</v>
      </c>
      <c r="L665" t="s">
        <v>2143</v>
      </c>
      <c r="M665" t="s">
        <v>2107</v>
      </c>
      <c r="N665" t="s">
        <v>310</v>
      </c>
      <c r="O665" t="s">
        <v>252</v>
      </c>
      <c r="P665" t="s">
        <v>404</v>
      </c>
    </row>
    <row r="666" spans="1:16" x14ac:dyDescent="0.25">
      <c r="A666" t="s">
        <v>2201</v>
      </c>
      <c r="B666" t="s">
        <v>2103</v>
      </c>
      <c r="C666" s="1" t="s">
        <v>2202</v>
      </c>
      <c r="D666" t="s">
        <v>42</v>
      </c>
      <c r="E666" t="s">
        <v>43</v>
      </c>
      <c r="F666" s="2">
        <v>40104.28</v>
      </c>
      <c r="G666" s="1" t="s">
        <v>2203</v>
      </c>
      <c r="H666" t="s">
        <v>307</v>
      </c>
      <c r="I666" t="s">
        <v>308</v>
      </c>
      <c r="J666">
        <v>5</v>
      </c>
      <c r="K666" t="s">
        <v>26</v>
      </c>
      <c r="L666" t="s">
        <v>2143</v>
      </c>
      <c r="M666" t="s">
        <v>2107</v>
      </c>
      <c r="N666" t="s">
        <v>310</v>
      </c>
      <c r="O666" t="s">
        <v>252</v>
      </c>
      <c r="P666" t="s">
        <v>404</v>
      </c>
    </row>
    <row r="667" spans="1:16" x14ac:dyDescent="0.25">
      <c r="A667" t="s">
        <v>2204</v>
      </c>
      <c r="B667" t="s">
        <v>2103</v>
      </c>
      <c r="C667" s="1" t="s">
        <v>2205</v>
      </c>
      <c r="D667" t="s">
        <v>42</v>
      </c>
      <c r="E667" t="s">
        <v>43</v>
      </c>
      <c r="F667" s="2">
        <v>33690.88</v>
      </c>
      <c r="G667" s="1" t="s">
        <v>2206</v>
      </c>
      <c r="H667" t="s">
        <v>307</v>
      </c>
      <c r="I667" t="s">
        <v>308</v>
      </c>
      <c r="J667">
        <v>5</v>
      </c>
      <c r="K667" t="s">
        <v>26</v>
      </c>
      <c r="L667" t="s">
        <v>2143</v>
      </c>
      <c r="M667" t="s">
        <v>2107</v>
      </c>
      <c r="N667" t="s">
        <v>310</v>
      </c>
      <c r="O667" t="s">
        <v>252</v>
      </c>
      <c r="P667" t="s">
        <v>404</v>
      </c>
    </row>
    <row r="668" spans="1:16" x14ac:dyDescent="0.25">
      <c r="A668" t="s">
        <v>2207</v>
      </c>
      <c r="B668" t="s">
        <v>2103</v>
      </c>
      <c r="C668" s="1" t="s">
        <v>2208</v>
      </c>
      <c r="D668" t="s">
        <v>42</v>
      </c>
      <c r="E668" t="s">
        <v>43</v>
      </c>
      <c r="F668" s="2">
        <v>26758.63</v>
      </c>
      <c r="G668" s="1" t="s">
        <v>2209</v>
      </c>
      <c r="H668" t="s">
        <v>307</v>
      </c>
      <c r="I668" t="s">
        <v>308</v>
      </c>
      <c r="J668">
        <v>5</v>
      </c>
      <c r="K668" t="s">
        <v>26</v>
      </c>
      <c r="L668" t="s">
        <v>2143</v>
      </c>
      <c r="M668" t="s">
        <v>2107</v>
      </c>
      <c r="N668" t="s">
        <v>310</v>
      </c>
      <c r="O668" t="s">
        <v>252</v>
      </c>
      <c r="P668" t="s">
        <v>404</v>
      </c>
    </row>
    <row r="669" spans="1:16" x14ac:dyDescent="0.25">
      <c r="A669" t="s">
        <v>2210</v>
      </c>
      <c r="B669" t="s">
        <v>2103</v>
      </c>
      <c r="C669" s="1" t="s">
        <v>2211</v>
      </c>
      <c r="D669" t="s">
        <v>42</v>
      </c>
      <c r="E669" t="s">
        <v>43</v>
      </c>
      <c r="F669" s="2">
        <v>88180.94</v>
      </c>
      <c r="G669" s="1" t="s">
        <v>2212</v>
      </c>
      <c r="H669" t="s">
        <v>307</v>
      </c>
      <c r="I669" t="s">
        <v>308</v>
      </c>
      <c r="J669">
        <v>5</v>
      </c>
      <c r="K669" t="s">
        <v>26</v>
      </c>
      <c r="L669" t="s">
        <v>2143</v>
      </c>
      <c r="M669" t="s">
        <v>2107</v>
      </c>
      <c r="N669" t="s">
        <v>310</v>
      </c>
      <c r="O669" t="s">
        <v>252</v>
      </c>
      <c r="P669" t="s">
        <v>404</v>
      </c>
    </row>
    <row r="670" spans="1:16" x14ac:dyDescent="0.25">
      <c r="A670" t="s">
        <v>2213</v>
      </c>
      <c r="B670" t="s">
        <v>2103</v>
      </c>
      <c r="C670" s="1" t="s">
        <v>2214</v>
      </c>
      <c r="D670" t="s">
        <v>42</v>
      </c>
      <c r="E670" t="s">
        <v>43</v>
      </c>
      <c r="F670" s="2">
        <v>72849.89</v>
      </c>
      <c r="G670" s="1" t="s">
        <v>2215</v>
      </c>
      <c r="H670" t="s">
        <v>307</v>
      </c>
      <c r="I670" t="s">
        <v>308</v>
      </c>
      <c r="J670">
        <v>5</v>
      </c>
      <c r="K670" t="s">
        <v>26</v>
      </c>
      <c r="L670" t="s">
        <v>2143</v>
      </c>
      <c r="M670" t="s">
        <v>2107</v>
      </c>
      <c r="N670" t="s">
        <v>310</v>
      </c>
      <c r="O670" t="s">
        <v>252</v>
      </c>
      <c r="P670" t="s">
        <v>404</v>
      </c>
    </row>
    <row r="671" spans="1:16" x14ac:dyDescent="0.25">
      <c r="A671" t="s">
        <v>2216</v>
      </c>
      <c r="B671" t="s">
        <v>2103</v>
      </c>
      <c r="C671" s="1" t="s">
        <v>2217</v>
      </c>
      <c r="D671" t="s">
        <v>42</v>
      </c>
      <c r="E671" t="s">
        <v>43</v>
      </c>
      <c r="F671" s="2">
        <v>60068.24</v>
      </c>
      <c r="G671" s="1" t="s">
        <v>2218</v>
      </c>
      <c r="H671" t="s">
        <v>307</v>
      </c>
      <c r="I671" t="s">
        <v>308</v>
      </c>
      <c r="J671">
        <v>7</v>
      </c>
      <c r="K671" t="s">
        <v>2219</v>
      </c>
      <c r="L671" t="s">
        <v>2143</v>
      </c>
      <c r="M671" t="s">
        <v>2107</v>
      </c>
      <c r="N671" t="s">
        <v>310</v>
      </c>
      <c r="O671" t="s">
        <v>252</v>
      </c>
      <c r="P671" t="s">
        <v>404</v>
      </c>
    </row>
    <row r="672" spans="1:16" x14ac:dyDescent="0.25">
      <c r="A672" t="s">
        <v>2220</v>
      </c>
      <c r="B672" t="s">
        <v>2103</v>
      </c>
      <c r="C672" s="1" t="s">
        <v>2221</v>
      </c>
      <c r="D672" t="s">
        <v>42</v>
      </c>
      <c r="E672" t="s">
        <v>43</v>
      </c>
      <c r="F672" s="2">
        <v>121542.41</v>
      </c>
      <c r="G672" s="1" t="s">
        <v>2222</v>
      </c>
      <c r="H672" t="s">
        <v>307</v>
      </c>
      <c r="I672" t="s">
        <v>308</v>
      </c>
      <c r="J672">
        <v>5</v>
      </c>
      <c r="K672" t="s">
        <v>26</v>
      </c>
      <c r="L672" t="s">
        <v>2143</v>
      </c>
      <c r="M672" t="s">
        <v>2107</v>
      </c>
      <c r="N672" t="s">
        <v>310</v>
      </c>
      <c r="O672" t="s">
        <v>252</v>
      </c>
      <c r="P672" t="s">
        <v>404</v>
      </c>
    </row>
    <row r="673" spans="1:16" x14ac:dyDescent="0.25">
      <c r="A673" t="s">
        <v>2223</v>
      </c>
      <c r="B673" t="s">
        <v>2103</v>
      </c>
      <c r="C673" s="1" t="s">
        <v>2224</v>
      </c>
      <c r="D673" t="s">
        <v>42</v>
      </c>
      <c r="E673" t="s">
        <v>43</v>
      </c>
      <c r="F673" s="2">
        <v>99829.46</v>
      </c>
      <c r="G673" s="1" t="s">
        <v>2225</v>
      </c>
      <c r="H673" t="s">
        <v>307</v>
      </c>
      <c r="I673" t="s">
        <v>308</v>
      </c>
      <c r="J673">
        <v>5</v>
      </c>
      <c r="K673" t="s">
        <v>26</v>
      </c>
      <c r="L673" t="s">
        <v>2143</v>
      </c>
      <c r="M673" t="s">
        <v>2107</v>
      </c>
      <c r="N673" t="s">
        <v>310</v>
      </c>
      <c r="O673" t="s">
        <v>252</v>
      </c>
      <c r="P673" t="s">
        <v>404</v>
      </c>
    </row>
    <row r="674" spans="1:16" x14ac:dyDescent="0.25">
      <c r="A674" t="s">
        <v>2226</v>
      </c>
      <c r="B674" t="s">
        <v>2103</v>
      </c>
      <c r="C674" s="1" t="s">
        <v>2227</v>
      </c>
      <c r="D674" t="s">
        <v>42</v>
      </c>
      <c r="E674" t="s">
        <v>43</v>
      </c>
      <c r="F674" s="2">
        <v>318941.27</v>
      </c>
      <c r="G674" s="1" t="s">
        <v>2228</v>
      </c>
      <c r="H674" t="s">
        <v>307</v>
      </c>
      <c r="I674" t="s">
        <v>308</v>
      </c>
      <c r="J674">
        <v>5</v>
      </c>
      <c r="K674" t="s">
        <v>26</v>
      </c>
      <c r="L674" t="s">
        <v>2143</v>
      </c>
      <c r="M674" t="s">
        <v>2107</v>
      </c>
      <c r="N674" t="s">
        <v>310</v>
      </c>
      <c r="O674" t="s">
        <v>252</v>
      </c>
      <c r="P674" t="s">
        <v>404</v>
      </c>
    </row>
    <row r="675" spans="1:16" x14ac:dyDescent="0.25">
      <c r="A675" t="s">
        <v>2229</v>
      </c>
      <c r="B675" t="s">
        <v>2103</v>
      </c>
      <c r="C675" s="1" t="s">
        <v>2230</v>
      </c>
      <c r="D675" t="s">
        <v>42</v>
      </c>
      <c r="E675" t="s">
        <v>43</v>
      </c>
      <c r="F675" s="2">
        <v>520969.32</v>
      </c>
      <c r="G675" s="1" t="s">
        <v>2231</v>
      </c>
      <c r="H675" t="s">
        <v>307</v>
      </c>
      <c r="I675" t="s">
        <v>308</v>
      </c>
      <c r="J675">
        <v>5</v>
      </c>
      <c r="K675" t="s">
        <v>26</v>
      </c>
      <c r="L675" t="s">
        <v>2143</v>
      </c>
      <c r="M675" t="s">
        <v>2107</v>
      </c>
      <c r="N675" t="s">
        <v>310</v>
      </c>
      <c r="O675" t="s">
        <v>252</v>
      </c>
      <c r="P675" t="s">
        <v>404</v>
      </c>
    </row>
    <row r="676" spans="1:16" x14ac:dyDescent="0.25">
      <c r="A676" t="s">
        <v>2232</v>
      </c>
      <c r="B676" t="s">
        <v>2103</v>
      </c>
      <c r="C676" s="1" t="s">
        <v>2233</v>
      </c>
      <c r="D676" t="s">
        <v>42</v>
      </c>
      <c r="E676" t="s">
        <v>43</v>
      </c>
      <c r="F676" s="2">
        <v>16369.26</v>
      </c>
      <c r="G676" s="1" t="s">
        <v>2234</v>
      </c>
      <c r="H676" t="s">
        <v>307</v>
      </c>
      <c r="I676" t="s">
        <v>308</v>
      </c>
      <c r="J676">
        <v>5</v>
      </c>
      <c r="K676" t="s">
        <v>26</v>
      </c>
      <c r="L676" t="s">
        <v>2143</v>
      </c>
      <c r="M676" t="s">
        <v>2107</v>
      </c>
      <c r="N676" t="s">
        <v>310</v>
      </c>
      <c r="O676" t="s">
        <v>252</v>
      </c>
      <c r="P676" t="s">
        <v>404</v>
      </c>
    </row>
    <row r="677" spans="1:16" x14ac:dyDescent="0.25">
      <c r="A677" t="s">
        <v>2235</v>
      </c>
      <c r="B677" t="s">
        <v>2103</v>
      </c>
      <c r="C677" s="1" t="s">
        <v>2236</v>
      </c>
      <c r="D677" t="s">
        <v>42</v>
      </c>
      <c r="E677" t="s">
        <v>43</v>
      </c>
      <c r="F677" s="2">
        <v>62547.1</v>
      </c>
      <c r="G677" s="1" t="s">
        <v>2237</v>
      </c>
      <c r="H677" t="s">
        <v>307</v>
      </c>
      <c r="I677" t="s">
        <v>308</v>
      </c>
      <c r="J677">
        <v>5</v>
      </c>
      <c r="K677" t="s">
        <v>26</v>
      </c>
      <c r="L677" t="s">
        <v>2143</v>
      </c>
      <c r="M677" t="s">
        <v>2107</v>
      </c>
      <c r="N677" t="s">
        <v>310</v>
      </c>
      <c r="O677" t="s">
        <v>252</v>
      </c>
      <c r="P677" t="s">
        <v>404</v>
      </c>
    </row>
    <row r="678" spans="1:16" x14ac:dyDescent="0.25">
      <c r="A678" t="s">
        <v>2238</v>
      </c>
      <c r="B678" t="s">
        <v>2103</v>
      </c>
      <c r="C678" s="1" t="s">
        <v>2239</v>
      </c>
      <c r="D678" t="s">
        <v>42</v>
      </c>
      <c r="E678" t="s">
        <v>43</v>
      </c>
      <c r="F678" s="2">
        <v>45202.69</v>
      </c>
      <c r="G678" s="1" t="s">
        <v>2240</v>
      </c>
      <c r="H678" t="s">
        <v>307</v>
      </c>
      <c r="I678" t="s">
        <v>308</v>
      </c>
      <c r="J678">
        <v>5</v>
      </c>
      <c r="K678" t="s">
        <v>26</v>
      </c>
      <c r="L678" t="s">
        <v>2143</v>
      </c>
      <c r="M678" t="s">
        <v>2107</v>
      </c>
      <c r="N678" t="s">
        <v>310</v>
      </c>
      <c r="O678" t="s">
        <v>252</v>
      </c>
      <c r="P678" t="s">
        <v>404</v>
      </c>
    </row>
    <row r="679" spans="1:16" x14ac:dyDescent="0.25">
      <c r="A679" t="s">
        <v>2241</v>
      </c>
      <c r="B679" t="s">
        <v>2103</v>
      </c>
      <c r="C679" s="1" t="s">
        <v>2242</v>
      </c>
      <c r="D679" t="s">
        <v>42</v>
      </c>
      <c r="E679" t="s">
        <v>43</v>
      </c>
      <c r="F679" s="2">
        <v>30840.5</v>
      </c>
      <c r="G679" s="1" t="s">
        <v>2243</v>
      </c>
      <c r="H679" t="s">
        <v>307</v>
      </c>
      <c r="I679" t="s">
        <v>308</v>
      </c>
      <c r="J679">
        <v>6</v>
      </c>
      <c r="K679" t="s">
        <v>26</v>
      </c>
      <c r="L679" t="s">
        <v>2143</v>
      </c>
      <c r="M679" t="s">
        <v>2107</v>
      </c>
      <c r="N679" t="s">
        <v>310</v>
      </c>
      <c r="O679" t="s">
        <v>252</v>
      </c>
      <c r="P679" t="s">
        <v>404</v>
      </c>
    </row>
    <row r="680" spans="1:16" x14ac:dyDescent="0.25">
      <c r="A680" t="s">
        <v>2244</v>
      </c>
      <c r="B680" t="s">
        <v>2103</v>
      </c>
      <c r="C680" s="1" t="s">
        <v>2245</v>
      </c>
      <c r="D680" t="s">
        <v>42</v>
      </c>
      <c r="E680" t="s">
        <v>43</v>
      </c>
      <c r="F680" s="2">
        <v>101380.23</v>
      </c>
      <c r="G680" s="1" t="s">
        <v>2246</v>
      </c>
      <c r="H680" t="s">
        <v>307</v>
      </c>
      <c r="I680" t="s">
        <v>308</v>
      </c>
      <c r="J680">
        <v>5</v>
      </c>
      <c r="K680" t="s">
        <v>26</v>
      </c>
      <c r="L680" t="s">
        <v>2143</v>
      </c>
      <c r="M680" t="s">
        <v>2107</v>
      </c>
      <c r="N680" t="s">
        <v>310</v>
      </c>
      <c r="O680" t="s">
        <v>252</v>
      </c>
      <c r="P680" t="s">
        <v>404</v>
      </c>
    </row>
    <row r="681" spans="1:16" x14ac:dyDescent="0.25">
      <c r="A681" t="s">
        <v>2247</v>
      </c>
      <c r="B681" t="s">
        <v>2103</v>
      </c>
      <c r="C681" s="1" t="s">
        <v>2248</v>
      </c>
      <c r="D681" t="s">
        <v>42</v>
      </c>
      <c r="E681" t="s">
        <v>43</v>
      </c>
      <c r="F681" s="2">
        <v>71613.78</v>
      </c>
      <c r="G681" s="1" t="s">
        <v>2249</v>
      </c>
      <c r="H681" t="s">
        <v>307</v>
      </c>
      <c r="I681" t="s">
        <v>308</v>
      </c>
      <c r="J681">
        <v>5</v>
      </c>
      <c r="K681" t="s">
        <v>26</v>
      </c>
      <c r="L681" t="s">
        <v>2143</v>
      </c>
      <c r="M681" t="s">
        <v>2107</v>
      </c>
      <c r="N681" t="s">
        <v>310</v>
      </c>
      <c r="O681" t="s">
        <v>252</v>
      </c>
      <c r="P681" t="s">
        <v>404</v>
      </c>
    </row>
    <row r="682" spans="1:16" x14ac:dyDescent="0.25">
      <c r="A682" t="s">
        <v>2250</v>
      </c>
      <c r="B682" t="s">
        <v>2103</v>
      </c>
      <c r="C682" s="1" t="s">
        <v>2251</v>
      </c>
      <c r="D682" t="s">
        <v>42</v>
      </c>
      <c r="E682" t="s">
        <v>43</v>
      </c>
      <c r="F682" s="2">
        <v>62361.18</v>
      </c>
      <c r="G682" s="1" t="s">
        <v>2252</v>
      </c>
      <c r="H682" t="s">
        <v>307</v>
      </c>
      <c r="I682" t="s">
        <v>308</v>
      </c>
      <c r="J682">
        <v>6</v>
      </c>
      <c r="K682" t="s">
        <v>26</v>
      </c>
      <c r="L682" t="s">
        <v>2143</v>
      </c>
      <c r="M682" t="s">
        <v>2107</v>
      </c>
      <c r="N682" t="s">
        <v>310</v>
      </c>
      <c r="O682" t="s">
        <v>252</v>
      </c>
      <c r="P682" t="s">
        <v>404</v>
      </c>
    </row>
    <row r="683" spans="1:16" x14ac:dyDescent="0.25">
      <c r="A683" t="s">
        <v>2253</v>
      </c>
      <c r="B683" t="s">
        <v>2103</v>
      </c>
      <c r="C683" s="1" t="s">
        <v>2254</v>
      </c>
      <c r="D683" t="s">
        <v>42</v>
      </c>
      <c r="E683" t="s">
        <v>43</v>
      </c>
      <c r="F683" s="2">
        <v>225603.68</v>
      </c>
      <c r="G683" s="1" t="s">
        <v>2255</v>
      </c>
      <c r="H683" t="s">
        <v>307</v>
      </c>
      <c r="I683" t="s">
        <v>308</v>
      </c>
      <c r="J683">
        <v>5</v>
      </c>
      <c r="K683" t="s">
        <v>26</v>
      </c>
      <c r="L683" t="s">
        <v>2143</v>
      </c>
      <c r="M683" t="s">
        <v>2107</v>
      </c>
      <c r="N683" t="s">
        <v>310</v>
      </c>
      <c r="O683" t="s">
        <v>252</v>
      </c>
      <c r="P683" t="s">
        <v>404</v>
      </c>
    </row>
    <row r="684" spans="1:16" x14ac:dyDescent="0.25">
      <c r="A684" t="s">
        <v>2256</v>
      </c>
      <c r="B684" t="s">
        <v>2103</v>
      </c>
      <c r="C684" s="1" t="s">
        <v>2257</v>
      </c>
      <c r="D684" t="s">
        <v>42</v>
      </c>
      <c r="E684" t="s">
        <v>43</v>
      </c>
      <c r="F684" s="2">
        <v>173889.08</v>
      </c>
      <c r="G684" s="1" t="s">
        <v>2258</v>
      </c>
      <c r="H684" t="s">
        <v>307</v>
      </c>
      <c r="I684" t="s">
        <v>308</v>
      </c>
      <c r="J684">
        <v>5</v>
      </c>
      <c r="K684" t="s">
        <v>26</v>
      </c>
      <c r="L684" t="s">
        <v>2143</v>
      </c>
      <c r="M684" t="s">
        <v>2107</v>
      </c>
      <c r="N684" t="s">
        <v>310</v>
      </c>
      <c r="O684" t="s">
        <v>252</v>
      </c>
      <c r="P684" t="s">
        <v>404</v>
      </c>
    </row>
    <row r="685" spans="1:16" x14ac:dyDescent="0.25">
      <c r="A685" t="s">
        <v>2259</v>
      </c>
      <c r="B685" t="s">
        <v>2103</v>
      </c>
      <c r="C685" s="1" t="s">
        <v>2260</v>
      </c>
      <c r="D685" t="s">
        <v>42</v>
      </c>
      <c r="E685" t="s">
        <v>43</v>
      </c>
      <c r="F685" s="2">
        <v>264971.33</v>
      </c>
      <c r="G685" s="1" t="s">
        <v>2261</v>
      </c>
      <c r="H685" t="s">
        <v>307</v>
      </c>
      <c r="I685" t="s">
        <v>308</v>
      </c>
      <c r="J685">
        <v>5</v>
      </c>
      <c r="K685" t="s">
        <v>26</v>
      </c>
      <c r="L685" t="s">
        <v>2143</v>
      </c>
      <c r="M685" t="s">
        <v>2107</v>
      </c>
      <c r="N685" t="s">
        <v>310</v>
      </c>
      <c r="O685" t="s">
        <v>252</v>
      </c>
      <c r="P685" t="s">
        <v>404</v>
      </c>
    </row>
    <row r="686" spans="1:16" x14ac:dyDescent="0.25">
      <c r="A686" t="s">
        <v>2262</v>
      </c>
      <c r="B686" t="s">
        <v>2103</v>
      </c>
      <c r="C686" s="1" t="s">
        <v>2263</v>
      </c>
      <c r="D686" t="s">
        <v>42</v>
      </c>
      <c r="E686" t="s">
        <v>43</v>
      </c>
      <c r="F686" s="2">
        <v>367885.84</v>
      </c>
      <c r="G686" s="1" t="s">
        <v>2264</v>
      </c>
      <c r="H686" t="s">
        <v>307</v>
      </c>
      <c r="I686" t="s">
        <v>308</v>
      </c>
      <c r="J686">
        <v>5</v>
      </c>
      <c r="K686" t="s">
        <v>26</v>
      </c>
      <c r="L686" t="s">
        <v>2143</v>
      </c>
      <c r="M686" t="s">
        <v>2107</v>
      </c>
      <c r="N686" t="s">
        <v>310</v>
      </c>
      <c r="O686" t="s">
        <v>252</v>
      </c>
      <c r="P686" t="s">
        <v>404</v>
      </c>
    </row>
    <row r="687" spans="1:16" x14ac:dyDescent="0.25">
      <c r="A687" t="s">
        <v>2265</v>
      </c>
      <c r="B687" t="s">
        <v>2103</v>
      </c>
      <c r="C687" s="1" t="s">
        <v>2266</v>
      </c>
      <c r="D687" t="s">
        <v>42</v>
      </c>
      <c r="E687" t="s">
        <v>43</v>
      </c>
      <c r="F687" s="2">
        <v>292113.65</v>
      </c>
      <c r="G687" s="1" t="s">
        <v>2267</v>
      </c>
      <c r="H687" t="s">
        <v>307</v>
      </c>
      <c r="I687" t="s">
        <v>308</v>
      </c>
      <c r="J687">
        <v>5</v>
      </c>
      <c r="K687" t="s">
        <v>26</v>
      </c>
      <c r="L687" t="s">
        <v>2143</v>
      </c>
      <c r="M687" t="s">
        <v>2107</v>
      </c>
      <c r="N687" t="s">
        <v>310</v>
      </c>
      <c r="O687" t="s">
        <v>252</v>
      </c>
      <c r="P687" t="s">
        <v>404</v>
      </c>
    </row>
    <row r="688" spans="1:16" x14ac:dyDescent="0.25">
      <c r="A688" t="s">
        <v>2268</v>
      </c>
      <c r="B688" t="s">
        <v>2269</v>
      </c>
      <c r="C688" s="1" t="s">
        <v>2270</v>
      </c>
      <c r="D688" t="s">
        <v>42</v>
      </c>
      <c r="E688" t="s">
        <v>43</v>
      </c>
      <c r="F688" s="2">
        <v>46850.1</v>
      </c>
      <c r="G688" s="1" t="s">
        <v>2271</v>
      </c>
      <c r="H688" t="s">
        <v>307</v>
      </c>
      <c r="I688" t="s">
        <v>308</v>
      </c>
      <c r="J688">
        <v>5</v>
      </c>
      <c r="K688" t="s">
        <v>26</v>
      </c>
      <c r="L688" t="s">
        <v>2143</v>
      </c>
      <c r="M688" t="s">
        <v>2107</v>
      </c>
      <c r="N688" t="s">
        <v>310</v>
      </c>
      <c r="O688" t="s">
        <v>252</v>
      </c>
      <c r="P688" t="s">
        <v>404</v>
      </c>
    </row>
    <row r="689" spans="1:16" x14ac:dyDescent="0.25">
      <c r="A689" t="s">
        <v>2272</v>
      </c>
      <c r="B689" t="s">
        <v>2269</v>
      </c>
      <c r="C689" s="1" t="s">
        <v>2273</v>
      </c>
      <c r="D689" t="s">
        <v>42</v>
      </c>
      <c r="E689" t="s">
        <v>43</v>
      </c>
      <c r="F689" s="2">
        <v>90483.57</v>
      </c>
      <c r="G689" s="1" t="s">
        <v>2274</v>
      </c>
      <c r="H689" t="s">
        <v>307</v>
      </c>
      <c r="I689" t="s">
        <v>308</v>
      </c>
      <c r="J689">
        <v>5</v>
      </c>
      <c r="K689" t="s">
        <v>26</v>
      </c>
      <c r="L689" t="s">
        <v>2143</v>
      </c>
      <c r="M689" t="s">
        <v>2107</v>
      </c>
      <c r="N689" t="s">
        <v>310</v>
      </c>
      <c r="O689" t="s">
        <v>252</v>
      </c>
      <c r="P689" t="s">
        <v>404</v>
      </c>
    </row>
    <row r="690" spans="1:16" x14ac:dyDescent="0.25">
      <c r="A690" t="s">
        <v>2275</v>
      </c>
      <c r="B690" t="s">
        <v>2269</v>
      </c>
      <c r="C690" s="1" t="s">
        <v>2276</v>
      </c>
      <c r="D690" t="s">
        <v>42</v>
      </c>
      <c r="E690" t="s">
        <v>43</v>
      </c>
      <c r="F690" s="2">
        <v>139890.66</v>
      </c>
      <c r="G690" s="1" t="s">
        <v>2277</v>
      </c>
      <c r="H690" t="s">
        <v>307</v>
      </c>
      <c r="I690" t="s">
        <v>308</v>
      </c>
      <c r="J690">
        <v>5</v>
      </c>
      <c r="K690" t="s">
        <v>26</v>
      </c>
      <c r="L690" t="s">
        <v>2143</v>
      </c>
      <c r="M690" t="s">
        <v>2107</v>
      </c>
      <c r="N690" t="s">
        <v>310</v>
      </c>
      <c r="O690" t="s">
        <v>252</v>
      </c>
      <c r="P690" t="s">
        <v>404</v>
      </c>
    </row>
    <row r="691" spans="1:16" x14ac:dyDescent="0.25">
      <c r="A691" t="s">
        <v>2278</v>
      </c>
      <c r="B691" t="s">
        <v>2269</v>
      </c>
      <c r="C691" s="1" t="s">
        <v>2279</v>
      </c>
      <c r="D691" t="s">
        <v>42</v>
      </c>
      <c r="E691" t="s">
        <v>43</v>
      </c>
      <c r="F691" s="2">
        <v>19364.14</v>
      </c>
      <c r="G691" s="1" t="s">
        <v>2280</v>
      </c>
      <c r="H691" t="s">
        <v>307</v>
      </c>
      <c r="I691" t="s">
        <v>308</v>
      </c>
      <c r="J691">
        <v>5</v>
      </c>
      <c r="K691" t="s">
        <v>26</v>
      </c>
      <c r="L691" t="s">
        <v>2143</v>
      </c>
      <c r="M691" t="s">
        <v>2107</v>
      </c>
      <c r="N691" t="s">
        <v>310</v>
      </c>
      <c r="O691" t="s">
        <v>252</v>
      </c>
      <c r="P691" t="s">
        <v>404</v>
      </c>
    </row>
    <row r="692" spans="1:16" x14ac:dyDescent="0.25">
      <c r="A692" t="s">
        <v>2281</v>
      </c>
      <c r="B692" t="s">
        <v>2269</v>
      </c>
      <c r="C692" s="1" t="s">
        <v>2282</v>
      </c>
      <c r="D692" t="s">
        <v>42</v>
      </c>
      <c r="E692" t="s">
        <v>43</v>
      </c>
      <c r="F692" s="2">
        <v>32156.32</v>
      </c>
      <c r="G692" s="1" t="s">
        <v>2283</v>
      </c>
      <c r="H692" t="s">
        <v>307</v>
      </c>
      <c r="I692" t="s">
        <v>308</v>
      </c>
      <c r="J692">
        <v>5</v>
      </c>
      <c r="K692" t="s">
        <v>26</v>
      </c>
      <c r="L692" t="s">
        <v>2143</v>
      </c>
      <c r="M692" t="s">
        <v>2107</v>
      </c>
      <c r="N692" t="s">
        <v>310</v>
      </c>
      <c r="O692" t="s">
        <v>252</v>
      </c>
      <c r="P692" t="s">
        <v>404</v>
      </c>
    </row>
    <row r="693" spans="1:16" x14ac:dyDescent="0.25">
      <c r="A693" t="s">
        <v>2284</v>
      </c>
      <c r="B693" t="s">
        <v>2269</v>
      </c>
      <c r="C693" s="1" t="s">
        <v>2285</v>
      </c>
      <c r="D693" t="s">
        <v>42</v>
      </c>
      <c r="E693" t="s">
        <v>43</v>
      </c>
      <c r="F693" s="2">
        <v>61175.31</v>
      </c>
      <c r="G693" s="1" t="s">
        <v>2286</v>
      </c>
      <c r="H693" t="s">
        <v>307</v>
      </c>
      <c r="I693" t="s">
        <v>308</v>
      </c>
      <c r="J693">
        <v>5</v>
      </c>
      <c r="K693" t="s">
        <v>26</v>
      </c>
      <c r="L693" t="s">
        <v>2143</v>
      </c>
      <c r="M693" t="s">
        <v>2107</v>
      </c>
      <c r="N693" t="s">
        <v>310</v>
      </c>
      <c r="O693" t="s">
        <v>252</v>
      </c>
      <c r="P693" t="s">
        <v>404</v>
      </c>
    </row>
    <row r="694" spans="1:16" x14ac:dyDescent="0.25">
      <c r="A694" t="s">
        <v>2287</v>
      </c>
      <c r="B694" t="s">
        <v>2269</v>
      </c>
      <c r="C694" s="1" t="s">
        <v>2288</v>
      </c>
      <c r="D694" t="s">
        <v>42</v>
      </c>
      <c r="E694" t="s">
        <v>43</v>
      </c>
      <c r="F694" s="2">
        <v>128190.12</v>
      </c>
      <c r="G694" s="1" t="s">
        <v>2289</v>
      </c>
      <c r="H694" t="s">
        <v>307</v>
      </c>
      <c r="I694" t="s">
        <v>308</v>
      </c>
      <c r="J694">
        <v>5</v>
      </c>
      <c r="K694" t="s">
        <v>26</v>
      </c>
      <c r="L694" t="s">
        <v>2143</v>
      </c>
      <c r="M694" t="s">
        <v>2107</v>
      </c>
      <c r="N694" t="s">
        <v>310</v>
      </c>
      <c r="O694" t="s">
        <v>252</v>
      </c>
      <c r="P694" t="s">
        <v>404</v>
      </c>
    </row>
    <row r="695" spans="1:16" x14ac:dyDescent="0.25">
      <c r="A695" t="s">
        <v>2290</v>
      </c>
      <c r="B695" t="s">
        <v>2269</v>
      </c>
      <c r="C695" s="1" t="s">
        <v>2291</v>
      </c>
      <c r="D695" t="s">
        <v>42</v>
      </c>
      <c r="E695" t="s">
        <v>43</v>
      </c>
      <c r="F695" s="2">
        <v>204193.71</v>
      </c>
      <c r="G695" s="1" t="s">
        <v>2292</v>
      </c>
      <c r="H695" t="s">
        <v>307</v>
      </c>
      <c r="I695" t="s">
        <v>308</v>
      </c>
      <c r="J695">
        <v>5</v>
      </c>
      <c r="K695" t="s">
        <v>26</v>
      </c>
      <c r="L695" t="s">
        <v>2143</v>
      </c>
      <c r="M695" t="s">
        <v>2107</v>
      </c>
      <c r="N695" t="s">
        <v>310</v>
      </c>
      <c r="O695" t="s">
        <v>252</v>
      </c>
      <c r="P695" t="s">
        <v>404</v>
      </c>
    </row>
    <row r="696" spans="1:16" x14ac:dyDescent="0.25">
      <c r="A696" t="s">
        <v>2293</v>
      </c>
      <c r="B696" t="s">
        <v>2269</v>
      </c>
      <c r="C696" s="1" t="s">
        <v>2294</v>
      </c>
      <c r="D696" t="s">
        <v>42</v>
      </c>
      <c r="E696" t="s">
        <v>43</v>
      </c>
      <c r="F696" s="2">
        <v>25086.64</v>
      </c>
      <c r="G696" s="1" t="s">
        <v>2295</v>
      </c>
      <c r="H696" t="s">
        <v>307</v>
      </c>
      <c r="I696" t="s">
        <v>308</v>
      </c>
      <c r="J696">
        <v>5</v>
      </c>
      <c r="K696" t="s">
        <v>26</v>
      </c>
      <c r="L696" t="s">
        <v>2143</v>
      </c>
      <c r="M696" t="s">
        <v>2107</v>
      </c>
      <c r="N696" t="s">
        <v>310</v>
      </c>
      <c r="O696" t="s">
        <v>252</v>
      </c>
      <c r="P696" t="s">
        <v>404</v>
      </c>
    </row>
    <row r="697" spans="1:16" x14ac:dyDescent="0.25">
      <c r="A697" t="s">
        <v>2296</v>
      </c>
      <c r="B697" t="s">
        <v>2269</v>
      </c>
      <c r="C697" s="1" t="s">
        <v>2297</v>
      </c>
      <c r="D697" t="s">
        <v>42</v>
      </c>
      <c r="E697" t="s">
        <v>43</v>
      </c>
      <c r="F697" s="2">
        <v>40881.82</v>
      </c>
      <c r="G697" s="1" t="s">
        <v>2298</v>
      </c>
      <c r="H697" t="s">
        <v>307</v>
      </c>
      <c r="I697" t="s">
        <v>308</v>
      </c>
      <c r="J697">
        <v>5</v>
      </c>
      <c r="K697" t="s">
        <v>26</v>
      </c>
      <c r="L697" t="s">
        <v>2143</v>
      </c>
      <c r="M697" t="s">
        <v>2107</v>
      </c>
      <c r="N697" t="s">
        <v>310</v>
      </c>
      <c r="O697" t="s">
        <v>252</v>
      </c>
      <c r="P697" t="s">
        <v>404</v>
      </c>
    </row>
    <row r="698" spans="1:16" x14ac:dyDescent="0.25">
      <c r="A698" t="s">
        <v>2299</v>
      </c>
      <c r="B698" t="s">
        <v>2300</v>
      </c>
      <c r="C698" s="1" t="s">
        <v>2301</v>
      </c>
      <c r="D698" t="s">
        <v>42</v>
      </c>
      <c r="E698" t="s">
        <v>43</v>
      </c>
      <c r="F698" s="2">
        <v>39515.16</v>
      </c>
      <c r="G698" s="1" t="s">
        <v>2302</v>
      </c>
      <c r="H698" t="s">
        <v>307</v>
      </c>
      <c r="I698" t="s">
        <v>250</v>
      </c>
      <c r="J698">
        <v>5</v>
      </c>
      <c r="K698" t="s">
        <v>26</v>
      </c>
      <c r="L698" t="s">
        <v>2143</v>
      </c>
      <c r="M698" t="s">
        <v>2107</v>
      </c>
      <c r="N698" t="s">
        <v>310</v>
      </c>
      <c r="O698" t="s">
        <v>252</v>
      </c>
      <c r="P698" t="s">
        <v>404</v>
      </c>
    </row>
    <row r="699" spans="1:16" x14ac:dyDescent="0.25">
      <c r="A699" t="s">
        <v>2303</v>
      </c>
      <c r="B699" t="s">
        <v>2300</v>
      </c>
      <c r="C699" s="1" t="s">
        <v>2304</v>
      </c>
      <c r="D699" t="s">
        <v>42</v>
      </c>
      <c r="E699" t="s">
        <v>43</v>
      </c>
      <c r="F699" s="2">
        <v>95351.76</v>
      </c>
      <c r="G699" s="1" t="s">
        <v>2305</v>
      </c>
      <c r="H699" t="s">
        <v>307</v>
      </c>
      <c r="I699" t="s">
        <v>250</v>
      </c>
      <c r="J699">
        <v>5</v>
      </c>
      <c r="K699" t="s">
        <v>26</v>
      </c>
      <c r="L699" t="s">
        <v>2143</v>
      </c>
      <c r="M699" t="s">
        <v>2107</v>
      </c>
      <c r="N699" t="s">
        <v>310</v>
      </c>
      <c r="O699" t="s">
        <v>252</v>
      </c>
      <c r="P699" t="s">
        <v>404</v>
      </c>
    </row>
    <row r="700" spans="1:16" x14ac:dyDescent="0.25">
      <c r="A700" t="s">
        <v>2306</v>
      </c>
      <c r="B700" t="s">
        <v>2300</v>
      </c>
      <c r="C700" s="1" t="s">
        <v>2307</v>
      </c>
      <c r="D700" t="s">
        <v>42</v>
      </c>
      <c r="E700" t="s">
        <v>43</v>
      </c>
      <c r="F700" s="2">
        <v>54011.17</v>
      </c>
      <c r="G700" s="1" t="s">
        <v>2308</v>
      </c>
      <c r="H700" t="s">
        <v>307</v>
      </c>
      <c r="I700" t="s">
        <v>250</v>
      </c>
      <c r="J700">
        <v>5</v>
      </c>
      <c r="K700" t="s">
        <v>26</v>
      </c>
      <c r="L700" t="s">
        <v>2143</v>
      </c>
      <c r="M700" t="s">
        <v>2107</v>
      </c>
      <c r="N700" t="s">
        <v>310</v>
      </c>
      <c r="O700" t="s">
        <v>252</v>
      </c>
      <c r="P700" t="s">
        <v>404</v>
      </c>
    </row>
    <row r="701" spans="1:16" x14ac:dyDescent="0.25">
      <c r="A701" t="s">
        <v>2309</v>
      </c>
      <c r="B701" t="s">
        <v>2300</v>
      </c>
      <c r="C701" s="1" t="s">
        <v>2310</v>
      </c>
      <c r="D701" t="s">
        <v>42</v>
      </c>
      <c r="E701" t="s">
        <v>43</v>
      </c>
      <c r="F701" s="2">
        <v>85680.99</v>
      </c>
      <c r="G701" s="1" t="s">
        <v>2311</v>
      </c>
      <c r="H701" t="s">
        <v>307</v>
      </c>
      <c r="I701" t="s">
        <v>250</v>
      </c>
      <c r="J701">
        <v>5</v>
      </c>
      <c r="K701" t="s">
        <v>26</v>
      </c>
      <c r="L701" t="s">
        <v>2143</v>
      </c>
      <c r="M701" t="s">
        <v>2107</v>
      </c>
      <c r="N701" t="s">
        <v>310</v>
      </c>
      <c r="O701" t="s">
        <v>252</v>
      </c>
      <c r="P701" t="s">
        <v>404</v>
      </c>
    </row>
    <row r="702" spans="1:16" x14ac:dyDescent="0.25">
      <c r="A702" t="s">
        <v>2312</v>
      </c>
      <c r="B702" t="s">
        <v>2300</v>
      </c>
      <c r="C702" s="1" t="s">
        <v>2313</v>
      </c>
      <c r="D702" t="s">
        <v>42</v>
      </c>
      <c r="E702" t="s">
        <v>43</v>
      </c>
      <c r="F702" s="2">
        <v>99040.64</v>
      </c>
      <c r="G702" s="1" t="s">
        <v>2314</v>
      </c>
      <c r="H702" t="s">
        <v>307</v>
      </c>
      <c r="I702" t="s">
        <v>250</v>
      </c>
      <c r="J702">
        <v>5</v>
      </c>
      <c r="K702" t="s">
        <v>26</v>
      </c>
      <c r="L702" t="s">
        <v>2143</v>
      </c>
      <c r="M702" t="s">
        <v>2107</v>
      </c>
      <c r="N702" t="s">
        <v>310</v>
      </c>
      <c r="O702" t="s">
        <v>252</v>
      </c>
      <c r="P702" t="s">
        <v>404</v>
      </c>
    </row>
    <row r="703" spans="1:16" x14ac:dyDescent="0.25">
      <c r="A703" t="s">
        <v>2315</v>
      </c>
      <c r="B703" t="s">
        <v>2300</v>
      </c>
      <c r="C703" s="1" t="s">
        <v>2316</v>
      </c>
      <c r="D703" t="s">
        <v>42</v>
      </c>
      <c r="E703" t="s">
        <v>43</v>
      </c>
      <c r="F703" s="2">
        <v>600827.38</v>
      </c>
      <c r="G703" s="1" t="s">
        <v>2317</v>
      </c>
      <c r="H703" t="s">
        <v>307</v>
      </c>
      <c r="I703" t="s">
        <v>250</v>
      </c>
      <c r="J703">
        <v>5</v>
      </c>
      <c r="K703" t="s">
        <v>26</v>
      </c>
      <c r="L703" t="s">
        <v>2143</v>
      </c>
      <c r="M703" t="s">
        <v>2107</v>
      </c>
      <c r="N703" t="s">
        <v>310</v>
      </c>
      <c r="O703" t="s">
        <v>252</v>
      </c>
      <c r="P703" t="s">
        <v>404</v>
      </c>
    </row>
    <row r="704" spans="1:16" x14ac:dyDescent="0.25">
      <c r="A704" t="s">
        <v>2318</v>
      </c>
      <c r="B704" t="s">
        <v>2319</v>
      </c>
      <c r="C704" s="1" t="s">
        <v>2320</v>
      </c>
      <c r="D704" t="s">
        <v>63</v>
      </c>
      <c r="E704" t="s">
        <v>64</v>
      </c>
      <c r="F704" s="2">
        <v>597572.4</v>
      </c>
      <c r="G704" s="1" t="s">
        <v>2321</v>
      </c>
      <c r="H704" t="s">
        <v>307</v>
      </c>
      <c r="I704" t="s">
        <v>250</v>
      </c>
      <c r="J704">
        <v>4</v>
      </c>
      <c r="K704" t="s">
        <v>26</v>
      </c>
      <c r="L704" t="s">
        <v>2322</v>
      </c>
      <c r="M704" t="s">
        <v>2107</v>
      </c>
      <c r="N704" t="s">
        <v>310</v>
      </c>
      <c r="O704" t="s">
        <v>252</v>
      </c>
      <c r="P704" t="s">
        <v>31</v>
      </c>
    </row>
    <row r="705" spans="1:16" x14ac:dyDescent="0.25">
      <c r="A705" t="s">
        <v>2323</v>
      </c>
      <c r="B705" t="s">
        <v>2319</v>
      </c>
      <c r="C705" s="1" t="s">
        <v>2324</v>
      </c>
      <c r="D705" t="s">
        <v>63</v>
      </c>
      <c r="E705" t="s">
        <v>64</v>
      </c>
      <c r="F705" s="2">
        <v>1167.89</v>
      </c>
      <c r="G705" s="1" t="s">
        <v>2325</v>
      </c>
      <c r="H705" t="s">
        <v>307</v>
      </c>
      <c r="I705" t="s">
        <v>250</v>
      </c>
      <c r="J705">
        <v>6</v>
      </c>
      <c r="K705" t="s">
        <v>26</v>
      </c>
      <c r="L705" t="s">
        <v>2322</v>
      </c>
      <c r="M705" t="s">
        <v>2107</v>
      </c>
      <c r="N705" t="s">
        <v>310</v>
      </c>
      <c r="O705" t="s">
        <v>252</v>
      </c>
      <c r="P705" t="s">
        <v>31</v>
      </c>
    </row>
    <row r="706" spans="1:16" x14ac:dyDescent="0.25">
      <c r="A706" t="s">
        <v>2326</v>
      </c>
      <c r="B706" t="s">
        <v>2319</v>
      </c>
      <c r="C706" s="1" t="s">
        <v>2327</v>
      </c>
      <c r="D706" t="s">
        <v>63</v>
      </c>
      <c r="E706" t="s">
        <v>64</v>
      </c>
      <c r="F706" s="2">
        <v>1323.29</v>
      </c>
      <c r="G706" s="1" t="s">
        <v>2328</v>
      </c>
      <c r="H706" t="s">
        <v>307</v>
      </c>
      <c r="I706" t="s">
        <v>250</v>
      </c>
      <c r="J706">
        <v>6</v>
      </c>
      <c r="K706" t="s">
        <v>26</v>
      </c>
      <c r="L706" t="s">
        <v>2322</v>
      </c>
      <c r="M706" t="s">
        <v>2107</v>
      </c>
      <c r="N706" t="s">
        <v>310</v>
      </c>
      <c r="O706" t="s">
        <v>252</v>
      </c>
      <c r="P706" t="s">
        <v>31</v>
      </c>
    </row>
    <row r="707" spans="1:16" x14ac:dyDescent="0.25">
      <c r="A707" t="s">
        <v>2329</v>
      </c>
      <c r="B707" t="s">
        <v>2319</v>
      </c>
      <c r="C707" s="1" t="s">
        <v>2330</v>
      </c>
      <c r="D707" t="s">
        <v>63</v>
      </c>
      <c r="E707" t="s">
        <v>64</v>
      </c>
      <c r="F707" s="2">
        <v>753947.96</v>
      </c>
      <c r="G707" s="1" t="s">
        <v>2331</v>
      </c>
      <c r="H707" t="s">
        <v>307</v>
      </c>
      <c r="I707" t="s">
        <v>308</v>
      </c>
      <c r="J707">
        <v>6</v>
      </c>
      <c r="K707" t="s">
        <v>26</v>
      </c>
      <c r="L707" t="s">
        <v>2322</v>
      </c>
      <c r="M707" t="s">
        <v>2107</v>
      </c>
      <c r="N707" t="s">
        <v>310</v>
      </c>
      <c r="O707" t="s">
        <v>252</v>
      </c>
      <c r="P707" t="s">
        <v>31</v>
      </c>
    </row>
    <row r="708" spans="1:16" x14ac:dyDescent="0.25">
      <c r="A708" t="s">
        <v>2332</v>
      </c>
      <c r="B708" t="s">
        <v>2319</v>
      </c>
      <c r="C708" s="1" t="s">
        <v>2333</v>
      </c>
      <c r="D708" t="s">
        <v>63</v>
      </c>
      <c r="E708" t="s">
        <v>64</v>
      </c>
      <c r="F708" s="2">
        <v>1272989.78</v>
      </c>
      <c r="G708" s="1" t="s">
        <v>2334</v>
      </c>
      <c r="H708" t="s">
        <v>307</v>
      </c>
      <c r="I708" t="s">
        <v>308</v>
      </c>
      <c r="J708">
        <v>6</v>
      </c>
      <c r="K708" t="s">
        <v>26</v>
      </c>
      <c r="L708" t="s">
        <v>2322</v>
      </c>
      <c r="M708" t="s">
        <v>2107</v>
      </c>
      <c r="N708" t="s">
        <v>310</v>
      </c>
      <c r="O708" t="s">
        <v>252</v>
      </c>
      <c r="P708" t="s">
        <v>31</v>
      </c>
    </row>
    <row r="709" spans="1:16" x14ac:dyDescent="0.25">
      <c r="A709" t="s">
        <v>2335</v>
      </c>
      <c r="B709" t="s">
        <v>2319</v>
      </c>
      <c r="C709" s="1" t="s">
        <v>2336</v>
      </c>
      <c r="D709" t="s">
        <v>63</v>
      </c>
      <c r="E709" t="s">
        <v>64</v>
      </c>
      <c r="F709" s="2">
        <v>83199.02</v>
      </c>
      <c r="G709" s="1" t="s">
        <v>2337</v>
      </c>
      <c r="H709" t="s">
        <v>307</v>
      </c>
      <c r="I709" t="s">
        <v>308</v>
      </c>
      <c r="J709">
        <v>5</v>
      </c>
      <c r="K709" t="s">
        <v>26</v>
      </c>
      <c r="L709" t="s">
        <v>2322</v>
      </c>
      <c r="M709" t="s">
        <v>2107</v>
      </c>
      <c r="N709" t="s">
        <v>310</v>
      </c>
      <c r="O709" t="s">
        <v>252</v>
      </c>
      <c r="P709" t="s">
        <v>31</v>
      </c>
    </row>
    <row r="710" spans="1:16" x14ac:dyDescent="0.25">
      <c r="A710" t="s">
        <v>2338</v>
      </c>
      <c r="B710" t="s">
        <v>2319</v>
      </c>
      <c r="C710" s="1" t="s">
        <v>2339</v>
      </c>
      <c r="D710" t="s">
        <v>63</v>
      </c>
      <c r="E710" t="s">
        <v>64</v>
      </c>
      <c r="F710" s="2">
        <v>180007.35</v>
      </c>
      <c r="G710" s="1" t="s">
        <v>2340</v>
      </c>
      <c r="H710" t="s">
        <v>307</v>
      </c>
      <c r="I710" t="s">
        <v>308</v>
      </c>
      <c r="J710">
        <v>5</v>
      </c>
      <c r="K710" t="s">
        <v>26</v>
      </c>
      <c r="L710" t="s">
        <v>2322</v>
      </c>
      <c r="M710" t="s">
        <v>2107</v>
      </c>
      <c r="N710" t="s">
        <v>310</v>
      </c>
      <c r="O710" t="s">
        <v>252</v>
      </c>
      <c r="P710" t="s">
        <v>31</v>
      </c>
    </row>
    <row r="711" spans="1:16" x14ac:dyDescent="0.25">
      <c r="A711" t="s">
        <v>2341</v>
      </c>
      <c r="B711" t="s">
        <v>2319</v>
      </c>
      <c r="C711" s="1" t="s">
        <v>2342</v>
      </c>
      <c r="D711" t="s">
        <v>63</v>
      </c>
      <c r="E711" t="s">
        <v>64</v>
      </c>
      <c r="F711" s="2">
        <v>359412.02</v>
      </c>
      <c r="G711" s="1" t="s">
        <v>2343</v>
      </c>
      <c r="H711" t="s">
        <v>307</v>
      </c>
      <c r="I711" t="s">
        <v>308</v>
      </c>
      <c r="J711">
        <v>5</v>
      </c>
      <c r="K711" t="s">
        <v>26</v>
      </c>
      <c r="L711" t="s">
        <v>2322</v>
      </c>
      <c r="M711" t="s">
        <v>2107</v>
      </c>
      <c r="N711" t="s">
        <v>310</v>
      </c>
      <c r="O711" t="s">
        <v>252</v>
      </c>
      <c r="P711" t="s">
        <v>31</v>
      </c>
    </row>
    <row r="712" spans="1:16" x14ac:dyDescent="0.25">
      <c r="A712" t="s">
        <v>2344</v>
      </c>
      <c r="B712" t="s">
        <v>2319</v>
      </c>
      <c r="C712" s="1" t="s">
        <v>2345</v>
      </c>
      <c r="D712" t="s">
        <v>63</v>
      </c>
      <c r="E712" t="s">
        <v>64</v>
      </c>
      <c r="F712" s="2">
        <v>927754.02</v>
      </c>
      <c r="G712" s="1" t="s">
        <v>2346</v>
      </c>
      <c r="H712" t="s">
        <v>307</v>
      </c>
      <c r="I712" t="s">
        <v>308</v>
      </c>
      <c r="J712">
        <v>4</v>
      </c>
      <c r="K712" t="s">
        <v>26</v>
      </c>
      <c r="L712" t="s">
        <v>2322</v>
      </c>
      <c r="M712" t="s">
        <v>2107</v>
      </c>
      <c r="N712" t="s">
        <v>310</v>
      </c>
      <c r="O712" t="s">
        <v>252</v>
      </c>
      <c r="P712" t="s">
        <v>31</v>
      </c>
    </row>
    <row r="713" spans="1:16" x14ac:dyDescent="0.25">
      <c r="A713" t="s">
        <v>2347</v>
      </c>
      <c r="B713" t="s">
        <v>2319</v>
      </c>
      <c r="C713" s="1" t="s">
        <v>2348</v>
      </c>
      <c r="D713" t="s">
        <v>63</v>
      </c>
      <c r="E713" t="s">
        <v>64</v>
      </c>
      <c r="F713" s="2">
        <v>1267160.52</v>
      </c>
      <c r="G713" s="1" t="s">
        <v>2349</v>
      </c>
      <c r="H713" t="s">
        <v>307</v>
      </c>
      <c r="I713" t="s">
        <v>308</v>
      </c>
      <c r="J713">
        <v>5</v>
      </c>
      <c r="K713" t="s">
        <v>26</v>
      </c>
      <c r="L713" t="s">
        <v>2322</v>
      </c>
      <c r="M713" t="s">
        <v>2107</v>
      </c>
      <c r="N713" t="s">
        <v>310</v>
      </c>
      <c r="O713" t="s">
        <v>252</v>
      </c>
      <c r="P713" t="s">
        <v>31</v>
      </c>
    </row>
    <row r="714" spans="1:16" x14ac:dyDescent="0.25">
      <c r="A714" t="s">
        <v>2350</v>
      </c>
      <c r="B714" t="s">
        <v>2319</v>
      </c>
      <c r="C714" s="1" t="s">
        <v>2351</v>
      </c>
      <c r="D714" t="s">
        <v>63</v>
      </c>
      <c r="E714" t="s">
        <v>64</v>
      </c>
      <c r="F714" s="2">
        <v>33190.02</v>
      </c>
      <c r="G714" s="1" t="s">
        <v>2352</v>
      </c>
      <c r="H714" t="s">
        <v>307</v>
      </c>
      <c r="I714" t="s">
        <v>308</v>
      </c>
      <c r="J714">
        <v>5</v>
      </c>
      <c r="K714" t="s">
        <v>26</v>
      </c>
      <c r="L714" t="s">
        <v>2322</v>
      </c>
      <c r="M714" t="s">
        <v>2107</v>
      </c>
      <c r="N714" t="s">
        <v>310</v>
      </c>
      <c r="O714" t="s">
        <v>252</v>
      </c>
      <c r="P714" t="s">
        <v>31</v>
      </c>
    </row>
    <row r="715" spans="1:16" x14ac:dyDescent="0.25">
      <c r="A715" t="s">
        <v>2353</v>
      </c>
      <c r="B715" t="s">
        <v>2319</v>
      </c>
      <c r="C715" s="1" t="s">
        <v>2354</v>
      </c>
      <c r="D715" t="s">
        <v>63</v>
      </c>
      <c r="E715" t="s">
        <v>64</v>
      </c>
      <c r="F715" s="2">
        <v>51179.02</v>
      </c>
      <c r="G715" s="1" t="s">
        <v>2355</v>
      </c>
      <c r="H715" t="s">
        <v>307</v>
      </c>
      <c r="I715" t="s">
        <v>308</v>
      </c>
      <c r="J715">
        <v>5</v>
      </c>
      <c r="K715" t="s">
        <v>26</v>
      </c>
      <c r="L715" t="s">
        <v>2322</v>
      </c>
      <c r="M715" t="s">
        <v>2107</v>
      </c>
      <c r="N715" t="s">
        <v>310</v>
      </c>
      <c r="O715" t="s">
        <v>252</v>
      </c>
      <c r="P715" t="s">
        <v>31</v>
      </c>
    </row>
    <row r="716" spans="1:16" x14ac:dyDescent="0.25">
      <c r="A716" t="s">
        <v>2356</v>
      </c>
      <c r="B716" t="s">
        <v>2319</v>
      </c>
      <c r="C716" s="1" t="s">
        <v>2357</v>
      </c>
      <c r="D716" t="s">
        <v>63</v>
      </c>
      <c r="E716" t="s">
        <v>64</v>
      </c>
      <c r="F716" s="2">
        <v>85920.68</v>
      </c>
      <c r="G716" s="1" t="s">
        <v>2358</v>
      </c>
      <c r="H716" t="s">
        <v>307</v>
      </c>
      <c r="I716" t="s">
        <v>308</v>
      </c>
      <c r="J716">
        <v>5</v>
      </c>
      <c r="K716" t="s">
        <v>26</v>
      </c>
      <c r="L716" t="s">
        <v>2322</v>
      </c>
      <c r="M716" t="s">
        <v>2107</v>
      </c>
      <c r="N716" t="s">
        <v>310</v>
      </c>
      <c r="O716" t="s">
        <v>252</v>
      </c>
      <c r="P716" t="s">
        <v>31</v>
      </c>
    </row>
    <row r="717" spans="1:16" x14ac:dyDescent="0.25">
      <c r="A717" t="s">
        <v>2359</v>
      </c>
      <c r="B717" t="s">
        <v>2319</v>
      </c>
      <c r="C717" s="1" t="s">
        <v>2360</v>
      </c>
      <c r="D717" t="s">
        <v>63</v>
      </c>
      <c r="E717" t="s">
        <v>64</v>
      </c>
      <c r="F717" s="2">
        <v>204145.02</v>
      </c>
      <c r="G717" s="1" t="s">
        <v>2361</v>
      </c>
      <c r="H717" t="s">
        <v>307</v>
      </c>
      <c r="I717" t="s">
        <v>308</v>
      </c>
      <c r="J717">
        <v>5</v>
      </c>
      <c r="K717" t="s">
        <v>26</v>
      </c>
      <c r="L717" t="s">
        <v>2322</v>
      </c>
      <c r="M717" t="s">
        <v>2107</v>
      </c>
      <c r="N717" t="s">
        <v>310</v>
      </c>
      <c r="O717" t="s">
        <v>252</v>
      </c>
      <c r="P717" t="s">
        <v>31</v>
      </c>
    </row>
    <row r="718" spans="1:16" x14ac:dyDescent="0.25">
      <c r="A718" t="s">
        <v>2362</v>
      </c>
      <c r="B718" t="s">
        <v>2319</v>
      </c>
      <c r="C718" s="1" t="s">
        <v>2363</v>
      </c>
      <c r="D718" t="s">
        <v>63</v>
      </c>
      <c r="E718" t="s">
        <v>64</v>
      </c>
      <c r="F718" s="2">
        <v>415105.02</v>
      </c>
      <c r="G718" s="1" t="s">
        <v>2364</v>
      </c>
      <c r="H718" t="s">
        <v>307</v>
      </c>
      <c r="I718" t="s">
        <v>308</v>
      </c>
      <c r="J718">
        <v>5</v>
      </c>
      <c r="K718" t="s">
        <v>26</v>
      </c>
      <c r="L718" t="s">
        <v>2322</v>
      </c>
      <c r="M718" t="s">
        <v>2107</v>
      </c>
      <c r="N718" t="s">
        <v>310</v>
      </c>
      <c r="O718" t="s">
        <v>252</v>
      </c>
      <c r="P718" t="s">
        <v>31</v>
      </c>
    </row>
    <row r="719" spans="1:16" x14ac:dyDescent="0.25">
      <c r="A719" t="s">
        <v>2365</v>
      </c>
      <c r="B719" t="s">
        <v>2319</v>
      </c>
      <c r="C719" s="1" t="s">
        <v>2366</v>
      </c>
      <c r="D719" t="s">
        <v>63</v>
      </c>
      <c r="E719" t="s">
        <v>64</v>
      </c>
      <c r="F719" s="2">
        <v>1156439.52</v>
      </c>
      <c r="G719" s="1" t="s">
        <v>2367</v>
      </c>
      <c r="H719" t="s">
        <v>307</v>
      </c>
      <c r="I719" t="s">
        <v>308</v>
      </c>
      <c r="J719">
        <v>5</v>
      </c>
      <c r="K719" t="s">
        <v>26</v>
      </c>
      <c r="L719" t="s">
        <v>2322</v>
      </c>
      <c r="M719" t="s">
        <v>2107</v>
      </c>
      <c r="N719" t="s">
        <v>310</v>
      </c>
      <c r="O719" t="s">
        <v>252</v>
      </c>
      <c r="P719" t="s">
        <v>31</v>
      </c>
    </row>
    <row r="720" spans="1:16" x14ac:dyDescent="0.25">
      <c r="A720" t="s">
        <v>2368</v>
      </c>
      <c r="B720" t="s">
        <v>2319</v>
      </c>
      <c r="C720" s="1" t="s">
        <v>2369</v>
      </c>
      <c r="D720" t="s">
        <v>63</v>
      </c>
      <c r="E720" t="s">
        <v>64</v>
      </c>
      <c r="F720" s="2">
        <v>1588850.02</v>
      </c>
      <c r="G720" s="1" t="s">
        <v>2370</v>
      </c>
      <c r="H720" t="s">
        <v>307</v>
      </c>
      <c r="I720" t="s">
        <v>308</v>
      </c>
      <c r="J720">
        <v>5</v>
      </c>
      <c r="K720" t="s">
        <v>26</v>
      </c>
      <c r="L720" t="s">
        <v>2322</v>
      </c>
      <c r="M720" t="s">
        <v>2107</v>
      </c>
      <c r="N720" t="s">
        <v>310</v>
      </c>
      <c r="O720" t="s">
        <v>252</v>
      </c>
      <c r="P720" t="s">
        <v>31</v>
      </c>
    </row>
    <row r="721" spans="1:16" x14ac:dyDescent="0.25">
      <c r="A721" t="s">
        <v>2371</v>
      </c>
      <c r="B721" t="s">
        <v>2319</v>
      </c>
      <c r="C721" s="1" t="s">
        <v>2372</v>
      </c>
      <c r="D721" t="s">
        <v>63</v>
      </c>
      <c r="E721" t="s">
        <v>64</v>
      </c>
      <c r="F721" s="2">
        <v>36412.02</v>
      </c>
      <c r="G721" s="1" t="s">
        <v>2373</v>
      </c>
      <c r="H721" t="s">
        <v>307</v>
      </c>
      <c r="I721" t="s">
        <v>308</v>
      </c>
      <c r="J721">
        <v>5</v>
      </c>
      <c r="K721" t="s">
        <v>26</v>
      </c>
      <c r="L721" t="s">
        <v>2322</v>
      </c>
      <c r="M721" t="s">
        <v>2107</v>
      </c>
      <c r="N721" t="s">
        <v>310</v>
      </c>
      <c r="O721" t="s">
        <v>252</v>
      </c>
      <c r="P721" t="s">
        <v>31</v>
      </c>
    </row>
    <row r="722" spans="1:16" x14ac:dyDescent="0.25">
      <c r="A722" t="s">
        <v>2374</v>
      </c>
      <c r="B722" t="s">
        <v>2319</v>
      </c>
      <c r="C722" s="1" t="s">
        <v>2375</v>
      </c>
      <c r="D722" t="s">
        <v>63</v>
      </c>
      <c r="E722" t="s">
        <v>64</v>
      </c>
      <c r="F722" s="2">
        <v>33970.02</v>
      </c>
      <c r="G722" s="1" t="s">
        <v>2376</v>
      </c>
      <c r="H722" t="s">
        <v>307</v>
      </c>
      <c r="I722" t="s">
        <v>308</v>
      </c>
      <c r="J722">
        <v>5</v>
      </c>
      <c r="K722" t="s">
        <v>26</v>
      </c>
      <c r="L722" t="s">
        <v>2322</v>
      </c>
      <c r="M722" t="s">
        <v>2107</v>
      </c>
      <c r="N722" t="s">
        <v>310</v>
      </c>
      <c r="O722" t="s">
        <v>252</v>
      </c>
      <c r="P722" t="s">
        <v>31</v>
      </c>
    </row>
    <row r="723" spans="1:16" x14ac:dyDescent="0.25">
      <c r="A723" t="s">
        <v>2377</v>
      </c>
      <c r="B723" t="s">
        <v>2319</v>
      </c>
      <c r="C723" s="1" t="s">
        <v>2378</v>
      </c>
      <c r="D723" t="s">
        <v>63</v>
      </c>
      <c r="E723" t="s">
        <v>64</v>
      </c>
      <c r="F723" s="2">
        <v>52081.02</v>
      </c>
      <c r="G723" s="1" t="s">
        <v>2379</v>
      </c>
      <c r="H723" t="s">
        <v>307</v>
      </c>
      <c r="I723" t="s">
        <v>308</v>
      </c>
      <c r="J723">
        <v>5</v>
      </c>
      <c r="K723" t="s">
        <v>26</v>
      </c>
      <c r="L723" t="s">
        <v>2322</v>
      </c>
      <c r="M723" t="s">
        <v>2107</v>
      </c>
      <c r="N723" t="s">
        <v>310</v>
      </c>
      <c r="O723" t="s">
        <v>252</v>
      </c>
      <c r="P723" t="s">
        <v>31</v>
      </c>
    </row>
    <row r="724" spans="1:16" x14ac:dyDescent="0.25">
      <c r="A724" t="s">
        <v>2380</v>
      </c>
      <c r="B724" t="s">
        <v>2319</v>
      </c>
      <c r="C724" s="1" t="s">
        <v>2381</v>
      </c>
      <c r="D724" t="s">
        <v>63</v>
      </c>
      <c r="E724" t="s">
        <v>64</v>
      </c>
      <c r="F724" s="2">
        <v>125849.02</v>
      </c>
      <c r="G724" s="1" t="s">
        <v>2382</v>
      </c>
      <c r="H724" t="s">
        <v>307</v>
      </c>
      <c r="I724" t="s">
        <v>308</v>
      </c>
      <c r="J724">
        <v>5</v>
      </c>
      <c r="K724" t="s">
        <v>26</v>
      </c>
      <c r="L724" t="s">
        <v>2322</v>
      </c>
      <c r="M724" t="s">
        <v>2107</v>
      </c>
      <c r="N724" t="s">
        <v>310</v>
      </c>
      <c r="O724" t="s">
        <v>252</v>
      </c>
      <c r="P724" t="s">
        <v>31</v>
      </c>
    </row>
    <row r="725" spans="1:16" x14ac:dyDescent="0.25">
      <c r="A725" t="s">
        <v>2383</v>
      </c>
      <c r="B725" t="s">
        <v>2319</v>
      </c>
      <c r="C725" s="1" t="s">
        <v>2384</v>
      </c>
      <c r="D725" t="s">
        <v>63</v>
      </c>
      <c r="E725" t="s">
        <v>64</v>
      </c>
      <c r="F725" s="2">
        <v>254406.02</v>
      </c>
      <c r="G725" s="1" t="s">
        <v>2385</v>
      </c>
      <c r="H725" t="s">
        <v>307</v>
      </c>
      <c r="I725" t="s">
        <v>308</v>
      </c>
      <c r="J725">
        <v>5</v>
      </c>
      <c r="K725" t="s">
        <v>26</v>
      </c>
      <c r="L725" t="s">
        <v>2322</v>
      </c>
      <c r="M725" t="s">
        <v>2107</v>
      </c>
      <c r="N725" t="s">
        <v>310</v>
      </c>
      <c r="O725" t="s">
        <v>252</v>
      </c>
      <c r="P725" t="s">
        <v>31</v>
      </c>
    </row>
    <row r="726" spans="1:16" x14ac:dyDescent="0.25">
      <c r="A726" t="s">
        <v>2386</v>
      </c>
      <c r="B726" t="s">
        <v>2319</v>
      </c>
      <c r="C726" s="1" t="s">
        <v>2387</v>
      </c>
      <c r="D726" t="s">
        <v>63</v>
      </c>
      <c r="E726" t="s">
        <v>64</v>
      </c>
      <c r="F726" s="2">
        <v>541150.02</v>
      </c>
      <c r="G726" s="1" t="s">
        <v>2388</v>
      </c>
      <c r="H726" t="s">
        <v>307</v>
      </c>
      <c r="I726" t="s">
        <v>308</v>
      </c>
      <c r="J726">
        <v>5</v>
      </c>
      <c r="K726" t="s">
        <v>26</v>
      </c>
      <c r="L726" t="s">
        <v>2322</v>
      </c>
      <c r="M726" t="s">
        <v>2107</v>
      </c>
      <c r="N726" t="s">
        <v>310</v>
      </c>
      <c r="O726" t="s">
        <v>252</v>
      </c>
      <c r="P726" t="s">
        <v>31</v>
      </c>
    </row>
    <row r="727" spans="1:16" x14ac:dyDescent="0.25">
      <c r="A727" t="s">
        <v>2389</v>
      </c>
      <c r="B727" t="s">
        <v>2319</v>
      </c>
      <c r="C727" s="1" t="s">
        <v>2390</v>
      </c>
      <c r="D727" t="s">
        <v>63</v>
      </c>
      <c r="E727" t="s">
        <v>64</v>
      </c>
      <c r="F727" s="2">
        <v>468147.02</v>
      </c>
      <c r="G727" s="1" t="s">
        <v>2391</v>
      </c>
      <c r="H727" t="s">
        <v>307</v>
      </c>
      <c r="I727" t="s">
        <v>308</v>
      </c>
      <c r="J727">
        <v>5</v>
      </c>
      <c r="K727" t="s">
        <v>26</v>
      </c>
      <c r="L727" t="s">
        <v>2322</v>
      </c>
      <c r="M727" t="s">
        <v>2107</v>
      </c>
      <c r="N727" t="s">
        <v>310</v>
      </c>
      <c r="O727" t="s">
        <v>252</v>
      </c>
      <c r="P727" t="s">
        <v>31</v>
      </c>
    </row>
    <row r="728" spans="1:16" x14ac:dyDescent="0.25">
      <c r="A728" t="s">
        <v>2392</v>
      </c>
      <c r="B728" t="s">
        <v>2319</v>
      </c>
      <c r="C728" s="1" t="s">
        <v>2393</v>
      </c>
      <c r="D728" t="s">
        <v>63</v>
      </c>
      <c r="E728" t="s">
        <v>64</v>
      </c>
      <c r="F728" s="2">
        <v>619298.02</v>
      </c>
      <c r="G728" s="1" t="s">
        <v>2394</v>
      </c>
      <c r="H728" t="s">
        <v>307</v>
      </c>
      <c r="I728" t="s">
        <v>308</v>
      </c>
      <c r="J728">
        <v>5</v>
      </c>
      <c r="K728" t="s">
        <v>26</v>
      </c>
      <c r="L728" t="s">
        <v>2322</v>
      </c>
      <c r="M728" t="s">
        <v>2107</v>
      </c>
      <c r="N728" t="s">
        <v>310</v>
      </c>
      <c r="O728" t="s">
        <v>252</v>
      </c>
      <c r="P728" t="s">
        <v>31</v>
      </c>
    </row>
    <row r="729" spans="1:16" x14ac:dyDescent="0.25">
      <c r="A729" t="s">
        <v>2395</v>
      </c>
      <c r="B729" t="s">
        <v>2319</v>
      </c>
      <c r="C729" s="1" t="s">
        <v>2396</v>
      </c>
      <c r="D729" t="s">
        <v>63</v>
      </c>
      <c r="E729" t="s">
        <v>64</v>
      </c>
      <c r="F729" s="2">
        <v>225687.52</v>
      </c>
      <c r="G729" s="1" t="s">
        <v>2397</v>
      </c>
      <c r="H729" t="s">
        <v>307</v>
      </c>
      <c r="I729" t="s">
        <v>308</v>
      </c>
      <c r="J729">
        <v>5</v>
      </c>
      <c r="K729" t="s">
        <v>26</v>
      </c>
      <c r="L729" t="s">
        <v>2322</v>
      </c>
      <c r="M729" t="s">
        <v>2107</v>
      </c>
      <c r="N729" t="s">
        <v>310</v>
      </c>
      <c r="O729" t="s">
        <v>252</v>
      </c>
      <c r="P729" t="s">
        <v>31</v>
      </c>
    </row>
    <row r="730" spans="1:16" x14ac:dyDescent="0.25">
      <c r="A730" t="s">
        <v>2398</v>
      </c>
      <c r="B730" t="s">
        <v>2319</v>
      </c>
      <c r="C730" s="1" t="s">
        <v>2399</v>
      </c>
      <c r="D730" t="s">
        <v>63</v>
      </c>
      <c r="E730" t="s">
        <v>64</v>
      </c>
      <c r="F730" s="2">
        <v>1763835.52</v>
      </c>
      <c r="G730" s="1" t="s">
        <v>2400</v>
      </c>
      <c r="H730" t="s">
        <v>307</v>
      </c>
      <c r="I730" t="s">
        <v>308</v>
      </c>
      <c r="J730">
        <v>5</v>
      </c>
      <c r="K730" t="s">
        <v>26</v>
      </c>
      <c r="L730" t="s">
        <v>2322</v>
      </c>
      <c r="M730" t="s">
        <v>2107</v>
      </c>
      <c r="N730" t="s">
        <v>310</v>
      </c>
      <c r="O730" t="s">
        <v>252</v>
      </c>
      <c r="P730" t="s">
        <v>31</v>
      </c>
    </row>
    <row r="731" spans="1:16" x14ac:dyDescent="0.25">
      <c r="A731" t="s">
        <v>2401</v>
      </c>
      <c r="B731" t="s">
        <v>2319</v>
      </c>
      <c r="C731" s="1" t="s">
        <v>2402</v>
      </c>
      <c r="D731" t="s">
        <v>63</v>
      </c>
      <c r="E731" t="s">
        <v>64</v>
      </c>
      <c r="F731" s="2">
        <v>2349935.02</v>
      </c>
      <c r="G731" s="1" t="s">
        <v>2403</v>
      </c>
      <c r="H731" t="s">
        <v>307</v>
      </c>
      <c r="I731" t="s">
        <v>308</v>
      </c>
      <c r="J731">
        <v>5</v>
      </c>
      <c r="K731" t="s">
        <v>26</v>
      </c>
      <c r="L731" t="s">
        <v>2322</v>
      </c>
      <c r="M731" t="s">
        <v>2107</v>
      </c>
      <c r="N731" t="s">
        <v>310</v>
      </c>
      <c r="O731" t="s">
        <v>252</v>
      </c>
      <c r="P731" t="s">
        <v>31</v>
      </c>
    </row>
    <row r="732" spans="1:16" x14ac:dyDescent="0.25">
      <c r="A732" t="s">
        <v>2404</v>
      </c>
      <c r="B732" t="s">
        <v>2319</v>
      </c>
      <c r="C732" s="1" t="s">
        <v>2405</v>
      </c>
      <c r="D732" t="s">
        <v>63</v>
      </c>
      <c r="E732" t="s">
        <v>64</v>
      </c>
      <c r="F732" s="2">
        <v>43914.02</v>
      </c>
      <c r="G732" s="1" t="s">
        <v>2406</v>
      </c>
      <c r="H732" t="s">
        <v>307</v>
      </c>
      <c r="I732" t="s">
        <v>308</v>
      </c>
      <c r="J732">
        <v>5</v>
      </c>
      <c r="K732" t="s">
        <v>26</v>
      </c>
      <c r="L732" t="s">
        <v>2322</v>
      </c>
      <c r="M732" t="s">
        <v>2107</v>
      </c>
      <c r="N732" t="s">
        <v>310</v>
      </c>
      <c r="O732" t="s">
        <v>252</v>
      </c>
      <c r="P732" t="s">
        <v>31</v>
      </c>
    </row>
    <row r="733" spans="1:16" x14ac:dyDescent="0.25">
      <c r="A733" t="s">
        <v>2407</v>
      </c>
      <c r="B733" t="s">
        <v>2319</v>
      </c>
      <c r="C733" s="1" t="s">
        <v>2408</v>
      </c>
      <c r="D733" t="s">
        <v>63</v>
      </c>
      <c r="E733" t="s">
        <v>64</v>
      </c>
      <c r="F733" s="2">
        <v>38359.69</v>
      </c>
      <c r="G733" s="1" t="s">
        <v>2409</v>
      </c>
      <c r="H733" t="s">
        <v>307</v>
      </c>
      <c r="I733" t="s">
        <v>308</v>
      </c>
      <c r="J733">
        <v>5</v>
      </c>
      <c r="K733" t="s">
        <v>26</v>
      </c>
      <c r="L733" t="s">
        <v>2322</v>
      </c>
      <c r="M733" t="s">
        <v>2107</v>
      </c>
      <c r="N733" t="s">
        <v>310</v>
      </c>
      <c r="O733" t="s">
        <v>252</v>
      </c>
      <c r="P733" t="s">
        <v>31</v>
      </c>
    </row>
    <row r="734" spans="1:16" x14ac:dyDescent="0.25">
      <c r="A734" t="s">
        <v>2410</v>
      </c>
      <c r="B734" t="s">
        <v>2319</v>
      </c>
      <c r="C734" s="1" t="s">
        <v>2411</v>
      </c>
      <c r="D734" t="s">
        <v>63</v>
      </c>
      <c r="E734" t="s">
        <v>64</v>
      </c>
      <c r="F734" s="2">
        <v>75718.68</v>
      </c>
      <c r="G734" s="1" t="s">
        <v>2412</v>
      </c>
      <c r="H734" t="s">
        <v>307</v>
      </c>
      <c r="I734" t="s">
        <v>308</v>
      </c>
      <c r="J734">
        <v>5</v>
      </c>
      <c r="K734" t="s">
        <v>26</v>
      </c>
      <c r="L734" t="s">
        <v>2322</v>
      </c>
      <c r="M734" t="s">
        <v>2107</v>
      </c>
      <c r="N734" t="s">
        <v>310</v>
      </c>
      <c r="O734" t="s">
        <v>252</v>
      </c>
      <c r="P734" t="s">
        <v>31</v>
      </c>
    </row>
    <row r="735" spans="1:16" x14ac:dyDescent="0.25">
      <c r="A735" t="s">
        <v>2413</v>
      </c>
      <c r="B735" t="s">
        <v>2319</v>
      </c>
      <c r="C735" s="1" t="s">
        <v>2414</v>
      </c>
      <c r="D735" t="s">
        <v>63</v>
      </c>
      <c r="E735" t="s">
        <v>64</v>
      </c>
      <c r="F735" s="2">
        <v>140853.39</v>
      </c>
      <c r="G735" s="1" t="s">
        <v>2415</v>
      </c>
      <c r="H735" t="s">
        <v>307</v>
      </c>
      <c r="I735" t="s">
        <v>308</v>
      </c>
      <c r="J735">
        <v>6</v>
      </c>
      <c r="K735" t="s">
        <v>26</v>
      </c>
      <c r="L735" t="s">
        <v>2322</v>
      </c>
      <c r="M735" t="s">
        <v>2107</v>
      </c>
      <c r="N735" t="s">
        <v>310</v>
      </c>
      <c r="O735" t="s">
        <v>252</v>
      </c>
      <c r="P735" t="s">
        <v>31</v>
      </c>
    </row>
    <row r="736" spans="1:16" x14ac:dyDescent="0.25">
      <c r="A736" t="s">
        <v>2416</v>
      </c>
      <c r="B736" t="s">
        <v>2319</v>
      </c>
      <c r="C736" s="1" t="s">
        <v>2417</v>
      </c>
      <c r="D736" t="s">
        <v>63</v>
      </c>
      <c r="E736" t="s">
        <v>64</v>
      </c>
      <c r="F736" s="2">
        <v>354592.46</v>
      </c>
      <c r="G736" s="1" t="s">
        <v>2418</v>
      </c>
      <c r="H736" t="s">
        <v>307</v>
      </c>
      <c r="I736" t="s">
        <v>308</v>
      </c>
      <c r="J736">
        <v>6</v>
      </c>
      <c r="K736" t="s">
        <v>26</v>
      </c>
      <c r="L736" t="s">
        <v>2322</v>
      </c>
      <c r="M736" t="s">
        <v>2107</v>
      </c>
      <c r="N736" t="s">
        <v>310</v>
      </c>
      <c r="O736" t="s">
        <v>252</v>
      </c>
      <c r="P736" t="s">
        <v>31</v>
      </c>
    </row>
    <row r="737" spans="1:16" x14ac:dyDescent="0.25">
      <c r="A737" t="s">
        <v>2419</v>
      </c>
      <c r="B737" t="s">
        <v>2319</v>
      </c>
      <c r="C737" s="1" t="s">
        <v>2420</v>
      </c>
      <c r="D737" t="s">
        <v>63</v>
      </c>
      <c r="E737" t="s">
        <v>64</v>
      </c>
      <c r="F737" s="2">
        <v>841136.78</v>
      </c>
      <c r="G737" s="1" t="s">
        <v>2421</v>
      </c>
      <c r="H737" t="s">
        <v>307</v>
      </c>
      <c r="I737" t="s">
        <v>308</v>
      </c>
      <c r="J737">
        <v>6</v>
      </c>
      <c r="K737" t="s">
        <v>26</v>
      </c>
      <c r="L737" t="s">
        <v>2322</v>
      </c>
      <c r="M737" t="s">
        <v>2107</v>
      </c>
      <c r="N737" t="s">
        <v>310</v>
      </c>
      <c r="O737" t="s">
        <v>252</v>
      </c>
      <c r="P737" t="s">
        <v>31</v>
      </c>
    </row>
    <row r="738" spans="1:16" x14ac:dyDescent="0.25">
      <c r="A738" t="s">
        <v>2422</v>
      </c>
      <c r="B738" t="s">
        <v>2319</v>
      </c>
      <c r="C738" s="1" t="s">
        <v>2423</v>
      </c>
      <c r="D738" t="s">
        <v>63</v>
      </c>
      <c r="E738" t="s">
        <v>64</v>
      </c>
      <c r="F738" s="2">
        <v>126562.92</v>
      </c>
      <c r="G738" s="1" t="s">
        <v>2424</v>
      </c>
      <c r="H738" t="s">
        <v>307</v>
      </c>
      <c r="I738" t="s">
        <v>308</v>
      </c>
      <c r="J738">
        <v>5</v>
      </c>
      <c r="K738" t="s">
        <v>26</v>
      </c>
      <c r="L738" t="s">
        <v>2322</v>
      </c>
      <c r="M738" t="s">
        <v>2107</v>
      </c>
      <c r="N738" t="s">
        <v>310</v>
      </c>
      <c r="O738" t="s">
        <v>252</v>
      </c>
      <c r="P738" t="s">
        <v>31</v>
      </c>
    </row>
    <row r="739" spans="1:16" x14ac:dyDescent="0.25">
      <c r="A739" t="s">
        <v>2425</v>
      </c>
      <c r="B739" t="s">
        <v>2319</v>
      </c>
      <c r="C739" s="1" t="s">
        <v>2426</v>
      </c>
      <c r="D739" t="s">
        <v>63</v>
      </c>
      <c r="E739" t="s">
        <v>64</v>
      </c>
      <c r="F739" s="2">
        <v>214736.02</v>
      </c>
      <c r="G739" s="1" t="s">
        <v>2427</v>
      </c>
      <c r="H739" t="s">
        <v>307</v>
      </c>
      <c r="I739" t="s">
        <v>308</v>
      </c>
      <c r="J739">
        <v>5</v>
      </c>
      <c r="K739" t="s">
        <v>26</v>
      </c>
      <c r="L739" t="s">
        <v>2322</v>
      </c>
      <c r="M739" t="s">
        <v>2107</v>
      </c>
      <c r="N739" t="s">
        <v>310</v>
      </c>
      <c r="O739" t="s">
        <v>252</v>
      </c>
      <c r="P739" t="s">
        <v>31</v>
      </c>
    </row>
    <row r="740" spans="1:16" x14ac:dyDescent="0.25">
      <c r="A740" t="s">
        <v>2428</v>
      </c>
      <c r="B740" t="s">
        <v>2319</v>
      </c>
      <c r="C740" s="1" t="s">
        <v>2429</v>
      </c>
      <c r="D740" t="s">
        <v>63</v>
      </c>
      <c r="E740" t="s">
        <v>64</v>
      </c>
      <c r="F740" s="2">
        <v>389300.63</v>
      </c>
      <c r="G740" s="1" t="s">
        <v>2430</v>
      </c>
      <c r="H740" t="s">
        <v>307</v>
      </c>
      <c r="I740" t="s">
        <v>308</v>
      </c>
      <c r="J740">
        <v>5</v>
      </c>
      <c r="K740" t="s">
        <v>26</v>
      </c>
      <c r="L740" t="s">
        <v>2322</v>
      </c>
      <c r="M740" t="s">
        <v>2107</v>
      </c>
      <c r="N740" t="s">
        <v>310</v>
      </c>
      <c r="O740" t="s">
        <v>252</v>
      </c>
      <c r="P740" t="s">
        <v>31</v>
      </c>
    </row>
    <row r="741" spans="1:16" x14ac:dyDescent="0.25">
      <c r="A741" t="s">
        <v>2431</v>
      </c>
      <c r="B741" t="s">
        <v>2319</v>
      </c>
      <c r="C741" s="1" t="s">
        <v>2432</v>
      </c>
      <c r="D741" t="s">
        <v>63</v>
      </c>
      <c r="E741" t="s">
        <v>64</v>
      </c>
      <c r="F741" s="2">
        <v>751944.02</v>
      </c>
      <c r="G741" s="1" t="s">
        <v>2433</v>
      </c>
      <c r="H741" t="s">
        <v>307</v>
      </c>
      <c r="I741" t="s">
        <v>308</v>
      </c>
      <c r="J741">
        <v>5</v>
      </c>
      <c r="K741" t="s">
        <v>26</v>
      </c>
      <c r="L741" t="s">
        <v>2322</v>
      </c>
      <c r="M741" t="s">
        <v>2107</v>
      </c>
      <c r="N741" t="s">
        <v>310</v>
      </c>
      <c r="O741" t="s">
        <v>252</v>
      </c>
      <c r="P741" t="s">
        <v>31</v>
      </c>
    </row>
    <row r="742" spans="1:16" x14ac:dyDescent="0.25">
      <c r="A742" t="s">
        <v>2434</v>
      </c>
      <c r="B742" t="s">
        <v>2319</v>
      </c>
      <c r="C742" s="1" t="s">
        <v>2435</v>
      </c>
      <c r="D742" t="s">
        <v>63</v>
      </c>
      <c r="E742" t="s">
        <v>64</v>
      </c>
      <c r="F742" s="2">
        <v>14183.62</v>
      </c>
      <c r="G742" s="1" t="s">
        <v>2436</v>
      </c>
      <c r="H742" t="s">
        <v>307</v>
      </c>
      <c r="I742" t="s">
        <v>308</v>
      </c>
      <c r="J742">
        <v>4</v>
      </c>
      <c r="K742" t="s">
        <v>26</v>
      </c>
      <c r="L742" t="s">
        <v>2322</v>
      </c>
      <c r="M742" t="s">
        <v>2107</v>
      </c>
      <c r="N742" t="s">
        <v>310</v>
      </c>
      <c r="O742" t="s">
        <v>252</v>
      </c>
      <c r="P742" t="s">
        <v>31</v>
      </c>
    </row>
    <row r="743" spans="1:16" x14ac:dyDescent="0.25">
      <c r="A743" t="s">
        <v>2437</v>
      </c>
      <c r="B743" t="s">
        <v>2319</v>
      </c>
      <c r="C743" s="1" t="s">
        <v>2438</v>
      </c>
      <c r="D743" t="s">
        <v>63</v>
      </c>
      <c r="E743" t="s">
        <v>64</v>
      </c>
      <c r="F743" s="2">
        <v>13782.31</v>
      </c>
      <c r="G743" s="1" t="s">
        <v>2439</v>
      </c>
      <c r="H743" t="s">
        <v>307</v>
      </c>
      <c r="I743" t="s">
        <v>308</v>
      </c>
      <c r="J743">
        <v>4</v>
      </c>
      <c r="K743" t="s">
        <v>26</v>
      </c>
      <c r="L743" t="s">
        <v>2322</v>
      </c>
      <c r="M743" t="s">
        <v>2107</v>
      </c>
      <c r="N743" t="s">
        <v>310</v>
      </c>
      <c r="O743" t="s">
        <v>252</v>
      </c>
      <c r="P743" t="s">
        <v>31</v>
      </c>
    </row>
    <row r="744" spans="1:16" x14ac:dyDescent="0.25">
      <c r="A744" t="s">
        <v>2440</v>
      </c>
      <c r="B744" t="s">
        <v>2319</v>
      </c>
      <c r="C744" s="1" t="s">
        <v>2441</v>
      </c>
      <c r="D744" t="s">
        <v>63</v>
      </c>
      <c r="E744" t="s">
        <v>64</v>
      </c>
      <c r="F744" s="2">
        <v>15027.82</v>
      </c>
      <c r="G744" s="1" t="s">
        <v>2442</v>
      </c>
      <c r="H744" t="s">
        <v>307</v>
      </c>
      <c r="I744" t="s">
        <v>308</v>
      </c>
      <c r="J744">
        <v>4</v>
      </c>
      <c r="K744" t="s">
        <v>26</v>
      </c>
      <c r="L744" t="s">
        <v>2322</v>
      </c>
      <c r="M744" t="s">
        <v>2107</v>
      </c>
      <c r="N744" t="s">
        <v>310</v>
      </c>
      <c r="O744" t="s">
        <v>252</v>
      </c>
      <c r="P744" t="s">
        <v>31</v>
      </c>
    </row>
    <row r="745" spans="1:16" x14ac:dyDescent="0.25">
      <c r="A745" t="s">
        <v>2443</v>
      </c>
      <c r="B745" t="s">
        <v>2319</v>
      </c>
      <c r="C745" s="1" t="s">
        <v>2444</v>
      </c>
      <c r="D745" t="s">
        <v>63</v>
      </c>
      <c r="E745" t="s">
        <v>64</v>
      </c>
      <c r="F745" s="2">
        <v>12510.82</v>
      </c>
      <c r="G745" s="1" t="s">
        <v>2445</v>
      </c>
      <c r="H745" t="s">
        <v>307</v>
      </c>
      <c r="I745" t="s">
        <v>308</v>
      </c>
      <c r="J745">
        <v>4</v>
      </c>
      <c r="K745" t="s">
        <v>26</v>
      </c>
      <c r="L745" t="s">
        <v>2322</v>
      </c>
      <c r="M745" t="s">
        <v>2107</v>
      </c>
      <c r="N745" t="s">
        <v>310</v>
      </c>
      <c r="O745" t="s">
        <v>252</v>
      </c>
      <c r="P745" t="s">
        <v>31</v>
      </c>
    </row>
    <row r="746" spans="1:16" x14ac:dyDescent="0.25">
      <c r="A746" t="s">
        <v>2446</v>
      </c>
      <c r="B746" t="s">
        <v>2319</v>
      </c>
      <c r="C746" s="1" t="s">
        <v>2447</v>
      </c>
      <c r="D746" t="s">
        <v>63</v>
      </c>
      <c r="E746" t="s">
        <v>64</v>
      </c>
      <c r="F746" s="2">
        <v>18142.49</v>
      </c>
      <c r="G746" s="1" t="s">
        <v>2448</v>
      </c>
      <c r="H746" t="s">
        <v>307</v>
      </c>
      <c r="I746" t="s">
        <v>308</v>
      </c>
      <c r="J746">
        <v>4</v>
      </c>
      <c r="K746" t="s">
        <v>26</v>
      </c>
      <c r="L746" t="s">
        <v>2322</v>
      </c>
      <c r="M746" t="s">
        <v>2107</v>
      </c>
      <c r="N746" t="s">
        <v>310</v>
      </c>
      <c r="O746" t="s">
        <v>252</v>
      </c>
      <c r="P746" t="s">
        <v>31</v>
      </c>
    </row>
    <row r="747" spans="1:16" x14ac:dyDescent="0.25">
      <c r="A747" t="s">
        <v>2449</v>
      </c>
      <c r="B747" t="s">
        <v>2319</v>
      </c>
      <c r="C747" s="1" t="s">
        <v>2450</v>
      </c>
      <c r="D747" t="s">
        <v>63</v>
      </c>
      <c r="E747" t="s">
        <v>64</v>
      </c>
      <c r="F747" s="2">
        <v>21394.48</v>
      </c>
      <c r="G747" s="1" t="s">
        <v>2451</v>
      </c>
      <c r="H747" t="s">
        <v>307</v>
      </c>
      <c r="I747" t="s">
        <v>308</v>
      </c>
      <c r="J747">
        <v>4</v>
      </c>
      <c r="K747" t="s">
        <v>26</v>
      </c>
      <c r="L747" t="s">
        <v>2322</v>
      </c>
      <c r="M747" t="s">
        <v>2107</v>
      </c>
      <c r="N747" t="s">
        <v>310</v>
      </c>
      <c r="O747" t="s">
        <v>252</v>
      </c>
      <c r="P747" t="s">
        <v>31</v>
      </c>
    </row>
    <row r="748" spans="1:16" x14ac:dyDescent="0.25">
      <c r="A748" t="s">
        <v>2452</v>
      </c>
      <c r="B748" t="s">
        <v>2319</v>
      </c>
      <c r="C748" s="1" t="s">
        <v>2453</v>
      </c>
      <c r="D748" t="s">
        <v>63</v>
      </c>
      <c r="E748" t="s">
        <v>64</v>
      </c>
      <c r="F748" s="2">
        <v>21652.82</v>
      </c>
      <c r="G748" s="1" t="s">
        <v>2454</v>
      </c>
      <c r="H748" t="s">
        <v>307</v>
      </c>
      <c r="I748" t="s">
        <v>308</v>
      </c>
      <c r="J748">
        <v>4</v>
      </c>
      <c r="K748" t="s">
        <v>26</v>
      </c>
      <c r="L748" t="s">
        <v>2322</v>
      </c>
      <c r="M748" t="s">
        <v>2107</v>
      </c>
      <c r="N748" t="s">
        <v>310</v>
      </c>
      <c r="O748" t="s">
        <v>252</v>
      </c>
      <c r="P748" t="s">
        <v>31</v>
      </c>
    </row>
    <row r="749" spans="1:16" x14ac:dyDescent="0.25">
      <c r="A749" t="s">
        <v>2455</v>
      </c>
      <c r="B749" t="s">
        <v>2319</v>
      </c>
      <c r="C749" s="1" t="s">
        <v>2456</v>
      </c>
      <c r="D749" t="s">
        <v>63</v>
      </c>
      <c r="E749" t="s">
        <v>64</v>
      </c>
      <c r="F749" s="2">
        <v>21977.82</v>
      </c>
      <c r="G749" s="1" t="s">
        <v>2457</v>
      </c>
      <c r="H749" t="s">
        <v>307</v>
      </c>
      <c r="I749" t="s">
        <v>308</v>
      </c>
      <c r="J749">
        <v>4</v>
      </c>
      <c r="K749" t="s">
        <v>26</v>
      </c>
      <c r="L749" t="s">
        <v>2322</v>
      </c>
      <c r="M749" t="s">
        <v>2107</v>
      </c>
      <c r="N749" t="s">
        <v>310</v>
      </c>
      <c r="O749" t="s">
        <v>252</v>
      </c>
      <c r="P749" t="s">
        <v>31</v>
      </c>
    </row>
    <row r="750" spans="1:16" x14ac:dyDescent="0.25">
      <c r="A750" t="s">
        <v>2458</v>
      </c>
      <c r="B750" t="s">
        <v>2319</v>
      </c>
      <c r="C750" s="1" t="s">
        <v>2459</v>
      </c>
      <c r="D750" t="s">
        <v>63</v>
      </c>
      <c r="E750" t="s">
        <v>64</v>
      </c>
      <c r="F750" s="2">
        <v>26452.82</v>
      </c>
      <c r="G750" s="1" t="s">
        <v>2460</v>
      </c>
      <c r="H750" t="s">
        <v>307</v>
      </c>
      <c r="I750" t="s">
        <v>308</v>
      </c>
      <c r="J750">
        <v>4</v>
      </c>
      <c r="K750" t="s">
        <v>26</v>
      </c>
      <c r="L750" t="s">
        <v>2322</v>
      </c>
      <c r="M750" t="s">
        <v>2107</v>
      </c>
      <c r="N750" t="s">
        <v>310</v>
      </c>
      <c r="O750" t="s">
        <v>252</v>
      </c>
      <c r="P750" t="s">
        <v>31</v>
      </c>
    </row>
    <row r="751" spans="1:16" x14ac:dyDescent="0.25">
      <c r="A751" t="s">
        <v>2461</v>
      </c>
      <c r="B751" t="s">
        <v>2319</v>
      </c>
      <c r="C751" s="1" t="s">
        <v>2462</v>
      </c>
      <c r="D751" t="s">
        <v>63</v>
      </c>
      <c r="E751" t="s">
        <v>64</v>
      </c>
      <c r="F751" s="2">
        <v>24740.82</v>
      </c>
      <c r="G751" s="1" t="s">
        <v>2463</v>
      </c>
      <c r="H751" t="s">
        <v>307</v>
      </c>
      <c r="I751" t="s">
        <v>308</v>
      </c>
      <c r="J751">
        <v>4</v>
      </c>
      <c r="K751" t="s">
        <v>26</v>
      </c>
      <c r="L751" t="s">
        <v>2322</v>
      </c>
      <c r="M751" t="s">
        <v>2107</v>
      </c>
      <c r="N751" t="s">
        <v>310</v>
      </c>
      <c r="O751" t="s">
        <v>252</v>
      </c>
      <c r="P751" t="s">
        <v>31</v>
      </c>
    </row>
    <row r="752" spans="1:16" x14ac:dyDescent="0.25">
      <c r="A752" t="s">
        <v>2464</v>
      </c>
      <c r="B752" t="s">
        <v>2319</v>
      </c>
      <c r="C752" s="1" t="s">
        <v>2465</v>
      </c>
      <c r="D752" t="s">
        <v>63</v>
      </c>
      <c r="E752" t="s">
        <v>64</v>
      </c>
      <c r="F752" s="2">
        <v>57109.82</v>
      </c>
      <c r="G752" s="1" t="s">
        <v>2466</v>
      </c>
      <c r="H752" t="s">
        <v>307</v>
      </c>
      <c r="I752" t="s">
        <v>308</v>
      </c>
      <c r="J752">
        <v>4</v>
      </c>
      <c r="K752" t="s">
        <v>26</v>
      </c>
      <c r="L752" t="s">
        <v>2322</v>
      </c>
      <c r="M752" t="s">
        <v>2107</v>
      </c>
      <c r="N752" t="s">
        <v>310</v>
      </c>
      <c r="O752" t="s">
        <v>252</v>
      </c>
      <c r="P752" t="s">
        <v>31</v>
      </c>
    </row>
    <row r="753" spans="1:16" x14ac:dyDescent="0.25">
      <c r="A753" t="s">
        <v>2467</v>
      </c>
      <c r="B753" t="s">
        <v>2319</v>
      </c>
      <c r="C753" s="1" t="s">
        <v>2468</v>
      </c>
      <c r="D753" t="s">
        <v>63</v>
      </c>
      <c r="E753" t="s">
        <v>64</v>
      </c>
      <c r="F753" s="2">
        <v>309563.22</v>
      </c>
      <c r="G753" s="1" t="s">
        <v>2469</v>
      </c>
      <c r="H753" t="s">
        <v>307</v>
      </c>
      <c r="I753" t="s">
        <v>250</v>
      </c>
      <c r="J753">
        <v>10</v>
      </c>
      <c r="K753" t="s">
        <v>26</v>
      </c>
      <c r="L753" t="s">
        <v>2322</v>
      </c>
      <c r="M753" t="s">
        <v>2107</v>
      </c>
      <c r="N753" t="s">
        <v>310</v>
      </c>
      <c r="O753" t="s">
        <v>252</v>
      </c>
      <c r="P753" t="s">
        <v>31</v>
      </c>
    </row>
    <row r="754" spans="1:16" x14ac:dyDescent="0.25">
      <c r="A754" t="s">
        <v>2470</v>
      </c>
      <c r="B754" t="s">
        <v>2319</v>
      </c>
      <c r="C754" s="1" t="s">
        <v>2471</v>
      </c>
      <c r="D754" t="s">
        <v>34</v>
      </c>
      <c r="E754" t="s">
        <v>35</v>
      </c>
      <c r="F754" s="2">
        <v>575354.41</v>
      </c>
      <c r="G754" s="1" t="s">
        <v>2472</v>
      </c>
      <c r="H754" t="s">
        <v>307</v>
      </c>
      <c r="I754" t="s">
        <v>250</v>
      </c>
      <c r="J754">
        <v>4</v>
      </c>
      <c r="K754" t="s">
        <v>26</v>
      </c>
      <c r="L754" t="s">
        <v>2322</v>
      </c>
      <c r="M754" t="s">
        <v>2107</v>
      </c>
      <c r="N754" t="s">
        <v>310</v>
      </c>
      <c r="O754" t="s">
        <v>252</v>
      </c>
      <c r="P754" t="s">
        <v>31</v>
      </c>
    </row>
    <row r="755" spans="1:16" x14ac:dyDescent="0.25">
      <c r="A755" t="s">
        <v>2473</v>
      </c>
      <c r="B755" t="s">
        <v>2319</v>
      </c>
      <c r="C755" s="1" t="s">
        <v>2474</v>
      </c>
      <c r="D755" t="s">
        <v>34</v>
      </c>
      <c r="E755" t="s">
        <v>35</v>
      </c>
      <c r="F755" s="2">
        <v>575354.41</v>
      </c>
      <c r="G755" s="1" t="s">
        <v>2472</v>
      </c>
      <c r="H755" t="s">
        <v>307</v>
      </c>
      <c r="I755" t="s">
        <v>250</v>
      </c>
      <c r="J755">
        <v>4</v>
      </c>
      <c r="K755" t="s">
        <v>26</v>
      </c>
      <c r="L755" t="s">
        <v>2322</v>
      </c>
      <c r="M755" t="s">
        <v>2107</v>
      </c>
      <c r="N755" t="s">
        <v>310</v>
      </c>
      <c r="O755" t="s">
        <v>252</v>
      </c>
      <c r="P755" t="s">
        <v>31</v>
      </c>
    </row>
    <row r="756" spans="1:16" x14ac:dyDescent="0.25">
      <c r="A756" t="s">
        <v>2475</v>
      </c>
      <c r="B756" t="s">
        <v>2319</v>
      </c>
      <c r="C756" s="1" t="s">
        <v>2476</v>
      </c>
      <c r="D756" t="s">
        <v>34</v>
      </c>
      <c r="E756" t="s">
        <v>35</v>
      </c>
      <c r="F756" s="2">
        <v>575354.41</v>
      </c>
      <c r="G756" s="1" t="s">
        <v>2472</v>
      </c>
      <c r="H756" t="s">
        <v>307</v>
      </c>
      <c r="I756" t="s">
        <v>250</v>
      </c>
      <c r="J756">
        <v>4</v>
      </c>
      <c r="K756" t="s">
        <v>26</v>
      </c>
      <c r="L756" t="s">
        <v>2322</v>
      </c>
      <c r="M756" t="s">
        <v>2107</v>
      </c>
      <c r="N756" t="s">
        <v>310</v>
      </c>
      <c r="O756" t="s">
        <v>252</v>
      </c>
      <c r="P756" t="s">
        <v>31</v>
      </c>
    </row>
    <row r="757" spans="1:16" x14ac:dyDescent="0.25">
      <c r="A757" t="s">
        <v>2477</v>
      </c>
      <c r="B757" t="s">
        <v>2319</v>
      </c>
      <c r="C757" s="1" t="s">
        <v>2478</v>
      </c>
      <c r="D757" t="s">
        <v>34</v>
      </c>
      <c r="E757" t="s">
        <v>35</v>
      </c>
      <c r="F757" s="2">
        <v>575354.41</v>
      </c>
      <c r="G757" s="1" t="s">
        <v>2472</v>
      </c>
      <c r="H757" t="s">
        <v>307</v>
      </c>
      <c r="I757" t="s">
        <v>250</v>
      </c>
      <c r="J757">
        <v>4</v>
      </c>
      <c r="K757" t="s">
        <v>26</v>
      </c>
      <c r="L757" t="s">
        <v>2322</v>
      </c>
      <c r="M757" t="s">
        <v>2107</v>
      </c>
      <c r="N757" t="s">
        <v>310</v>
      </c>
      <c r="O757" t="s">
        <v>252</v>
      </c>
      <c r="P757" t="s">
        <v>31</v>
      </c>
    </row>
    <row r="758" spans="1:16" x14ac:dyDescent="0.25">
      <c r="A758" t="s">
        <v>2479</v>
      </c>
      <c r="B758" t="s">
        <v>2319</v>
      </c>
      <c r="C758" s="1" t="s">
        <v>2480</v>
      </c>
      <c r="D758" t="s">
        <v>63</v>
      </c>
      <c r="E758" t="s">
        <v>64</v>
      </c>
      <c r="F758" s="2">
        <v>91836.76</v>
      </c>
      <c r="G758" s="1" t="s">
        <v>2481</v>
      </c>
      <c r="H758" t="s">
        <v>307</v>
      </c>
      <c r="I758" t="s">
        <v>257</v>
      </c>
      <c r="J758">
        <v>8</v>
      </c>
      <c r="K758" t="s">
        <v>26</v>
      </c>
      <c r="L758" t="s">
        <v>2482</v>
      </c>
      <c r="M758" t="s">
        <v>2107</v>
      </c>
      <c r="N758" t="s">
        <v>310</v>
      </c>
      <c r="O758" t="s">
        <v>259</v>
      </c>
      <c r="P758" t="s">
        <v>31</v>
      </c>
    </row>
    <row r="759" spans="1:16" x14ac:dyDescent="0.25">
      <c r="A759" t="s">
        <v>2483</v>
      </c>
      <c r="B759" t="s">
        <v>2319</v>
      </c>
      <c r="C759" s="1" t="s">
        <v>2484</v>
      </c>
      <c r="D759" t="s">
        <v>63</v>
      </c>
      <c r="E759" t="s">
        <v>64</v>
      </c>
      <c r="F759" s="2">
        <v>83501.04</v>
      </c>
      <c r="G759" s="1" t="s">
        <v>2485</v>
      </c>
      <c r="H759" t="s">
        <v>307</v>
      </c>
      <c r="I759" t="s">
        <v>250</v>
      </c>
      <c r="J759">
        <v>8</v>
      </c>
      <c r="K759" t="s">
        <v>26</v>
      </c>
      <c r="L759" t="s">
        <v>2322</v>
      </c>
      <c r="M759" t="s">
        <v>2107</v>
      </c>
      <c r="N759" t="s">
        <v>310</v>
      </c>
      <c r="O759" t="s">
        <v>252</v>
      </c>
      <c r="P759" t="s">
        <v>31</v>
      </c>
    </row>
    <row r="760" spans="1:16" x14ac:dyDescent="0.25">
      <c r="A760" t="s">
        <v>2486</v>
      </c>
      <c r="B760" t="s">
        <v>2319</v>
      </c>
      <c r="C760" s="1" t="s">
        <v>2487</v>
      </c>
      <c r="D760" t="s">
        <v>63</v>
      </c>
      <c r="E760" t="s">
        <v>64</v>
      </c>
      <c r="F760" s="2">
        <v>100978.36</v>
      </c>
      <c r="G760" s="1" t="s">
        <v>2488</v>
      </c>
      <c r="H760" t="s">
        <v>307</v>
      </c>
      <c r="I760" t="s">
        <v>250</v>
      </c>
      <c r="J760">
        <v>8</v>
      </c>
      <c r="K760" t="s">
        <v>26</v>
      </c>
      <c r="L760" t="s">
        <v>2322</v>
      </c>
      <c r="M760" t="s">
        <v>2107</v>
      </c>
      <c r="N760" t="s">
        <v>310</v>
      </c>
      <c r="O760" t="s">
        <v>252</v>
      </c>
      <c r="P760" t="s">
        <v>31</v>
      </c>
    </row>
    <row r="761" spans="1:16" x14ac:dyDescent="0.25">
      <c r="A761" t="s">
        <v>2489</v>
      </c>
      <c r="B761" t="s">
        <v>2319</v>
      </c>
      <c r="C761" s="1" t="s">
        <v>2490</v>
      </c>
      <c r="D761" t="s">
        <v>63</v>
      </c>
      <c r="E761" t="s">
        <v>64</v>
      </c>
      <c r="F761" s="2">
        <v>161532.39</v>
      </c>
      <c r="G761" s="1" t="s">
        <v>2491</v>
      </c>
      <c r="H761" t="s">
        <v>307</v>
      </c>
      <c r="I761" t="s">
        <v>250</v>
      </c>
      <c r="J761">
        <v>4</v>
      </c>
      <c r="K761" t="s">
        <v>26</v>
      </c>
      <c r="L761" t="s">
        <v>2143</v>
      </c>
      <c r="M761" t="s">
        <v>2107</v>
      </c>
      <c r="N761" t="s">
        <v>310</v>
      </c>
      <c r="O761" t="s">
        <v>252</v>
      </c>
      <c r="P761" t="s">
        <v>404</v>
      </c>
    </row>
    <row r="762" spans="1:16" x14ac:dyDescent="0.25">
      <c r="A762" t="s">
        <v>2492</v>
      </c>
      <c r="B762" t="s">
        <v>2319</v>
      </c>
      <c r="C762" s="1" t="s">
        <v>2493</v>
      </c>
      <c r="D762" t="s">
        <v>63</v>
      </c>
      <c r="E762" t="s">
        <v>64</v>
      </c>
      <c r="F762" s="2">
        <v>2371654.05</v>
      </c>
      <c r="G762" s="1" t="s">
        <v>2494</v>
      </c>
      <c r="H762" t="s">
        <v>307</v>
      </c>
      <c r="I762" t="s">
        <v>250</v>
      </c>
      <c r="J762">
        <v>4</v>
      </c>
      <c r="K762" t="s">
        <v>26</v>
      </c>
      <c r="L762" t="s">
        <v>2143</v>
      </c>
      <c r="M762" t="s">
        <v>2107</v>
      </c>
      <c r="N762" t="s">
        <v>310</v>
      </c>
      <c r="O762" t="s">
        <v>252</v>
      </c>
      <c r="P762" t="s">
        <v>404</v>
      </c>
    </row>
    <row r="763" spans="1:16" x14ac:dyDescent="0.25">
      <c r="A763" t="s">
        <v>2495</v>
      </c>
      <c r="B763" t="s">
        <v>2319</v>
      </c>
      <c r="C763" s="1" t="s">
        <v>2496</v>
      </c>
      <c r="D763" t="s">
        <v>63</v>
      </c>
      <c r="E763" t="s">
        <v>64</v>
      </c>
      <c r="F763" s="2">
        <v>2111961.05</v>
      </c>
      <c r="G763" s="1" t="s">
        <v>2497</v>
      </c>
      <c r="H763" t="s">
        <v>307</v>
      </c>
      <c r="I763" t="s">
        <v>250</v>
      </c>
      <c r="J763">
        <v>4</v>
      </c>
      <c r="K763" t="s">
        <v>26</v>
      </c>
      <c r="L763" t="s">
        <v>2143</v>
      </c>
      <c r="M763" t="s">
        <v>2107</v>
      </c>
      <c r="N763" t="s">
        <v>310</v>
      </c>
      <c r="O763" t="s">
        <v>252</v>
      </c>
      <c r="P763" t="s">
        <v>404</v>
      </c>
    </row>
    <row r="764" spans="1:16" x14ac:dyDescent="0.25">
      <c r="A764" t="s">
        <v>2498</v>
      </c>
      <c r="B764" t="s">
        <v>2319</v>
      </c>
      <c r="C764" s="1" t="s">
        <v>2499</v>
      </c>
      <c r="D764" t="s">
        <v>63</v>
      </c>
      <c r="E764" t="s">
        <v>64</v>
      </c>
      <c r="F764" s="2">
        <v>3429081.05</v>
      </c>
      <c r="G764" s="1" t="s">
        <v>2500</v>
      </c>
      <c r="H764" t="s">
        <v>307</v>
      </c>
      <c r="I764" t="s">
        <v>250</v>
      </c>
      <c r="J764">
        <v>4</v>
      </c>
      <c r="K764" t="s">
        <v>26</v>
      </c>
      <c r="L764" t="s">
        <v>2143</v>
      </c>
      <c r="M764" t="s">
        <v>2107</v>
      </c>
      <c r="N764" t="s">
        <v>310</v>
      </c>
      <c r="O764" t="s">
        <v>252</v>
      </c>
      <c r="P764" t="s">
        <v>404</v>
      </c>
    </row>
    <row r="765" spans="1:16" x14ac:dyDescent="0.25">
      <c r="A765" t="s">
        <v>2501</v>
      </c>
      <c r="B765" t="s">
        <v>2319</v>
      </c>
      <c r="C765" s="1" t="s">
        <v>2502</v>
      </c>
      <c r="D765" t="s">
        <v>63</v>
      </c>
      <c r="E765" t="s">
        <v>64</v>
      </c>
      <c r="F765" s="2">
        <v>2922954.07</v>
      </c>
      <c r="G765" s="1" t="s">
        <v>2503</v>
      </c>
      <c r="H765" t="s">
        <v>307</v>
      </c>
      <c r="I765" t="s">
        <v>250</v>
      </c>
      <c r="J765">
        <v>4</v>
      </c>
      <c r="K765" t="s">
        <v>26</v>
      </c>
      <c r="L765" t="s">
        <v>2143</v>
      </c>
      <c r="M765" t="s">
        <v>2107</v>
      </c>
      <c r="N765" t="s">
        <v>310</v>
      </c>
      <c r="O765" t="s">
        <v>252</v>
      </c>
      <c r="P765" t="s">
        <v>404</v>
      </c>
    </row>
    <row r="766" spans="1:16" x14ac:dyDescent="0.25">
      <c r="A766" t="s">
        <v>2504</v>
      </c>
      <c r="B766" t="s">
        <v>2319</v>
      </c>
      <c r="C766" s="1" t="s">
        <v>2505</v>
      </c>
      <c r="D766" t="s">
        <v>63</v>
      </c>
      <c r="E766" t="s">
        <v>64</v>
      </c>
      <c r="F766" s="2">
        <v>4424228.05</v>
      </c>
      <c r="G766" s="1" t="s">
        <v>2506</v>
      </c>
      <c r="H766" t="s">
        <v>307</v>
      </c>
      <c r="I766" t="s">
        <v>250</v>
      </c>
      <c r="J766">
        <v>4</v>
      </c>
      <c r="K766" t="s">
        <v>26</v>
      </c>
      <c r="L766" t="s">
        <v>2143</v>
      </c>
      <c r="M766" t="s">
        <v>2107</v>
      </c>
      <c r="N766" t="s">
        <v>310</v>
      </c>
      <c r="O766" t="s">
        <v>252</v>
      </c>
      <c r="P766" t="s">
        <v>404</v>
      </c>
    </row>
    <row r="767" spans="1:16" x14ac:dyDescent="0.25">
      <c r="A767" t="s">
        <v>2507</v>
      </c>
      <c r="B767" t="s">
        <v>2319</v>
      </c>
      <c r="C767" s="1" t="s">
        <v>2508</v>
      </c>
      <c r="D767" t="s">
        <v>63</v>
      </c>
      <c r="E767" t="s">
        <v>64</v>
      </c>
      <c r="F767" s="2">
        <v>4424388.05</v>
      </c>
      <c r="G767" s="1" t="s">
        <v>2509</v>
      </c>
      <c r="H767" t="s">
        <v>307</v>
      </c>
      <c r="I767" t="s">
        <v>250</v>
      </c>
      <c r="J767">
        <v>4</v>
      </c>
      <c r="K767" t="s">
        <v>26</v>
      </c>
      <c r="L767" t="s">
        <v>2143</v>
      </c>
      <c r="M767" t="s">
        <v>2107</v>
      </c>
      <c r="N767" t="s">
        <v>310</v>
      </c>
      <c r="O767" t="s">
        <v>252</v>
      </c>
      <c r="P767" t="s">
        <v>404</v>
      </c>
    </row>
    <row r="768" spans="1:16" x14ac:dyDescent="0.25">
      <c r="A768" t="s">
        <v>2510</v>
      </c>
      <c r="B768" t="s">
        <v>2319</v>
      </c>
      <c r="C768" s="1" t="s">
        <v>2511</v>
      </c>
      <c r="D768" t="s">
        <v>63</v>
      </c>
      <c r="E768" t="s">
        <v>64</v>
      </c>
      <c r="F768" s="2">
        <v>80388.23</v>
      </c>
      <c r="G768" s="1" t="s">
        <v>2512</v>
      </c>
      <c r="H768" t="s">
        <v>307</v>
      </c>
      <c r="I768" t="s">
        <v>250</v>
      </c>
      <c r="J768">
        <v>5</v>
      </c>
      <c r="K768" t="s">
        <v>26</v>
      </c>
      <c r="L768" t="s">
        <v>2143</v>
      </c>
      <c r="M768" t="s">
        <v>2107</v>
      </c>
      <c r="N768" t="s">
        <v>310</v>
      </c>
      <c r="O768" t="s">
        <v>252</v>
      </c>
      <c r="P768" t="s">
        <v>404</v>
      </c>
    </row>
    <row r="769" spans="1:16" x14ac:dyDescent="0.25">
      <c r="A769" t="s">
        <v>2513</v>
      </c>
      <c r="B769" t="s">
        <v>2319</v>
      </c>
      <c r="C769" s="1" t="s">
        <v>2514</v>
      </c>
      <c r="D769" t="s">
        <v>63</v>
      </c>
      <c r="E769" t="s">
        <v>64</v>
      </c>
      <c r="F769" s="2">
        <v>16223.76</v>
      </c>
      <c r="G769" s="1" t="s">
        <v>2515</v>
      </c>
      <c r="H769" t="s">
        <v>307</v>
      </c>
      <c r="I769" t="s">
        <v>250</v>
      </c>
      <c r="J769">
        <v>6</v>
      </c>
      <c r="K769" t="s">
        <v>26</v>
      </c>
      <c r="L769" t="s">
        <v>2143</v>
      </c>
      <c r="M769" t="s">
        <v>2107</v>
      </c>
      <c r="N769" t="s">
        <v>310</v>
      </c>
      <c r="O769" t="s">
        <v>252</v>
      </c>
      <c r="P769" t="s">
        <v>404</v>
      </c>
    </row>
    <row r="770" spans="1:16" x14ac:dyDescent="0.25">
      <c r="A770" t="s">
        <v>2516</v>
      </c>
      <c r="B770" t="s">
        <v>2319</v>
      </c>
      <c r="C770" s="1" t="s">
        <v>2517</v>
      </c>
      <c r="D770" t="s">
        <v>63</v>
      </c>
      <c r="E770" t="s">
        <v>64</v>
      </c>
      <c r="F770" s="2">
        <v>207745.42</v>
      </c>
      <c r="G770" s="1" t="s">
        <v>2518</v>
      </c>
      <c r="H770" t="s">
        <v>307</v>
      </c>
      <c r="I770" t="s">
        <v>250</v>
      </c>
      <c r="J770">
        <v>5</v>
      </c>
      <c r="K770" t="s">
        <v>26</v>
      </c>
      <c r="L770" t="s">
        <v>2143</v>
      </c>
      <c r="M770" t="s">
        <v>2107</v>
      </c>
      <c r="N770" t="s">
        <v>310</v>
      </c>
      <c r="O770" t="s">
        <v>252</v>
      </c>
      <c r="P770" t="s">
        <v>404</v>
      </c>
    </row>
    <row r="771" spans="1:16" x14ac:dyDescent="0.25">
      <c r="A771" t="s">
        <v>2519</v>
      </c>
      <c r="B771" t="s">
        <v>2319</v>
      </c>
      <c r="C771" s="1" t="s">
        <v>2520</v>
      </c>
      <c r="D771" t="s">
        <v>63</v>
      </c>
      <c r="E771" t="s">
        <v>64</v>
      </c>
      <c r="F771" s="2">
        <v>127277.42</v>
      </c>
      <c r="G771" s="1" t="s">
        <v>2521</v>
      </c>
      <c r="H771" t="s">
        <v>307</v>
      </c>
      <c r="I771" t="s">
        <v>250</v>
      </c>
      <c r="J771">
        <v>5</v>
      </c>
      <c r="K771" t="s">
        <v>26</v>
      </c>
      <c r="L771" t="s">
        <v>2143</v>
      </c>
      <c r="M771" t="s">
        <v>2107</v>
      </c>
      <c r="N771" t="s">
        <v>310</v>
      </c>
      <c r="O771" t="s">
        <v>252</v>
      </c>
      <c r="P771" t="s">
        <v>404</v>
      </c>
    </row>
    <row r="772" spans="1:16" x14ac:dyDescent="0.25">
      <c r="A772" t="s">
        <v>2522</v>
      </c>
      <c r="B772" t="s">
        <v>2319</v>
      </c>
      <c r="C772" s="1" t="s">
        <v>2523</v>
      </c>
      <c r="D772" t="s">
        <v>63</v>
      </c>
      <c r="E772" t="s">
        <v>64</v>
      </c>
      <c r="F772" s="2">
        <v>20536.14</v>
      </c>
      <c r="G772" s="1" t="s">
        <v>2524</v>
      </c>
      <c r="H772" t="s">
        <v>307</v>
      </c>
      <c r="I772" t="s">
        <v>250</v>
      </c>
      <c r="J772">
        <v>6</v>
      </c>
      <c r="K772" t="s">
        <v>26</v>
      </c>
      <c r="L772" t="s">
        <v>2143</v>
      </c>
      <c r="M772" t="s">
        <v>2107</v>
      </c>
      <c r="N772" t="s">
        <v>310</v>
      </c>
      <c r="O772" t="s">
        <v>252</v>
      </c>
      <c r="P772" t="s">
        <v>404</v>
      </c>
    </row>
    <row r="773" spans="1:16" x14ac:dyDescent="0.25">
      <c r="A773" t="s">
        <v>2525</v>
      </c>
      <c r="B773" t="s">
        <v>2319</v>
      </c>
      <c r="C773" s="1" t="s">
        <v>2526</v>
      </c>
      <c r="D773" t="s">
        <v>63</v>
      </c>
      <c r="E773" t="s">
        <v>64</v>
      </c>
      <c r="F773" s="2">
        <v>340295.42</v>
      </c>
      <c r="G773" s="1" t="s">
        <v>2527</v>
      </c>
      <c r="H773" t="s">
        <v>307</v>
      </c>
      <c r="I773" t="s">
        <v>250</v>
      </c>
      <c r="J773">
        <v>5</v>
      </c>
      <c r="K773" t="s">
        <v>26</v>
      </c>
      <c r="L773" t="s">
        <v>2143</v>
      </c>
      <c r="M773" t="s">
        <v>2107</v>
      </c>
      <c r="N773" t="s">
        <v>310</v>
      </c>
      <c r="O773" t="s">
        <v>252</v>
      </c>
      <c r="P773" t="s">
        <v>404</v>
      </c>
    </row>
    <row r="774" spans="1:16" x14ac:dyDescent="0.25">
      <c r="A774" t="s">
        <v>2528</v>
      </c>
      <c r="B774" t="s">
        <v>2319</v>
      </c>
      <c r="C774" s="1" t="s">
        <v>2529</v>
      </c>
      <c r="D774" t="s">
        <v>63</v>
      </c>
      <c r="E774" t="s">
        <v>64</v>
      </c>
      <c r="F774" s="2">
        <v>115092.84</v>
      </c>
      <c r="G774" s="1" t="s">
        <v>2530</v>
      </c>
      <c r="H774" t="s">
        <v>307</v>
      </c>
      <c r="I774" t="s">
        <v>250</v>
      </c>
      <c r="J774">
        <v>5</v>
      </c>
      <c r="K774" t="s">
        <v>26</v>
      </c>
      <c r="L774" t="s">
        <v>2143</v>
      </c>
      <c r="M774" t="s">
        <v>2107</v>
      </c>
      <c r="N774" t="s">
        <v>310</v>
      </c>
      <c r="O774" t="s">
        <v>252</v>
      </c>
      <c r="P774" t="s">
        <v>404</v>
      </c>
    </row>
    <row r="775" spans="1:16" x14ac:dyDescent="0.25">
      <c r="A775" t="s">
        <v>2531</v>
      </c>
      <c r="B775" t="s">
        <v>2319</v>
      </c>
      <c r="C775" s="1" t="s">
        <v>2532</v>
      </c>
      <c r="D775" t="s">
        <v>63</v>
      </c>
      <c r="E775" t="s">
        <v>64</v>
      </c>
      <c r="F775" s="2">
        <v>3907.33</v>
      </c>
      <c r="G775" s="1" t="s">
        <v>2533</v>
      </c>
      <c r="H775" t="s">
        <v>307</v>
      </c>
      <c r="I775" t="s">
        <v>250</v>
      </c>
      <c r="J775">
        <v>6</v>
      </c>
      <c r="K775" t="s">
        <v>26</v>
      </c>
      <c r="L775" t="s">
        <v>2143</v>
      </c>
      <c r="M775" t="s">
        <v>2107</v>
      </c>
      <c r="N775" t="s">
        <v>310</v>
      </c>
      <c r="O775" t="s">
        <v>252</v>
      </c>
      <c r="P775" t="s">
        <v>404</v>
      </c>
    </row>
    <row r="776" spans="1:16" x14ac:dyDescent="0.25">
      <c r="A776" t="s">
        <v>2534</v>
      </c>
      <c r="B776" t="s">
        <v>2319</v>
      </c>
      <c r="C776" s="1" t="s">
        <v>2535</v>
      </c>
      <c r="D776" t="s">
        <v>63</v>
      </c>
      <c r="E776" t="s">
        <v>64</v>
      </c>
      <c r="F776" s="2">
        <v>7731.41</v>
      </c>
      <c r="G776" s="1" t="s">
        <v>2536</v>
      </c>
      <c r="H776" t="s">
        <v>307</v>
      </c>
      <c r="I776" t="s">
        <v>250</v>
      </c>
      <c r="J776">
        <v>6</v>
      </c>
      <c r="K776" t="s">
        <v>26</v>
      </c>
      <c r="L776" t="s">
        <v>2143</v>
      </c>
      <c r="M776" t="s">
        <v>2107</v>
      </c>
      <c r="N776" t="s">
        <v>310</v>
      </c>
      <c r="O776" t="s">
        <v>252</v>
      </c>
      <c r="P776" t="s">
        <v>404</v>
      </c>
    </row>
    <row r="777" spans="1:16" x14ac:dyDescent="0.25">
      <c r="A777" t="s">
        <v>2537</v>
      </c>
      <c r="B777" t="s">
        <v>2319</v>
      </c>
      <c r="C777" s="1" t="s">
        <v>2538</v>
      </c>
      <c r="D777" t="s">
        <v>63</v>
      </c>
      <c r="E777" t="s">
        <v>64</v>
      </c>
      <c r="F777" s="2">
        <v>10462.49</v>
      </c>
      <c r="G777" s="1" t="s">
        <v>2539</v>
      </c>
      <c r="H777" t="s">
        <v>307</v>
      </c>
      <c r="I777" t="s">
        <v>250</v>
      </c>
      <c r="J777">
        <v>6</v>
      </c>
      <c r="K777" t="s">
        <v>26</v>
      </c>
      <c r="L777" t="s">
        <v>2143</v>
      </c>
      <c r="M777" t="s">
        <v>2107</v>
      </c>
      <c r="N777" t="s">
        <v>310</v>
      </c>
      <c r="O777" t="s">
        <v>252</v>
      </c>
      <c r="P777" t="s">
        <v>404</v>
      </c>
    </row>
    <row r="778" spans="1:16" x14ac:dyDescent="0.25">
      <c r="A778" t="s">
        <v>2540</v>
      </c>
      <c r="B778" t="s">
        <v>2319</v>
      </c>
      <c r="C778" s="1" t="s">
        <v>2541</v>
      </c>
      <c r="D778" t="s">
        <v>63</v>
      </c>
      <c r="E778" t="s">
        <v>64</v>
      </c>
      <c r="F778" s="2">
        <v>1156.71</v>
      </c>
      <c r="G778" s="1" t="s">
        <v>2542</v>
      </c>
      <c r="H778" t="s">
        <v>307</v>
      </c>
      <c r="I778" t="s">
        <v>250</v>
      </c>
      <c r="J778">
        <v>6</v>
      </c>
      <c r="K778" t="s">
        <v>26</v>
      </c>
      <c r="L778" t="s">
        <v>2143</v>
      </c>
      <c r="M778" t="s">
        <v>2107</v>
      </c>
      <c r="N778" t="s">
        <v>310</v>
      </c>
      <c r="O778" t="s">
        <v>252</v>
      </c>
      <c r="P778" t="s">
        <v>404</v>
      </c>
    </row>
    <row r="779" spans="1:16" x14ac:dyDescent="0.25">
      <c r="A779" t="s">
        <v>2543</v>
      </c>
      <c r="B779" t="s">
        <v>2319</v>
      </c>
      <c r="C779" s="1" t="s">
        <v>2544</v>
      </c>
      <c r="D779" t="s">
        <v>63</v>
      </c>
      <c r="E779" t="s">
        <v>64</v>
      </c>
      <c r="F779" s="2">
        <v>14993.07</v>
      </c>
      <c r="G779" s="1" t="s">
        <v>2545</v>
      </c>
      <c r="H779" t="s">
        <v>307</v>
      </c>
      <c r="I779" t="s">
        <v>250</v>
      </c>
      <c r="J779">
        <v>6</v>
      </c>
      <c r="K779" t="s">
        <v>26</v>
      </c>
      <c r="L779" t="s">
        <v>2143</v>
      </c>
      <c r="M779" t="s">
        <v>2107</v>
      </c>
      <c r="N779" t="s">
        <v>310</v>
      </c>
      <c r="O779" t="s">
        <v>252</v>
      </c>
      <c r="P779" t="s">
        <v>404</v>
      </c>
    </row>
    <row r="780" spans="1:16" x14ac:dyDescent="0.25">
      <c r="A780" t="s">
        <v>2546</v>
      </c>
      <c r="B780" t="s">
        <v>2319</v>
      </c>
      <c r="C780" s="1" t="s">
        <v>2547</v>
      </c>
      <c r="D780" t="s">
        <v>63</v>
      </c>
      <c r="E780" t="s">
        <v>64</v>
      </c>
      <c r="F780" s="2">
        <v>54451.43</v>
      </c>
      <c r="G780" s="1" t="s">
        <v>2548</v>
      </c>
      <c r="H780" t="s">
        <v>307</v>
      </c>
      <c r="I780" t="s">
        <v>250</v>
      </c>
      <c r="J780">
        <v>6</v>
      </c>
      <c r="K780" t="s">
        <v>26</v>
      </c>
      <c r="L780" t="s">
        <v>2143</v>
      </c>
      <c r="M780" t="s">
        <v>2107</v>
      </c>
      <c r="N780" t="s">
        <v>310</v>
      </c>
      <c r="O780" t="s">
        <v>252</v>
      </c>
      <c r="P780" t="s">
        <v>404</v>
      </c>
    </row>
    <row r="781" spans="1:16" x14ac:dyDescent="0.25">
      <c r="A781" t="s">
        <v>2549</v>
      </c>
      <c r="B781" t="s">
        <v>2319</v>
      </c>
      <c r="C781" s="1" t="s">
        <v>2550</v>
      </c>
      <c r="D781" t="s">
        <v>63</v>
      </c>
      <c r="E781" t="s">
        <v>64</v>
      </c>
      <c r="F781" s="2">
        <v>2912.41</v>
      </c>
      <c r="G781" s="1" t="s">
        <v>2551</v>
      </c>
      <c r="H781" t="s">
        <v>307</v>
      </c>
      <c r="I781" t="s">
        <v>250</v>
      </c>
      <c r="J781">
        <v>6</v>
      </c>
      <c r="K781" t="s">
        <v>26</v>
      </c>
      <c r="L781" t="s">
        <v>2143</v>
      </c>
      <c r="M781" t="s">
        <v>2107</v>
      </c>
      <c r="N781" t="s">
        <v>310</v>
      </c>
      <c r="O781" t="s">
        <v>252</v>
      </c>
      <c r="P781" t="s">
        <v>404</v>
      </c>
    </row>
    <row r="782" spans="1:16" x14ac:dyDescent="0.25">
      <c r="A782" t="s">
        <v>2552</v>
      </c>
      <c r="B782" t="s">
        <v>2319</v>
      </c>
      <c r="C782" s="1" t="s">
        <v>2553</v>
      </c>
      <c r="D782" t="s">
        <v>63</v>
      </c>
      <c r="E782" t="s">
        <v>64</v>
      </c>
      <c r="F782" s="2">
        <v>116865.66</v>
      </c>
      <c r="G782" s="1" t="s">
        <v>2554</v>
      </c>
      <c r="H782" t="s">
        <v>307</v>
      </c>
      <c r="I782" t="s">
        <v>250</v>
      </c>
      <c r="J782">
        <v>6</v>
      </c>
      <c r="K782" t="s">
        <v>26</v>
      </c>
      <c r="L782" t="s">
        <v>2143</v>
      </c>
      <c r="M782" t="s">
        <v>2107</v>
      </c>
      <c r="N782" t="s">
        <v>310</v>
      </c>
      <c r="O782" t="s">
        <v>252</v>
      </c>
      <c r="P782" t="s">
        <v>404</v>
      </c>
    </row>
    <row r="783" spans="1:16" x14ac:dyDescent="0.25">
      <c r="A783" t="s">
        <v>2555</v>
      </c>
      <c r="B783" t="s">
        <v>2319</v>
      </c>
      <c r="C783" s="1" t="s">
        <v>2556</v>
      </c>
      <c r="D783" t="s">
        <v>63</v>
      </c>
      <c r="E783" t="s">
        <v>64</v>
      </c>
      <c r="F783" s="2">
        <v>4774.55</v>
      </c>
      <c r="G783" s="1" t="s">
        <v>2557</v>
      </c>
      <c r="H783" t="s">
        <v>307</v>
      </c>
      <c r="I783" t="s">
        <v>250</v>
      </c>
      <c r="J783">
        <v>6</v>
      </c>
      <c r="K783" t="s">
        <v>26</v>
      </c>
      <c r="L783" t="s">
        <v>2143</v>
      </c>
      <c r="M783" t="s">
        <v>2107</v>
      </c>
      <c r="N783" t="s">
        <v>310</v>
      </c>
      <c r="O783" t="s">
        <v>252</v>
      </c>
      <c r="P783" t="s">
        <v>404</v>
      </c>
    </row>
    <row r="784" spans="1:16" x14ac:dyDescent="0.25">
      <c r="A784" t="s">
        <v>2558</v>
      </c>
      <c r="B784" t="s">
        <v>2319</v>
      </c>
      <c r="C784" s="1" t="s">
        <v>2559</v>
      </c>
      <c r="D784" t="s">
        <v>63</v>
      </c>
      <c r="E784" t="s">
        <v>64</v>
      </c>
      <c r="F784" s="2">
        <v>4781.84</v>
      </c>
      <c r="G784" s="1" t="s">
        <v>2560</v>
      </c>
      <c r="H784" t="s">
        <v>307</v>
      </c>
      <c r="I784" t="s">
        <v>250</v>
      </c>
      <c r="J784">
        <v>6</v>
      </c>
      <c r="K784" t="s">
        <v>26</v>
      </c>
      <c r="L784" t="s">
        <v>2143</v>
      </c>
      <c r="M784" t="s">
        <v>2107</v>
      </c>
      <c r="N784" t="s">
        <v>310</v>
      </c>
      <c r="O784" t="s">
        <v>252</v>
      </c>
      <c r="P784" t="s">
        <v>404</v>
      </c>
    </row>
    <row r="785" spans="1:16" x14ac:dyDescent="0.25">
      <c r="A785" t="s">
        <v>2561</v>
      </c>
      <c r="B785" t="s">
        <v>2319</v>
      </c>
      <c r="C785" s="1" t="s">
        <v>2562</v>
      </c>
      <c r="D785" t="s">
        <v>63</v>
      </c>
      <c r="E785" t="s">
        <v>64</v>
      </c>
      <c r="F785" s="2">
        <v>3099.1</v>
      </c>
      <c r="G785" s="1" t="s">
        <v>2563</v>
      </c>
      <c r="H785" t="s">
        <v>307</v>
      </c>
      <c r="I785" t="s">
        <v>250</v>
      </c>
      <c r="J785">
        <v>6</v>
      </c>
      <c r="K785" t="s">
        <v>26</v>
      </c>
      <c r="L785" t="s">
        <v>2143</v>
      </c>
      <c r="M785" t="s">
        <v>2107</v>
      </c>
      <c r="N785" t="s">
        <v>310</v>
      </c>
      <c r="O785" t="s">
        <v>252</v>
      </c>
      <c r="P785" t="s">
        <v>404</v>
      </c>
    </row>
    <row r="786" spans="1:16" x14ac:dyDescent="0.25">
      <c r="A786" t="s">
        <v>2564</v>
      </c>
      <c r="B786" t="s">
        <v>2319</v>
      </c>
      <c r="C786" s="1" t="s">
        <v>2565</v>
      </c>
      <c r="D786" t="s">
        <v>63</v>
      </c>
      <c r="E786" t="s">
        <v>64</v>
      </c>
      <c r="F786" s="2">
        <v>77036.27</v>
      </c>
      <c r="G786" s="1" t="s">
        <v>2566</v>
      </c>
      <c r="H786" t="s">
        <v>307</v>
      </c>
      <c r="I786" t="s">
        <v>308</v>
      </c>
      <c r="J786">
        <v>5</v>
      </c>
      <c r="K786" t="s">
        <v>26</v>
      </c>
      <c r="L786" t="s">
        <v>2143</v>
      </c>
      <c r="M786" t="s">
        <v>2107</v>
      </c>
      <c r="N786" t="s">
        <v>310</v>
      </c>
      <c r="O786" t="s">
        <v>252</v>
      </c>
      <c r="P786" t="s">
        <v>404</v>
      </c>
    </row>
    <row r="787" spans="1:16" x14ac:dyDescent="0.25">
      <c r="A787" t="s">
        <v>2567</v>
      </c>
      <c r="B787" t="s">
        <v>2319</v>
      </c>
      <c r="C787" s="1" t="s">
        <v>2568</v>
      </c>
      <c r="D787" t="s">
        <v>63</v>
      </c>
      <c r="E787" t="s">
        <v>64</v>
      </c>
      <c r="F787" s="2">
        <v>72267.27</v>
      </c>
      <c r="G787" s="1" t="s">
        <v>2569</v>
      </c>
      <c r="H787" t="s">
        <v>307</v>
      </c>
      <c r="I787" t="s">
        <v>308</v>
      </c>
      <c r="J787">
        <v>5</v>
      </c>
      <c r="K787" t="s">
        <v>26</v>
      </c>
      <c r="L787" t="s">
        <v>2143</v>
      </c>
      <c r="M787" t="s">
        <v>2107</v>
      </c>
      <c r="N787" t="s">
        <v>310</v>
      </c>
      <c r="O787" t="s">
        <v>252</v>
      </c>
      <c r="P787" t="s">
        <v>404</v>
      </c>
    </row>
    <row r="788" spans="1:16" x14ac:dyDescent="0.25">
      <c r="A788" t="s">
        <v>2570</v>
      </c>
      <c r="B788" t="s">
        <v>2319</v>
      </c>
      <c r="C788" s="1" t="s">
        <v>2571</v>
      </c>
      <c r="D788" t="s">
        <v>63</v>
      </c>
      <c r="E788" t="s">
        <v>64</v>
      </c>
      <c r="F788" s="2">
        <v>81208.27</v>
      </c>
      <c r="G788" s="1" t="s">
        <v>2572</v>
      </c>
      <c r="H788" t="s">
        <v>307</v>
      </c>
      <c r="I788" t="s">
        <v>308</v>
      </c>
      <c r="J788">
        <v>5</v>
      </c>
      <c r="K788" t="s">
        <v>26</v>
      </c>
      <c r="L788" t="s">
        <v>2143</v>
      </c>
      <c r="M788" t="s">
        <v>2107</v>
      </c>
      <c r="N788" t="s">
        <v>310</v>
      </c>
      <c r="O788" t="s">
        <v>252</v>
      </c>
      <c r="P788" t="s">
        <v>404</v>
      </c>
    </row>
    <row r="789" spans="1:16" x14ac:dyDescent="0.25">
      <c r="A789" t="s">
        <v>2573</v>
      </c>
      <c r="B789" t="s">
        <v>2319</v>
      </c>
      <c r="C789" s="1" t="s">
        <v>2574</v>
      </c>
      <c r="D789" t="s">
        <v>63</v>
      </c>
      <c r="E789" t="s">
        <v>64</v>
      </c>
      <c r="F789" s="2">
        <v>120709.77</v>
      </c>
      <c r="G789" s="1" t="s">
        <v>2575</v>
      </c>
      <c r="H789" t="s">
        <v>307</v>
      </c>
      <c r="I789" t="s">
        <v>308</v>
      </c>
      <c r="J789">
        <v>5</v>
      </c>
      <c r="K789" t="s">
        <v>26</v>
      </c>
      <c r="L789" t="s">
        <v>2143</v>
      </c>
      <c r="M789" t="s">
        <v>2107</v>
      </c>
      <c r="N789" t="s">
        <v>310</v>
      </c>
      <c r="O789" t="s">
        <v>252</v>
      </c>
      <c r="P789" t="s">
        <v>404</v>
      </c>
    </row>
    <row r="790" spans="1:16" x14ac:dyDescent="0.25">
      <c r="A790" t="s">
        <v>2576</v>
      </c>
      <c r="B790" t="s">
        <v>2319</v>
      </c>
      <c r="C790" s="1" t="s">
        <v>2577</v>
      </c>
      <c r="D790" t="s">
        <v>63</v>
      </c>
      <c r="E790" t="s">
        <v>64</v>
      </c>
      <c r="F790" s="2">
        <v>128264.77</v>
      </c>
      <c r="G790" s="1" t="s">
        <v>2578</v>
      </c>
      <c r="H790" t="s">
        <v>307</v>
      </c>
      <c r="I790" t="s">
        <v>308</v>
      </c>
      <c r="J790">
        <v>5</v>
      </c>
      <c r="K790" t="s">
        <v>26</v>
      </c>
      <c r="L790" t="s">
        <v>2143</v>
      </c>
      <c r="M790" t="s">
        <v>2107</v>
      </c>
      <c r="N790" t="s">
        <v>310</v>
      </c>
      <c r="O790" t="s">
        <v>252</v>
      </c>
      <c r="P790" t="s">
        <v>404</v>
      </c>
    </row>
    <row r="791" spans="1:16" x14ac:dyDescent="0.25">
      <c r="A791" t="s">
        <v>2579</v>
      </c>
      <c r="B791" t="s">
        <v>2319</v>
      </c>
      <c r="C791" s="1" t="s">
        <v>2580</v>
      </c>
      <c r="D791" t="s">
        <v>63</v>
      </c>
      <c r="E791" t="s">
        <v>64</v>
      </c>
      <c r="F791" s="2">
        <v>64271.27</v>
      </c>
      <c r="G791" s="1" t="s">
        <v>2581</v>
      </c>
      <c r="H791" t="s">
        <v>307</v>
      </c>
      <c r="I791" t="s">
        <v>308</v>
      </c>
      <c r="J791">
        <v>5</v>
      </c>
      <c r="K791" t="s">
        <v>26</v>
      </c>
      <c r="L791" t="s">
        <v>2143</v>
      </c>
      <c r="M791" t="s">
        <v>2107</v>
      </c>
      <c r="N791" t="s">
        <v>310</v>
      </c>
      <c r="O791" t="s">
        <v>252</v>
      </c>
      <c r="P791" t="s">
        <v>404</v>
      </c>
    </row>
    <row r="792" spans="1:16" x14ac:dyDescent="0.25">
      <c r="A792" t="s">
        <v>2582</v>
      </c>
      <c r="B792" t="s">
        <v>2319</v>
      </c>
      <c r="C792" s="1" t="s">
        <v>2583</v>
      </c>
      <c r="D792" t="s">
        <v>63</v>
      </c>
      <c r="E792" t="s">
        <v>64</v>
      </c>
      <c r="F792" s="2">
        <v>44701.77</v>
      </c>
      <c r="G792" s="1" t="s">
        <v>2584</v>
      </c>
      <c r="H792" t="s">
        <v>307</v>
      </c>
      <c r="I792" t="s">
        <v>308</v>
      </c>
      <c r="J792">
        <v>5</v>
      </c>
      <c r="K792" t="s">
        <v>26</v>
      </c>
      <c r="L792" t="s">
        <v>2143</v>
      </c>
      <c r="M792" t="s">
        <v>2107</v>
      </c>
      <c r="N792" t="s">
        <v>310</v>
      </c>
      <c r="O792" t="s">
        <v>252</v>
      </c>
      <c r="P792" t="s">
        <v>404</v>
      </c>
    </row>
    <row r="793" spans="1:16" x14ac:dyDescent="0.25">
      <c r="A793" t="s">
        <v>2585</v>
      </c>
      <c r="B793" t="s">
        <v>2319</v>
      </c>
      <c r="C793" s="1" t="s">
        <v>2586</v>
      </c>
      <c r="D793" t="s">
        <v>63</v>
      </c>
      <c r="E793" t="s">
        <v>64</v>
      </c>
      <c r="F793" s="2">
        <v>40856.14</v>
      </c>
      <c r="G793" s="1" t="s">
        <v>2587</v>
      </c>
      <c r="H793" t="s">
        <v>307</v>
      </c>
      <c r="I793" t="s">
        <v>308</v>
      </c>
      <c r="J793">
        <v>5</v>
      </c>
      <c r="K793" t="s">
        <v>26</v>
      </c>
      <c r="L793" t="s">
        <v>2322</v>
      </c>
      <c r="M793" t="s">
        <v>2107</v>
      </c>
      <c r="N793" t="s">
        <v>310</v>
      </c>
      <c r="O793" t="s">
        <v>252</v>
      </c>
      <c r="P793" t="s">
        <v>31</v>
      </c>
    </row>
    <row r="794" spans="1:16" x14ac:dyDescent="0.25">
      <c r="A794" t="s">
        <v>2588</v>
      </c>
      <c r="B794" t="s">
        <v>2319</v>
      </c>
      <c r="C794" s="1" t="s">
        <v>2589</v>
      </c>
      <c r="D794" t="s">
        <v>63</v>
      </c>
      <c r="E794" t="s">
        <v>64</v>
      </c>
      <c r="F794" s="2">
        <v>35084.02</v>
      </c>
      <c r="G794" s="1" t="s">
        <v>2590</v>
      </c>
      <c r="H794" t="s">
        <v>307</v>
      </c>
      <c r="I794" t="s">
        <v>308</v>
      </c>
      <c r="J794">
        <v>5</v>
      </c>
      <c r="K794" t="s">
        <v>26</v>
      </c>
      <c r="L794" t="s">
        <v>2322</v>
      </c>
      <c r="M794" t="s">
        <v>2107</v>
      </c>
      <c r="N794" t="s">
        <v>310</v>
      </c>
      <c r="O794" t="s">
        <v>252</v>
      </c>
      <c r="P794" t="s">
        <v>31</v>
      </c>
    </row>
    <row r="795" spans="1:16" x14ac:dyDescent="0.25">
      <c r="A795" t="s">
        <v>2591</v>
      </c>
      <c r="B795" t="s">
        <v>2319</v>
      </c>
      <c r="C795" s="1" t="s">
        <v>2592</v>
      </c>
      <c r="D795" t="s">
        <v>63</v>
      </c>
      <c r="E795" t="s">
        <v>64</v>
      </c>
      <c r="F795" s="2">
        <v>510992.41</v>
      </c>
      <c r="G795" s="1" t="s">
        <v>2593</v>
      </c>
      <c r="H795" t="s">
        <v>307</v>
      </c>
      <c r="I795" t="s">
        <v>308</v>
      </c>
      <c r="J795">
        <v>5</v>
      </c>
      <c r="K795" t="s">
        <v>26</v>
      </c>
      <c r="L795" t="s">
        <v>2322</v>
      </c>
      <c r="M795" t="s">
        <v>2107</v>
      </c>
      <c r="N795" t="s">
        <v>310</v>
      </c>
      <c r="O795" t="s">
        <v>252</v>
      </c>
      <c r="P795" t="s">
        <v>31</v>
      </c>
    </row>
    <row r="796" spans="1:16" x14ac:dyDescent="0.25">
      <c r="A796" t="s">
        <v>2594</v>
      </c>
      <c r="B796" t="s">
        <v>2319</v>
      </c>
      <c r="C796" s="1" t="s">
        <v>2595</v>
      </c>
      <c r="D796" t="s">
        <v>63</v>
      </c>
      <c r="E796" t="s">
        <v>64</v>
      </c>
      <c r="F796" s="2">
        <v>855601.41</v>
      </c>
      <c r="G796" s="1" t="s">
        <v>2596</v>
      </c>
      <c r="H796" t="s">
        <v>307</v>
      </c>
      <c r="I796" t="s">
        <v>308</v>
      </c>
      <c r="J796">
        <v>5</v>
      </c>
      <c r="K796" t="s">
        <v>26</v>
      </c>
      <c r="L796" t="s">
        <v>2322</v>
      </c>
      <c r="M796" t="s">
        <v>2107</v>
      </c>
      <c r="N796" t="s">
        <v>310</v>
      </c>
      <c r="O796" t="s">
        <v>252</v>
      </c>
      <c r="P796" t="s">
        <v>31</v>
      </c>
    </row>
    <row r="797" spans="1:16" x14ac:dyDescent="0.25">
      <c r="A797" t="s">
        <v>2597</v>
      </c>
      <c r="B797" t="s">
        <v>2319</v>
      </c>
      <c r="C797" s="1" t="s">
        <v>2598</v>
      </c>
      <c r="D797" t="s">
        <v>63</v>
      </c>
      <c r="E797" t="s">
        <v>64</v>
      </c>
      <c r="F797" s="2">
        <v>54754.41</v>
      </c>
      <c r="G797" s="1" t="s">
        <v>2599</v>
      </c>
      <c r="H797" t="s">
        <v>307</v>
      </c>
      <c r="I797" t="s">
        <v>308</v>
      </c>
      <c r="J797">
        <v>5</v>
      </c>
      <c r="K797" t="s">
        <v>26</v>
      </c>
      <c r="L797" t="s">
        <v>2322</v>
      </c>
      <c r="M797" t="s">
        <v>2107</v>
      </c>
      <c r="N797" t="s">
        <v>310</v>
      </c>
      <c r="O797" t="s">
        <v>252</v>
      </c>
      <c r="P797" t="s">
        <v>31</v>
      </c>
    </row>
    <row r="798" spans="1:16" x14ac:dyDescent="0.25">
      <c r="A798" t="s">
        <v>2600</v>
      </c>
      <c r="B798" t="s">
        <v>2319</v>
      </c>
      <c r="C798" s="1" t="s">
        <v>2601</v>
      </c>
      <c r="D798" t="s">
        <v>63</v>
      </c>
      <c r="E798" t="s">
        <v>64</v>
      </c>
      <c r="F798" s="2">
        <v>81492.41</v>
      </c>
      <c r="G798" s="1" t="s">
        <v>2602</v>
      </c>
      <c r="H798" t="s">
        <v>307</v>
      </c>
      <c r="I798" t="s">
        <v>308</v>
      </c>
      <c r="J798">
        <v>5</v>
      </c>
      <c r="K798" t="s">
        <v>26</v>
      </c>
      <c r="L798" t="s">
        <v>2322</v>
      </c>
      <c r="M798" t="s">
        <v>2107</v>
      </c>
      <c r="N798" t="s">
        <v>310</v>
      </c>
      <c r="O798" t="s">
        <v>252</v>
      </c>
      <c r="P798" t="s">
        <v>31</v>
      </c>
    </row>
    <row r="799" spans="1:16" x14ac:dyDescent="0.25">
      <c r="A799" t="s">
        <v>2603</v>
      </c>
      <c r="B799" t="s">
        <v>2319</v>
      </c>
      <c r="C799" s="1" t="s">
        <v>2604</v>
      </c>
      <c r="D799" t="s">
        <v>63</v>
      </c>
      <c r="E799" t="s">
        <v>64</v>
      </c>
      <c r="F799" s="2">
        <v>169612.41</v>
      </c>
      <c r="G799" s="1" t="s">
        <v>2605</v>
      </c>
      <c r="H799" t="s">
        <v>307</v>
      </c>
      <c r="I799" t="s">
        <v>308</v>
      </c>
      <c r="J799">
        <v>5</v>
      </c>
      <c r="K799" t="s">
        <v>26</v>
      </c>
      <c r="L799" t="s">
        <v>2322</v>
      </c>
      <c r="M799" t="s">
        <v>2107</v>
      </c>
      <c r="N799" t="s">
        <v>310</v>
      </c>
      <c r="O799" t="s">
        <v>252</v>
      </c>
      <c r="P799" t="s">
        <v>31</v>
      </c>
    </row>
    <row r="800" spans="1:16" x14ac:dyDescent="0.25">
      <c r="A800" t="s">
        <v>2606</v>
      </c>
      <c r="B800" t="s">
        <v>2319</v>
      </c>
      <c r="C800" s="1" t="s">
        <v>2607</v>
      </c>
      <c r="D800" t="s">
        <v>63</v>
      </c>
      <c r="E800" t="s">
        <v>64</v>
      </c>
      <c r="F800" s="2">
        <v>299197.41</v>
      </c>
      <c r="G800" s="1" t="s">
        <v>2608</v>
      </c>
      <c r="H800" t="s">
        <v>307</v>
      </c>
      <c r="I800" t="s">
        <v>308</v>
      </c>
      <c r="J800">
        <v>5</v>
      </c>
      <c r="K800" t="s">
        <v>26</v>
      </c>
      <c r="L800" t="s">
        <v>2322</v>
      </c>
      <c r="M800" t="s">
        <v>2107</v>
      </c>
      <c r="N800" t="s">
        <v>310</v>
      </c>
      <c r="O800" t="s">
        <v>252</v>
      </c>
      <c r="P800" t="s">
        <v>31</v>
      </c>
    </row>
    <row r="801" spans="1:16" x14ac:dyDescent="0.25">
      <c r="A801" t="s">
        <v>2609</v>
      </c>
      <c r="B801" t="s">
        <v>2610</v>
      </c>
      <c r="C801" s="1" t="s">
        <v>2611</v>
      </c>
      <c r="D801" t="s">
        <v>63</v>
      </c>
      <c r="E801" t="s">
        <v>64</v>
      </c>
      <c r="F801" s="2">
        <v>215000</v>
      </c>
      <c r="G801" s="1" t="s">
        <v>2612</v>
      </c>
      <c r="H801" t="s">
        <v>307</v>
      </c>
      <c r="I801" t="s">
        <v>805</v>
      </c>
      <c r="J801">
        <v>1</v>
      </c>
      <c r="K801" t="s">
        <v>26</v>
      </c>
      <c r="L801" t="s">
        <v>2613</v>
      </c>
      <c r="M801" t="s">
        <v>2107</v>
      </c>
      <c r="N801" t="s">
        <v>310</v>
      </c>
      <c r="O801" t="s">
        <v>807</v>
      </c>
      <c r="P801" t="s">
        <v>31</v>
      </c>
    </row>
    <row r="802" spans="1:16" x14ac:dyDescent="0.25">
      <c r="A802" t="s">
        <v>2614</v>
      </c>
      <c r="B802" t="s">
        <v>2610</v>
      </c>
      <c r="C802" s="1" t="s">
        <v>2615</v>
      </c>
      <c r="D802" t="s">
        <v>34</v>
      </c>
      <c r="E802" t="s">
        <v>35</v>
      </c>
      <c r="F802" s="2">
        <v>622647.86</v>
      </c>
      <c r="G802" s="1" t="s">
        <v>2616</v>
      </c>
      <c r="H802" t="s">
        <v>307</v>
      </c>
      <c r="I802" t="s">
        <v>308</v>
      </c>
      <c r="J802">
        <v>4</v>
      </c>
      <c r="K802" t="s">
        <v>26</v>
      </c>
      <c r="L802" t="s">
        <v>2322</v>
      </c>
      <c r="M802" t="s">
        <v>2107</v>
      </c>
      <c r="N802" t="s">
        <v>310</v>
      </c>
      <c r="O802" t="s">
        <v>252</v>
      </c>
      <c r="P802" t="s">
        <v>31</v>
      </c>
    </row>
    <row r="803" spans="1:16" x14ac:dyDescent="0.25">
      <c r="A803" t="s">
        <v>2617</v>
      </c>
      <c r="B803" t="s">
        <v>2610</v>
      </c>
      <c r="C803" s="1" t="s">
        <v>2618</v>
      </c>
      <c r="D803" t="s">
        <v>63</v>
      </c>
      <c r="E803" t="s">
        <v>64</v>
      </c>
      <c r="F803" s="2">
        <v>1124303.43</v>
      </c>
      <c r="G803" s="1" t="s">
        <v>2619</v>
      </c>
      <c r="H803" t="s">
        <v>307</v>
      </c>
      <c r="I803" t="s">
        <v>308</v>
      </c>
      <c r="J803">
        <v>7</v>
      </c>
      <c r="K803" t="s">
        <v>26</v>
      </c>
      <c r="L803" t="s">
        <v>2322</v>
      </c>
      <c r="M803" t="s">
        <v>2107</v>
      </c>
      <c r="N803" t="s">
        <v>310</v>
      </c>
      <c r="O803" t="s">
        <v>252</v>
      </c>
      <c r="P803" t="s">
        <v>31</v>
      </c>
    </row>
    <row r="804" spans="1:16" x14ac:dyDescent="0.25">
      <c r="A804" t="s">
        <v>2620</v>
      </c>
      <c r="B804" t="s">
        <v>2610</v>
      </c>
      <c r="C804" s="1" t="s">
        <v>2621</v>
      </c>
      <c r="D804" t="s">
        <v>63</v>
      </c>
      <c r="E804" t="s">
        <v>64</v>
      </c>
      <c r="F804" s="2">
        <v>2312167.88</v>
      </c>
      <c r="G804" s="1" t="s">
        <v>2622</v>
      </c>
      <c r="H804" t="s">
        <v>307</v>
      </c>
      <c r="I804" t="s">
        <v>308</v>
      </c>
      <c r="J804">
        <v>7</v>
      </c>
      <c r="K804" t="s">
        <v>26</v>
      </c>
      <c r="L804" t="s">
        <v>2322</v>
      </c>
      <c r="M804" t="s">
        <v>2107</v>
      </c>
      <c r="N804" t="s">
        <v>310</v>
      </c>
      <c r="O804" t="s">
        <v>252</v>
      </c>
      <c r="P804" t="s">
        <v>31</v>
      </c>
    </row>
    <row r="805" spans="1:16" x14ac:dyDescent="0.25">
      <c r="A805" t="s">
        <v>2623</v>
      </c>
      <c r="B805" t="s">
        <v>2610</v>
      </c>
      <c r="C805" s="1" t="s">
        <v>2624</v>
      </c>
      <c r="D805" t="s">
        <v>63</v>
      </c>
      <c r="E805" t="s">
        <v>64</v>
      </c>
      <c r="F805" s="2">
        <v>1772055.49</v>
      </c>
      <c r="G805" s="1" t="s">
        <v>2625</v>
      </c>
      <c r="H805" t="s">
        <v>307</v>
      </c>
      <c r="I805" t="s">
        <v>308</v>
      </c>
      <c r="J805">
        <v>7</v>
      </c>
      <c r="K805" t="s">
        <v>26</v>
      </c>
      <c r="L805" t="s">
        <v>2322</v>
      </c>
      <c r="M805" t="s">
        <v>2107</v>
      </c>
      <c r="N805" t="s">
        <v>310</v>
      </c>
      <c r="O805" t="s">
        <v>252</v>
      </c>
      <c r="P805" t="s">
        <v>31</v>
      </c>
    </row>
    <row r="806" spans="1:16" x14ac:dyDescent="0.25">
      <c r="A806" t="s">
        <v>2626</v>
      </c>
      <c r="B806" t="s">
        <v>2610</v>
      </c>
      <c r="C806" s="1" t="s">
        <v>2627</v>
      </c>
      <c r="D806" t="s">
        <v>63</v>
      </c>
      <c r="E806" t="s">
        <v>64</v>
      </c>
      <c r="F806" s="2">
        <v>1179515.21</v>
      </c>
      <c r="G806" s="1" t="s">
        <v>2628</v>
      </c>
      <c r="H806" t="s">
        <v>307</v>
      </c>
      <c r="I806" t="s">
        <v>308</v>
      </c>
      <c r="J806">
        <v>7</v>
      </c>
      <c r="K806" t="s">
        <v>26</v>
      </c>
      <c r="L806" t="s">
        <v>2322</v>
      </c>
      <c r="M806" t="s">
        <v>2107</v>
      </c>
      <c r="N806" t="s">
        <v>310</v>
      </c>
      <c r="O806" t="s">
        <v>252</v>
      </c>
      <c r="P806" t="s">
        <v>31</v>
      </c>
    </row>
    <row r="807" spans="1:16" x14ac:dyDescent="0.25">
      <c r="A807" t="s">
        <v>2629</v>
      </c>
      <c r="B807" t="s">
        <v>2610</v>
      </c>
      <c r="C807" s="1" t="s">
        <v>2630</v>
      </c>
      <c r="D807" t="s">
        <v>63</v>
      </c>
      <c r="E807" t="s">
        <v>64</v>
      </c>
      <c r="F807" s="2">
        <v>3538488.86</v>
      </c>
      <c r="G807" s="1" t="s">
        <v>2631</v>
      </c>
      <c r="H807" t="s">
        <v>307</v>
      </c>
      <c r="I807" t="s">
        <v>308</v>
      </c>
      <c r="J807">
        <v>7</v>
      </c>
      <c r="K807" t="s">
        <v>26</v>
      </c>
      <c r="L807" t="s">
        <v>2322</v>
      </c>
      <c r="M807" t="s">
        <v>2107</v>
      </c>
      <c r="N807" t="s">
        <v>310</v>
      </c>
      <c r="O807" t="s">
        <v>252</v>
      </c>
      <c r="P807" t="s">
        <v>31</v>
      </c>
    </row>
    <row r="808" spans="1:16" x14ac:dyDescent="0.25">
      <c r="A808" t="s">
        <v>2632</v>
      </c>
      <c r="B808" t="s">
        <v>2610</v>
      </c>
      <c r="C808" s="1" t="s">
        <v>2633</v>
      </c>
      <c r="D808" t="s">
        <v>63</v>
      </c>
      <c r="E808" t="s">
        <v>64</v>
      </c>
      <c r="F808" s="2">
        <v>44109.63</v>
      </c>
      <c r="G808" s="1" t="s">
        <v>2634</v>
      </c>
      <c r="H808" t="s">
        <v>307</v>
      </c>
      <c r="I808" t="s">
        <v>250</v>
      </c>
      <c r="J808">
        <v>8</v>
      </c>
      <c r="K808" t="s">
        <v>26</v>
      </c>
      <c r="L808" t="s">
        <v>2322</v>
      </c>
      <c r="M808" t="s">
        <v>2107</v>
      </c>
      <c r="N808" t="s">
        <v>310</v>
      </c>
      <c r="O808" t="s">
        <v>252</v>
      </c>
      <c r="P808" t="s">
        <v>31</v>
      </c>
    </row>
    <row r="809" spans="1:16" x14ac:dyDescent="0.25">
      <c r="A809" t="s">
        <v>2635</v>
      </c>
      <c r="B809" t="s">
        <v>2610</v>
      </c>
      <c r="C809" s="1" t="s">
        <v>2636</v>
      </c>
      <c r="D809" t="s">
        <v>63</v>
      </c>
      <c r="E809" t="s">
        <v>64</v>
      </c>
      <c r="F809" s="2">
        <v>88036.72</v>
      </c>
      <c r="G809" s="1" t="s">
        <v>2637</v>
      </c>
      <c r="H809" t="s">
        <v>307</v>
      </c>
      <c r="I809" t="s">
        <v>250</v>
      </c>
      <c r="J809">
        <v>9</v>
      </c>
      <c r="K809" t="s">
        <v>26</v>
      </c>
      <c r="L809" t="s">
        <v>2322</v>
      </c>
      <c r="M809" t="s">
        <v>2107</v>
      </c>
      <c r="N809" t="s">
        <v>310</v>
      </c>
      <c r="O809" t="s">
        <v>252</v>
      </c>
      <c r="P809" t="s">
        <v>31</v>
      </c>
    </row>
    <row r="810" spans="1:16" x14ac:dyDescent="0.25">
      <c r="A810" t="s">
        <v>2638</v>
      </c>
      <c r="B810" t="s">
        <v>2610</v>
      </c>
      <c r="C810" s="1" t="s">
        <v>2639</v>
      </c>
      <c r="D810" t="s">
        <v>63</v>
      </c>
      <c r="E810" t="s">
        <v>64</v>
      </c>
      <c r="F810" s="2">
        <v>7282.53</v>
      </c>
      <c r="G810" s="1" t="s">
        <v>2640</v>
      </c>
      <c r="H810" t="s">
        <v>307</v>
      </c>
      <c r="I810" t="s">
        <v>555</v>
      </c>
      <c r="J810">
        <v>6</v>
      </c>
      <c r="K810" t="s">
        <v>26</v>
      </c>
      <c r="L810" t="s">
        <v>2641</v>
      </c>
      <c r="M810" t="s">
        <v>2107</v>
      </c>
      <c r="N810" t="s">
        <v>310</v>
      </c>
      <c r="O810" t="s">
        <v>47</v>
      </c>
      <c r="P810" t="s">
        <v>404</v>
      </c>
    </row>
    <row r="811" spans="1:16" x14ac:dyDescent="0.25">
      <c r="A811" t="s">
        <v>2642</v>
      </c>
      <c r="B811" t="s">
        <v>2610</v>
      </c>
      <c r="C811" s="1" t="s">
        <v>2643</v>
      </c>
      <c r="D811" t="s">
        <v>63</v>
      </c>
      <c r="E811" t="s">
        <v>64</v>
      </c>
      <c r="F811" s="2">
        <v>15961.38</v>
      </c>
      <c r="G811" s="1" t="s">
        <v>2644</v>
      </c>
      <c r="H811" t="s">
        <v>307</v>
      </c>
      <c r="I811" t="s">
        <v>555</v>
      </c>
      <c r="J811">
        <v>6</v>
      </c>
      <c r="K811" t="s">
        <v>26</v>
      </c>
      <c r="L811" t="s">
        <v>2641</v>
      </c>
      <c r="M811" t="s">
        <v>2107</v>
      </c>
      <c r="N811" t="s">
        <v>310</v>
      </c>
      <c r="O811" t="s">
        <v>47</v>
      </c>
      <c r="P811" t="s">
        <v>404</v>
      </c>
    </row>
    <row r="812" spans="1:16" x14ac:dyDescent="0.25">
      <c r="A812" t="s">
        <v>2645</v>
      </c>
      <c r="B812" t="s">
        <v>2610</v>
      </c>
      <c r="C812" s="1" t="s">
        <v>2646</v>
      </c>
      <c r="D812" t="s">
        <v>63</v>
      </c>
      <c r="E812" t="s">
        <v>64</v>
      </c>
      <c r="F812" s="2">
        <v>23397.02</v>
      </c>
      <c r="G812" s="1" t="s">
        <v>2647</v>
      </c>
      <c r="H812" t="s">
        <v>307</v>
      </c>
      <c r="I812" t="s">
        <v>555</v>
      </c>
      <c r="J812">
        <v>6</v>
      </c>
      <c r="K812" t="s">
        <v>26</v>
      </c>
      <c r="L812" t="s">
        <v>2641</v>
      </c>
      <c r="M812" t="s">
        <v>2107</v>
      </c>
      <c r="N812" t="s">
        <v>310</v>
      </c>
      <c r="O812" t="s">
        <v>47</v>
      </c>
      <c r="P812" t="s">
        <v>404</v>
      </c>
    </row>
    <row r="813" spans="1:16" x14ac:dyDescent="0.25">
      <c r="A813" t="s">
        <v>2648</v>
      </c>
      <c r="B813" t="s">
        <v>2610</v>
      </c>
      <c r="C813" s="1" t="s">
        <v>2649</v>
      </c>
      <c r="D813" t="s">
        <v>63</v>
      </c>
      <c r="E813" t="s">
        <v>64</v>
      </c>
      <c r="F813" s="2">
        <v>58744.97</v>
      </c>
      <c r="G813" s="1" t="s">
        <v>2650</v>
      </c>
      <c r="H813" t="s">
        <v>307</v>
      </c>
      <c r="I813" t="s">
        <v>555</v>
      </c>
      <c r="J813">
        <v>6</v>
      </c>
      <c r="K813" t="s">
        <v>26</v>
      </c>
      <c r="L813" t="s">
        <v>2641</v>
      </c>
      <c r="M813" t="s">
        <v>2107</v>
      </c>
      <c r="N813" t="s">
        <v>310</v>
      </c>
      <c r="O813" t="s">
        <v>47</v>
      </c>
      <c r="P813" t="s">
        <v>404</v>
      </c>
    </row>
    <row r="814" spans="1:16" x14ac:dyDescent="0.25">
      <c r="A814" t="s">
        <v>2651</v>
      </c>
      <c r="B814" t="s">
        <v>2610</v>
      </c>
      <c r="C814" s="1" t="s">
        <v>2652</v>
      </c>
      <c r="D814" t="s">
        <v>63</v>
      </c>
      <c r="E814" t="s">
        <v>64</v>
      </c>
      <c r="F814" s="2">
        <v>2287544.75</v>
      </c>
      <c r="G814" s="1" t="s">
        <v>2653</v>
      </c>
      <c r="H814" t="s">
        <v>307</v>
      </c>
      <c r="I814" t="s">
        <v>308</v>
      </c>
      <c r="J814">
        <v>4</v>
      </c>
      <c r="K814" t="s">
        <v>26</v>
      </c>
      <c r="L814" t="s">
        <v>2143</v>
      </c>
      <c r="M814" t="s">
        <v>2107</v>
      </c>
      <c r="N814" t="s">
        <v>310</v>
      </c>
      <c r="O814" t="s">
        <v>252</v>
      </c>
      <c r="P814" t="s">
        <v>404</v>
      </c>
    </row>
    <row r="815" spans="1:16" x14ac:dyDescent="0.25">
      <c r="A815" t="s">
        <v>2654</v>
      </c>
      <c r="B815" t="s">
        <v>2610</v>
      </c>
      <c r="C815" s="1" t="s">
        <v>2655</v>
      </c>
      <c r="D815" t="s">
        <v>63</v>
      </c>
      <c r="E815" t="s">
        <v>64</v>
      </c>
      <c r="F815" s="2">
        <v>2429108.75</v>
      </c>
      <c r="G815" s="1" t="s">
        <v>2656</v>
      </c>
      <c r="H815" t="s">
        <v>307</v>
      </c>
      <c r="I815" t="s">
        <v>308</v>
      </c>
      <c r="J815">
        <v>4</v>
      </c>
      <c r="K815" t="s">
        <v>26</v>
      </c>
      <c r="L815" t="s">
        <v>2143</v>
      </c>
      <c r="M815" t="s">
        <v>2107</v>
      </c>
      <c r="N815" t="s">
        <v>310</v>
      </c>
      <c r="O815" t="s">
        <v>252</v>
      </c>
      <c r="P815" t="s">
        <v>404</v>
      </c>
    </row>
    <row r="816" spans="1:16" x14ac:dyDescent="0.25">
      <c r="A816" t="s">
        <v>2657</v>
      </c>
      <c r="B816" t="s">
        <v>2610</v>
      </c>
      <c r="C816" s="1" t="s">
        <v>2658</v>
      </c>
      <c r="D816" t="s">
        <v>63</v>
      </c>
      <c r="E816" t="s">
        <v>64</v>
      </c>
      <c r="F816" s="2">
        <v>2507635.75</v>
      </c>
      <c r="G816" s="1" t="s">
        <v>2659</v>
      </c>
      <c r="H816" t="s">
        <v>307</v>
      </c>
      <c r="I816" t="s">
        <v>308</v>
      </c>
      <c r="J816">
        <v>4</v>
      </c>
      <c r="K816" t="s">
        <v>26</v>
      </c>
      <c r="L816" t="s">
        <v>2143</v>
      </c>
      <c r="M816" t="s">
        <v>2107</v>
      </c>
      <c r="N816" t="s">
        <v>310</v>
      </c>
      <c r="O816" t="s">
        <v>252</v>
      </c>
      <c r="P816" t="s">
        <v>404</v>
      </c>
    </row>
    <row r="817" spans="1:16" x14ac:dyDescent="0.25">
      <c r="A817" t="s">
        <v>2660</v>
      </c>
      <c r="B817" t="s">
        <v>2610</v>
      </c>
      <c r="C817" s="1" t="s">
        <v>2661</v>
      </c>
      <c r="D817" t="s">
        <v>63</v>
      </c>
      <c r="E817" t="s">
        <v>64</v>
      </c>
      <c r="F817" s="2">
        <v>2286780.75</v>
      </c>
      <c r="G817" s="1" t="s">
        <v>2662</v>
      </c>
      <c r="H817" t="s">
        <v>307</v>
      </c>
      <c r="I817" t="s">
        <v>308</v>
      </c>
      <c r="J817">
        <v>4</v>
      </c>
      <c r="K817" t="s">
        <v>26</v>
      </c>
      <c r="L817" t="s">
        <v>2143</v>
      </c>
      <c r="M817" t="s">
        <v>2107</v>
      </c>
      <c r="N817" t="s">
        <v>310</v>
      </c>
      <c r="O817" t="s">
        <v>252</v>
      </c>
      <c r="P817" t="s">
        <v>404</v>
      </c>
    </row>
    <row r="818" spans="1:16" x14ac:dyDescent="0.25">
      <c r="A818" t="s">
        <v>2663</v>
      </c>
      <c r="B818" t="s">
        <v>2610</v>
      </c>
      <c r="C818" s="1" t="s">
        <v>2664</v>
      </c>
      <c r="D818" t="s">
        <v>63</v>
      </c>
      <c r="E818" t="s">
        <v>64</v>
      </c>
      <c r="F818" s="2">
        <v>2380576.75</v>
      </c>
      <c r="G818" s="1" t="s">
        <v>2665</v>
      </c>
      <c r="H818" t="s">
        <v>307</v>
      </c>
      <c r="I818" t="s">
        <v>308</v>
      </c>
      <c r="J818">
        <v>4</v>
      </c>
      <c r="K818" t="s">
        <v>26</v>
      </c>
      <c r="L818" t="s">
        <v>2143</v>
      </c>
      <c r="M818" t="s">
        <v>2107</v>
      </c>
      <c r="N818" t="s">
        <v>310</v>
      </c>
      <c r="O818" t="s">
        <v>252</v>
      </c>
      <c r="P818" t="s">
        <v>404</v>
      </c>
    </row>
    <row r="819" spans="1:16" x14ac:dyDescent="0.25">
      <c r="A819" t="s">
        <v>2666</v>
      </c>
      <c r="B819" t="s">
        <v>2610</v>
      </c>
      <c r="C819" s="1" t="s">
        <v>2667</v>
      </c>
      <c r="D819" t="s">
        <v>63</v>
      </c>
      <c r="E819" t="s">
        <v>64</v>
      </c>
      <c r="F819" s="2">
        <v>2506576.75</v>
      </c>
      <c r="G819" s="1" t="s">
        <v>2668</v>
      </c>
      <c r="H819" t="s">
        <v>307</v>
      </c>
      <c r="I819" t="s">
        <v>308</v>
      </c>
      <c r="J819">
        <v>4</v>
      </c>
      <c r="K819" t="s">
        <v>26</v>
      </c>
      <c r="L819" t="s">
        <v>2143</v>
      </c>
      <c r="M819" t="s">
        <v>2107</v>
      </c>
      <c r="N819" t="s">
        <v>310</v>
      </c>
      <c r="O819" t="s">
        <v>252</v>
      </c>
      <c r="P819" t="s">
        <v>404</v>
      </c>
    </row>
    <row r="820" spans="1:16" x14ac:dyDescent="0.25">
      <c r="A820" t="s">
        <v>2669</v>
      </c>
      <c r="B820" t="s">
        <v>2610</v>
      </c>
      <c r="C820" s="1" t="s">
        <v>2670</v>
      </c>
      <c r="D820" t="s">
        <v>63</v>
      </c>
      <c r="E820" t="s">
        <v>64</v>
      </c>
      <c r="F820" s="2">
        <v>2622435.75</v>
      </c>
      <c r="G820" s="1" t="s">
        <v>2671</v>
      </c>
      <c r="H820" t="s">
        <v>307</v>
      </c>
      <c r="I820" t="s">
        <v>308</v>
      </c>
      <c r="J820">
        <v>4</v>
      </c>
      <c r="K820" t="s">
        <v>26</v>
      </c>
      <c r="L820" t="s">
        <v>2143</v>
      </c>
      <c r="M820" t="s">
        <v>2107</v>
      </c>
      <c r="N820" t="s">
        <v>310</v>
      </c>
      <c r="O820" t="s">
        <v>252</v>
      </c>
      <c r="P820" t="s">
        <v>404</v>
      </c>
    </row>
    <row r="821" spans="1:16" x14ac:dyDescent="0.25">
      <c r="A821" t="s">
        <v>2672</v>
      </c>
      <c r="B821" t="s">
        <v>2610</v>
      </c>
      <c r="C821" s="1" t="s">
        <v>2673</v>
      </c>
      <c r="D821" t="s">
        <v>63</v>
      </c>
      <c r="E821" t="s">
        <v>64</v>
      </c>
      <c r="F821" s="2">
        <v>2907445.75</v>
      </c>
      <c r="G821" s="1" t="s">
        <v>2674</v>
      </c>
      <c r="H821" t="s">
        <v>307</v>
      </c>
      <c r="I821" t="s">
        <v>308</v>
      </c>
      <c r="J821">
        <v>4</v>
      </c>
      <c r="K821" t="s">
        <v>26</v>
      </c>
      <c r="L821" t="s">
        <v>2143</v>
      </c>
      <c r="M821" t="s">
        <v>2107</v>
      </c>
      <c r="N821" t="s">
        <v>310</v>
      </c>
      <c r="O821" t="s">
        <v>252</v>
      </c>
      <c r="P821" t="s">
        <v>404</v>
      </c>
    </row>
    <row r="822" spans="1:16" x14ac:dyDescent="0.25">
      <c r="A822" t="s">
        <v>2675</v>
      </c>
      <c r="B822" t="s">
        <v>2610</v>
      </c>
      <c r="C822" s="1" t="s">
        <v>2676</v>
      </c>
      <c r="D822" t="s">
        <v>63</v>
      </c>
      <c r="E822" t="s">
        <v>64</v>
      </c>
      <c r="F822" s="2">
        <v>3062020.75</v>
      </c>
      <c r="G822" s="1" t="s">
        <v>2677</v>
      </c>
      <c r="H822" t="s">
        <v>307</v>
      </c>
      <c r="I822" t="s">
        <v>308</v>
      </c>
      <c r="J822">
        <v>4</v>
      </c>
      <c r="K822" t="s">
        <v>26</v>
      </c>
      <c r="L822" t="s">
        <v>2143</v>
      </c>
      <c r="M822" t="s">
        <v>2107</v>
      </c>
      <c r="N822" t="s">
        <v>310</v>
      </c>
      <c r="O822" t="s">
        <v>252</v>
      </c>
      <c r="P822" t="s">
        <v>404</v>
      </c>
    </row>
    <row r="823" spans="1:16" x14ac:dyDescent="0.25">
      <c r="A823" t="s">
        <v>2678</v>
      </c>
      <c r="B823" t="s">
        <v>2610</v>
      </c>
      <c r="C823" s="1" t="s">
        <v>2679</v>
      </c>
      <c r="D823" t="s">
        <v>63</v>
      </c>
      <c r="E823" t="s">
        <v>64</v>
      </c>
      <c r="F823" s="2">
        <v>2165874.75</v>
      </c>
      <c r="G823" s="1" t="s">
        <v>2680</v>
      </c>
      <c r="H823" t="s">
        <v>307</v>
      </c>
      <c r="I823" t="s">
        <v>308</v>
      </c>
      <c r="J823">
        <v>4</v>
      </c>
      <c r="K823" t="s">
        <v>26</v>
      </c>
      <c r="L823" t="s">
        <v>2143</v>
      </c>
      <c r="M823" t="s">
        <v>2107</v>
      </c>
      <c r="N823" t="s">
        <v>310</v>
      </c>
      <c r="O823" t="s">
        <v>252</v>
      </c>
      <c r="P823" t="s">
        <v>404</v>
      </c>
    </row>
    <row r="824" spans="1:16" x14ac:dyDescent="0.25">
      <c r="A824" t="s">
        <v>2681</v>
      </c>
      <c r="B824" t="s">
        <v>2610</v>
      </c>
      <c r="C824" s="1" t="s">
        <v>2682</v>
      </c>
      <c r="D824" t="s">
        <v>63</v>
      </c>
      <c r="E824" t="s">
        <v>64</v>
      </c>
      <c r="F824" s="2">
        <v>2190428.75</v>
      </c>
      <c r="G824" s="1" t="s">
        <v>2683</v>
      </c>
      <c r="H824" t="s">
        <v>307</v>
      </c>
      <c r="I824" t="s">
        <v>308</v>
      </c>
      <c r="J824">
        <v>4</v>
      </c>
      <c r="K824" t="s">
        <v>26</v>
      </c>
      <c r="L824" t="s">
        <v>2143</v>
      </c>
      <c r="M824" t="s">
        <v>2107</v>
      </c>
      <c r="N824" t="s">
        <v>310</v>
      </c>
      <c r="O824" t="s">
        <v>252</v>
      </c>
      <c r="P824" t="s">
        <v>404</v>
      </c>
    </row>
    <row r="825" spans="1:16" x14ac:dyDescent="0.25">
      <c r="A825" t="s">
        <v>2684</v>
      </c>
      <c r="B825" t="s">
        <v>2610</v>
      </c>
      <c r="C825" s="1" t="s">
        <v>2685</v>
      </c>
      <c r="D825" t="s">
        <v>63</v>
      </c>
      <c r="E825" t="s">
        <v>64</v>
      </c>
      <c r="F825" s="2">
        <v>2247626.75</v>
      </c>
      <c r="G825" s="1" t="s">
        <v>2686</v>
      </c>
      <c r="H825" t="s">
        <v>307</v>
      </c>
      <c r="I825" t="s">
        <v>308</v>
      </c>
      <c r="J825">
        <v>4</v>
      </c>
      <c r="K825" t="s">
        <v>26</v>
      </c>
      <c r="L825" t="s">
        <v>2143</v>
      </c>
      <c r="M825" t="s">
        <v>2107</v>
      </c>
      <c r="N825" t="s">
        <v>310</v>
      </c>
      <c r="O825" t="s">
        <v>252</v>
      </c>
      <c r="P825" t="s">
        <v>404</v>
      </c>
    </row>
    <row r="826" spans="1:16" x14ac:dyDescent="0.25">
      <c r="A826" t="s">
        <v>2687</v>
      </c>
      <c r="B826" t="s">
        <v>2610</v>
      </c>
      <c r="C826" s="1" t="s">
        <v>2688</v>
      </c>
      <c r="D826" t="s">
        <v>63</v>
      </c>
      <c r="E826" t="s">
        <v>64</v>
      </c>
      <c r="F826" s="2">
        <v>2505701.75</v>
      </c>
      <c r="G826" s="1" t="s">
        <v>2689</v>
      </c>
      <c r="H826" t="s">
        <v>307</v>
      </c>
      <c r="I826" t="s">
        <v>308</v>
      </c>
      <c r="J826">
        <v>4</v>
      </c>
      <c r="K826" t="s">
        <v>26</v>
      </c>
      <c r="L826" t="s">
        <v>2143</v>
      </c>
      <c r="M826" t="s">
        <v>2107</v>
      </c>
      <c r="N826" t="s">
        <v>310</v>
      </c>
      <c r="O826" t="s">
        <v>252</v>
      </c>
      <c r="P826" t="s">
        <v>404</v>
      </c>
    </row>
    <row r="827" spans="1:16" x14ac:dyDescent="0.25">
      <c r="A827" t="s">
        <v>2690</v>
      </c>
      <c r="B827" t="s">
        <v>2610</v>
      </c>
      <c r="C827" s="1" t="s">
        <v>2691</v>
      </c>
      <c r="D827" t="s">
        <v>63</v>
      </c>
      <c r="E827" t="s">
        <v>64</v>
      </c>
      <c r="F827" s="2">
        <v>2740491.75</v>
      </c>
      <c r="G827" s="1" t="s">
        <v>2692</v>
      </c>
      <c r="H827" t="s">
        <v>307</v>
      </c>
      <c r="I827" t="s">
        <v>308</v>
      </c>
      <c r="J827">
        <v>4</v>
      </c>
      <c r="K827" t="s">
        <v>26</v>
      </c>
      <c r="L827" t="s">
        <v>2143</v>
      </c>
      <c r="M827" t="s">
        <v>2107</v>
      </c>
      <c r="N827" t="s">
        <v>310</v>
      </c>
      <c r="O827" t="s">
        <v>252</v>
      </c>
      <c r="P827" t="s">
        <v>404</v>
      </c>
    </row>
    <row r="828" spans="1:16" x14ac:dyDescent="0.25">
      <c r="A828" t="s">
        <v>2693</v>
      </c>
      <c r="B828" t="s">
        <v>2610</v>
      </c>
      <c r="C828" s="1" t="s">
        <v>2694</v>
      </c>
      <c r="D828" t="s">
        <v>63</v>
      </c>
      <c r="E828" t="s">
        <v>64</v>
      </c>
      <c r="F828" s="2">
        <v>2868249.75</v>
      </c>
      <c r="G828" s="1" t="s">
        <v>2695</v>
      </c>
      <c r="H828" t="s">
        <v>307</v>
      </c>
      <c r="I828" t="s">
        <v>308</v>
      </c>
      <c r="J828">
        <v>4</v>
      </c>
      <c r="K828" t="s">
        <v>26</v>
      </c>
      <c r="L828" t="s">
        <v>2143</v>
      </c>
      <c r="M828" t="s">
        <v>2107</v>
      </c>
      <c r="N828" t="s">
        <v>310</v>
      </c>
      <c r="O828" t="s">
        <v>252</v>
      </c>
      <c r="P828" t="s">
        <v>404</v>
      </c>
    </row>
    <row r="829" spans="1:16" x14ac:dyDescent="0.25">
      <c r="A829" t="s">
        <v>2696</v>
      </c>
      <c r="B829" t="s">
        <v>2610</v>
      </c>
      <c r="C829" s="1" t="s">
        <v>2694</v>
      </c>
      <c r="D829" t="s">
        <v>63</v>
      </c>
      <c r="E829" t="s">
        <v>64</v>
      </c>
      <c r="F829" s="2">
        <v>2868249.75</v>
      </c>
      <c r="G829" s="1" t="s">
        <v>2695</v>
      </c>
      <c r="H829" t="s">
        <v>307</v>
      </c>
      <c r="I829" t="s">
        <v>308</v>
      </c>
      <c r="J829">
        <v>4</v>
      </c>
      <c r="K829" t="s">
        <v>26</v>
      </c>
      <c r="L829" t="s">
        <v>2143</v>
      </c>
      <c r="M829" t="s">
        <v>2107</v>
      </c>
      <c r="N829" t="s">
        <v>310</v>
      </c>
      <c r="O829" t="s">
        <v>252</v>
      </c>
      <c r="P829" t="s">
        <v>404</v>
      </c>
    </row>
    <row r="830" spans="1:16" x14ac:dyDescent="0.25">
      <c r="A830" t="s">
        <v>2697</v>
      </c>
      <c r="B830" t="s">
        <v>2610</v>
      </c>
      <c r="C830" s="1" t="s">
        <v>2698</v>
      </c>
      <c r="D830" t="s">
        <v>63</v>
      </c>
      <c r="E830" t="s">
        <v>64</v>
      </c>
      <c r="F830" s="2">
        <v>546141.41</v>
      </c>
      <c r="G830" s="1" t="s">
        <v>2699</v>
      </c>
      <c r="H830" t="s">
        <v>307</v>
      </c>
      <c r="I830" t="s">
        <v>712</v>
      </c>
      <c r="J830">
        <v>6</v>
      </c>
      <c r="K830" t="s">
        <v>26</v>
      </c>
      <c r="L830" t="s">
        <v>2143</v>
      </c>
      <c r="M830" t="s">
        <v>2107</v>
      </c>
      <c r="N830" t="s">
        <v>310</v>
      </c>
      <c r="O830" t="s">
        <v>252</v>
      </c>
      <c r="P830" t="s">
        <v>404</v>
      </c>
    </row>
    <row r="831" spans="1:16" x14ac:dyDescent="0.25">
      <c r="A831" t="s">
        <v>2700</v>
      </c>
      <c r="B831" t="s">
        <v>2610</v>
      </c>
      <c r="C831" s="1" t="s">
        <v>2701</v>
      </c>
      <c r="D831" t="s">
        <v>63</v>
      </c>
      <c r="E831" t="s">
        <v>64</v>
      </c>
      <c r="F831" s="2">
        <v>4866.41</v>
      </c>
      <c r="G831" s="1" t="s">
        <v>2702</v>
      </c>
      <c r="H831" t="s">
        <v>307</v>
      </c>
      <c r="I831" t="s">
        <v>712</v>
      </c>
      <c r="J831">
        <v>6</v>
      </c>
      <c r="K831" t="s">
        <v>26</v>
      </c>
      <c r="L831" t="s">
        <v>2143</v>
      </c>
      <c r="M831" t="s">
        <v>2107</v>
      </c>
      <c r="N831" t="s">
        <v>310</v>
      </c>
      <c r="O831" t="s">
        <v>252</v>
      </c>
      <c r="P831" t="s">
        <v>404</v>
      </c>
    </row>
    <row r="832" spans="1:16" x14ac:dyDescent="0.25">
      <c r="A832" t="s">
        <v>2703</v>
      </c>
      <c r="B832" t="s">
        <v>2610</v>
      </c>
      <c r="C832" s="1" t="s">
        <v>2704</v>
      </c>
      <c r="D832" t="s">
        <v>63</v>
      </c>
      <c r="E832" t="s">
        <v>64</v>
      </c>
      <c r="F832" s="2">
        <v>8890.91</v>
      </c>
      <c r="G832" s="1" t="s">
        <v>2705</v>
      </c>
      <c r="H832" t="s">
        <v>307</v>
      </c>
      <c r="I832" t="s">
        <v>712</v>
      </c>
      <c r="J832">
        <v>6</v>
      </c>
      <c r="K832" t="s">
        <v>26</v>
      </c>
      <c r="L832" t="s">
        <v>2143</v>
      </c>
      <c r="M832" t="s">
        <v>2107</v>
      </c>
      <c r="N832" t="s">
        <v>310</v>
      </c>
      <c r="O832" t="s">
        <v>252</v>
      </c>
      <c r="P832" t="s">
        <v>404</v>
      </c>
    </row>
    <row r="833" spans="1:16" x14ac:dyDescent="0.25">
      <c r="A833" t="s">
        <v>2706</v>
      </c>
      <c r="B833" t="s">
        <v>2610</v>
      </c>
      <c r="C833" s="1" t="s">
        <v>2707</v>
      </c>
      <c r="D833" t="s">
        <v>63</v>
      </c>
      <c r="E833" t="s">
        <v>64</v>
      </c>
      <c r="F833" s="2">
        <v>14008.41</v>
      </c>
      <c r="G833" s="1" t="s">
        <v>2708</v>
      </c>
      <c r="H833" t="s">
        <v>307</v>
      </c>
      <c r="I833" t="s">
        <v>712</v>
      </c>
      <c r="J833">
        <v>6</v>
      </c>
      <c r="K833" t="s">
        <v>26</v>
      </c>
      <c r="L833" t="s">
        <v>2143</v>
      </c>
      <c r="M833" t="s">
        <v>2107</v>
      </c>
      <c r="N833" t="s">
        <v>310</v>
      </c>
      <c r="O833" t="s">
        <v>252</v>
      </c>
      <c r="P833" t="s">
        <v>404</v>
      </c>
    </row>
    <row r="834" spans="1:16" x14ac:dyDescent="0.25">
      <c r="A834" t="s">
        <v>2709</v>
      </c>
      <c r="B834" t="s">
        <v>2610</v>
      </c>
      <c r="C834" s="1" t="s">
        <v>2710</v>
      </c>
      <c r="D834" t="s">
        <v>63</v>
      </c>
      <c r="E834" t="s">
        <v>64</v>
      </c>
      <c r="F834" s="2">
        <v>112823.17</v>
      </c>
      <c r="G834" s="1" t="s">
        <v>2711</v>
      </c>
      <c r="H834" t="s">
        <v>307</v>
      </c>
      <c r="I834" t="s">
        <v>712</v>
      </c>
      <c r="J834">
        <v>6</v>
      </c>
      <c r="K834" t="s">
        <v>26</v>
      </c>
      <c r="L834" t="s">
        <v>2143</v>
      </c>
      <c r="M834" t="s">
        <v>2107</v>
      </c>
      <c r="N834" t="s">
        <v>310</v>
      </c>
      <c r="O834" t="s">
        <v>252</v>
      </c>
      <c r="P834" t="s">
        <v>404</v>
      </c>
    </row>
    <row r="835" spans="1:16" x14ac:dyDescent="0.25">
      <c r="A835" t="s">
        <v>2712</v>
      </c>
      <c r="B835" t="s">
        <v>2610</v>
      </c>
      <c r="C835" s="1" t="s">
        <v>2713</v>
      </c>
      <c r="D835" t="s">
        <v>63</v>
      </c>
      <c r="E835" t="s">
        <v>64</v>
      </c>
      <c r="F835" s="2">
        <v>181936.41</v>
      </c>
      <c r="G835" s="1" t="s">
        <v>2714</v>
      </c>
      <c r="H835" t="s">
        <v>307</v>
      </c>
      <c r="I835" t="s">
        <v>712</v>
      </c>
      <c r="J835">
        <v>6</v>
      </c>
      <c r="K835" t="s">
        <v>26</v>
      </c>
      <c r="L835" t="s">
        <v>2143</v>
      </c>
      <c r="M835" t="s">
        <v>2107</v>
      </c>
      <c r="N835" t="s">
        <v>310</v>
      </c>
      <c r="O835" t="s">
        <v>252</v>
      </c>
      <c r="P835" t="s">
        <v>404</v>
      </c>
    </row>
    <row r="836" spans="1:16" x14ac:dyDescent="0.25">
      <c r="A836" t="s">
        <v>2715</v>
      </c>
      <c r="B836" t="s">
        <v>2610</v>
      </c>
      <c r="C836" s="1" t="s">
        <v>2716</v>
      </c>
      <c r="D836" t="s">
        <v>63</v>
      </c>
      <c r="E836" t="s">
        <v>64</v>
      </c>
      <c r="F836" s="2">
        <v>839647.58</v>
      </c>
      <c r="G836" s="1" t="s">
        <v>2717</v>
      </c>
      <c r="H836" t="s">
        <v>307</v>
      </c>
      <c r="I836" t="s">
        <v>308</v>
      </c>
      <c r="J836">
        <v>5</v>
      </c>
      <c r="K836" t="s">
        <v>26</v>
      </c>
      <c r="L836" t="s">
        <v>2143</v>
      </c>
      <c r="M836" t="s">
        <v>2107</v>
      </c>
      <c r="N836" t="s">
        <v>310</v>
      </c>
      <c r="O836" t="s">
        <v>252</v>
      </c>
      <c r="P836" t="s">
        <v>404</v>
      </c>
    </row>
    <row r="837" spans="1:16" x14ac:dyDescent="0.25">
      <c r="A837" t="s">
        <v>2718</v>
      </c>
      <c r="B837" t="s">
        <v>2610</v>
      </c>
      <c r="C837" s="1" t="s">
        <v>2719</v>
      </c>
      <c r="D837" t="s">
        <v>63</v>
      </c>
      <c r="E837" t="s">
        <v>64</v>
      </c>
      <c r="F837" s="2">
        <v>858998.58</v>
      </c>
      <c r="G837" s="1" t="s">
        <v>2720</v>
      </c>
      <c r="H837" t="s">
        <v>307</v>
      </c>
      <c r="I837" t="s">
        <v>308</v>
      </c>
      <c r="J837">
        <v>5</v>
      </c>
      <c r="K837" t="s">
        <v>26</v>
      </c>
      <c r="L837" t="s">
        <v>2143</v>
      </c>
      <c r="M837" t="s">
        <v>2107</v>
      </c>
      <c r="N837" t="s">
        <v>310</v>
      </c>
      <c r="O837" t="s">
        <v>252</v>
      </c>
      <c r="P837" t="s">
        <v>404</v>
      </c>
    </row>
    <row r="838" spans="1:16" x14ac:dyDescent="0.25">
      <c r="A838" t="s">
        <v>2721</v>
      </c>
      <c r="B838" t="s">
        <v>2610</v>
      </c>
      <c r="C838" s="1" t="s">
        <v>2722</v>
      </c>
      <c r="D838" t="s">
        <v>63</v>
      </c>
      <c r="E838" t="s">
        <v>64</v>
      </c>
      <c r="F838" s="2">
        <v>1180297.75</v>
      </c>
      <c r="G838" s="1" t="s">
        <v>2723</v>
      </c>
      <c r="H838" t="s">
        <v>307</v>
      </c>
      <c r="I838" t="s">
        <v>308</v>
      </c>
      <c r="J838">
        <v>5</v>
      </c>
      <c r="K838" t="s">
        <v>26</v>
      </c>
      <c r="L838" t="s">
        <v>2143</v>
      </c>
      <c r="M838" t="s">
        <v>2107</v>
      </c>
      <c r="N838" t="s">
        <v>310</v>
      </c>
      <c r="O838" t="s">
        <v>252</v>
      </c>
      <c r="P838" t="s">
        <v>404</v>
      </c>
    </row>
    <row r="839" spans="1:16" x14ac:dyDescent="0.25">
      <c r="A839" t="s">
        <v>2724</v>
      </c>
      <c r="B839" t="s">
        <v>2610</v>
      </c>
      <c r="C839" s="1" t="s">
        <v>2725</v>
      </c>
      <c r="D839" t="s">
        <v>63</v>
      </c>
      <c r="E839" t="s">
        <v>64</v>
      </c>
      <c r="F839" s="2">
        <v>1352318.75</v>
      </c>
      <c r="G839" s="1" t="s">
        <v>2726</v>
      </c>
      <c r="H839" t="s">
        <v>307</v>
      </c>
      <c r="I839" t="s">
        <v>308</v>
      </c>
      <c r="J839">
        <v>5</v>
      </c>
      <c r="K839" t="s">
        <v>26</v>
      </c>
      <c r="L839" t="s">
        <v>2143</v>
      </c>
      <c r="M839" t="s">
        <v>2107</v>
      </c>
      <c r="N839" t="s">
        <v>310</v>
      </c>
      <c r="O839" t="s">
        <v>252</v>
      </c>
      <c r="P839" t="s">
        <v>404</v>
      </c>
    </row>
    <row r="840" spans="1:16" x14ac:dyDescent="0.25">
      <c r="A840" t="s">
        <v>2727</v>
      </c>
      <c r="B840" t="s">
        <v>2610</v>
      </c>
      <c r="C840" s="1" t="s">
        <v>2728</v>
      </c>
      <c r="D840" t="s">
        <v>63</v>
      </c>
      <c r="E840" t="s">
        <v>64</v>
      </c>
      <c r="F840" s="2">
        <v>1504331.75</v>
      </c>
      <c r="G840" s="1" t="s">
        <v>2729</v>
      </c>
      <c r="H840" t="s">
        <v>307</v>
      </c>
      <c r="I840" t="s">
        <v>308</v>
      </c>
      <c r="J840">
        <v>5</v>
      </c>
      <c r="K840" t="s">
        <v>26</v>
      </c>
      <c r="L840" t="s">
        <v>2143</v>
      </c>
      <c r="M840" t="s">
        <v>2107</v>
      </c>
      <c r="N840" t="s">
        <v>310</v>
      </c>
      <c r="O840" t="s">
        <v>252</v>
      </c>
      <c r="P840" t="s">
        <v>404</v>
      </c>
    </row>
    <row r="841" spans="1:16" x14ac:dyDescent="0.25">
      <c r="A841" t="s">
        <v>2730</v>
      </c>
      <c r="B841" t="s">
        <v>2610</v>
      </c>
      <c r="C841" s="1" t="s">
        <v>2731</v>
      </c>
      <c r="D841" t="s">
        <v>63</v>
      </c>
      <c r="E841" t="s">
        <v>64</v>
      </c>
      <c r="F841" s="2">
        <v>1689516.75</v>
      </c>
      <c r="G841" s="1" t="s">
        <v>2732</v>
      </c>
      <c r="H841" t="s">
        <v>307</v>
      </c>
      <c r="I841" t="s">
        <v>308</v>
      </c>
      <c r="J841">
        <v>5</v>
      </c>
      <c r="K841" t="s">
        <v>26</v>
      </c>
      <c r="L841" t="s">
        <v>2143</v>
      </c>
      <c r="M841" t="s">
        <v>2107</v>
      </c>
      <c r="N841" t="s">
        <v>310</v>
      </c>
      <c r="O841" t="s">
        <v>252</v>
      </c>
      <c r="P841" t="s">
        <v>404</v>
      </c>
    </row>
    <row r="842" spans="1:16" x14ac:dyDescent="0.25">
      <c r="A842" t="s">
        <v>2733</v>
      </c>
      <c r="B842" t="s">
        <v>2610</v>
      </c>
      <c r="C842" s="1" t="s">
        <v>2734</v>
      </c>
      <c r="D842" t="s">
        <v>63</v>
      </c>
      <c r="E842" t="s">
        <v>64</v>
      </c>
      <c r="F842" s="2">
        <v>1841553.75</v>
      </c>
      <c r="G842" s="1" t="s">
        <v>2735</v>
      </c>
      <c r="H842" t="s">
        <v>307</v>
      </c>
      <c r="I842" t="s">
        <v>308</v>
      </c>
      <c r="J842">
        <v>5</v>
      </c>
      <c r="K842" t="s">
        <v>26</v>
      </c>
      <c r="L842" t="s">
        <v>2143</v>
      </c>
      <c r="M842" t="s">
        <v>2107</v>
      </c>
      <c r="N842" t="s">
        <v>310</v>
      </c>
      <c r="O842" t="s">
        <v>252</v>
      </c>
      <c r="P842" t="s">
        <v>404</v>
      </c>
    </row>
    <row r="843" spans="1:16" x14ac:dyDescent="0.25">
      <c r="A843" t="s">
        <v>2736</v>
      </c>
      <c r="B843" t="s">
        <v>2610</v>
      </c>
      <c r="C843" s="1" t="s">
        <v>2737</v>
      </c>
      <c r="D843" t="s">
        <v>63</v>
      </c>
      <c r="E843" t="s">
        <v>64</v>
      </c>
      <c r="F843" s="2">
        <v>2136044.75</v>
      </c>
      <c r="G843" s="1" t="s">
        <v>2738</v>
      </c>
      <c r="H843" t="s">
        <v>307</v>
      </c>
      <c r="I843" t="s">
        <v>308</v>
      </c>
      <c r="J843">
        <v>5</v>
      </c>
      <c r="K843" t="s">
        <v>26</v>
      </c>
      <c r="L843" t="s">
        <v>2143</v>
      </c>
      <c r="M843" t="s">
        <v>2107</v>
      </c>
      <c r="N843" t="s">
        <v>310</v>
      </c>
      <c r="O843" t="s">
        <v>252</v>
      </c>
      <c r="P843" t="s">
        <v>404</v>
      </c>
    </row>
    <row r="844" spans="1:16" x14ac:dyDescent="0.25">
      <c r="A844" t="s">
        <v>2739</v>
      </c>
      <c r="B844" t="s">
        <v>2610</v>
      </c>
      <c r="C844" s="1" t="s">
        <v>2740</v>
      </c>
      <c r="D844" t="s">
        <v>63</v>
      </c>
      <c r="E844" t="s">
        <v>64</v>
      </c>
      <c r="F844" s="2">
        <v>2516379.75</v>
      </c>
      <c r="G844" s="1" t="s">
        <v>2741</v>
      </c>
      <c r="H844" t="s">
        <v>307</v>
      </c>
      <c r="I844" t="s">
        <v>308</v>
      </c>
      <c r="J844">
        <v>5</v>
      </c>
      <c r="K844" t="s">
        <v>26</v>
      </c>
      <c r="L844" t="s">
        <v>2143</v>
      </c>
      <c r="M844" t="s">
        <v>2107</v>
      </c>
      <c r="N844" t="s">
        <v>310</v>
      </c>
      <c r="O844" t="s">
        <v>252</v>
      </c>
      <c r="P844" t="s">
        <v>404</v>
      </c>
    </row>
    <row r="845" spans="1:16" x14ac:dyDescent="0.25">
      <c r="A845" t="s">
        <v>2742</v>
      </c>
      <c r="B845" t="s">
        <v>2610</v>
      </c>
      <c r="C845" s="1" t="s">
        <v>2743</v>
      </c>
      <c r="D845" t="s">
        <v>63</v>
      </c>
      <c r="E845" t="s">
        <v>64</v>
      </c>
      <c r="F845" s="2">
        <v>2668412.75</v>
      </c>
      <c r="G845" s="1" t="s">
        <v>2744</v>
      </c>
      <c r="H845" t="s">
        <v>307</v>
      </c>
      <c r="I845" t="s">
        <v>308</v>
      </c>
      <c r="J845">
        <v>5</v>
      </c>
      <c r="K845" t="s">
        <v>26</v>
      </c>
      <c r="L845" t="s">
        <v>2143</v>
      </c>
      <c r="M845" t="s">
        <v>2107</v>
      </c>
      <c r="N845" t="s">
        <v>310</v>
      </c>
      <c r="O845" t="s">
        <v>252</v>
      </c>
      <c r="P845" t="s">
        <v>404</v>
      </c>
    </row>
    <row r="846" spans="1:16" x14ac:dyDescent="0.25">
      <c r="A846" t="s">
        <v>2745</v>
      </c>
      <c r="B846" t="s">
        <v>2610</v>
      </c>
      <c r="C846" s="1" t="s">
        <v>2746</v>
      </c>
      <c r="D846" t="s">
        <v>63</v>
      </c>
      <c r="E846" t="s">
        <v>64</v>
      </c>
      <c r="F846" s="2">
        <v>3020140.75</v>
      </c>
      <c r="G846" s="1" t="s">
        <v>2747</v>
      </c>
      <c r="H846" t="s">
        <v>307</v>
      </c>
      <c r="I846" t="s">
        <v>308</v>
      </c>
      <c r="J846">
        <v>5</v>
      </c>
      <c r="K846" t="s">
        <v>26</v>
      </c>
      <c r="L846" t="s">
        <v>2143</v>
      </c>
      <c r="M846" t="s">
        <v>2107</v>
      </c>
      <c r="N846" t="s">
        <v>310</v>
      </c>
      <c r="O846" t="s">
        <v>252</v>
      </c>
      <c r="P846" t="s">
        <v>404</v>
      </c>
    </row>
    <row r="847" spans="1:16" x14ac:dyDescent="0.25">
      <c r="A847" t="s">
        <v>2748</v>
      </c>
      <c r="B847" t="s">
        <v>2610</v>
      </c>
      <c r="C847" s="1" t="s">
        <v>2749</v>
      </c>
      <c r="D847" t="s">
        <v>63</v>
      </c>
      <c r="E847" t="s">
        <v>64</v>
      </c>
      <c r="F847" s="2">
        <v>3172161.75</v>
      </c>
      <c r="G847" s="1" t="s">
        <v>2750</v>
      </c>
      <c r="H847" t="s">
        <v>307</v>
      </c>
      <c r="I847" t="s">
        <v>308</v>
      </c>
      <c r="J847">
        <v>5</v>
      </c>
      <c r="K847" t="s">
        <v>26</v>
      </c>
      <c r="L847" t="s">
        <v>2143</v>
      </c>
      <c r="M847" t="s">
        <v>2107</v>
      </c>
      <c r="N847" t="s">
        <v>310</v>
      </c>
      <c r="O847" t="s">
        <v>252</v>
      </c>
      <c r="P847" t="s">
        <v>404</v>
      </c>
    </row>
    <row r="848" spans="1:16" x14ac:dyDescent="0.25">
      <c r="A848" t="s">
        <v>2751</v>
      </c>
      <c r="B848" t="s">
        <v>2610</v>
      </c>
      <c r="C848" s="1" t="s">
        <v>2752</v>
      </c>
      <c r="D848" t="s">
        <v>63</v>
      </c>
      <c r="E848" t="s">
        <v>64</v>
      </c>
      <c r="F848" s="2">
        <v>766294.75</v>
      </c>
      <c r="G848" s="1" t="s">
        <v>2753</v>
      </c>
      <c r="H848" t="s">
        <v>307</v>
      </c>
      <c r="I848" t="s">
        <v>308</v>
      </c>
      <c r="J848">
        <v>5</v>
      </c>
      <c r="K848" t="s">
        <v>26</v>
      </c>
      <c r="L848" t="s">
        <v>2143</v>
      </c>
      <c r="M848" t="s">
        <v>2107</v>
      </c>
      <c r="N848" t="s">
        <v>310</v>
      </c>
      <c r="O848" t="s">
        <v>252</v>
      </c>
      <c r="P848" t="s">
        <v>404</v>
      </c>
    </row>
    <row r="849" spans="1:16" x14ac:dyDescent="0.25">
      <c r="A849" t="s">
        <v>2754</v>
      </c>
      <c r="B849" t="s">
        <v>2610</v>
      </c>
      <c r="C849" s="1" t="s">
        <v>2755</v>
      </c>
      <c r="D849" t="s">
        <v>63</v>
      </c>
      <c r="E849" t="s">
        <v>64</v>
      </c>
      <c r="F849" s="2">
        <v>1005486.75</v>
      </c>
      <c r="G849" s="1" t="s">
        <v>2756</v>
      </c>
      <c r="H849" t="s">
        <v>307</v>
      </c>
      <c r="I849" t="s">
        <v>308</v>
      </c>
      <c r="J849">
        <v>5</v>
      </c>
      <c r="K849" t="s">
        <v>26</v>
      </c>
      <c r="L849" t="s">
        <v>2143</v>
      </c>
      <c r="M849" t="s">
        <v>2107</v>
      </c>
      <c r="N849" t="s">
        <v>310</v>
      </c>
      <c r="O849" t="s">
        <v>252</v>
      </c>
      <c r="P849" t="s">
        <v>404</v>
      </c>
    </row>
    <row r="850" spans="1:16" x14ac:dyDescent="0.25">
      <c r="A850" t="s">
        <v>2757</v>
      </c>
      <c r="B850" t="s">
        <v>2610</v>
      </c>
      <c r="C850" s="1" t="s">
        <v>2758</v>
      </c>
      <c r="D850" t="s">
        <v>63</v>
      </c>
      <c r="E850" t="s">
        <v>64</v>
      </c>
      <c r="F850" s="2">
        <v>23089.66</v>
      </c>
      <c r="G850" s="1" t="s">
        <v>2759</v>
      </c>
      <c r="H850" t="s">
        <v>307</v>
      </c>
      <c r="I850" t="s">
        <v>308</v>
      </c>
      <c r="J850">
        <v>6</v>
      </c>
      <c r="K850" t="s">
        <v>26</v>
      </c>
      <c r="L850" t="s">
        <v>2143</v>
      </c>
      <c r="M850" t="s">
        <v>2107</v>
      </c>
      <c r="N850" t="s">
        <v>310</v>
      </c>
      <c r="O850" t="s">
        <v>252</v>
      </c>
      <c r="P850" t="s">
        <v>404</v>
      </c>
    </row>
    <row r="851" spans="1:16" x14ac:dyDescent="0.25">
      <c r="A851" t="s">
        <v>2760</v>
      </c>
      <c r="B851" t="s">
        <v>2610</v>
      </c>
      <c r="C851" s="1" t="s">
        <v>2761</v>
      </c>
      <c r="D851" t="s">
        <v>63</v>
      </c>
      <c r="E851" t="s">
        <v>64</v>
      </c>
      <c r="F851" s="2">
        <v>392348.73</v>
      </c>
      <c r="G851" s="1" t="s">
        <v>2762</v>
      </c>
      <c r="H851" t="s">
        <v>307</v>
      </c>
      <c r="I851" t="s">
        <v>308</v>
      </c>
      <c r="J851">
        <v>6</v>
      </c>
      <c r="K851" t="s">
        <v>26</v>
      </c>
      <c r="L851" t="s">
        <v>2143</v>
      </c>
      <c r="M851" t="s">
        <v>2107</v>
      </c>
      <c r="N851" t="s">
        <v>310</v>
      </c>
      <c r="O851" t="s">
        <v>252</v>
      </c>
      <c r="P851" t="s">
        <v>404</v>
      </c>
    </row>
    <row r="852" spans="1:16" x14ac:dyDescent="0.25">
      <c r="A852" t="s">
        <v>2763</v>
      </c>
      <c r="B852" t="s">
        <v>2610</v>
      </c>
      <c r="C852" s="1" t="s">
        <v>406</v>
      </c>
      <c r="D852" t="s">
        <v>42</v>
      </c>
      <c r="E852" t="s">
        <v>43</v>
      </c>
      <c r="F852" s="2">
        <v>52659.53</v>
      </c>
      <c r="G852" s="1" t="s">
        <v>2764</v>
      </c>
      <c r="H852" t="s">
        <v>307</v>
      </c>
      <c r="I852" t="s">
        <v>308</v>
      </c>
      <c r="J852">
        <v>8</v>
      </c>
      <c r="K852" t="s">
        <v>26</v>
      </c>
      <c r="L852" t="s">
        <v>2143</v>
      </c>
      <c r="M852" t="s">
        <v>2107</v>
      </c>
      <c r="N852" t="s">
        <v>310</v>
      </c>
      <c r="O852" t="s">
        <v>252</v>
      </c>
      <c r="P852" t="s">
        <v>404</v>
      </c>
    </row>
    <row r="853" spans="1:16" x14ac:dyDescent="0.25">
      <c r="A853" t="s">
        <v>2765</v>
      </c>
      <c r="B853" t="s">
        <v>2610</v>
      </c>
      <c r="C853" s="1" t="s">
        <v>2766</v>
      </c>
      <c r="D853" t="s">
        <v>42</v>
      </c>
      <c r="E853" t="s">
        <v>43</v>
      </c>
      <c r="F853" s="2">
        <v>116678.2</v>
      </c>
      <c r="G853" s="1" t="s">
        <v>2767</v>
      </c>
      <c r="H853" t="s">
        <v>307</v>
      </c>
      <c r="I853" t="s">
        <v>308</v>
      </c>
      <c r="J853">
        <v>7</v>
      </c>
      <c r="K853" t="s">
        <v>26</v>
      </c>
      <c r="L853" t="s">
        <v>2143</v>
      </c>
      <c r="M853" t="s">
        <v>2107</v>
      </c>
      <c r="N853" t="s">
        <v>310</v>
      </c>
      <c r="O853" t="s">
        <v>252</v>
      </c>
      <c r="P853" t="s">
        <v>404</v>
      </c>
    </row>
    <row r="854" spans="1:16" x14ac:dyDescent="0.25">
      <c r="A854" t="s">
        <v>2768</v>
      </c>
      <c r="B854" t="s">
        <v>2610</v>
      </c>
      <c r="C854" s="1" t="s">
        <v>2769</v>
      </c>
      <c r="D854" t="s">
        <v>42</v>
      </c>
      <c r="E854" t="s">
        <v>43</v>
      </c>
      <c r="F854" s="2">
        <v>167900.7</v>
      </c>
      <c r="G854" s="1" t="s">
        <v>2770</v>
      </c>
      <c r="H854" t="s">
        <v>307</v>
      </c>
      <c r="I854" t="s">
        <v>308</v>
      </c>
      <c r="J854">
        <v>8</v>
      </c>
      <c r="K854" t="s">
        <v>26</v>
      </c>
      <c r="L854" t="s">
        <v>2143</v>
      </c>
      <c r="M854" t="s">
        <v>2107</v>
      </c>
      <c r="N854" t="s">
        <v>310</v>
      </c>
      <c r="O854" t="s">
        <v>252</v>
      </c>
      <c r="P854" t="s">
        <v>404</v>
      </c>
    </row>
    <row r="855" spans="1:16" x14ac:dyDescent="0.25">
      <c r="A855" t="s">
        <v>2771</v>
      </c>
      <c r="B855" t="s">
        <v>2610</v>
      </c>
      <c r="C855" s="1" t="s">
        <v>2772</v>
      </c>
      <c r="D855" t="s">
        <v>42</v>
      </c>
      <c r="E855" t="s">
        <v>43</v>
      </c>
      <c r="F855" s="2">
        <v>198009.2</v>
      </c>
      <c r="G855" s="1" t="s">
        <v>2773</v>
      </c>
      <c r="H855" t="s">
        <v>307</v>
      </c>
      <c r="I855" t="s">
        <v>308</v>
      </c>
      <c r="J855">
        <v>7</v>
      </c>
      <c r="K855" t="s">
        <v>26</v>
      </c>
      <c r="L855" t="s">
        <v>2143</v>
      </c>
      <c r="M855" t="s">
        <v>2107</v>
      </c>
      <c r="N855" t="s">
        <v>310</v>
      </c>
      <c r="O855" t="s">
        <v>252</v>
      </c>
      <c r="P855" t="s">
        <v>404</v>
      </c>
    </row>
    <row r="856" spans="1:16" x14ac:dyDescent="0.25">
      <c r="A856" t="s">
        <v>2774</v>
      </c>
      <c r="B856" t="s">
        <v>2610</v>
      </c>
      <c r="C856" s="1" t="s">
        <v>2775</v>
      </c>
      <c r="D856" t="s">
        <v>42</v>
      </c>
      <c r="E856" t="s">
        <v>43</v>
      </c>
      <c r="F856" s="2">
        <v>256135.44</v>
      </c>
      <c r="G856" s="1" t="s">
        <v>2776</v>
      </c>
      <c r="H856" t="s">
        <v>307</v>
      </c>
      <c r="I856" t="s">
        <v>308</v>
      </c>
      <c r="J856">
        <v>7</v>
      </c>
      <c r="K856" t="s">
        <v>26</v>
      </c>
      <c r="L856" t="s">
        <v>2143</v>
      </c>
      <c r="M856" t="s">
        <v>2107</v>
      </c>
      <c r="N856" t="s">
        <v>310</v>
      </c>
      <c r="O856" t="s">
        <v>252</v>
      </c>
      <c r="P856" t="s">
        <v>404</v>
      </c>
    </row>
    <row r="857" spans="1:16" x14ac:dyDescent="0.25">
      <c r="A857" t="s">
        <v>2777</v>
      </c>
      <c r="B857" t="s">
        <v>2610</v>
      </c>
      <c r="C857" s="1" t="s">
        <v>2778</v>
      </c>
      <c r="D857" t="s">
        <v>42</v>
      </c>
      <c r="E857" t="s">
        <v>43</v>
      </c>
      <c r="F857" s="2">
        <v>315599.02</v>
      </c>
      <c r="G857" s="1" t="s">
        <v>2779</v>
      </c>
      <c r="H857" t="s">
        <v>307</v>
      </c>
      <c r="I857" t="s">
        <v>308</v>
      </c>
      <c r="J857">
        <v>7</v>
      </c>
      <c r="K857" t="s">
        <v>26</v>
      </c>
      <c r="L857" t="s">
        <v>2143</v>
      </c>
      <c r="M857" t="s">
        <v>2107</v>
      </c>
      <c r="N857" t="s">
        <v>310</v>
      </c>
      <c r="O857" t="s">
        <v>252</v>
      </c>
      <c r="P857" t="s">
        <v>404</v>
      </c>
    </row>
    <row r="858" spans="1:16" x14ac:dyDescent="0.25">
      <c r="A858" t="s">
        <v>2780</v>
      </c>
      <c r="B858" t="s">
        <v>2610</v>
      </c>
      <c r="C858" s="1" t="s">
        <v>410</v>
      </c>
      <c r="D858" t="s">
        <v>42</v>
      </c>
      <c r="E858" t="s">
        <v>43</v>
      </c>
      <c r="F858" s="2">
        <v>28446.36</v>
      </c>
      <c r="G858" s="1" t="s">
        <v>2781</v>
      </c>
      <c r="H858" t="s">
        <v>307</v>
      </c>
      <c r="I858" t="s">
        <v>308</v>
      </c>
      <c r="J858">
        <v>7</v>
      </c>
      <c r="K858" t="s">
        <v>26</v>
      </c>
      <c r="L858" t="s">
        <v>2143</v>
      </c>
      <c r="M858" t="s">
        <v>2107</v>
      </c>
      <c r="N858" t="s">
        <v>310</v>
      </c>
      <c r="O858" t="s">
        <v>252</v>
      </c>
      <c r="P858" t="s">
        <v>404</v>
      </c>
    </row>
    <row r="859" spans="1:16" x14ac:dyDescent="0.25">
      <c r="A859" t="s">
        <v>2782</v>
      </c>
      <c r="B859" t="s">
        <v>2610</v>
      </c>
      <c r="C859" s="1" t="s">
        <v>2783</v>
      </c>
      <c r="D859" t="s">
        <v>42</v>
      </c>
      <c r="E859" t="s">
        <v>43</v>
      </c>
      <c r="F859" s="2">
        <v>70714.01</v>
      </c>
      <c r="G859" s="1" t="s">
        <v>2784</v>
      </c>
      <c r="H859" t="s">
        <v>307</v>
      </c>
      <c r="I859" t="s">
        <v>308</v>
      </c>
      <c r="J859">
        <v>8</v>
      </c>
      <c r="K859" t="s">
        <v>26</v>
      </c>
      <c r="L859" t="s">
        <v>2143</v>
      </c>
      <c r="M859" t="s">
        <v>2107</v>
      </c>
      <c r="N859" t="s">
        <v>310</v>
      </c>
      <c r="O859" t="s">
        <v>252</v>
      </c>
      <c r="P859" t="s">
        <v>404</v>
      </c>
    </row>
    <row r="860" spans="1:16" x14ac:dyDescent="0.25">
      <c r="A860" t="s">
        <v>2785</v>
      </c>
      <c r="B860" t="s">
        <v>2610</v>
      </c>
      <c r="C860" s="1" t="s">
        <v>2786</v>
      </c>
      <c r="D860" t="s">
        <v>42</v>
      </c>
      <c r="E860" t="s">
        <v>43</v>
      </c>
      <c r="F860" s="2">
        <v>449969</v>
      </c>
      <c r="G860" s="1" t="s">
        <v>2787</v>
      </c>
      <c r="H860" t="s">
        <v>307</v>
      </c>
      <c r="I860" t="s">
        <v>308</v>
      </c>
      <c r="J860">
        <v>6</v>
      </c>
      <c r="K860" t="s">
        <v>26</v>
      </c>
      <c r="L860" t="s">
        <v>2143</v>
      </c>
      <c r="M860" t="s">
        <v>2107</v>
      </c>
      <c r="N860" t="s">
        <v>310</v>
      </c>
      <c r="O860" t="s">
        <v>252</v>
      </c>
      <c r="P860" t="s">
        <v>404</v>
      </c>
    </row>
    <row r="861" spans="1:16" x14ac:dyDescent="0.25">
      <c r="A861" t="s">
        <v>2788</v>
      </c>
      <c r="B861" t="s">
        <v>2610</v>
      </c>
      <c r="C861" s="1" t="s">
        <v>2789</v>
      </c>
      <c r="D861" t="s">
        <v>42</v>
      </c>
      <c r="E861" t="s">
        <v>43</v>
      </c>
      <c r="F861" s="2">
        <v>1171904</v>
      </c>
      <c r="G861" s="1" t="s">
        <v>2790</v>
      </c>
      <c r="H861" t="s">
        <v>307</v>
      </c>
      <c r="I861" t="s">
        <v>308</v>
      </c>
      <c r="J861">
        <v>6</v>
      </c>
      <c r="K861" t="s">
        <v>26</v>
      </c>
      <c r="L861" t="s">
        <v>2143</v>
      </c>
      <c r="M861" t="s">
        <v>2107</v>
      </c>
      <c r="N861" t="s">
        <v>310</v>
      </c>
      <c r="O861" t="s">
        <v>252</v>
      </c>
      <c r="P861" t="s">
        <v>404</v>
      </c>
    </row>
    <row r="862" spans="1:16" x14ac:dyDescent="0.25">
      <c r="A862" t="s">
        <v>2791</v>
      </c>
      <c r="B862" t="s">
        <v>2610</v>
      </c>
      <c r="C862" s="1" t="s">
        <v>2792</v>
      </c>
      <c r="D862" t="s">
        <v>42</v>
      </c>
      <c r="E862" t="s">
        <v>43</v>
      </c>
      <c r="F862" s="2">
        <v>1832004</v>
      </c>
      <c r="G862" s="1" t="s">
        <v>2793</v>
      </c>
      <c r="H862" t="s">
        <v>307</v>
      </c>
      <c r="I862" t="s">
        <v>308</v>
      </c>
      <c r="J862">
        <v>6</v>
      </c>
      <c r="K862" t="s">
        <v>26</v>
      </c>
      <c r="L862" t="s">
        <v>2143</v>
      </c>
      <c r="M862" t="s">
        <v>2107</v>
      </c>
      <c r="N862" t="s">
        <v>310</v>
      </c>
      <c r="O862" t="s">
        <v>252</v>
      </c>
      <c r="P862" t="s">
        <v>404</v>
      </c>
    </row>
    <row r="863" spans="1:16" x14ac:dyDescent="0.25">
      <c r="A863" t="s">
        <v>2794</v>
      </c>
      <c r="B863" t="s">
        <v>2610</v>
      </c>
      <c r="C863" s="1" t="s">
        <v>2795</v>
      </c>
      <c r="D863" t="s">
        <v>42</v>
      </c>
      <c r="E863" t="s">
        <v>43</v>
      </c>
      <c r="F863" s="2">
        <v>38682.09</v>
      </c>
      <c r="G863" s="1" t="s">
        <v>2796</v>
      </c>
      <c r="H863" t="s">
        <v>307</v>
      </c>
      <c r="I863" t="s">
        <v>308</v>
      </c>
      <c r="J863">
        <v>8</v>
      </c>
      <c r="K863" t="s">
        <v>26</v>
      </c>
      <c r="L863" t="s">
        <v>2143</v>
      </c>
      <c r="M863" t="s">
        <v>2107</v>
      </c>
      <c r="N863" t="s">
        <v>310</v>
      </c>
      <c r="O863" t="s">
        <v>252</v>
      </c>
      <c r="P863" t="s">
        <v>404</v>
      </c>
    </row>
    <row r="864" spans="1:16" x14ac:dyDescent="0.25">
      <c r="A864" t="s">
        <v>2797</v>
      </c>
      <c r="B864" t="s">
        <v>2610</v>
      </c>
      <c r="C864" s="1" t="s">
        <v>2798</v>
      </c>
      <c r="D864" t="s">
        <v>42</v>
      </c>
      <c r="E864" t="s">
        <v>43</v>
      </c>
      <c r="F864" s="2">
        <v>68466.89</v>
      </c>
      <c r="G864" s="1" t="s">
        <v>2799</v>
      </c>
      <c r="H864" t="s">
        <v>307</v>
      </c>
      <c r="I864" t="s">
        <v>308</v>
      </c>
      <c r="J864">
        <v>7</v>
      </c>
      <c r="K864" t="s">
        <v>26</v>
      </c>
      <c r="L864" t="s">
        <v>2143</v>
      </c>
      <c r="M864" t="s">
        <v>2107</v>
      </c>
      <c r="N864" t="s">
        <v>310</v>
      </c>
      <c r="O864" t="s">
        <v>252</v>
      </c>
      <c r="P864" t="s">
        <v>404</v>
      </c>
    </row>
    <row r="865" spans="1:16" x14ac:dyDescent="0.25">
      <c r="A865" t="s">
        <v>2800</v>
      </c>
      <c r="B865" t="s">
        <v>2610</v>
      </c>
      <c r="C865" s="1" t="s">
        <v>2801</v>
      </c>
      <c r="D865" t="s">
        <v>42</v>
      </c>
      <c r="E865" t="s">
        <v>43</v>
      </c>
      <c r="F865" s="2">
        <v>115425.48</v>
      </c>
      <c r="G865" s="1" t="s">
        <v>2802</v>
      </c>
      <c r="H865" t="s">
        <v>307</v>
      </c>
      <c r="I865" t="s">
        <v>308</v>
      </c>
      <c r="J865">
        <v>7</v>
      </c>
      <c r="K865" t="s">
        <v>26</v>
      </c>
      <c r="L865" t="s">
        <v>2143</v>
      </c>
      <c r="M865" t="s">
        <v>2107</v>
      </c>
      <c r="N865" t="s">
        <v>310</v>
      </c>
      <c r="O865" t="s">
        <v>252</v>
      </c>
      <c r="P865" t="s">
        <v>404</v>
      </c>
    </row>
    <row r="866" spans="1:16" x14ac:dyDescent="0.25">
      <c r="A866" t="s">
        <v>2803</v>
      </c>
      <c r="B866" t="s">
        <v>2610</v>
      </c>
      <c r="C866" s="1" t="s">
        <v>2804</v>
      </c>
      <c r="D866" t="s">
        <v>63</v>
      </c>
      <c r="E866" t="s">
        <v>64</v>
      </c>
      <c r="F866" s="2">
        <v>24468.02</v>
      </c>
      <c r="G866" s="1" t="s">
        <v>2805</v>
      </c>
      <c r="H866" t="s">
        <v>307</v>
      </c>
      <c r="I866" t="s">
        <v>308</v>
      </c>
      <c r="J866">
        <v>6</v>
      </c>
      <c r="K866" t="s">
        <v>26</v>
      </c>
      <c r="L866" t="s">
        <v>2143</v>
      </c>
      <c r="M866" t="s">
        <v>2107</v>
      </c>
      <c r="N866" t="s">
        <v>310</v>
      </c>
      <c r="O866" t="s">
        <v>252</v>
      </c>
      <c r="P866" t="s">
        <v>404</v>
      </c>
    </row>
    <row r="867" spans="1:16" x14ac:dyDescent="0.25">
      <c r="A867" t="s">
        <v>2806</v>
      </c>
      <c r="B867" t="s">
        <v>2610</v>
      </c>
      <c r="C867" s="1" t="s">
        <v>2807</v>
      </c>
      <c r="D867" t="s">
        <v>63</v>
      </c>
      <c r="E867" t="s">
        <v>64</v>
      </c>
      <c r="F867" s="2">
        <v>8823.41</v>
      </c>
      <c r="G867" s="1" t="s">
        <v>2808</v>
      </c>
      <c r="H867" t="s">
        <v>307</v>
      </c>
      <c r="I867" t="s">
        <v>308</v>
      </c>
      <c r="J867">
        <v>6</v>
      </c>
      <c r="K867" t="s">
        <v>26</v>
      </c>
      <c r="L867" t="s">
        <v>2143</v>
      </c>
      <c r="M867" t="s">
        <v>2107</v>
      </c>
      <c r="N867" t="s">
        <v>310</v>
      </c>
      <c r="O867" t="s">
        <v>252</v>
      </c>
      <c r="P867" t="s">
        <v>404</v>
      </c>
    </row>
    <row r="868" spans="1:16" x14ac:dyDescent="0.25">
      <c r="A868" t="s">
        <v>2809</v>
      </c>
      <c r="B868" t="s">
        <v>2610</v>
      </c>
      <c r="C868" s="1" t="s">
        <v>2810</v>
      </c>
      <c r="D868" t="s">
        <v>63</v>
      </c>
      <c r="E868" t="s">
        <v>64</v>
      </c>
      <c r="F868" s="2">
        <v>16818.88</v>
      </c>
      <c r="G868" s="1" t="s">
        <v>2811</v>
      </c>
      <c r="H868" t="s">
        <v>307</v>
      </c>
      <c r="I868" t="s">
        <v>308</v>
      </c>
      <c r="J868">
        <v>6</v>
      </c>
      <c r="K868" t="s">
        <v>26</v>
      </c>
      <c r="L868" t="s">
        <v>2143</v>
      </c>
      <c r="M868" t="s">
        <v>2107</v>
      </c>
      <c r="N868" t="s">
        <v>310</v>
      </c>
      <c r="O868" t="s">
        <v>252</v>
      </c>
      <c r="P868" t="s">
        <v>404</v>
      </c>
    </row>
    <row r="869" spans="1:16" x14ac:dyDescent="0.25">
      <c r="A869" t="s">
        <v>2812</v>
      </c>
      <c r="B869" t="s">
        <v>2610</v>
      </c>
      <c r="C869" s="1" t="s">
        <v>2813</v>
      </c>
      <c r="D869" t="s">
        <v>63</v>
      </c>
      <c r="E869" t="s">
        <v>64</v>
      </c>
      <c r="F869" s="2">
        <v>27920.18</v>
      </c>
      <c r="G869" s="1" t="s">
        <v>2814</v>
      </c>
      <c r="H869" t="s">
        <v>307</v>
      </c>
      <c r="I869" t="s">
        <v>308</v>
      </c>
      <c r="J869">
        <v>6</v>
      </c>
      <c r="K869" t="s">
        <v>26</v>
      </c>
      <c r="L869" t="s">
        <v>2143</v>
      </c>
      <c r="M869" t="s">
        <v>2107</v>
      </c>
      <c r="N869" t="s">
        <v>310</v>
      </c>
      <c r="O869" t="s">
        <v>252</v>
      </c>
      <c r="P869" t="s">
        <v>404</v>
      </c>
    </row>
    <row r="870" spans="1:16" x14ac:dyDescent="0.25">
      <c r="A870" t="s">
        <v>2815</v>
      </c>
      <c r="B870" t="s">
        <v>2610</v>
      </c>
      <c r="C870" s="1" t="s">
        <v>2816</v>
      </c>
      <c r="D870" t="s">
        <v>63</v>
      </c>
      <c r="E870" t="s">
        <v>64</v>
      </c>
      <c r="F870" s="2">
        <v>132163.68</v>
      </c>
      <c r="G870" s="1" t="s">
        <v>2817</v>
      </c>
      <c r="H870" t="s">
        <v>307</v>
      </c>
      <c r="I870" t="s">
        <v>308</v>
      </c>
      <c r="J870">
        <v>6</v>
      </c>
      <c r="K870" t="s">
        <v>26</v>
      </c>
      <c r="L870" t="s">
        <v>2143</v>
      </c>
      <c r="M870" t="s">
        <v>2107</v>
      </c>
      <c r="N870" t="s">
        <v>310</v>
      </c>
      <c r="O870" t="s">
        <v>252</v>
      </c>
      <c r="P870" t="s">
        <v>404</v>
      </c>
    </row>
    <row r="871" spans="1:16" x14ac:dyDescent="0.25">
      <c r="A871" t="s">
        <v>2818</v>
      </c>
      <c r="B871" t="s">
        <v>2610</v>
      </c>
      <c r="C871" s="1" t="s">
        <v>2819</v>
      </c>
      <c r="D871" t="s">
        <v>63</v>
      </c>
      <c r="E871" t="s">
        <v>64</v>
      </c>
      <c r="F871" s="2">
        <v>4319.17</v>
      </c>
      <c r="G871" s="1" t="s">
        <v>2820</v>
      </c>
      <c r="H871" t="s">
        <v>307</v>
      </c>
      <c r="I871" t="s">
        <v>308</v>
      </c>
      <c r="J871">
        <v>6</v>
      </c>
      <c r="K871" t="s">
        <v>26</v>
      </c>
      <c r="L871" t="s">
        <v>2322</v>
      </c>
      <c r="M871" t="s">
        <v>2107</v>
      </c>
      <c r="N871" t="s">
        <v>310</v>
      </c>
      <c r="O871" t="s">
        <v>252</v>
      </c>
      <c r="P871" t="s">
        <v>31</v>
      </c>
    </row>
    <row r="872" spans="1:16" x14ac:dyDescent="0.25">
      <c r="A872" t="s">
        <v>2821</v>
      </c>
      <c r="B872" t="s">
        <v>2610</v>
      </c>
      <c r="C872" s="1" t="s">
        <v>2822</v>
      </c>
      <c r="D872" t="s">
        <v>63</v>
      </c>
      <c r="E872" t="s">
        <v>64</v>
      </c>
      <c r="F872" s="2">
        <v>5778.38</v>
      </c>
      <c r="G872" s="1" t="s">
        <v>2823</v>
      </c>
      <c r="H872" t="s">
        <v>307</v>
      </c>
      <c r="I872" t="s">
        <v>308</v>
      </c>
      <c r="J872">
        <v>6</v>
      </c>
      <c r="K872" t="s">
        <v>26</v>
      </c>
      <c r="L872" t="s">
        <v>2322</v>
      </c>
      <c r="M872" t="s">
        <v>2107</v>
      </c>
      <c r="N872" t="s">
        <v>310</v>
      </c>
      <c r="O872" t="s">
        <v>252</v>
      </c>
      <c r="P872" t="s">
        <v>31</v>
      </c>
    </row>
    <row r="873" spans="1:16" x14ac:dyDescent="0.25">
      <c r="A873" t="s">
        <v>2824</v>
      </c>
      <c r="B873" t="s">
        <v>2610</v>
      </c>
      <c r="C873" s="1" t="s">
        <v>2825</v>
      </c>
      <c r="D873" t="s">
        <v>63</v>
      </c>
      <c r="E873" t="s">
        <v>64</v>
      </c>
      <c r="F873" s="2">
        <v>9532.86</v>
      </c>
      <c r="G873" s="1" t="s">
        <v>2826</v>
      </c>
      <c r="H873" t="s">
        <v>307</v>
      </c>
      <c r="I873" t="s">
        <v>308</v>
      </c>
      <c r="J873">
        <v>6</v>
      </c>
      <c r="K873" t="s">
        <v>26</v>
      </c>
      <c r="L873" t="s">
        <v>2322</v>
      </c>
      <c r="M873" t="s">
        <v>2107</v>
      </c>
      <c r="N873" t="s">
        <v>310</v>
      </c>
      <c r="O873" t="s">
        <v>252</v>
      </c>
      <c r="P873" t="s">
        <v>31</v>
      </c>
    </row>
    <row r="874" spans="1:16" x14ac:dyDescent="0.25">
      <c r="A874" t="s">
        <v>2827</v>
      </c>
      <c r="B874" t="s">
        <v>2610</v>
      </c>
      <c r="C874" s="1" t="s">
        <v>2828</v>
      </c>
      <c r="D874" t="s">
        <v>63</v>
      </c>
      <c r="E874" t="s">
        <v>64</v>
      </c>
      <c r="F874" s="2">
        <v>35868.09</v>
      </c>
      <c r="G874" s="1" t="s">
        <v>2829</v>
      </c>
      <c r="H874" t="s">
        <v>307</v>
      </c>
      <c r="I874" t="s">
        <v>308</v>
      </c>
      <c r="J874">
        <v>6</v>
      </c>
      <c r="K874" t="s">
        <v>26</v>
      </c>
      <c r="L874" t="s">
        <v>2322</v>
      </c>
      <c r="M874" t="s">
        <v>2107</v>
      </c>
      <c r="N874" t="s">
        <v>310</v>
      </c>
      <c r="O874" t="s">
        <v>252</v>
      </c>
      <c r="P874" t="s">
        <v>31</v>
      </c>
    </row>
    <row r="875" spans="1:16" x14ac:dyDescent="0.25">
      <c r="A875" t="s">
        <v>2830</v>
      </c>
      <c r="B875" t="s">
        <v>2610</v>
      </c>
      <c r="C875" s="1" t="s">
        <v>2831</v>
      </c>
      <c r="D875" t="s">
        <v>63</v>
      </c>
      <c r="E875" t="s">
        <v>64</v>
      </c>
      <c r="F875" s="2">
        <v>98424.53</v>
      </c>
      <c r="G875" s="1" t="s">
        <v>2832</v>
      </c>
      <c r="H875" t="s">
        <v>307</v>
      </c>
      <c r="I875" t="s">
        <v>308</v>
      </c>
      <c r="J875">
        <v>6</v>
      </c>
      <c r="K875" t="s">
        <v>26</v>
      </c>
      <c r="L875" t="s">
        <v>2322</v>
      </c>
      <c r="M875" t="s">
        <v>2107</v>
      </c>
      <c r="N875" t="s">
        <v>310</v>
      </c>
      <c r="O875" t="s">
        <v>252</v>
      </c>
      <c r="P875" t="s">
        <v>31</v>
      </c>
    </row>
    <row r="876" spans="1:16" x14ac:dyDescent="0.25">
      <c r="A876" t="s">
        <v>2833</v>
      </c>
      <c r="B876" t="s">
        <v>2834</v>
      </c>
      <c r="C876" s="1" t="s">
        <v>2835</v>
      </c>
      <c r="D876" t="s">
        <v>63</v>
      </c>
      <c r="E876" t="s">
        <v>64</v>
      </c>
      <c r="F876" s="2">
        <v>1040862.74</v>
      </c>
      <c r="G876" s="1" t="s">
        <v>2836</v>
      </c>
      <c r="H876" t="s">
        <v>307</v>
      </c>
      <c r="I876" t="s">
        <v>308</v>
      </c>
      <c r="J876">
        <v>10</v>
      </c>
      <c r="K876" t="s">
        <v>26</v>
      </c>
      <c r="L876" t="s">
        <v>2322</v>
      </c>
      <c r="M876" t="s">
        <v>2107</v>
      </c>
      <c r="N876" t="s">
        <v>310</v>
      </c>
      <c r="O876" t="s">
        <v>252</v>
      </c>
      <c r="P876" t="s">
        <v>31</v>
      </c>
    </row>
    <row r="877" spans="1:16" x14ac:dyDescent="0.25">
      <c r="A877" t="s">
        <v>2837</v>
      </c>
      <c r="B877" t="s">
        <v>2834</v>
      </c>
      <c r="C877" s="1" t="s">
        <v>2838</v>
      </c>
      <c r="D877" t="s">
        <v>63</v>
      </c>
      <c r="E877" t="s">
        <v>64</v>
      </c>
      <c r="F877" s="2">
        <v>1323152.25</v>
      </c>
      <c r="G877" s="1" t="s">
        <v>2839</v>
      </c>
      <c r="H877" t="s">
        <v>307</v>
      </c>
      <c r="I877" t="s">
        <v>308</v>
      </c>
      <c r="J877">
        <v>10</v>
      </c>
      <c r="K877" t="s">
        <v>26</v>
      </c>
      <c r="L877" t="s">
        <v>2322</v>
      </c>
      <c r="M877" t="s">
        <v>2107</v>
      </c>
      <c r="N877" t="s">
        <v>310</v>
      </c>
      <c r="O877" t="s">
        <v>252</v>
      </c>
      <c r="P877" t="s">
        <v>31</v>
      </c>
    </row>
    <row r="878" spans="1:16" x14ac:dyDescent="0.25">
      <c r="A878" t="s">
        <v>2840</v>
      </c>
      <c r="B878" t="s">
        <v>2834</v>
      </c>
      <c r="C878" s="1" t="s">
        <v>2841</v>
      </c>
      <c r="D878" t="s">
        <v>42</v>
      </c>
      <c r="E878" t="s">
        <v>43</v>
      </c>
      <c r="F878" s="2">
        <v>86594.32</v>
      </c>
      <c r="G878" s="1" t="s">
        <v>2842</v>
      </c>
      <c r="H878" t="s">
        <v>307</v>
      </c>
      <c r="I878" t="s">
        <v>308</v>
      </c>
      <c r="J878">
        <v>7</v>
      </c>
      <c r="K878" t="s">
        <v>26</v>
      </c>
      <c r="L878" t="s">
        <v>2322</v>
      </c>
      <c r="M878" t="s">
        <v>2107</v>
      </c>
      <c r="N878" t="s">
        <v>310</v>
      </c>
      <c r="O878" t="s">
        <v>252</v>
      </c>
      <c r="P878" t="s">
        <v>31</v>
      </c>
    </row>
    <row r="879" spans="1:16" x14ac:dyDescent="0.25">
      <c r="A879" t="s">
        <v>2843</v>
      </c>
      <c r="B879" t="s">
        <v>2834</v>
      </c>
      <c r="C879" s="1" t="s">
        <v>2844</v>
      </c>
      <c r="D879" t="s">
        <v>63</v>
      </c>
      <c r="E879" t="s">
        <v>64</v>
      </c>
      <c r="F879" s="2">
        <v>359721.13</v>
      </c>
      <c r="G879" s="1" t="s">
        <v>2845</v>
      </c>
      <c r="H879" t="s">
        <v>307</v>
      </c>
      <c r="I879" t="s">
        <v>308</v>
      </c>
      <c r="J879">
        <v>8</v>
      </c>
      <c r="K879" t="s">
        <v>26</v>
      </c>
      <c r="L879" t="s">
        <v>2322</v>
      </c>
      <c r="M879" t="s">
        <v>2107</v>
      </c>
      <c r="N879" t="s">
        <v>310</v>
      </c>
      <c r="O879" t="s">
        <v>252</v>
      </c>
      <c r="P879" t="s">
        <v>31</v>
      </c>
    </row>
    <row r="880" spans="1:16" x14ac:dyDescent="0.25">
      <c r="A880" t="s">
        <v>2846</v>
      </c>
      <c r="B880" t="s">
        <v>2834</v>
      </c>
      <c r="C880" s="1" t="s">
        <v>2847</v>
      </c>
      <c r="D880" t="s">
        <v>63</v>
      </c>
      <c r="E880" t="s">
        <v>64</v>
      </c>
      <c r="F880" s="2">
        <v>475124.33</v>
      </c>
      <c r="G880" s="1" t="s">
        <v>2848</v>
      </c>
      <c r="H880" t="s">
        <v>307</v>
      </c>
      <c r="I880" t="s">
        <v>743</v>
      </c>
      <c r="J880">
        <v>4</v>
      </c>
      <c r="K880" t="s">
        <v>26</v>
      </c>
      <c r="L880" t="s">
        <v>2849</v>
      </c>
      <c r="M880" t="s">
        <v>2107</v>
      </c>
      <c r="N880" t="s">
        <v>310</v>
      </c>
      <c r="O880" t="s">
        <v>745</v>
      </c>
      <c r="P880" t="s">
        <v>31</v>
      </c>
    </row>
    <row r="881" spans="1:16" x14ac:dyDescent="0.25">
      <c r="A881" t="s">
        <v>2850</v>
      </c>
      <c r="B881" t="s">
        <v>2834</v>
      </c>
      <c r="C881" s="1" t="s">
        <v>2851</v>
      </c>
      <c r="D881" t="s">
        <v>63</v>
      </c>
      <c r="E881" t="s">
        <v>64</v>
      </c>
      <c r="F881" s="2">
        <v>232185.8</v>
      </c>
      <c r="G881" s="1" t="s">
        <v>2852</v>
      </c>
      <c r="H881" t="s">
        <v>307</v>
      </c>
      <c r="I881" t="s">
        <v>25</v>
      </c>
      <c r="J881">
        <v>3</v>
      </c>
      <c r="K881" t="s">
        <v>26</v>
      </c>
      <c r="L881" t="s">
        <v>2853</v>
      </c>
      <c r="M881" t="s">
        <v>2107</v>
      </c>
      <c r="N881" t="s">
        <v>310</v>
      </c>
      <c r="O881" t="s">
        <v>30</v>
      </c>
      <c r="P881" t="s">
        <v>79</v>
      </c>
    </row>
    <row r="882" spans="1:16" x14ac:dyDescent="0.25">
      <c r="A882" t="s">
        <v>2854</v>
      </c>
      <c r="B882" t="s">
        <v>2834</v>
      </c>
      <c r="C882" s="1" t="s">
        <v>2855</v>
      </c>
      <c r="D882" t="s">
        <v>63</v>
      </c>
      <c r="E882" t="s">
        <v>64</v>
      </c>
      <c r="F882" s="2">
        <v>36975.08</v>
      </c>
      <c r="G882" s="1" t="s">
        <v>2856</v>
      </c>
      <c r="H882" t="s">
        <v>307</v>
      </c>
      <c r="I882" t="s">
        <v>25</v>
      </c>
      <c r="J882">
        <v>4</v>
      </c>
      <c r="K882" t="s">
        <v>26</v>
      </c>
      <c r="L882" t="s">
        <v>2853</v>
      </c>
      <c r="M882" t="s">
        <v>2107</v>
      </c>
      <c r="N882" t="s">
        <v>310</v>
      </c>
      <c r="O882" t="s">
        <v>30</v>
      </c>
      <c r="P882" t="s">
        <v>79</v>
      </c>
    </row>
    <row r="883" spans="1:16" x14ac:dyDescent="0.25">
      <c r="A883" t="s">
        <v>2857</v>
      </c>
      <c r="B883" t="s">
        <v>2834</v>
      </c>
      <c r="C883" s="1" t="s">
        <v>2858</v>
      </c>
      <c r="D883" t="s">
        <v>63</v>
      </c>
      <c r="E883" t="s">
        <v>64</v>
      </c>
      <c r="F883" s="2">
        <v>6597.32</v>
      </c>
      <c r="G883" s="1" t="s">
        <v>2859</v>
      </c>
      <c r="H883" t="s">
        <v>307</v>
      </c>
      <c r="I883" t="s">
        <v>805</v>
      </c>
      <c r="J883">
        <v>8</v>
      </c>
      <c r="K883" t="s">
        <v>26</v>
      </c>
      <c r="L883" t="s">
        <v>2613</v>
      </c>
      <c r="M883" t="s">
        <v>2107</v>
      </c>
      <c r="N883" t="s">
        <v>310</v>
      </c>
      <c r="O883" t="s">
        <v>807</v>
      </c>
      <c r="P883" t="s">
        <v>31</v>
      </c>
    </row>
    <row r="884" spans="1:16" x14ac:dyDescent="0.25">
      <c r="A884" t="s">
        <v>2860</v>
      </c>
      <c r="B884" t="s">
        <v>2834</v>
      </c>
      <c r="C884" s="1" t="s">
        <v>2861</v>
      </c>
      <c r="D884" t="s">
        <v>63</v>
      </c>
      <c r="E884" t="s">
        <v>64</v>
      </c>
      <c r="F884" s="2">
        <v>626772.01</v>
      </c>
      <c r="G884" s="1" t="s">
        <v>2862</v>
      </c>
      <c r="H884" t="s">
        <v>307</v>
      </c>
      <c r="I884" t="s">
        <v>308</v>
      </c>
      <c r="J884">
        <v>5</v>
      </c>
      <c r="K884" t="s">
        <v>26</v>
      </c>
      <c r="L884" t="s">
        <v>2322</v>
      </c>
      <c r="M884" t="s">
        <v>2107</v>
      </c>
      <c r="N884" t="s">
        <v>310</v>
      </c>
      <c r="O884" t="s">
        <v>252</v>
      </c>
      <c r="P884" t="s">
        <v>31</v>
      </c>
    </row>
    <row r="885" spans="1:16" x14ac:dyDescent="0.25">
      <c r="A885" t="s">
        <v>2863</v>
      </c>
      <c r="B885" t="s">
        <v>2834</v>
      </c>
      <c r="C885" s="1" t="s">
        <v>2864</v>
      </c>
      <c r="D885" t="s">
        <v>63</v>
      </c>
      <c r="E885" t="s">
        <v>64</v>
      </c>
      <c r="F885" s="2">
        <v>739367.46</v>
      </c>
      <c r="G885" s="1" t="s">
        <v>2865</v>
      </c>
      <c r="H885" t="s">
        <v>307</v>
      </c>
      <c r="I885" t="s">
        <v>308</v>
      </c>
      <c r="J885">
        <v>5</v>
      </c>
      <c r="K885" t="s">
        <v>26</v>
      </c>
      <c r="L885" t="s">
        <v>2322</v>
      </c>
      <c r="M885" t="s">
        <v>2107</v>
      </c>
      <c r="N885" t="s">
        <v>310</v>
      </c>
      <c r="O885" t="s">
        <v>252</v>
      </c>
      <c r="P885" t="s">
        <v>31</v>
      </c>
    </row>
    <row r="886" spans="1:16" x14ac:dyDescent="0.25">
      <c r="A886" t="s">
        <v>2866</v>
      </c>
      <c r="B886" t="s">
        <v>2834</v>
      </c>
      <c r="C886" s="1" t="s">
        <v>2867</v>
      </c>
      <c r="D886" t="s">
        <v>63</v>
      </c>
      <c r="E886" t="s">
        <v>64</v>
      </c>
      <c r="F886" s="2">
        <v>985039.79</v>
      </c>
      <c r="G886" s="1" t="s">
        <v>2868</v>
      </c>
      <c r="H886" t="s">
        <v>307</v>
      </c>
      <c r="I886" t="s">
        <v>308</v>
      </c>
      <c r="J886">
        <v>5</v>
      </c>
      <c r="K886" t="s">
        <v>26</v>
      </c>
      <c r="L886" t="s">
        <v>2322</v>
      </c>
      <c r="M886" t="s">
        <v>2107</v>
      </c>
      <c r="N886" t="s">
        <v>310</v>
      </c>
      <c r="O886" t="s">
        <v>252</v>
      </c>
      <c r="P886" t="s">
        <v>31</v>
      </c>
    </row>
    <row r="887" spans="1:16" x14ac:dyDescent="0.25">
      <c r="A887" t="s">
        <v>2869</v>
      </c>
      <c r="B887" t="s">
        <v>2834</v>
      </c>
      <c r="C887" s="1" t="s">
        <v>2870</v>
      </c>
      <c r="D887" t="s">
        <v>63</v>
      </c>
      <c r="E887" t="s">
        <v>64</v>
      </c>
      <c r="F887" s="2">
        <v>985039.79</v>
      </c>
      <c r="G887" s="1" t="s">
        <v>2868</v>
      </c>
      <c r="H887" t="s">
        <v>307</v>
      </c>
      <c r="I887" t="s">
        <v>308</v>
      </c>
      <c r="J887">
        <v>5</v>
      </c>
      <c r="K887" t="s">
        <v>26</v>
      </c>
      <c r="L887" t="s">
        <v>2322</v>
      </c>
      <c r="M887" t="s">
        <v>2107</v>
      </c>
      <c r="N887" t="s">
        <v>310</v>
      </c>
      <c r="O887" t="s">
        <v>252</v>
      </c>
      <c r="P887" t="s">
        <v>31</v>
      </c>
    </row>
    <row r="888" spans="1:16" x14ac:dyDescent="0.25">
      <c r="A888" t="s">
        <v>2871</v>
      </c>
      <c r="B888" t="s">
        <v>2834</v>
      </c>
      <c r="C888" s="1" t="s">
        <v>2872</v>
      </c>
      <c r="D888" t="s">
        <v>63</v>
      </c>
      <c r="E888" t="s">
        <v>64</v>
      </c>
      <c r="F888" s="2">
        <v>1749548.76</v>
      </c>
      <c r="G888" s="1" t="s">
        <v>2873</v>
      </c>
      <c r="H888" t="s">
        <v>307</v>
      </c>
      <c r="I888" t="s">
        <v>308</v>
      </c>
      <c r="J888">
        <v>6</v>
      </c>
      <c r="K888" t="s">
        <v>26</v>
      </c>
      <c r="L888" t="s">
        <v>2322</v>
      </c>
      <c r="M888" t="s">
        <v>2107</v>
      </c>
      <c r="N888" t="s">
        <v>310</v>
      </c>
      <c r="O888" t="s">
        <v>252</v>
      </c>
      <c r="P888" t="s">
        <v>31</v>
      </c>
    </row>
    <row r="889" spans="1:16" x14ac:dyDescent="0.25">
      <c r="A889" t="s">
        <v>2874</v>
      </c>
      <c r="B889" t="s">
        <v>2834</v>
      </c>
      <c r="C889" s="1" t="s">
        <v>2875</v>
      </c>
      <c r="D889" t="s">
        <v>63</v>
      </c>
      <c r="E889" t="s">
        <v>64</v>
      </c>
      <c r="F889" s="2">
        <v>1749548.76</v>
      </c>
      <c r="G889" s="1" t="s">
        <v>2873</v>
      </c>
      <c r="H889" t="s">
        <v>307</v>
      </c>
      <c r="I889" t="s">
        <v>308</v>
      </c>
      <c r="J889">
        <v>6</v>
      </c>
      <c r="K889" t="s">
        <v>26</v>
      </c>
      <c r="L889" t="s">
        <v>2322</v>
      </c>
      <c r="M889" t="s">
        <v>2107</v>
      </c>
      <c r="N889" t="s">
        <v>310</v>
      </c>
      <c r="O889" t="s">
        <v>252</v>
      </c>
      <c r="P889" t="s">
        <v>31</v>
      </c>
    </row>
    <row r="890" spans="1:16" x14ac:dyDescent="0.25">
      <c r="A890" t="s">
        <v>2876</v>
      </c>
      <c r="B890" t="s">
        <v>2834</v>
      </c>
      <c r="C890" s="1" t="s">
        <v>2877</v>
      </c>
      <c r="D890" t="s">
        <v>63</v>
      </c>
      <c r="E890" t="s">
        <v>64</v>
      </c>
      <c r="F890" s="2">
        <v>2207873.71</v>
      </c>
      <c r="G890" s="1" t="s">
        <v>2878</v>
      </c>
      <c r="H890" t="s">
        <v>307</v>
      </c>
      <c r="I890" t="s">
        <v>308</v>
      </c>
      <c r="J890">
        <v>6</v>
      </c>
      <c r="K890" t="s">
        <v>26</v>
      </c>
      <c r="L890" t="s">
        <v>2322</v>
      </c>
      <c r="M890" t="s">
        <v>2107</v>
      </c>
      <c r="N890" t="s">
        <v>310</v>
      </c>
      <c r="O890" t="s">
        <v>252</v>
      </c>
      <c r="P890" t="s">
        <v>31</v>
      </c>
    </row>
    <row r="891" spans="1:16" x14ac:dyDescent="0.25">
      <c r="A891" t="s">
        <v>2879</v>
      </c>
      <c r="B891" t="s">
        <v>2834</v>
      </c>
      <c r="C891" s="1" t="s">
        <v>2880</v>
      </c>
      <c r="D891" t="s">
        <v>63</v>
      </c>
      <c r="E891" t="s">
        <v>64</v>
      </c>
      <c r="F891" s="2">
        <v>3391049.35</v>
      </c>
      <c r="G891" s="1" t="s">
        <v>2881</v>
      </c>
      <c r="H891" t="s">
        <v>307</v>
      </c>
      <c r="I891" t="s">
        <v>308</v>
      </c>
      <c r="J891">
        <v>6</v>
      </c>
      <c r="K891" t="s">
        <v>26</v>
      </c>
      <c r="L891" t="s">
        <v>2322</v>
      </c>
      <c r="M891" t="s">
        <v>2107</v>
      </c>
      <c r="N891" t="s">
        <v>310</v>
      </c>
      <c r="O891" t="s">
        <v>252</v>
      </c>
      <c r="P891" t="s">
        <v>31</v>
      </c>
    </row>
    <row r="892" spans="1:16" x14ac:dyDescent="0.25">
      <c r="A892" t="s">
        <v>2882</v>
      </c>
      <c r="B892" t="s">
        <v>2834</v>
      </c>
      <c r="C892" s="1" t="s">
        <v>2883</v>
      </c>
      <c r="D892" t="s">
        <v>63</v>
      </c>
      <c r="E892" t="s">
        <v>64</v>
      </c>
      <c r="F892" s="2">
        <v>812766.39</v>
      </c>
      <c r="G892" s="1" t="s">
        <v>2884</v>
      </c>
      <c r="H892" t="s">
        <v>307</v>
      </c>
      <c r="I892" t="s">
        <v>308</v>
      </c>
      <c r="J892">
        <v>4</v>
      </c>
      <c r="K892" t="s">
        <v>26</v>
      </c>
      <c r="L892" t="s">
        <v>2322</v>
      </c>
      <c r="M892" t="s">
        <v>2107</v>
      </c>
      <c r="N892" t="s">
        <v>310</v>
      </c>
      <c r="O892" t="s">
        <v>252</v>
      </c>
      <c r="P892" t="s">
        <v>31</v>
      </c>
    </row>
    <row r="893" spans="1:16" x14ac:dyDescent="0.25">
      <c r="A893" t="s">
        <v>2885</v>
      </c>
      <c r="B893" t="s">
        <v>2834</v>
      </c>
      <c r="C893" s="1" t="s">
        <v>2886</v>
      </c>
      <c r="D893" t="s">
        <v>42</v>
      </c>
      <c r="E893" t="s">
        <v>43</v>
      </c>
      <c r="F893" s="2">
        <v>19978.21</v>
      </c>
      <c r="G893" s="1" t="s">
        <v>2887</v>
      </c>
      <c r="H893" t="s">
        <v>307</v>
      </c>
      <c r="I893" t="s">
        <v>25</v>
      </c>
      <c r="J893">
        <v>3</v>
      </c>
      <c r="K893" t="s">
        <v>26</v>
      </c>
      <c r="L893" t="s">
        <v>2853</v>
      </c>
      <c r="M893" t="s">
        <v>2107</v>
      </c>
      <c r="N893" t="s">
        <v>310</v>
      </c>
      <c r="O893" t="s">
        <v>30</v>
      </c>
      <c r="P893" t="s">
        <v>79</v>
      </c>
    </row>
    <row r="894" spans="1:16" x14ac:dyDescent="0.25">
      <c r="A894" t="s">
        <v>2888</v>
      </c>
      <c r="B894" t="s">
        <v>2834</v>
      </c>
      <c r="C894" s="1" t="s">
        <v>2889</v>
      </c>
      <c r="D894" t="s">
        <v>42</v>
      </c>
      <c r="E894" t="s">
        <v>43</v>
      </c>
      <c r="F894" s="2">
        <v>9308.45</v>
      </c>
      <c r="G894" s="1" t="s">
        <v>2890</v>
      </c>
      <c r="H894" t="s">
        <v>307</v>
      </c>
      <c r="I894" t="s">
        <v>25</v>
      </c>
      <c r="J894">
        <v>2</v>
      </c>
      <c r="K894" t="s">
        <v>26</v>
      </c>
      <c r="L894" t="s">
        <v>2853</v>
      </c>
      <c r="M894" t="s">
        <v>2107</v>
      </c>
      <c r="N894" t="s">
        <v>310</v>
      </c>
      <c r="O894" t="s">
        <v>30</v>
      </c>
      <c r="P894" t="s">
        <v>79</v>
      </c>
    </row>
    <row r="895" spans="1:16" x14ac:dyDescent="0.25">
      <c r="A895" t="s">
        <v>2891</v>
      </c>
      <c r="B895" t="s">
        <v>2834</v>
      </c>
      <c r="C895" s="1" t="s">
        <v>2892</v>
      </c>
      <c r="D895" t="s">
        <v>42</v>
      </c>
      <c r="E895" t="s">
        <v>43</v>
      </c>
      <c r="F895" s="2">
        <v>7446.76</v>
      </c>
      <c r="G895" s="1" t="s">
        <v>2893</v>
      </c>
      <c r="H895" t="s">
        <v>307</v>
      </c>
      <c r="I895" t="s">
        <v>25</v>
      </c>
      <c r="J895">
        <v>2</v>
      </c>
      <c r="K895" t="s">
        <v>26</v>
      </c>
      <c r="L895" t="s">
        <v>2853</v>
      </c>
      <c r="M895" t="s">
        <v>2107</v>
      </c>
      <c r="N895" t="s">
        <v>310</v>
      </c>
      <c r="O895" t="s">
        <v>30</v>
      </c>
      <c r="P895" t="s">
        <v>79</v>
      </c>
    </row>
    <row r="896" spans="1:16" x14ac:dyDescent="0.25">
      <c r="A896" t="s">
        <v>2894</v>
      </c>
      <c r="B896" t="s">
        <v>2834</v>
      </c>
      <c r="C896" s="1" t="s">
        <v>2895</v>
      </c>
      <c r="D896" t="s">
        <v>63</v>
      </c>
      <c r="E896" t="s">
        <v>64</v>
      </c>
      <c r="F896" s="2">
        <v>818195.97</v>
      </c>
      <c r="G896" s="1" t="s">
        <v>2896</v>
      </c>
      <c r="H896" t="s">
        <v>307</v>
      </c>
      <c r="I896" t="s">
        <v>540</v>
      </c>
      <c r="J896">
        <v>5</v>
      </c>
      <c r="K896" t="s">
        <v>26</v>
      </c>
      <c r="L896" t="s">
        <v>2897</v>
      </c>
      <c r="M896" t="s">
        <v>2107</v>
      </c>
      <c r="N896" t="s">
        <v>310</v>
      </c>
      <c r="O896" t="s">
        <v>542</v>
      </c>
      <c r="P896" t="s">
        <v>440</v>
      </c>
    </row>
    <row r="897" spans="1:16" x14ac:dyDescent="0.25">
      <c r="A897" t="s">
        <v>2898</v>
      </c>
      <c r="B897" t="s">
        <v>2834</v>
      </c>
      <c r="C897" s="1" t="s">
        <v>2899</v>
      </c>
      <c r="D897" t="s">
        <v>63</v>
      </c>
      <c r="E897" t="s">
        <v>64</v>
      </c>
      <c r="F897" s="2">
        <v>1328256.06</v>
      </c>
      <c r="G897" s="1" t="s">
        <v>2900</v>
      </c>
      <c r="H897" t="s">
        <v>307</v>
      </c>
      <c r="I897" t="s">
        <v>540</v>
      </c>
      <c r="J897">
        <v>5</v>
      </c>
      <c r="K897" t="s">
        <v>26</v>
      </c>
      <c r="L897" t="s">
        <v>2897</v>
      </c>
      <c r="M897" t="s">
        <v>2107</v>
      </c>
      <c r="N897" t="s">
        <v>310</v>
      </c>
      <c r="O897" t="s">
        <v>542</v>
      </c>
      <c r="P897" t="s">
        <v>440</v>
      </c>
    </row>
    <row r="898" spans="1:16" x14ac:dyDescent="0.25">
      <c r="A898" t="s">
        <v>2901</v>
      </c>
      <c r="B898" t="s">
        <v>2834</v>
      </c>
      <c r="C898" s="1" t="s">
        <v>2902</v>
      </c>
      <c r="D898" t="s">
        <v>63</v>
      </c>
      <c r="E898" t="s">
        <v>64</v>
      </c>
      <c r="F898" s="2">
        <v>2136892.8</v>
      </c>
      <c r="G898" s="1" t="s">
        <v>2903</v>
      </c>
      <c r="H898" t="s">
        <v>307</v>
      </c>
      <c r="I898" t="s">
        <v>300</v>
      </c>
      <c r="J898">
        <v>10</v>
      </c>
      <c r="K898" t="s">
        <v>26</v>
      </c>
      <c r="L898" t="s">
        <v>2904</v>
      </c>
      <c r="M898" t="s">
        <v>2107</v>
      </c>
      <c r="N898" t="s">
        <v>310</v>
      </c>
      <c r="O898" t="s">
        <v>303</v>
      </c>
      <c r="P898" t="s">
        <v>440</v>
      </c>
    </row>
    <row r="899" spans="1:16" x14ac:dyDescent="0.25">
      <c r="A899" t="s">
        <v>2905</v>
      </c>
      <c r="B899" t="s">
        <v>2834</v>
      </c>
      <c r="C899" s="1" t="s">
        <v>2906</v>
      </c>
      <c r="D899" t="s">
        <v>63</v>
      </c>
      <c r="E899" t="s">
        <v>64</v>
      </c>
      <c r="F899" s="2">
        <v>2434404.11</v>
      </c>
      <c r="G899" s="1" t="s">
        <v>2907</v>
      </c>
      <c r="H899" t="s">
        <v>307</v>
      </c>
      <c r="I899" t="s">
        <v>300</v>
      </c>
      <c r="J899">
        <v>10</v>
      </c>
      <c r="K899" t="s">
        <v>26</v>
      </c>
      <c r="L899" t="s">
        <v>2904</v>
      </c>
      <c r="M899" t="s">
        <v>2107</v>
      </c>
      <c r="N899" t="s">
        <v>310</v>
      </c>
      <c r="O899" t="s">
        <v>303</v>
      </c>
      <c r="P899" t="s">
        <v>440</v>
      </c>
    </row>
    <row r="900" spans="1:16" x14ac:dyDescent="0.25">
      <c r="A900" t="s">
        <v>2908</v>
      </c>
      <c r="B900" t="s">
        <v>2834</v>
      </c>
      <c r="C900" s="1" t="s">
        <v>2909</v>
      </c>
      <c r="D900" t="s">
        <v>63</v>
      </c>
      <c r="E900" t="s">
        <v>64</v>
      </c>
      <c r="F900" s="2">
        <v>3093386.09</v>
      </c>
      <c r="G900" s="1" t="s">
        <v>2910</v>
      </c>
      <c r="H900" t="s">
        <v>307</v>
      </c>
      <c r="I900" t="s">
        <v>300</v>
      </c>
      <c r="J900">
        <v>10</v>
      </c>
      <c r="K900" t="s">
        <v>26</v>
      </c>
      <c r="L900" t="s">
        <v>2904</v>
      </c>
      <c r="M900" t="s">
        <v>2107</v>
      </c>
      <c r="N900" t="s">
        <v>310</v>
      </c>
      <c r="O900" t="s">
        <v>303</v>
      </c>
      <c r="P900" t="s">
        <v>440</v>
      </c>
    </row>
    <row r="901" spans="1:16" x14ac:dyDescent="0.25">
      <c r="A901" t="s">
        <v>2911</v>
      </c>
      <c r="B901" t="s">
        <v>2834</v>
      </c>
      <c r="C901" s="1" t="s">
        <v>2912</v>
      </c>
      <c r="D901" t="s">
        <v>63</v>
      </c>
      <c r="E901" t="s">
        <v>64</v>
      </c>
      <c r="F901" s="2">
        <v>1368827.72</v>
      </c>
      <c r="G901" s="1" t="s">
        <v>2913</v>
      </c>
      <c r="H901" t="s">
        <v>307</v>
      </c>
      <c r="I901" t="s">
        <v>300</v>
      </c>
      <c r="J901">
        <v>10</v>
      </c>
      <c r="K901" t="s">
        <v>26</v>
      </c>
      <c r="L901" t="s">
        <v>2904</v>
      </c>
      <c r="M901" t="s">
        <v>2107</v>
      </c>
      <c r="N901" t="s">
        <v>310</v>
      </c>
      <c r="O901" t="s">
        <v>303</v>
      </c>
      <c r="P901" t="s">
        <v>440</v>
      </c>
    </row>
    <row r="902" spans="1:16" x14ac:dyDescent="0.25">
      <c r="A902" t="s">
        <v>2914</v>
      </c>
      <c r="B902" t="s">
        <v>2834</v>
      </c>
      <c r="C902" s="1" t="s">
        <v>2915</v>
      </c>
      <c r="D902" t="s">
        <v>63</v>
      </c>
      <c r="E902" t="s">
        <v>64</v>
      </c>
      <c r="F902" s="2">
        <v>1068272.29</v>
      </c>
      <c r="G902" s="1" t="s">
        <v>2916</v>
      </c>
      <c r="H902" t="s">
        <v>307</v>
      </c>
      <c r="I902" t="s">
        <v>300</v>
      </c>
      <c r="J902">
        <v>10</v>
      </c>
      <c r="K902" t="s">
        <v>26</v>
      </c>
      <c r="L902" t="s">
        <v>2904</v>
      </c>
      <c r="M902" t="s">
        <v>2107</v>
      </c>
      <c r="N902" t="s">
        <v>310</v>
      </c>
      <c r="O902" t="s">
        <v>303</v>
      </c>
      <c r="P902" t="s">
        <v>440</v>
      </c>
    </row>
    <row r="903" spans="1:16" x14ac:dyDescent="0.25">
      <c r="A903" t="s">
        <v>2917</v>
      </c>
      <c r="B903" t="s">
        <v>2834</v>
      </c>
      <c r="C903" s="1" t="s">
        <v>2918</v>
      </c>
      <c r="D903" t="s">
        <v>63</v>
      </c>
      <c r="E903" t="s">
        <v>64</v>
      </c>
      <c r="F903" s="2">
        <v>3230569.11</v>
      </c>
      <c r="G903" s="1" t="s">
        <v>2919</v>
      </c>
      <c r="H903" t="s">
        <v>307</v>
      </c>
      <c r="I903" t="s">
        <v>308</v>
      </c>
      <c r="J903">
        <v>10</v>
      </c>
      <c r="K903" t="s">
        <v>26</v>
      </c>
      <c r="L903" t="s">
        <v>2143</v>
      </c>
      <c r="M903" t="s">
        <v>2107</v>
      </c>
      <c r="N903" t="s">
        <v>310</v>
      </c>
      <c r="O903" t="s">
        <v>252</v>
      </c>
      <c r="P903" t="s">
        <v>404</v>
      </c>
    </row>
    <row r="904" spans="1:16" x14ac:dyDescent="0.25">
      <c r="A904" t="s">
        <v>2920</v>
      </c>
      <c r="B904" t="s">
        <v>2921</v>
      </c>
      <c r="C904" s="1" t="s">
        <v>2922</v>
      </c>
      <c r="D904" t="s">
        <v>34</v>
      </c>
      <c r="E904" t="s">
        <v>35</v>
      </c>
      <c r="F904" s="2">
        <v>829316.18</v>
      </c>
      <c r="G904" s="1" t="s">
        <v>2923</v>
      </c>
      <c r="H904" t="s">
        <v>299</v>
      </c>
      <c r="I904" t="s">
        <v>300</v>
      </c>
      <c r="J904">
        <v>10</v>
      </c>
      <c r="K904" t="s">
        <v>26</v>
      </c>
      <c r="L904" t="s">
        <v>2924</v>
      </c>
      <c r="M904" t="s">
        <v>2107</v>
      </c>
      <c r="N904" t="s">
        <v>302</v>
      </c>
      <c r="O904" t="s">
        <v>303</v>
      </c>
      <c r="P904" t="s">
        <v>31</v>
      </c>
    </row>
    <row r="905" spans="1:16" x14ac:dyDescent="0.25">
      <c r="A905" t="s">
        <v>2925</v>
      </c>
      <c r="B905" t="s">
        <v>2921</v>
      </c>
      <c r="C905" s="1" t="s">
        <v>2926</v>
      </c>
      <c r="D905" t="s">
        <v>34</v>
      </c>
      <c r="E905" t="s">
        <v>35</v>
      </c>
      <c r="F905" s="2">
        <v>791993.78</v>
      </c>
      <c r="G905" s="1" t="s">
        <v>2927</v>
      </c>
      <c r="H905" t="s">
        <v>299</v>
      </c>
      <c r="I905" t="s">
        <v>300</v>
      </c>
      <c r="J905">
        <v>10</v>
      </c>
      <c r="K905" t="s">
        <v>26</v>
      </c>
      <c r="L905" t="s">
        <v>2924</v>
      </c>
      <c r="M905" t="s">
        <v>2107</v>
      </c>
      <c r="N905" t="s">
        <v>302</v>
      </c>
      <c r="O905" t="s">
        <v>303</v>
      </c>
      <c r="P905" t="s">
        <v>31</v>
      </c>
    </row>
    <row r="906" spans="1:16" x14ac:dyDescent="0.25">
      <c r="A906" t="s">
        <v>2928</v>
      </c>
      <c r="B906" t="s">
        <v>2921</v>
      </c>
      <c r="C906" s="1" t="s">
        <v>2929</v>
      </c>
      <c r="D906" t="s">
        <v>34</v>
      </c>
      <c r="E906" t="s">
        <v>35</v>
      </c>
      <c r="F906" s="2">
        <v>696819.82</v>
      </c>
      <c r="G906" s="1" t="s">
        <v>2930</v>
      </c>
      <c r="H906" t="s">
        <v>299</v>
      </c>
      <c r="I906" t="s">
        <v>300</v>
      </c>
      <c r="J906">
        <v>6</v>
      </c>
      <c r="K906" t="s">
        <v>26</v>
      </c>
      <c r="L906" t="s">
        <v>2924</v>
      </c>
      <c r="M906" t="s">
        <v>2107</v>
      </c>
      <c r="N906" t="s">
        <v>302</v>
      </c>
      <c r="O906" t="s">
        <v>303</v>
      </c>
      <c r="P906" t="s">
        <v>31</v>
      </c>
    </row>
    <row r="907" spans="1:16" x14ac:dyDescent="0.25">
      <c r="A907" t="s">
        <v>2931</v>
      </c>
      <c r="B907" t="s">
        <v>2921</v>
      </c>
      <c r="C907" s="1" t="s">
        <v>2932</v>
      </c>
      <c r="D907" t="s">
        <v>34</v>
      </c>
      <c r="E907" t="s">
        <v>35</v>
      </c>
      <c r="F907" s="2">
        <v>905972.51</v>
      </c>
      <c r="G907" s="1" t="s">
        <v>2933</v>
      </c>
      <c r="H907" t="s">
        <v>299</v>
      </c>
      <c r="I907" t="s">
        <v>300</v>
      </c>
      <c r="J907">
        <v>10</v>
      </c>
      <c r="K907" t="s">
        <v>26</v>
      </c>
      <c r="L907" t="s">
        <v>2924</v>
      </c>
      <c r="M907" t="s">
        <v>2107</v>
      </c>
      <c r="N907" t="s">
        <v>302</v>
      </c>
      <c r="O907" t="s">
        <v>303</v>
      </c>
      <c r="P907" t="s">
        <v>31</v>
      </c>
    </row>
    <row r="908" spans="1:16" x14ac:dyDescent="0.25">
      <c r="A908" t="s">
        <v>2934</v>
      </c>
      <c r="B908" t="s">
        <v>2921</v>
      </c>
      <c r="C908" s="1" t="s">
        <v>2935</v>
      </c>
      <c r="D908" t="s">
        <v>34</v>
      </c>
      <c r="E908" t="s">
        <v>35</v>
      </c>
      <c r="F908" s="2">
        <v>868631.36</v>
      </c>
      <c r="G908" s="1" t="s">
        <v>2936</v>
      </c>
      <c r="H908" t="s">
        <v>299</v>
      </c>
      <c r="I908" t="s">
        <v>300</v>
      </c>
      <c r="J908">
        <v>10</v>
      </c>
      <c r="K908" t="s">
        <v>26</v>
      </c>
      <c r="L908" t="s">
        <v>2924</v>
      </c>
      <c r="M908" t="s">
        <v>2107</v>
      </c>
      <c r="N908" t="s">
        <v>302</v>
      </c>
      <c r="O908" t="s">
        <v>303</v>
      </c>
      <c r="P908" t="s">
        <v>31</v>
      </c>
    </row>
    <row r="909" spans="1:16" x14ac:dyDescent="0.25">
      <c r="A909" t="s">
        <v>2937</v>
      </c>
      <c r="B909" t="s">
        <v>2921</v>
      </c>
      <c r="C909" s="1" t="s">
        <v>2938</v>
      </c>
      <c r="D909" t="s">
        <v>34</v>
      </c>
      <c r="E909" t="s">
        <v>35</v>
      </c>
      <c r="F909" s="2">
        <v>773457.4</v>
      </c>
      <c r="G909" s="1" t="s">
        <v>2939</v>
      </c>
      <c r="H909" t="s">
        <v>299</v>
      </c>
      <c r="I909" t="s">
        <v>300</v>
      </c>
      <c r="J909">
        <v>6</v>
      </c>
      <c r="K909" t="s">
        <v>26</v>
      </c>
      <c r="L909" t="s">
        <v>2924</v>
      </c>
      <c r="M909" t="s">
        <v>2107</v>
      </c>
      <c r="N909" t="s">
        <v>302</v>
      </c>
      <c r="O909" t="s">
        <v>303</v>
      </c>
      <c r="P909" t="s">
        <v>31</v>
      </c>
    </row>
    <row r="910" spans="1:16" x14ac:dyDescent="0.25">
      <c r="A910" t="s">
        <v>2940</v>
      </c>
      <c r="B910" t="s">
        <v>2921</v>
      </c>
      <c r="C910" s="1" t="s">
        <v>2941</v>
      </c>
      <c r="D910" t="s">
        <v>34</v>
      </c>
      <c r="E910" t="s">
        <v>35</v>
      </c>
      <c r="F910" s="2">
        <v>218757.86</v>
      </c>
      <c r="G910" s="1" t="s">
        <v>2942</v>
      </c>
      <c r="H910" t="s">
        <v>299</v>
      </c>
      <c r="I910" t="s">
        <v>58</v>
      </c>
      <c r="J910">
        <v>8</v>
      </c>
      <c r="K910" t="s">
        <v>26</v>
      </c>
      <c r="L910" t="s">
        <v>2943</v>
      </c>
      <c r="M910" t="s">
        <v>2107</v>
      </c>
      <c r="N910" t="s">
        <v>302</v>
      </c>
      <c r="O910" t="s">
        <v>60</v>
      </c>
      <c r="P910" t="s">
        <v>31</v>
      </c>
    </row>
    <row r="911" spans="1:16" x14ac:dyDescent="0.25">
      <c r="A911" t="s">
        <v>2944</v>
      </c>
      <c r="B911" t="s">
        <v>2921</v>
      </c>
      <c r="C911" s="1" t="s">
        <v>2945</v>
      </c>
      <c r="D911" t="s">
        <v>34</v>
      </c>
      <c r="E911" t="s">
        <v>35</v>
      </c>
      <c r="F911" s="2">
        <v>233258.27</v>
      </c>
      <c r="G911" s="1" t="s">
        <v>2946</v>
      </c>
      <c r="H911" t="s">
        <v>299</v>
      </c>
      <c r="I911" t="s">
        <v>58</v>
      </c>
      <c r="J911">
        <v>8</v>
      </c>
      <c r="K911" t="s">
        <v>26</v>
      </c>
      <c r="L911" t="s">
        <v>2943</v>
      </c>
      <c r="M911" t="s">
        <v>2107</v>
      </c>
      <c r="N911" t="s">
        <v>302</v>
      </c>
      <c r="O911" t="s">
        <v>60</v>
      </c>
      <c r="P911" t="s">
        <v>31</v>
      </c>
    </row>
    <row r="912" spans="1:16" x14ac:dyDescent="0.25">
      <c r="A912" t="s">
        <v>2947</v>
      </c>
      <c r="B912" t="s">
        <v>2921</v>
      </c>
      <c r="C912" s="1" t="s">
        <v>2948</v>
      </c>
      <c r="D912" t="s">
        <v>21</v>
      </c>
      <c r="E912" t="s">
        <v>22</v>
      </c>
      <c r="F912" s="2">
        <v>193256.36</v>
      </c>
      <c r="G912" s="1" t="s">
        <v>2949</v>
      </c>
      <c r="H912" t="s">
        <v>299</v>
      </c>
      <c r="I912" t="s">
        <v>300</v>
      </c>
      <c r="J912">
        <v>6</v>
      </c>
      <c r="K912" t="s">
        <v>26</v>
      </c>
      <c r="L912" t="s">
        <v>2950</v>
      </c>
      <c r="M912" t="s">
        <v>2107</v>
      </c>
      <c r="N912" t="s">
        <v>302</v>
      </c>
      <c r="O912" t="s">
        <v>303</v>
      </c>
      <c r="P912" t="s">
        <v>404</v>
      </c>
    </row>
    <row r="913" spans="1:16" x14ac:dyDescent="0.25">
      <c r="A913" t="s">
        <v>2951</v>
      </c>
      <c r="B913" t="s">
        <v>2921</v>
      </c>
      <c r="C913" s="1" t="s">
        <v>2952</v>
      </c>
      <c r="D913" t="s">
        <v>2953</v>
      </c>
      <c r="E913" t="s">
        <v>2953</v>
      </c>
      <c r="F913" s="2">
        <v>87601.37</v>
      </c>
      <c r="G913" s="1" t="s">
        <v>2954</v>
      </c>
      <c r="H913" t="s">
        <v>299</v>
      </c>
      <c r="I913" t="s">
        <v>37</v>
      </c>
      <c r="J913">
        <v>3</v>
      </c>
      <c r="K913" t="s">
        <v>26</v>
      </c>
      <c r="L913" t="s">
        <v>2955</v>
      </c>
      <c r="M913" t="s">
        <v>2107</v>
      </c>
      <c r="N913" t="s">
        <v>302</v>
      </c>
      <c r="O913" t="s">
        <v>39</v>
      </c>
      <c r="P913" t="s">
        <v>31</v>
      </c>
    </row>
    <row r="914" spans="1:16" x14ac:dyDescent="0.25">
      <c r="A914" t="s">
        <v>2956</v>
      </c>
      <c r="B914" t="s">
        <v>2957</v>
      </c>
      <c r="C914" s="1" t="s">
        <v>2958</v>
      </c>
      <c r="D914" t="s">
        <v>63</v>
      </c>
      <c r="E914" t="s">
        <v>64</v>
      </c>
      <c r="F914" s="2">
        <v>439466.38</v>
      </c>
      <c r="G914" s="1" t="s">
        <v>2959</v>
      </c>
      <c r="H914" t="s">
        <v>307</v>
      </c>
      <c r="I914" t="s">
        <v>250</v>
      </c>
      <c r="J914">
        <v>4</v>
      </c>
      <c r="K914" t="s">
        <v>26</v>
      </c>
      <c r="L914" t="s">
        <v>2143</v>
      </c>
      <c r="M914" t="s">
        <v>2107</v>
      </c>
      <c r="N914" t="s">
        <v>310</v>
      </c>
      <c r="O914" t="s">
        <v>252</v>
      </c>
      <c r="P914" t="s">
        <v>404</v>
      </c>
    </row>
    <row r="915" spans="1:16" x14ac:dyDescent="0.25">
      <c r="A915" t="s">
        <v>2960</v>
      </c>
      <c r="B915" t="s">
        <v>2957</v>
      </c>
      <c r="C915" s="1" t="s">
        <v>2961</v>
      </c>
      <c r="D915" t="s">
        <v>63</v>
      </c>
      <c r="E915" t="s">
        <v>64</v>
      </c>
      <c r="F915" s="2">
        <v>596065.38</v>
      </c>
      <c r="G915" s="1" t="s">
        <v>2962</v>
      </c>
      <c r="H915" t="s">
        <v>307</v>
      </c>
      <c r="I915" t="s">
        <v>250</v>
      </c>
      <c r="J915">
        <v>4</v>
      </c>
      <c r="K915" t="s">
        <v>26</v>
      </c>
      <c r="L915" t="s">
        <v>2143</v>
      </c>
      <c r="M915" t="s">
        <v>2107</v>
      </c>
      <c r="N915" t="s">
        <v>310</v>
      </c>
      <c r="O915" t="s">
        <v>252</v>
      </c>
      <c r="P915" t="s">
        <v>404</v>
      </c>
    </row>
    <row r="916" spans="1:16" x14ac:dyDescent="0.25">
      <c r="A916" t="s">
        <v>2963</v>
      </c>
      <c r="B916" t="s">
        <v>2957</v>
      </c>
      <c r="C916" s="1" t="s">
        <v>2964</v>
      </c>
      <c r="D916" t="s">
        <v>63</v>
      </c>
      <c r="E916" t="s">
        <v>64</v>
      </c>
      <c r="F916" s="2">
        <v>1317140.38</v>
      </c>
      <c r="G916" s="1" t="s">
        <v>2965</v>
      </c>
      <c r="H916" t="s">
        <v>307</v>
      </c>
      <c r="I916" t="s">
        <v>250</v>
      </c>
      <c r="J916">
        <v>4</v>
      </c>
      <c r="K916" t="s">
        <v>26</v>
      </c>
      <c r="L916" t="s">
        <v>2143</v>
      </c>
      <c r="M916" t="s">
        <v>2107</v>
      </c>
      <c r="N916" t="s">
        <v>310</v>
      </c>
      <c r="O916" t="s">
        <v>252</v>
      </c>
      <c r="P916" t="s">
        <v>404</v>
      </c>
    </row>
    <row r="917" spans="1:16" x14ac:dyDescent="0.25">
      <c r="A917" t="s">
        <v>2966</v>
      </c>
      <c r="B917" t="s">
        <v>2957</v>
      </c>
      <c r="C917" s="1" t="s">
        <v>2967</v>
      </c>
      <c r="D917" t="s">
        <v>63</v>
      </c>
      <c r="E917" t="s">
        <v>64</v>
      </c>
      <c r="F917" s="2">
        <v>483943.03</v>
      </c>
      <c r="G917" s="1" t="s">
        <v>2968</v>
      </c>
      <c r="H917" t="s">
        <v>307</v>
      </c>
      <c r="I917" t="s">
        <v>250</v>
      </c>
      <c r="J917">
        <v>6</v>
      </c>
      <c r="K917" t="s">
        <v>26</v>
      </c>
      <c r="L917" t="s">
        <v>2143</v>
      </c>
      <c r="M917" t="s">
        <v>2107</v>
      </c>
      <c r="N917" t="s">
        <v>310</v>
      </c>
      <c r="O917" t="s">
        <v>252</v>
      </c>
      <c r="P917" t="s">
        <v>404</v>
      </c>
    </row>
    <row r="918" spans="1:16" x14ac:dyDescent="0.25">
      <c r="A918" t="s">
        <v>2969</v>
      </c>
      <c r="B918" t="s">
        <v>2957</v>
      </c>
      <c r="C918" s="1" t="s">
        <v>2970</v>
      </c>
      <c r="D918" t="s">
        <v>63</v>
      </c>
      <c r="E918" t="s">
        <v>64</v>
      </c>
      <c r="F918" s="2">
        <v>431855.03</v>
      </c>
      <c r="G918" s="1" t="s">
        <v>2971</v>
      </c>
      <c r="H918" t="s">
        <v>307</v>
      </c>
      <c r="I918" t="s">
        <v>250</v>
      </c>
      <c r="J918">
        <v>14</v>
      </c>
      <c r="K918" t="s">
        <v>2972</v>
      </c>
      <c r="L918" t="s">
        <v>2143</v>
      </c>
      <c r="M918" t="s">
        <v>2107</v>
      </c>
      <c r="N918" t="s">
        <v>310</v>
      </c>
      <c r="O918" t="s">
        <v>252</v>
      </c>
      <c r="P918" t="s">
        <v>404</v>
      </c>
    </row>
    <row r="919" spans="1:16" x14ac:dyDescent="0.25">
      <c r="A919" t="s">
        <v>2973</v>
      </c>
      <c r="B919" t="s">
        <v>2957</v>
      </c>
      <c r="C919" s="1" t="s">
        <v>2974</v>
      </c>
      <c r="D919" t="s">
        <v>63</v>
      </c>
      <c r="E919" t="s">
        <v>64</v>
      </c>
      <c r="F919" s="2">
        <v>1475783.73</v>
      </c>
      <c r="G919" s="1" t="s">
        <v>2975</v>
      </c>
      <c r="H919" t="s">
        <v>307</v>
      </c>
      <c r="I919" t="s">
        <v>250</v>
      </c>
      <c r="J919">
        <v>6</v>
      </c>
      <c r="K919" t="s">
        <v>26</v>
      </c>
      <c r="L919" t="s">
        <v>2143</v>
      </c>
      <c r="M919" t="s">
        <v>2107</v>
      </c>
      <c r="N919" t="s">
        <v>310</v>
      </c>
      <c r="O919" t="s">
        <v>252</v>
      </c>
      <c r="P919" t="s">
        <v>404</v>
      </c>
    </row>
    <row r="920" spans="1:16" x14ac:dyDescent="0.25">
      <c r="A920" t="s">
        <v>2976</v>
      </c>
      <c r="B920" t="s">
        <v>2957</v>
      </c>
      <c r="C920" s="1" t="s">
        <v>2977</v>
      </c>
      <c r="D920" t="s">
        <v>63</v>
      </c>
      <c r="E920" t="s">
        <v>64</v>
      </c>
      <c r="F920" s="2">
        <v>1350958.73</v>
      </c>
      <c r="G920" s="1" t="s">
        <v>2978</v>
      </c>
      <c r="H920" t="s">
        <v>307</v>
      </c>
      <c r="I920" t="s">
        <v>250</v>
      </c>
      <c r="J920">
        <v>6</v>
      </c>
      <c r="K920" t="s">
        <v>26</v>
      </c>
      <c r="L920" t="s">
        <v>2143</v>
      </c>
      <c r="M920" t="s">
        <v>2107</v>
      </c>
      <c r="N920" t="s">
        <v>310</v>
      </c>
      <c r="O920" t="s">
        <v>252</v>
      </c>
      <c r="P920" t="s">
        <v>404</v>
      </c>
    </row>
    <row r="921" spans="1:16" x14ac:dyDescent="0.25">
      <c r="A921" t="s">
        <v>2979</v>
      </c>
      <c r="B921" t="s">
        <v>2957</v>
      </c>
      <c r="C921" s="1" t="s">
        <v>2980</v>
      </c>
      <c r="D921" t="s">
        <v>63</v>
      </c>
      <c r="E921" t="s">
        <v>64</v>
      </c>
      <c r="F921" s="2">
        <v>2115060.94</v>
      </c>
      <c r="G921" s="1" t="s">
        <v>2981</v>
      </c>
      <c r="H921" t="s">
        <v>307</v>
      </c>
      <c r="I921" t="s">
        <v>250</v>
      </c>
      <c r="J921">
        <v>6</v>
      </c>
      <c r="K921" t="s">
        <v>26</v>
      </c>
      <c r="L921" t="s">
        <v>2143</v>
      </c>
      <c r="M921" t="s">
        <v>2107</v>
      </c>
      <c r="N921" t="s">
        <v>310</v>
      </c>
      <c r="O921" t="s">
        <v>252</v>
      </c>
      <c r="P921" t="s">
        <v>404</v>
      </c>
    </row>
    <row r="922" spans="1:16" x14ac:dyDescent="0.25">
      <c r="A922" t="s">
        <v>2982</v>
      </c>
      <c r="B922" t="s">
        <v>2957</v>
      </c>
      <c r="C922" s="1" t="s">
        <v>2983</v>
      </c>
      <c r="D922" t="s">
        <v>63</v>
      </c>
      <c r="E922" t="s">
        <v>64</v>
      </c>
      <c r="F922" s="2">
        <v>1950199.94</v>
      </c>
      <c r="G922" s="1" t="s">
        <v>2984</v>
      </c>
      <c r="H922" t="s">
        <v>307</v>
      </c>
      <c r="I922" t="s">
        <v>250</v>
      </c>
      <c r="J922">
        <v>6</v>
      </c>
      <c r="K922" t="s">
        <v>26</v>
      </c>
      <c r="L922" t="s">
        <v>2143</v>
      </c>
      <c r="M922" t="s">
        <v>2107</v>
      </c>
      <c r="N922" t="s">
        <v>310</v>
      </c>
      <c r="O922" t="s">
        <v>252</v>
      </c>
      <c r="P922" t="s">
        <v>404</v>
      </c>
    </row>
    <row r="923" spans="1:16" x14ac:dyDescent="0.25">
      <c r="A923" t="s">
        <v>2985</v>
      </c>
      <c r="B923" t="s">
        <v>2957</v>
      </c>
      <c r="C923" s="1" t="s">
        <v>2986</v>
      </c>
      <c r="D923" t="s">
        <v>63</v>
      </c>
      <c r="E923" t="s">
        <v>64</v>
      </c>
      <c r="F923" s="2">
        <v>544478.89</v>
      </c>
      <c r="G923" s="1" t="s">
        <v>2987</v>
      </c>
      <c r="H923" t="s">
        <v>307</v>
      </c>
      <c r="I923" t="s">
        <v>250</v>
      </c>
      <c r="J923">
        <v>6</v>
      </c>
      <c r="K923" t="s">
        <v>26</v>
      </c>
      <c r="L923" t="s">
        <v>2143</v>
      </c>
      <c r="M923" t="s">
        <v>2107</v>
      </c>
      <c r="N923" t="s">
        <v>310</v>
      </c>
      <c r="O923" t="s">
        <v>252</v>
      </c>
      <c r="P923" t="s">
        <v>404</v>
      </c>
    </row>
    <row r="924" spans="1:16" x14ac:dyDescent="0.25">
      <c r="A924" t="s">
        <v>2988</v>
      </c>
      <c r="B924" t="s">
        <v>2957</v>
      </c>
      <c r="C924" s="1" t="s">
        <v>2989</v>
      </c>
      <c r="D924" t="s">
        <v>63</v>
      </c>
      <c r="E924" t="s">
        <v>64</v>
      </c>
      <c r="F924" s="2">
        <v>798544.02</v>
      </c>
      <c r="G924" s="1" t="s">
        <v>2990</v>
      </c>
      <c r="H924" t="s">
        <v>307</v>
      </c>
      <c r="I924" t="s">
        <v>250</v>
      </c>
      <c r="J924">
        <v>6</v>
      </c>
      <c r="K924" t="s">
        <v>26</v>
      </c>
      <c r="L924" t="s">
        <v>2143</v>
      </c>
      <c r="M924" t="s">
        <v>2107</v>
      </c>
      <c r="N924" t="s">
        <v>310</v>
      </c>
      <c r="O924" t="s">
        <v>252</v>
      </c>
      <c r="P924" t="s">
        <v>404</v>
      </c>
    </row>
    <row r="925" spans="1:16" x14ac:dyDescent="0.25">
      <c r="A925" t="s">
        <v>2991</v>
      </c>
      <c r="B925" t="s">
        <v>2957</v>
      </c>
      <c r="C925" s="1" t="s">
        <v>2992</v>
      </c>
      <c r="D925" t="s">
        <v>63</v>
      </c>
      <c r="E925" t="s">
        <v>64</v>
      </c>
      <c r="F925" s="2">
        <v>966971.28</v>
      </c>
      <c r="G925" s="1" t="s">
        <v>2993</v>
      </c>
      <c r="H925" t="s">
        <v>307</v>
      </c>
      <c r="I925" t="s">
        <v>250</v>
      </c>
      <c r="J925">
        <v>6</v>
      </c>
      <c r="K925" t="s">
        <v>26</v>
      </c>
      <c r="L925" t="s">
        <v>2143</v>
      </c>
      <c r="M925" t="s">
        <v>2107</v>
      </c>
      <c r="N925" t="s">
        <v>310</v>
      </c>
      <c r="O925" t="s">
        <v>252</v>
      </c>
      <c r="P925" t="s">
        <v>404</v>
      </c>
    </row>
    <row r="926" spans="1:16" x14ac:dyDescent="0.25">
      <c r="A926" t="s">
        <v>2994</v>
      </c>
      <c r="B926" t="s">
        <v>2957</v>
      </c>
      <c r="C926" s="1" t="s">
        <v>2995</v>
      </c>
      <c r="D926" t="s">
        <v>63</v>
      </c>
      <c r="E926" t="s">
        <v>64</v>
      </c>
      <c r="F926" s="2">
        <v>1573864.42</v>
      </c>
      <c r="G926" s="1" t="s">
        <v>2996</v>
      </c>
      <c r="H926" t="s">
        <v>307</v>
      </c>
      <c r="I926" t="s">
        <v>250</v>
      </c>
      <c r="J926">
        <v>6</v>
      </c>
      <c r="K926" t="s">
        <v>26</v>
      </c>
      <c r="L926" t="s">
        <v>2143</v>
      </c>
      <c r="M926" t="s">
        <v>2107</v>
      </c>
      <c r="N926" t="s">
        <v>310</v>
      </c>
      <c r="O926" t="s">
        <v>252</v>
      </c>
      <c r="P926" t="s">
        <v>404</v>
      </c>
    </row>
    <row r="927" spans="1:16" x14ac:dyDescent="0.25">
      <c r="A927" t="s">
        <v>2997</v>
      </c>
      <c r="B927" t="s">
        <v>2957</v>
      </c>
      <c r="C927" s="1" t="s">
        <v>2998</v>
      </c>
      <c r="D927" t="s">
        <v>63</v>
      </c>
      <c r="E927" t="s">
        <v>64</v>
      </c>
      <c r="F927" s="2">
        <v>296146.38</v>
      </c>
      <c r="G927" s="1" t="s">
        <v>2999</v>
      </c>
      <c r="H927" t="s">
        <v>307</v>
      </c>
      <c r="I927" t="s">
        <v>250</v>
      </c>
      <c r="J927">
        <v>4</v>
      </c>
      <c r="K927" t="s">
        <v>26</v>
      </c>
      <c r="L927" t="s">
        <v>2143</v>
      </c>
      <c r="M927" t="s">
        <v>2107</v>
      </c>
      <c r="N927" t="s">
        <v>310</v>
      </c>
      <c r="O927" t="s">
        <v>252</v>
      </c>
      <c r="P927" t="s">
        <v>404</v>
      </c>
    </row>
    <row r="928" spans="1:16" x14ac:dyDescent="0.25">
      <c r="A928" t="s">
        <v>3000</v>
      </c>
      <c r="B928" t="s">
        <v>2957</v>
      </c>
      <c r="C928" s="1" t="s">
        <v>3001</v>
      </c>
      <c r="D928" t="s">
        <v>63</v>
      </c>
      <c r="E928" t="s">
        <v>64</v>
      </c>
      <c r="F928" s="2">
        <v>2624302.46</v>
      </c>
      <c r="G928" s="1" t="s">
        <v>3002</v>
      </c>
      <c r="H928" t="s">
        <v>307</v>
      </c>
      <c r="I928" t="s">
        <v>250</v>
      </c>
      <c r="J928">
        <v>4</v>
      </c>
      <c r="K928" t="s">
        <v>26</v>
      </c>
      <c r="L928" t="s">
        <v>2143</v>
      </c>
      <c r="M928" t="s">
        <v>2107</v>
      </c>
      <c r="N928" t="s">
        <v>310</v>
      </c>
      <c r="O928" t="s">
        <v>252</v>
      </c>
      <c r="P928" t="s">
        <v>404</v>
      </c>
    </row>
    <row r="929" spans="1:16" x14ac:dyDescent="0.25">
      <c r="A929" t="s">
        <v>3003</v>
      </c>
      <c r="B929" t="s">
        <v>2957</v>
      </c>
      <c r="C929" s="1" t="s">
        <v>3004</v>
      </c>
      <c r="D929" t="s">
        <v>63</v>
      </c>
      <c r="E929" t="s">
        <v>64</v>
      </c>
      <c r="F929" s="2">
        <v>3432529.38</v>
      </c>
      <c r="G929" s="1" t="s">
        <v>3005</v>
      </c>
      <c r="H929" t="s">
        <v>307</v>
      </c>
      <c r="I929" t="s">
        <v>250</v>
      </c>
      <c r="J929">
        <v>4</v>
      </c>
      <c r="K929" t="s">
        <v>26</v>
      </c>
      <c r="L929" t="s">
        <v>2143</v>
      </c>
      <c r="M929" t="s">
        <v>2107</v>
      </c>
      <c r="N929" t="s">
        <v>310</v>
      </c>
      <c r="O929" t="s">
        <v>252</v>
      </c>
      <c r="P929" t="s">
        <v>404</v>
      </c>
    </row>
    <row r="930" spans="1:16" x14ac:dyDescent="0.25">
      <c r="A930" t="s">
        <v>3006</v>
      </c>
      <c r="B930" t="s">
        <v>2957</v>
      </c>
      <c r="C930" s="1" t="s">
        <v>3007</v>
      </c>
      <c r="D930" t="s">
        <v>63</v>
      </c>
      <c r="E930" t="s">
        <v>64</v>
      </c>
      <c r="F930" s="2">
        <v>5886832.08</v>
      </c>
      <c r="G930" s="1" t="s">
        <v>3008</v>
      </c>
      <c r="H930" t="s">
        <v>307</v>
      </c>
      <c r="I930" t="s">
        <v>250</v>
      </c>
      <c r="J930">
        <v>4</v>
      </c>
      <c r="K930" t="s">
        <v>26</v>
      </c>
      <c r="L930" t="s">
        <v>2143</v>
      </c>
      <c r="M930" t="s">
        <v>2107</v>
      </c>
      <c r="N930" t="s">
        <v>310</v>
      </c>
      <c r="O930" t="s">
        <v>252</v>
      </c>
      <c r="P930" t="s">
        <v>404</v>
      </c>
    </row>
    <row r="931" spans="1:16" x14ac:dyDescent="0.25">
      <c r="A931" t="s">
        <v>3009</v>
      </c>
      <c r="B931" t="s">
        <v>2957</v>
      </c>
      <c r="C931" s="1" t="s">
        <v>3010</v>
      </c>
      <c r="D931" t="s">
        <v>63</v>
      </c>
      <c r="E931" t="s">
        <v>64</v>
      </c>
      <c r="F931" s="2">
        <v>879164.46</v>
      </c>
      <c r="G931" s="1" t="s">
        <v>3011</v>
      </c>
      <c r="H931" t="s">
        <v>307</v>
      </c>
      <c r="I931" t="s">
        <v>250</v>
      </c>
      <c r="J931">
        <v>4</v>
      </c>
      <c r="K931" t="s">
        <v>26</v>
      </c>
      <c r="L931" t="s">
        <v>2143</v>
      </c>
      <c r="M931" t="s">
        <v>2107</v>
      </c>
      <c r="N931" t="s">
        <v>310</v>
      </c>
      <c r="O931" t="s">
        <v>252</v>
      </c>
      <c r="P931" t="s">
        <v>404</v>
      </c>
    </row>
    <row r="932" spans="1:16" x14ac:dyDescent="0.25">
      <c r="A932" t="s">
        <v>3012</v>
      </c>
      <c r="B932" t="s">
        <v>2957</v>
      </c>
      <c r="C932" s="1" t="s">
        <v>3013</v>
      </c>
      <c r="D932" t="s">
        <v>63</v>
      </c>
      <c r="E932" t="s">
        <v>64</v>
      </c>
      <c r="F932" s="2">
        <v>251995.51</v>
      </c>
      <c r="G932" s="1" t="s">
        <v>3014</v>
      </c>
      <c r="H932" t="s">
        <v>307</v>
      </c>
      <c r="I932" t="s">
        <v>250</v>
      </c>
      <c r="J932">
        <v>5</v>
      </c>
      <c r="K932" t="s">
        <v>26</v>
      </c>
      <c r="L932" t="s">
        <v>2143</v>
      </c>
      <c r="M932" t="s">
        <v>2107</v>
      </c>
      <c r="N932" t="s">
        <v>310</v>
      </c>
      <c r="O932" t="s">
        <v>252</v>
      </c>
      <c r="P932" t="s">
        <v>404</v>
      </c>
    </row>
    <row r="933" spans="1:16" x14ac:dyDescent="0.25">
      <c r="A933" t="s">
        <v>3015</v>
      </c>
      <c r="B933" t="s">
        <v>2957</v>
      </c>
      <c r="C933" s="1" t="s">
        <v>3016</v>
      </c>
      <c r="D933" t="s">
        <v>63</v>
      </c>
      <c r="E933" t="s">
        <v>64</v>
      </c>
      <c r="F933" s="2">
        <v>369282.51</v>
      </c>
      <c r="G933" s="1" t="s">
        <v>3017</v>
      </c>
      <c r="H933" t="s">
        <v>307</v>
      </c>
      <c r="I933" t="s">
        <v>250</v>
      </c>
      <c r="J933">
        <v>5</v>
      </c>
      <c r="K933" t="s">
        <v>26</v>
      </c>
      <c r="L933" t="s">
        <v>2143</v>
      </c>
      <c r="M933" t="s">
        <v>2107</v>
      </c>
      <c r="N933" t="s">
        <v>310</v>
      </c>
      <c r="O933" t="s">
        <v>252</v>
      </c>
      <c r="P933" t="s">
        <v>404</v>
      </c>
    </row>
    <row r="934" spans="1:16" x14ac:dyDescent="0.25">
      <c r="A934" t="s">
        <v>3018</v>
      </c>
      <c r="B934" t="s">
        <v>2957</v>
      </c>
      <c r="C934" s="1" t="s">
        <v>3019</v>
      </c>
      <c r="D934" t="s">
        <v>63</v>
      </c>
      <c r="E934" t="s">
        <v>64</v>
      </c>
      <c r="F934" s="2">
        <v>433925.51</v>
      </c>
      <c r="G934" s="1" t="s">
        <v>3020</v>
      </c>
      <c r="H934" t="s">
        <v>307</v>
      </c>
      <c r="I934" t="s">
        <v>250</v>
      </c>
      <c r="J934">
        <v>5</v>
      </c>
      <c r="K934" t="s">
        <v>26</v>
      </c>
      <c r="L934" t="s">
        <v>2143</v>
      </c>
      <c r="M934" t="s">
        <v>2107</v>
      </c>
      <c r="N934" t="s">
        <v>310</v>
      </c>
      <c r="O934" t="s">
        <v>252</v>
      </c>
      <c r="P934" t="s">
        <v>404</v>
      </c>
    </row>
    <row r="935" spans="1:16" x14ac:dyDescent="0.25">
      <c r="A935" t="s">
        <v>3021</v>
      </c>
      <c r="B935" t="s">
        <v>2957</v>
      </c>
      <c r="C935" s="1" t="s">
        <v>3022</v>
      </c>
      <c r="D935" t="s">
        <v>63</v>
      </c>
      <c r="E935" t="s">
        <v>64</v>
      </c>
      <c r="F935" s="2">
        <v>587918.51</v>
      </c>
      <c r="G935" s="1" t="s">
        <v>3023</v>
      </c>
      <c r="H935" t="s">
        <v>307</v>
      </c>
      <c r="I935" t="s">
        <v>250</v>
      </c>
      <c r="J935">
        <v>5</v>
      </c>
      <c r="K935" t="s">
        <v>26</v>
      </c>
      <c r="L935" t="s">
        <v>2143</v>
      </c>
      <c r="M935" t="s">
        <v>2107</v>
      </c>
      <c r="N935" t="s">
        <v>310</v>
      </c>
      <c r="O935" t="s">
        <v>252</v>
      </c>
      <c r="P935" t="s">
        <v>404</v>
      </c>
    </row>
    <row r="936" spans="1:16" x14ac:dyDescent="0.25">
      <c r="A936" t="s">
        <v>3024</v>
      </c>
      <c r="B936" t="s">
        <v>2957</v>
      </c>
      <c r="C936" s="1" t="s">
        <v>3025</v>
      </c>
      <c r="D936" t="s">
        <v>63</v>
      </c>
      <c r="E936" t="s">
        <v>64</v>
      </c>
      <c r="F936" s="2">
        <v>354460.55</v>
      </c>
      <c r="G936" s="1" t="s">
        <v>3026</v>
      </c>
      <c r="H936" t="s">
        <v>307</v>
      </c>
      <c r="I936" t="s">
        <v>401</v>
      </c>
      <c r="J936">
        <v>4</v>
      </c>
      <c r="K936" t="s">
        <v>26</v>
      </c>
      <c r="L936" t="s">
        <v>3027</v>
      </c>
      <c r="M936" t="s">
        <v>2107</v>
      </c>
      <c r="N936" t="s">
        <v>310</v>
      </c>
      <c r="O936" t="s">
        <v>403</v>
      </c>
      <c r="P936" t="s">
        <v>404</v>
      </c>
    </row>
    <row r="937" spans="1:16" x14ac:dyDescent="0.25">
      <c r="A937" t="s">
        <v>3028</v>
      </c>
      <c r="B937" t="s">
        <v>2957</v>
      </c>
      <c r="C937" s="1" t="s">
        <v>3029</v>
      </c>
      <c r="D937" t="s">
        <v>63</v>
      </c>
      <c r="E937" t="s">
        <v>64</v>
      </c>
      <c r="F937" s="2">
        <v>398189.96</v>
      </c>
      <c r="G937" s="1" t="s">
        <v>3030</v>
      </c>
      <c r="H937" t="s">
        <v>307</v>
      </c>
      <c r="I937" t="s">
        <v>401</v>
      </c>
      <c r="J937">
        <v>4</v>
      </c>
      <c r="K937" t="s">
        <v>26</v>
      </c>
      <c r="L937" t="s">
        <v>3027</v>
      </c>
      <c r="M937" t="s">
        <v>2107</v>
      </c>
      <c r="N937" t="s">
        <v>310</v>
      </c>
      <c r="O937" t="s">
        <v>403</v>
      </c>
      <c r="P937" t="s">
        <v>404</v>
      </c>
    </row>
    <row r="938" spans="1:16" x14ac:dyDescent="0.25">
      <c r="A938" t="s">
        <v>3031</v>
      </c>
      <c r="B938" t="s">
        <v>2957</v>
      </c>
      <c r="C938" s="1" t="s">
        <v>3032</v>
      </c>
      <c r="D938" t="s">
        <v>63</v>
      </c>
      <c r="E938" t="s">
        <v>64</v>
      </c>
      <c r="F938" s="2">
        <v>93030.29</v>
      </c>
      <c r="G938" s="1" t="s">
        <v>3033</v>
      </c>
      <c r="H938" t="s">
        <v>307</v>
      </c>
      <c r="I938" t="s">
        <v>250</v>
      </c>
      <c r="J938">
        <v>6</v>
      </c>
      <c r="K938" t="s">
        <v>26</v>
      </c>
      <c r="L938" t="s">
        <v>2143</v>
      </c>
      <c r="M938" t="s">
        <v>2107</v>
      </c>
      <c r="N938" t="s">
        <v>310</v>
      </c>
      <c r="O938" t="s">
        <v>252</v>
      </c>
      <c r="P938" t="s">
        <v>404</v>
      </c>
    </row>
    <row r="939" spans="1:16" x14ac:dyDescent="0.25">
      <c r="A939" t="s">
        <v>3034</v>
      </c>
      <c r="B939" t="s">
        <v>2957</v>
      </c>
      <c r="C939" s="1" t="s">
        <v>3035</v>
      </c>
      <c r="D939" t="s">
        <v>63</v>
      </c>
      <c r="E939" t="s">
        <v>64</v>
      </c>
      <c r="F939" s="2">
        <v>75873.29</v>
      </c>
      <c r="G939" s="1" t="s">
        <v>3036</v>
      </c>
      <c r="H939" t="s">
        <v>307</v>
      </c>
      <c r="I939" t="s">
        <v>250</v>
      </c>
      <c r="J939">
        <v>6</v>
      </c>
      <c r="K939" t="s">
        <v>26</v>
      </c>
      <c r="L939" t="s">
        <v>2143</v>
      </c>
      <c r="M939" t="s">
        <v>2107</v>
      </c>
      <c r="N939" t="s">
        <v>310</v>
      </c>
      <c r="O939" t="s">
        <v>252</v>
      </c>
      <c r="P939" t="s">
        <v>404</v>
      </c>
    </row>
    <row r="940" spans="1:16" x14ac:dyDescent="0.25">
      <c r="A940" t="s">
        <v>3037</v>
      </c>
      <c r="B940" t="s">
        <v>2957</v>
      </c>
      <c r="C940" s="1" t="s">
        <v>3038</v>
      </c>
      <c r="D940" t="s">
        <v>63</v>
      </c>
      <c r="E940" t="s">
        <v>64</v>
      </c>
      <c r="F940" s="2">
        <v>150535.29</v>
      </c>
      <c r="G940" s="1" t="s">
        <v>3039</v>
      </c>
      <c r="H940" t="s">
        <v>307</v>
      </c>
      <c r="I940" t="s">
        <v>250</v>
      </c>
      <c r="J940">
        <v>6</v>
      </c>
      <c r="K940" t="s">
        <v>26</v>
      </c>
      <c r="L940" t="s">
        <v>2143</v>
      </c>
      <c r="M940" t="s">
        <v>2107</v>
      </c>
      <c r="N940" t="s">
        <v>310</v>
      </c>
      <c r="O940" t="s">
        <v>252</v>
      </c>
      <c r="P940" t="s">
        <v>404</v>
      </c>
    </row>
    <row r="941" spans="1:16" x14ac:dyDescent="0.25">
      <c r="A941" t="s">
        <v>3040</v>
      </c>
      <c r="B941" t="s">
        <v>2957</v>
      </c>
      <c r="C941" s="1" t="s">
        <v>3041</v>
      </c>
      <c r="D941" t="s">
        <v>63</v>
      </c>
      <c r="E941" t="s">
        <v>64</v>
      </c>
      <c r="F941" s="2">
        <v>291378.04</v>
      </c>
      <c r="G941" s="1" t="s">
        <v>3042</v>
      </c>
      <c r="H941" t="s">
        <v>307</v>
      </c>
      <c r="I941" t="s">
        <v>805</v>
      </c>
      <c r="J941">
        <v>4</v>
      </c>
      <c r="K941" t="s">
        <v>26</v>
      </c>
      <c r="L941" t="s">
        <v>3043</v>
      </c>
      <c r="M941" t="s">
        <v>2107</v>
      </c>
      <c r="N941" t="s">
        <v>310</v>
      </c>
      <c r="O941" t="s">
        <v>807</v>
      </c>
      <c r="P941" t="s">
        <v>404</v>
      </c>
    </row>
    <row r="942" spans="1:16" x14ac:dyDescent="0.25">
      <c r="A942" t="s">
        <v>3044</v>
      </c>
      <c r="B942" t="s">
        <v>3045</v>
      </c>
      <c r="C942" s="1" t="s">
        <v>3046</v>
      </c>
      <c r="D942" t="s">
        <v>3047</v>
      </c>
      <c r="E942" t="s">
        <v>3048</v>
      </c>
      <c r="F942" s="2">
        <v>7937726.25</v>
      </c>
      <c r="G942" s="1" t="s">
        <v>3049</v>
      </c>
      <c r="H942" t="s">
        <v>1823</v>
      </c>
      <c r="I942" t="s">
        <v>45</v>
      </c>
      <c r="J942">
        <v>7</v>
      </c>
      <c r="K942" t="s">
        <v>26</v>
      </c>
      <c r="L942" t="s">
        <v>3050</v>
      </c>
      <c r="M942" t="s">
        <v>2107</v>
      </c>
      <c r="N942" t="s">
        <v>1825</v>
      </c>
      <c r="O942" t="s">
        <v>47</v>
      </c>
      <c r="P942" t="s">
        <v>31</v>
      </c>
    </row>
    <row r="943" spans="1:16" x14ac:dyDescent="0.25">
      <c r="A943" t="s">
        <v>3051</v>
      </c>
      <c r="B943" t="s">
        <v>3045</v>
      </c>
      <c r="C943" s="1" t="s">
        <v>3052</v>
      </c>
      <c r="D943" t="s">
        <v>3047</v>
      </c>
      <c r="E943" t="s">
        <v>3048</v>
      </c>
      <c r="F943" s="2">
        <v>9357146.57</v>
      </c>
      <c r="G943" s="1" t="s">
        <v>3053</v>
      </c>
      <c r="H943" t="s">
        <v>1823</v>
      </c>
      <c r="I943" t="s">
        <v>45</v>
      </c>
      <c r="J943">
        <v>7</v>
      </c>
      <c r="K943" t="s">
        <v>26</v>
      </c>
      <c r="L943" t="s">
        <v>3054</v>
      </c>
      <c r="M943" t="s">
        <v>2107</v>
      </c>
      <c r="N943" t="s">
        <v>1825</v>
      </c>
      <c r="O943" t="s">
        <v>47</v>
      </c>
      <c r="P943" t="s">
        <v>3055</v>
      </c>
    </row>
    <row r="944" spans="1:16" x14ac:dyDescent="0.25">
      <c r="A944" t="s">
        <v>3056</v>
      </c>
      <c r="B944" t="s">
        <v>3045</v>
      </c>
      <c r="C944" s="1" t="s">
        <v>3057</v>
      </c>
      <c r="D944" t="s">
        <v>21</v>
      </c>
      <c r="E944" t="s">
        <v>22</v>
      </c>
      <c r="F944" s="2">
        <v>73299.19</v>
      </c>
      <c r="G944" s="1" t="s">
        <v>3058</v>
      </c>
      <c r="H944" t="s">
        <v>1823</v>
      </c>
      <c r="I944" t="s">
        <v>66</v>
      </c>
      <c r="J944">
        <v>6</v>
      </c>
      <c r="K944" t="s">
        <v>26</v>
      </c>
      <c r="L944" t="s">
        <v>3059</v>
      </c>
      <c r="M944" t="s">
        <v>2107</v>
      </c>
      <c r="N944" t="s">
        <v>1825</v>
      </c>
      <c r="O944" t="s">
        <v>68</v>
      </c>
      <c r="P944" t="s">
        <v>31</v>
      </c>
    </row>
    <row r="945" spans="1:16" x14ac:dyDescent="0.25">
      <c r="A945" t="s">
        <v>3060</v>
      </c>
      <c r="B945" t="s">
        <v>3045</v>
      </c>
      <c r="C945" s="1" t="s">
        <v>3061</v>
      </c>
      <c r="D945" t="s">
        <v>42</v>
      </c>
      <c r="E945" t="s">
        <v>43</v>
      </c>
      <c r="F945" s="2">
        <v>17965.14</v>
      </c>
      <c r="G945" s="1" t="s">
        <v>3062</v>
      </c>
      <c r="H945" t="s">
        <v>1823</v>
      </c>
      <c r="I945" t="s">
        <v>66</v>
      </c>
      <c r="J945">
        <v>4</v>
      </c>
      <c r="K945" t="s">
        <v>26</v>
      </c>
      <c r="L945" t="s">
        <v>3059</v>
      </c>
      <c r="M945" t="s">
        <v>2107</v>
      </c>
      <c r="N945" t="s">
        <v>1825</v>
      </c>
      <c r="O945" t="s">
        <v>68</v>
      </c>
      <c r="P945" t="s">
        <v>31</v>
      </c>
    </row>
    <row r="946" spans="1:16" x14ac:dyDescent="0.25">
      <c r="A946" t="s">
        <v>3063</v>
      </c>
      <c r="B946" t="s">
        <v>3045</v>
      </c>
      <c r="C946" s="1" t="s">
        <v>3064</v>
      </c>
      <c r="D946" t="s">
        <v>3065</v>
      </c>
      <c r="E946" t="s">
        <v>3066</v>
      </c>
      <c r="F946" s="2">
        <v>2537911.23</v>
      </c>
      <c r="G946" s="1" t="s">
        <v>3067</v>
      </c>
      <c r="H946" t="s">
        <v>1823</v>
      </c>
      <c r="I946" t="s">
        <v>66</v>
      </c>
      <c r="J946">
        <v>5</v>
      </c>
      <c r="K946" t="s">
        <v>26</v>
      </c>
      <c r="L946" t="s">
        <v>3068</v>
      </c>
      <c r="M946" t="s">
        <v>2107</v>
      </c>
      <c r="N946" t="s">
        <v>1825</v>
      </c>
      <c r="O946" t="s">
        <v>68</v>
      </c>
      <c r="P946" t="s">
        <v>3055</v>
      </c>
    </row>
    <row r="947" spans="1:16" x14ac:dyDescent="0.25">
      <c r="A947" t="s">
        <v>3069</v>
      </c>
      <c r="B947" t="s">
        <v>3045</v>
      </c>
      <c r="C947" s="1" t="s">
        <v>3070</v>
      </c>
      <c r="D947" t="s">
        <v>3065</v>
      </c>
      <c r="E947" t="s">
        <v>3066</v>
      </c>
      <c r="F947" s="2">
        <v>2537911.23</v>
      </c>
      <c r="G947" s="1" t="s">
        <v>3067</v>
      </c>
      <c r="H947" t="s">
        <v>1823</v>
      </c>
      <c r="I947" t="s">
        <v>66</v>
      </c>
      <c r="J947">
        <v>5</v>
      </c>
      <c r="K947" t="s">
        <v>26</v>
      </c>
      <c r="L947" t="s">
        <v>3068</v>
      </c>
      <c r="M947" t="s">
        <v>2107</v>
      </c>
      <c r="N947" t="s">
        <v>1825</v>
      </c>
      <c r="O947" t="s">
        <v>68</v>
      </c>
      <c r="P947" t="s">
        <v>3055</v>
      </c>
    </row>
    <row r="948" spans="1:16" x14ac:dyDescent="0.25">
      <c r="A948" t="s">
        <v>3071</v>
      </c>
      <c r="B948" t="s">
        <v>3045</v>
      </c>
      <c r="C948" s="1" t="s">
        <v>3072</v>
      </c>
      <c r="D948" t="s">
        <v>21</v>
      </c>
      <c r="E948" t="s">
        <v>22</v>
      </c>
      <c r="F948" s="2">
        <v>3415.9</v>
      </c>
      <c r="G948" s="1" t="s">
        <v>3073</v>
      </c>
      <c r="H948" t="s">
        <v>1823</v>
      </c>
      <c r="I948" t="s">
        <v>66</v>
      </c>
      <c r="J948">
        <v>3</v>
      </c>
      <c r="K948" t="s">
        <v>26</v>
      </c>
      <c r="L948" t="s">
        <v>3068</v>
      </c>
      <c r="M948" t="s">
        <v>2107</v>
      </c>
      <c r="N948" t="s">
        <v>1825</v>
      </c>
      <c r="O948" t="s">
        <v>68</v>
      </c>
      <c r="P948" t="s">
        <v>3055</v>
      </c>
    </row>
    <row r="949" spans="1:16" x14ac:dyDescent="0.25">
      <c r="A949" t="s">
        <v>3074</v>
      </c>
      <c r="B949" t="s">
        <v>3045</v>
      </c>
      <c r="C949" s="1" t="s">
        <v>3075</v>
      </c>
      <c r="D949" t="s">
        <v>42</v>
      </c>
      <c r="E949" t="s">
        <v>43</v>
      </c>
      <c r="F949" s="2">
        <v>3403.3</v>
      </c>
      <c r="G949" s="1" t="s">
        <v>3076</v>
      </c>
      <c r="H949" t="s">
        <v>1823</v>
      </c>
      <c r="I949" t="s">
        <v>66</v>
      </c>
      <c r="J949">
        <v>3</v>
      </c>
      <c r="K949" t="s">
        <v>26</v>
      </c>
      <c r="L949" t="s">
        <v>3068</v>
      </c>
      <c r="M949" t="s">
        <v>2107</v>
      </c>
      <c r="N949" t="s">
        <v>1825</v>
      </c>
      <c r="O949" t="s">
        <v>68</v>
      </c>
      <c r="P949" t="s">
        <v>3055</v>
      </c>
    </row>
    <row r="950" spans="1:16" x14ac:dyDescent="0.25">
      <c r="A950" t="s">
        <v>3077</v>
      </c>
      <c r="B950" t="s">
        <v>3045</v>
      </c>
      <c r="C950" s="1" t="s">
        <v>3078</v>
      </c>
      <c r="D950" t="s">
        <v>3065</v>
      </c>
      <c r="E950" t="s">
        <v>3066</v>
      </c>
      <c r="F950" s="2">
        <v>5165401.8</v>
      </c>
      <c r="G950" s="1" t="s">
        <v>3079</v>
      </c>
      <c r="H950" t="s">
        <v>1823</v>
      </c>
      <c r="I950" t="s">
        <v>66</v>
      </c>
      <c r="J950">
        <v>9</v>
      </c>
      <c r="K950" t="s">
        <v>26</v>
      </c>
      <c r="L950" t="s">
        <v>3059</v>
      </c>
      <c r="M950" t="s">
        <v>2107</v>
      </c>
      <c r="N950" t="s">
        <v>1825</v>
      </c>
      <c r="O950" t="s">
        <v>68</v>
      </c>
      <c r="P950" t="s">
        <v>31</v>
      </c>
    </row>
    <row r="951" spans="1:16" x14ac:dyDescent="0.25">
      <c r="A951" t="s">
        <v>3080</v>
      </c>
      <c r="B951" t="s">
        <v>3081</v>
      </c>
      <c r="C951" s="1" t="s">
        <v>3082</v>
      </c>
      <c r="D951" t="s">
        <v>3065</v>
      </c>
      <c r="E951" t="s">
        <v>3066</v>
      </c>
      <c r="F951" s="2">
        <v>1833596.02</v>
      </c>
      <c r="G951" s="1" t="s">
        <v>3083</v>
      </c>
      <c r="H951" t="s">
        <v>24</v>
      </c>
      <c r="I951" t="s">
        <v>555</v>
      </c>
      <c r="J951">
        <v>4</v>
      </c>
      <c r="K951" t="s">
        <v>26</v>
      </c>
      <c r="L951" t="s">
        <v>3084</v>
      </c>
      <c r="M951" t="s">
        <v>3085</v>
      </c>
      <c r="N951" t="s">
        <v>29</v>
      </c>
      <c r="O951" t="s">
        <v>47</v>
      </c>
      <c r="P951" t="s">
        <v>79</v>
      </c>
    </row>
    <row r="952" spans="1:16" x14ac:dyDescent="0.25">
      <c r="A952" t="s">
        <v>3086</v>
      </c>
      <c r="B952" t="s">
        <v>3081</v>
      </c>
      <c r="C952" s="1" t="s">
        <v>3087</v>
      </c>
      <c r="D952" t="s">
        <v>3065</v>
      </c>
      <c r="E952" t="s">
        <v>3066</v>
      </c>
      <c r="F952" s="2">
        <v>2470736.02</v>
      </c>
      <c r="G952" s="1" t="s">
        <v>3088</v>
      </c>
      <c r="H952" t="s">
        <v>24</v>
      </c>
      <c r="I952" t="s">
        <v>37</v>
      </c>
      <c r="J952">
        <v>5</v>
      </c>
      <c r="K952" t="s">
        <v>26</v>
      </c>
      <c r="L952" t="s">
        <v>3089</v>
      </c>
      <c r="M952" t="s">
        <v>3085</v>
      </c>
      <c r="N952" t="s">
        <v>29</v>
      </c>
      <c r="O952" t="s">
        <v>39</v>
      </c>
      <c r="P952" t="s">
        <v>79</v>
      </c>
    </row>
    <row r="953" spans="1:16" x14ac:dyDescent="0.25">
      <c r="A953" t="s">
        <v>3090</v>
      </c>
      <c r="B953" t="s">
        <v>3081</v>
      </c>
      <c r="C953" s="1" t="s">
        <v>3091</v>
      </c>
      <c r="D953" t="s">
        <v>3065</v>
      </c>
      <c r="E953" t="s">
        <v>3066</v>
      </c>
      <c r="F953" s="2">
        <v>1138541.92</v>
      </c>
      <c r="G953" s="1" t="s">
        <v>3092</v>
      </c>
      <c r="H953" t="s">
        <v>24</v>
      </c>
      <c r="I953" t="s">
        <v>555</v>
      </c>
      <c r="J953">
        <v>4</v>
      </c>
      <c r="K953" t="s">
        <v>26</v>
      </c>
      <c r="L953" t="s">
        <v>3084</v>
      </c>
      <c r="M953" t="s">
        <v>3085</v>
      </c>
      <c r="N953" t="s">
        <v>29</v>
      </c>
      <c r="O953" t="s">
        <v>47</v>
      </c>
      <c r="P953" t="s">
        <v>79</v>
      </c>
    </row>
    <row r="954" spans="1:16" x14ac:dyDescent="0.25">
      <c r="A954" t="s">
        <v>3093</v>
      </c>
      <c r="B954" t="s">
        <v>3081</v>
      </c>
      <c r="C954" s="1" t="s">
        <v>3094</v>
      </c>
      <c r="D954" t="s">
        <v>3047</v>
      </c>
      <c r="E954" t="s">
        <v>3048</v>
      </c>
      <c r="F954" s="2">
        <v>2813077.04</v>
      </c>
      <c r="G954" s="1" t="s">
        <v>3095</v>
      </c>
      <c r="H954" t="s">
        <v>24</v>
      </c>
      <c r="I954" t="s">
        <v>54</v>
      </c>
      <c r="J954">
        <v>8</v>
      </c>
      <c r="K954" t="s">
        <v>26</v>
      </c>
      <c r="L954" t="s">
        <v>3096</v>
      </c>
      <c r="M954" t="s">
        <v>3085</v>
      </c>
      <c r="N954" t="s">
        <v>29</v>
      </c>
      <c r="O954" t="s">
        <v>47</v>
      </c>
      <c r="P954" t="s">
        <v>31</v>
      </c>
    </row>
    <row r="955" spans="1:16" x14ac:dyDescent="0.25">
      <c r="A955" t="s">
        <v>3097</v>
      </c>
      <c r="B955" t="s">
        <v>3081</v>
      </c>
      <c r="C955" s="1" t="s">
        <v>3098</v>
      </c>
      <c r="D955" t="s">
        <v>231</v>
      </c>
      <c r="E955" t="s">
        <v>232</v>
      </c>
      <c r="F955" s="2">
        <v>1043.76</v>
      </c>
      <c r="G955" s="1" t="s">
        <v>3099</v>
      </c>
      <c r="H955" t="s">
        <v>24</v>
      </c>
      <c r="I955" t="s">
        <v>25</v>
      </c>
      <c r="J955">
        <v>6</v>
      </c>
      <c r="K955" t="s">
        <v>26</v>
      </c>
      <c r="L955" t="s">
        <v>3100</v>
      </c>
      <c r="M955" t="s">
        <v>3085</v>
      </c>
      <c r="N955" t="s">
        <v>29</v>
      </c>
      <c r="O955" t="s">
        <v>30</v>
      </c>
      <c r="P955" t="s">
        <v>79</v>
      </c>
    </row>
    <row r="956" spans="1:16" x14ac:dyDescent="0.25">
      <c r="A956" t="s">
        <v>3101</v>
      </c>
      <c r="B956" t="s">
        <v>3081</v>
      </c>
      <c r="C956" s="1" t="s">
        <v>3102</v>
      </c>
      <c r="D956" t="s">
        <v>42</v>
      </c>
      <c r="E956" t="s">
        <v>43</v>
      </c>
      <c r="F956" s="2">
        <v>3795.76</v>
      </c>
      <c r="G956" s="1" t="s">
        <v>3103</v>
      </c>
      <c r="H956" t="s">
        <v>24</v>
      </c>
      <c r="I956" t="s">
        <v>1219</v>
      </c>
      <c r="J956">
        <v>2</v>
      </c>
      <c r="K956" t="s">
        <v>26</v>
      </c>
      <c r="L956" t="s">
        <v>3104</v>
      </c>
      <c r="M956" t="s">
        <v>3085</v>
      </c>
      <c r="N956" t="s">
        <v>29</v>
      </c>
      <c r="O956" t="s">
        <v>68</v>
      </c>
      <c r="P956" t="s">
        <v>31</v>
      </c>
    </row>
    <row r="957" spans="1:16" x14ac:dyDescent="0.25">
      <c r="A957" t="s">
        <v>3105</v>
      </c>
      <c r="B957" t="s">
        <v>3081</v>
      </c>
      <c r="C957" s="1" t="s">
        <v>3106</v>
      </c>
      <c r="D957" t="s">
        <v>63</v>
      </c>
      <c r="E957" t="s">
        <v>64</v>
      </c>
      <c r="F957" s="2">
        <v>273856.14</v>
      </c>
      <c r="G957" s="1" t="s">
        <v>3107</v>
      </c>
      <c r="H957" t="s">
        <v>24</v>
      </c>
      <c r="I957" t="s">
        <v>1219</v>
      </c>
      <c r="J957">
        <v>6</v>
      </c>
      <c r="K957" t="s">
        <v>26</v>
      </c>
      <c r="L957" t="s">
        <v>3104</v>
      </c>
      <c r="M957" t="s">
        <v>3085</v>
      </c>
      <c r="N957" t="s">
        <v>29</v>
      </c>
      <c r="O957" t="s">
        <v>68</v>
      </c>
      <c r="P957" t="s">
        <v>31</v>
      </c>
    </row>
    <row r="958" spans="1:16" x14ac:dyDescent="0.25">
      <c r="A958" t="s">
        <v>3108</v>
      </c>
      <c r="B958" t="s">
        <v>3109</v>
      </c>
      <c r="C958" s="1" t="s">
        <v>3110</v>
      </c>
      <c r="D958" t="s">
        <v>34</v>
      </c>
      <c r="E958" t="s">
        <v>35</v>
      </c>
      <c r="F958" s="2">
        <v>3472.69</v>
      </c>
      <c r="G958" s="1" t="s">
        <v>3111</v>
      </c>
      <c r="H958" t="s">
        <v>351</v>
      </c>
      <c r="I958" t="s">
        <v>37</v>
      </c>
      <c r="J958">
        <v>2</v>
      </c>
      <c r="K958" t="s">
        <v>26</v>
      </c>
      <c r="L958" t="s">
        <v>3112</v>
      </c>
      <c r="M958" t="s">
        <v>3085</v>
      </c>
      <c r="N958" t="s">
        <v>353</v>
      </c>
      <c r="O958" t="s">
        <v>39</v>
      </c>
      <c r="P958" t="s">
        <v>31</v>
      </c>
    </row>
    <row r="959" spans="1:16" x14ac:dyDescent="0.25">
      <c r="A959" t="s">
        <v>3113</v>
      </c>
      <c r="B959" t="s">
        <v>3109</v>
      </c>
      <c r="C959" s="1" t="s">
        <v>349</v>
      </c>
      <c r="D959" t="s">
        <v>34</v>
      </c>
      <c r="E959" t="s">
        <v>35</v>
      </c>
      <c r="F959" s="2">
        <v>14301.4</v>
      </c>
      <c r="G959" s="1" t="s">
        <v>3114</v>
      </c>
      <c r="H959" t="s">
        <v>351</v>
      </c>
      <c r="I959" t="s">
        <v>37</v>
      </c>
      <c r="J959">
        <v>5</v>
      </c>
      <c r="K959" t="s">
        <v>26</v>
      </c>
      <c r="L959" t="s">
        <v>3112</v>
      </c>
      <c r="M959" t="s">
        <v>3085</v>
      </c>
      <c r="N959" t="s">
        <v>353</v>
      </c>
      <c r="O959" t="s">
        <v>39</v>
      </c>
      <c r="P959" t="s">
        <v>31</v>
      </c>
    </row>
    <row r="960" spans="1:16" x14ac:dyDescent="0.25">
      <c r="A960" t="s">
        <v>3115</v>
      </c>
      <c r="B960" t="s">
        <v>3109</v>
      </c>
      <c r="C960" s="1" t="s">
        <v>355</v>
      </c>
      <c r="D960" t="s">
        <v>34</v>
      </c>
      <c r="E960" t="s">
        <v>35</v>
      </c>
      <c r="F960" s="2">
        <v>11547.33</v>
      </c>
      <c r="G960" s="1" t="s">
        <v>3116</v>
      </c>
      <c r="H960" t="s">
        <v>351</v>
      </c>
      <c r="I960" t="s">
        <v>37</v>
      </c>
      <c r="J960">
        <v>2</v>
      </c>
      <c r="K960" t="s">
        <v>26</v>
      </c>
      <c r="L960" t="s">
        <v>3112</v>
      </c>
      <c r="M960" t="s">
        <v>3085</v>
      </c>
      <c r="N960" t="s">
        <v>353</v>
      </c>
      <c r="O960" t="s">
        <v>39</v>
      </c>
      <c r="P960" t="s">
        <v>31</v>
      </c>
    </row>
    <row r="961" spans="1:16" x14ac:dyDescent="0.25">
      <c r="A961" t="s">
        <v>3117</v>
      </c>
      <c r="B961" t="s">
        <v>3109</v>
      </c>
      <c r="C961" s="1" t="s">
        <v>3118</v>
      </c>
      <c r="D961" t="s">
        <v>34</v>
      </c>
      <c r="E961" t="s">
        <v>35</v>
      </c>
      <c r="F961" s="2">
        <v>135669.72</v>
      </c>
      <c r="G961" s="1" t="s">
        <v>3119</v>
      </c>
      <c r="H961" t="s">
        <v>351</v>
      </c>
      <c r="I961" t="s">
        <v>58</v>
      </c>
      <c r="J961">
        <v>7</v>
      </c>
      <c r="K961" t="s">
        <v>26</v>
      </c>
      <c r="L961" t="s">
        <v>3120</v>
      </c>
      <c r="M961" t="s">
        <v>3085</v>
      </c>
      <c r="N961" t="s">
        <v>353</v>
      </c>
      <c r="O961" t="s">
        <v>60</v>
      </c>
      <c r="P961" t="s">
        <v>31</v>
      </c>
    </row>
    <row r="962" spans="1:16" x14ac:dyDescent="0.25">
      <c r="A962" t="s">
        <v>3121</v>
      </c>
      <c r="B962" t="s">
        <v>3109</v>
      </c>
      <c r="C962" s="1" t="s">
        <v>3122</v>
      </c>
      <c r="D962" t="s">
        <v>34</v>
      </c>
      <c r="E962" t="s">
        <v>35</v>
      </c>
      <c r="F962" s="2">
        <v>66264.04</v>
      </c>
      <c r="G962" s="1" t="s">
        <v>3123</v>
      </c>
      <c r="H962" t="s">
        <v>351</v>
      </c>
      <c r="I962" t="s">
        <v>58</v>
      </c>
      <c r="J962">
        <v>5</v>
      </c>
      <c r="K962" t="s">
        <v>26</v>
      </c>
      <c r="L962" t="s">
        <v>3120</v>
      </c>
      <c r="M962" t="s">
        <v>3085</v>
      </c>
      <c r="N962" t="s">
        <v>353</v>
      </c>
      <c r="O962" t="s">
        <v>60</v>
      </c>
      <c r="P962" t="s">
        <v>31</v>
      </c>
    </row>
    <row r="963" spans="1:16" x14ac:dyDescent="0.25">
      <c r="A963" t="s">
        <v>3124</v>
      </c>
      <c r="B963" t="s">
        <v>3109</v>
      </c>
      <c r="C963" s="1" t="s">
        <v>3125</v>
      </c>
      <c r="D963" t="s">
        <v>34</v>
      </c>
      <c r="E963" t="s">
        <v>35</v>
      </c>
      <c r="F963" s="2">
        <v>71811.01</v>
      </c>
      <c r="G963" s="1" t="s">
        <v>3126</v>
      </c>
      <c r="H963" t="s">
        <v>351</v>
      </c>
      <c r="I963" t="s">
        <v>37</v>
      </c>
      <c r="J963">
        <v>9</v>
      </c>
      <c r="K963" t="s">
        <v>26</v>
      </c>
      <c r="L963" t="s">
        <v>3112</v>
      </c>
      <c r="M963" t="s">
        <v>3085</v>
      </c>
      <c r="N963" t="s">
        <v>353</v>
      </c>
      <c r="O963" t="s">
        <v>39</v>
      </c>
      <c r="P963" t="s">
        <v>31</v>
      </c>
    </row>
    <row r="964" spans="1:16" x14ac:dyDescent="0.25">
      <c r="A964" t="s">
        <v>3127</v>
      </c>
      <c r="B964" t="s">
        <v>3109</v>
      </c>
      <c r="C964" s="1" t="s">
        <v>3128</v>
      </c>
      <c r="D964" t="s">
        <v>34</v>
      </c>
      <c r="E964" t="s">
        <v>35</v>
      </c>
      <c r="F964" s="2">
        <v>13438.38</v>
      </c>
      <c r="G964" s="1" t="s">
        <v>3129</v>
      </c>
      <c r="H964" t="s">
        <v>351</v>
      </c>
      <c r="I964" t="s">
        <v>58</v>
      </c>
      <c r="J964">
        <v>4</v>
      </c>
      <c r="K964" t="s">
        <v>26</v>
      </c>
      <c r="L964" t="s">
        <v>3120</v>
      </c>
      <c r="M964" t="s">
        <v>3085</v>
      </c>
      <c r="N964" t="s">
        <v>353</v>
      </c>
      <c r="O964" t="s">
        <v>60</v>
      </c>
      <c r="P964" t="s">
        <v>31</v>
      </c>
    </row>
    <row r="965" spans="1:16" x14ac:dyDescent="0.25">
      <c r="A965" t="s">
        <v>3130</v>
      </c>
      <c r="B965" t="s">
        <v>3109</v>
      </c>
      <c r="C965" s="1" t="s">
        <v>3131</v>
      </c>
      <c r="D965" t="s">
        <v>34</v>
      </c>
      <c r="E965" t="s">
        <v>35</v>
      </c>
      <c r="F965" s="2">
        <v>140354.52</v>
      </c>
      <c r="G965" s="1" t="s">
        <v>3132</v>
      </c>
      <c r="H965" t="s">
        <v>351</v>
      </c>
      <c r="I965" t="s">
        <v>58</v>
      </c>
      <c r="J965">
        <v>12</v>
      </c>
      <c r="K965" t="s">
        <v>26</v>
      </c>
      <c r="L965" t="s">
        <v>3120</v>
      </c>
      <c r="M965" t="s">
        <v>3085</v>
      </c>
      <c r="N965" t="s">
        <v>353</v>
      </c>
      <c r="O965" t="s">
        <v>60</v>
      </c>
      <c r="P965" t="s">
        <v>31</v>
      </c>
    </row>
    <row r="966" spans="1:16" x14ac:dyDescent="0.25">
      <c r="A966" t="s">
        <v>3133</v>
      </c>
      <c r="B966" t="s">
        <v>3109</v>
      </c>
      <c r="C966" s="1" t="s">
        <v>3134</v>
      </c>
      <c r="D966" t="s">
        <v>34</v>
      </c>
      <c r="E966" t="s">
        <v>35</v>
      </c>
      <c r="F966" s="2">
        <v>68459.38</v>
      </c>
      <c r="G966" s="1" t="s">
        <v>3135</v>
      </c>
      <c r="H966" t="s">
        <v>351</v>
      </c>
      <c r="I966" t="s">
        <v>58</v>
      </c>
      <c r="J966">
        <v>9</v>
      </c>
      <c r="K966" t="s">
        <v>26</v>
      </c>
      <c r="L966" t="s">
        <v>3120</v>
      </c>
      <c r="M966" t="s">
        <v>3085</v>
      </c>
      <c r="N966" t="s">
        <v>353</v>
      </c>
      <c r="O966" t="s">
        <v>60</v>
      </c>
      <c r="P966" t="s">
        <v>31</v>
      </c>
    </row>
    <row r="967" spans="1:16" x14ac:dyDescent="0.25">
      <c r="A967" t="s">
        <v>3136</v>
      </c>
      <c r="B967" t="s">
        <v>3109</v>
      </c>
      <c r="C967" s="1" t="s">
        <v>3137</v>
      </c>
      <c r="D967" t="s">
        <v>34</v>
      </c>
      <c r="E967" t="s">
        <v>35</v>
      </c>
      <c r="F967" s="2">
        <v>88793.55</v>
      </c>
      <c r="G967" s="1" t="s">
        <v>3138</v>
      </c>
      <c r="H967" t="s">
        <v>351</v>
      </c>
      <c r="I967" t="s">
        <v>58</v>
      </c>
      <c r="J967">
        <v>6</v>
      </c>
      <c r="K967" t="s">
        <v>26</v>
      </c>
      <c r="L967" t="s">
        <v>3120</v>
      </c>
      <c r="M967" t="s">
        <v>3085</v>
      </c>
      <c r="N967" t="s">
        <v>353</v>
      </c>
      <c r="O967" t="s">
        <v>60</v>
      </c>
      <c r="P967" t="s">
        <v>31</v>
      </c>
    </row>
    <row r="968" spans="1:16" x14ac:dyDescent="0.25">
      <c r="A968" t="s">
        <v>3139</v>
      </c>
      <c r="B968" t="s">
        <v>3109</v>
      </c>
      <c r="C968" s="1" t="s">
        <v>3140</v>
      </c>
      <c r="D968" t="s">
        <v>34</v>
      </c>
      <c r="E968" t="s">
        <v>35</v>
      </c>
      <c r="F968" s="2">
        <v>73322.01</v>
      </c>
      <c r="G968" s="1" t="s">
        <v>3141</v>
      </c>
      <c r="H968" t="s">
        <v>351</v>
      </c>
      <c r="I968" t="s">
        <v>58</v>
      </c>
      <c r="J968">
        <v>5</v>
      </c>
      <c r="K968" t="s">
        <v>26</v>
      </c>
      <c r="L968" t="s">
        <v>3120</v>
      </c>
      <c r="M968" t="s">
        <v>3085</v>
      </c>
      <c r="N968" t="s">
        <v>353</v>
      </c>
      <c r="O968" t="s">
        <v>60</v>
      </c>
      <c r="P968" t="s">
        <v>31</v>
      </c>
    </row>
    <row r="969" spans="1:16" x14ac:dyDescent="0.25">
      <c r="A969" t="s">
        <v>3142</v>
      </c>
      <c r="B969" t="s">
        <v>3109</v>
      </c>
      <c r="C969" s="1" t="s">
        <v>3143</v>
      </c>
      <c r="D969" t="s">
        <v>34</v>
      </c>
      <c r="E969" t="s">
        <v>35</v>
      </c>
      <c r="F969" s="2">
        <v>15083.65</v>
      </c>
      <c r="G969" s="1" t="s">
        <v>3144</v>
      </c>
      <c r="H969" t="s">
        <v>351</v>
      </c>
      <c r="I969" t="s">
        <v>58</v>
      </c>
      <c r="J969">
        <v>6</v>
      </c>
      <c r="K969" t="s">
        <v>26</v>
      </c>
      <c r="L969" t="s">
        <v>3120</v>
      </c>
      <c r="M969" t="s">
        <v>3085</v>
      </c>
      <c r="N969" t="s">
        <v>353</v>
      </c>
      <c r="O969" t="s">
        <v>60</v>
      </c>
      <c r="P969" t="s">
        <v>31</v>
      </c>
    </row>
    <row r="970" spans="1:16" x14ac:dyDescent="0.25">
      <c r="A970" t="s">
        <v>3145</v>
      </c>
      <c r="B970" t="s">
        <v>3146</v>
      </c>
      <c r="C970" s="1" t="s">
        <v>3147</v>
      </c>
      <c r="D970" t="s">
        <v>34</v>
      </c>
      <c r="E970" t="s">
        <v>35</v>
      </c>
      <c r="F970" s="2">
        <v>213984.31</v>
      </c>
      <c r="G970" s="1" t="s">
        <v>3148</v>
      </c>
      <c r="H970" t="s">
        <v>1823</v>
      </c>
      <c r="I970" t="s">
        <v>1219</v>
      </c>
      <c r="J970">
        <v>7</v>
      </c>
      <c r="K970" t="s">
        <v>26</v>
      </c>
      <c r="L970" t="s">
        <v>3149</v>
      </c>
      <c r="M970" t="s">
        <v>3085</v>
      </c>
      <c r="N970" t="s">
        <v>1825</v>
      </c>
      <c r="O970" t="s">
        <v>68</v>
      </c>
      <c r="P970" t="s">
        <v>31</v>
      </c>
    </row>
    <row r="971" spans="1:16" x14ac:dyDescent="0.25">
      <c r="A971" t="s">
        <v>3150</v>
      </c>
      <c r="B971" t="s">
        <v>3146</v>
      </c>
      <c r="C971" s="1" t="s">
        <v>3151</v>
      </c>
      <c r="D971" t="s">
        <v>34</v>
      </c>
      <c r="E971" t="s">
        <v>35</v>
      </c>
      <c r="F971" s="2">
        <v>201465.74</v>
      </c>
      <c r="G971" s="1" t="s">
        <v>3152</v>
      </c>
      <c r="H971" t="s">
        <v>1823</v>
      </c>
      <c r="I971" t="s">
        <v>58</v>
      </c>
      <c r="J971">
        <v>7</v>
      </c>
      <c r="K971" t="s">
        <v>26</v>
      </c>
      <c r="L971" t="s">
        <v>3153</v>
      </c>
      <c r="M971" t="s">
        <v>3085</v>
      </c>
      <c r="N971" t="s">
        <v>1825</v>
      </c>
      <c r="O971" t="s">
        <v>60</v>
      </c>
      <c r="P971" t="s">
        <v>31</v>
      </c>
    </row>
    <row r="972" spans="1:16" x14ac:dyDescent="0.25">
      <c r="A972" t="s">
        <v>3154</v>
      </c>
      <c r="B972" t="s">
        <v>3146</v>
      </c>
      <c r="C972" s="1" t="s">
        <v>3155</v>
      </c>
      <c r="D972" t="s">
        <v>34</v>
      </c>
      <c r="E972" t="s">
        <v>35</v>
      </c>
      <c r="F972" s="2">
        <v>195968.2</v>
      </c>
      <c r="G972" s="1" t="s">
        <v>3156</v>
      </c>
      <c r="H972" t="s">
        <v>1823</v>
      </c>
      <c r="I972" t="s">
        <v>45</v>
      </c>
      <c r="J972">
        <v>9</v>
      </c>
      <c r="K972" t="s">
        <v>26</v>
      </c>
      <c r="L972" t="s">
        <v>3157</v>
      </c>
      <c r="M972" t="s">
        <v>3085</v>
      </c>
      <c r="N972" t="s">
        <v>1825</v>
      </c>
      <c r="O972" t="s">
        <v>47</v>
      </c>
      <c r="P972" t="s">
        <v>31</v>
      </c>
    </row>
    <row r="973" spans="1:16" x14ac:dyDescent="0.25">
      <c r="A973" t="s">
        <v>3158</v>
      </c>
      <c r="B973" t="s">
        <v>3146</v>
      </c>
      <c r="C973" s="1" t="s">
        <v>3159</v>
      </c>
      <c r="D973" t="s">
        <v>42</v>
      </c>
      <c r="E973" t="s">
        <v>43</v>
      </c>
      <c r="F973" s="2">
        <v>3846.37</v>
      </c>
      <c r="G973" s="1" t="s">
        <v>3160</v>
      </c>
      <c r="H973" t="s">
        <v>1823</v>
      </c>
      <c r="I973" t="s">
        <v>1219</v>
      </c>
      <c r="J973">
        <v>2</v>
      </c>
      <c r="K973" t="s">
        <v>26</v>
      </c>
      <c r="L973" t="s">
        <v>3149</v>
      </c>
      <c r="M973" t="s">
        <v>3085</v>
      </c>
      <c r="N973" t="s">
        <v>1825</v>
      </c>
      <c r="O973" t="s">
        <v>68</v>
      </c>
      <c r="P973" t="s">
        <v>31</v>
      </c>
    </row>
    <row r="974" spans="1:16" x14ac:dyDescent="0.25">
      <c r="A974" t="s">
        <v>3161</v>
      </c>
      <c r="B974" t="s">
        <v>3146</v>
      </c>
      <c r="C974" s="1" t="s">
        <v>3162</v>
      </c>
      <c r="D974" t="s">
        <v>34</v>
      </c>
      <c r="E974" t="s">
        <v>35</v>
      </c>
      <c r="F974" s="2">
        <v>575964.03</v>
      </c>
      <c r="G974" s="1" t="s">
        <v>3163</v>
      </c>
      <c r="H974" t="s">
        <v>1823</v>
      </c>
      <c r="I974" t="s">
        <v>401</v>
      </c>
      <c r="J974">
        <v>7</v>
      </c>
      <c r="K974" t="s">
        <v>26</v>
      </c>
      <c r="L974" t="s">
        <v>3164</v>
      </c>
      <c r="M974" t="s">
        <v>3085</v>
      </c>
      <c r="N974" t="s">
        <v>1825</v>
      </c>
      <c r="O974" t="s">
        <v>403</v>
      </c>
      <c r="P974" t="s">
        <v>31</v>
      </c>
    </row>
    <row r="975" spans="1:16" x14ac:dyDescent="0.25">
      <c r="A975" t="s">
        <v>3165</v>
      </c>
      <c r="B975" t="s">
        <v>3146</v>
      </c>
      <c r="C975" s="1" t="s">
        <v>3166</v>
      </c>
      <c r="D975" t="s">
        <v>34</v>
      </c>
      <c r="E975" t="s">
        <v>35</v>
      </c>
      <c r="F975" s="2">
        <v>630977.26</v>
      </c>
      <c r="G975" s="1" t="s">
        <v>3167</v>
      </c>
      <c r="H975" t="s">
        <v>1823</v>
      </c>
      <c r="I975" t="s">
        <v>257</v>
      </c>
      <c r="J975">
        <v>9</v>
      </c>
      <c r="K975" t="s">
        <v>26</v>
      </c>
      <c r="L975" t="s">
        <v>3168</v>
      </c>
      <c r="M975" t="s">
        <v>3085</v>
      </c>
      <c r="N975" t="s">
        <v>1825</v>
      </c>
      <c r="O975" t="s">
        <v>259</v>
      </c>
      <c r="P975" t="s">
        <v>31</v>
      </c>
    </row>
    <row r="976" spans="1:16" x14ac:dyDescent="0.25">
      <c r="A976" t="s">
        <v>3169</v>
      </c>
      <c r="B976" t="s">
        <v>3146</v>
      </c>
      <c r="C976" s="1" t="s">
        <v>3170</v>
      </c>
      <c r="D976" t="s">
        <v>34</v>
      </c>
      <c r="E976" t="s">
        <v>35</v>
      </c>
      <c r="F976" s="2">
        <v>280288.42</v>
      </c>
      <c r="G976" s="1" t="s">
        <v>3171</v>
      </c>
      <c r="H976" t="s">
        <v>1823</v>
      </c>
      <c r="I976" t="s">
        <v>257</v>
      </c>
      <c r="J976">
        <v>12</v>
      </c>
      <c r="K976" t="s">
        <v>26</v>
      </c>
      <c r="L976" t="s">
        <v>3168</v>
      </c>
      <c r="M976" t="s">
        <v>3085</v>
      </c>
      <c r="N976" t="s">
        <v>1825</v>
      </c>
      <c r="O976" t="s">
        <v>259</v>
      </c>
      <c r="P976" t="s">
        <v>31</v>
      </c>
    </row>
    <row r="977" spans="1:16" x14ac:dyDescent="0.25">
      <c r="A977" t="s">
        <v>3172</v>
      </c>
      <c r="B977" t="s">
        <v>3146</v>
      </c>
      <c r="C977" s="1" t="s">
        <v>3173</v>
      </c>
      <c r="D977" t="s">
        <v>42</v>
      </c>
      <c r="E977" t="s">
        <v>43</v>
      </c>
      <c r="F977" s="2">
        <v>34412.89</v>
      </c>
      <c r="G977" s="1" t="s">
        <v>3174</v>
      </c>
      <c r="H977" t="s">
        <v>1823</v>
      </c>
      <c r="I977" t="s">
        <v>308</v>
      </c>
      <c r="J977">
        <v>5</v>
      </c>
      <c r="K977" t="s">
        <v>26</v>
      </c>
      <c r="L977" t="s">
        <v>3175</v>
      </c>
      <c r="M977" t="s">
        <v>3085</v>
      </c>
      <c r="N977" t="s">
        <v>1825</v>
      </c>
      <c r="O977" t="s">
        <v>252</v>
      </c>
      <c r="P977" t="s">
        <v>31</v>
      </c>
    </row>
    <row r="978" spans="1:16" x14ac:dyDescent="0.25">
      <c r="A978" t="s">
        <v>3176</v>
      </c>
      <c r="B978" t="s">
        <v>3146</v>
      </c>
      <c r="C978" s="1" t="s">
        <v>3177</v>
      </c>
      <c r="D978" t="s">
        <v>42</v>
      </c>
      <c r="E978" t="s">
        <v>43</v>
      </c>
      <c r="F978" s="2">
        <v>193210.2</v>
      </c>
      <c r="G978" s="1" t="s">
        <v>3178</v>
      </c>
      <c r="H978" t="s">
        <v>1823</v>
      </c>
      <c r="I978" t="s">
        <v>250</v>
      </c>
      <c r="J978">
        <v>5</v>
      </c>
      <c r="K978" t="s">
        <v>26</v>
      </c>
      <c r="L978" t="s">
        <v>3175</v>
      </c>
      <c r="M978" t="s">
        <v>3085</v>
      </c>
      <c r="N978" t="s">
        <v>1825</v>
      </c>
      <c r="O978" t="s">
        <v>252</v>
      </c>
      <c r="P978" t="s">
        <v>31</v>
      </c>
    </row>
    <row r="979" spans="1:16" x14ac:dyDescent="0.25">
      <c r="A979" t="s">
        <v>3179</v>
      </c>
      <c r="B979" t="s">
        <v>3146</v>
      </c>
      <c r="C979" s="1" t="s">
        <v>3180</v>
      </c>
      <c r="D979" t="s">
        <v>34</v>
      </c>
      <c r="E979" t="s">
        <v>35</v>
      </c>
      <c r="F979" s="2">
        <v>48843.35</v>
      </c>
      <c r="G979" s="1" t="s">
        <v>3181</v>
      </c>
      <c r="H979" t="s">
        <v>1823</v>
      </c>
      <c r="I979" t="s">
        <v>58</v>
      </c>
      <c r="J979">
        <v>3</v>
      </c>
      <c r="K979" t="s">
        <v>26</v>
      </c>
      <c r="L979" t="s">
        <v>3153</v>
      </c>
      <c r="M979" t="s">
        <v>3085</v>
      </c>
      <c r="N979" t="s">
        <v>1825</v>
      </c>
      <c r="O979" t="s">
        <v>60</v>
      </c>
      <c r="P979" t="s">
        <v>31</v>
      </c>
    </row>
    <row r="980" spans="1:16" x14ac:dyDescent="0.25">
      <c r="A980" t="s">
        <v>3182</v>
      </c>
      <c r="B980" t="s">
        <v>3146</v>
      </c>
      <c r="C980" s="1" t="s">
        <v>3183</v>
      </c>
      <c r="D980" t="s">
        <v>34</v>
      </c>
      <c r="E980" t="s">
        <v>35</v>
      </c>
      <c r="F980" s="2">
        <v>69401.45</v>
      </c>
      <c r="G980" s="1" t="s">
        <v>3184</v>
      </c>
      <c r="H980" t="s">
        <v>1823</v>
      </c>
      <c r="I980" t="s">
        <v>58</v>
      </c>
      <c r="J980">
        <v>3</v>
      </c>
      <c r="K980" t="s">
        <v>26</v>
      </c>
      <c r="L980" t="s">
        <v>3153</v>
      </c>
      <c r="M980" t="s">
        <v>3085</v>
      </c>
      <c r="N980" t="s">
        <v>1825</v>
      </c>
      <c r="O980" t="s">
        <v>60</v>
      </c>
      <c r="P980" t="s">
        <v>31</v>
      </c>
    </row>
    <row r="981" spans="1:16" x14ac:dyDescent="0.25">
      <c r="A981" t="s">
        <v>3185</v>
      </c>
      <c r="B981" t="s">
        <v>3146</v>
      </c>
      <c r="C981" s="1" t="s">
        <v>3186</v>
      </c>
      <c r="D981" t="s">
        <v>34</v>
      </c>
      <c r="E981" t="s">
        <v>35</v>
      </c>
      <c r="F981" s="2">
        <v>82433.28</v>
      </c>
      <c r="G981" s="1" t="s">
        <v>3187</v>
      </c>
      <c r="H981" t="s">
        <v>1823</v>
      </c>
      <c r="I981" t="s">
        <v>37</v>
      </c>
      <c r="J981">
        <v>8</v>
      </c>
      <c r="K981" t="s">
        <v>26</v>
      </c>
      <c r="L981" t="s">
        <v>3188</v>
      </c>
      <c r="M981" t="s">
        <v>3085</v>
      </c>
      <c r="N981" t="s">
        <v>1825</v>
      </c>
      <c r="O981" t="s">
        <v>39</v>
      </c>
      <c r="P981" t="s">
        <v>31</v>
      </c>
    </row>
    <row r="982" spans="1:16" x14ac:dyDescent="0.25">
      <c r="A982" t="s">
        <v>3189</v>
      </c>
      <c r="B982" t="s">
        <v>3146</v>
      </c>
      <c r="C982" s="1" t="s">
        <v>3190</v>
      </c>
      <c r="D982" t="s">
        <v>34</v>
      </c>
      <c r="E982" t="s">
        <v>35</v>
      </c>
      <c r="F982" s="2">
        <v>163193.8</v>
      </c>
      <c r="G982" s="1" t="s">
        <v>3191</v>
      </c>
      <c r="H982" t="s">
        <v>1823</v>
      </c>
      <c r="I982" t="s">
        <v>37</v>
      </c>
      <c r="J982">
        <v>10</v>
      </c>
      <c r="K982" t="s">
        <v>26</v>
      </c>
      <c r="L982" t="s">
        <v>3188</v>
      </c>
      <c r="M982" t="s">
        <v>3085</v>
      </c>
      <c r="N982" t="s">
        <v>1825</v>
      </c>
      <c r="O982" t="s">
        <v>39</v>
      </c>
      <c r="P982" t="s">
        <v>31</v>
      </c>
    </row>
    <row r="983" spans="1:16" x14ac:dyDescent="0.25">
      <c r="A983" t="s">
        <v>3192</v>
      </c>
      <c r="B983" t="s">
        <v>3146</v>
      </c>
      <c r="C983" s="1" t="s">
        <v>3193</v>
      </c>
      <c r="D983" t="s">
        <v>42</v>
      </c>
      <c r="E983" t="s">
        <v>43</v>
      </c>
      <c r="F983" s="2">
        <v>200065.92</v>
      </c>
      <c r="G983" s="1" t="s">
        <v>3194</v>
      </c>
      <c r="H983" t="s">
        <v>1823</v>
      </c>
      <c r="I983" t="s">
        <v>401</v>
      </c>
      <c r="J983">
        <v>5</v>
      </c>
      <c r="K983" t="s">
        <v>26</v>
      </c>
      <c r="L983" t="s">
        <v>3164</v>
      </c>
      <c r="M983" t="s">
        <v>3085</v>
      </c>
      <c r="N983" t="s">
        <v>1825</v>
      </c>
      <c r="O983" t="s">
        <v>403</v>
      </c>
      <c r="P983" t="s">
        <v>31</v>
      </c>
    </row>
    <row r="984" spans="1:16" x14ac:dyDescent="0.25">
      <c r="A984" t="s">
        <v>3195</v>
      </c>
      <c r="B984" t="s">
        <v>3146</v>
      </c>
      <c r="C984" s="1" t="s">
        <v>3196</v>
      </c>
      <c r="D984" t="s">
        <v>34</v>
      </c>
      <c r="E984" t="s">
        <v>35</v>
      </c>
      <c r="F984" s="2">
        <v>73050.7</v>
      </c>
      <c r="G984" s="1" t="s">
        <v>3197</v>
      </c>
      <c r="H984" t="s">
        <v>1823</v>
      </c>
      <c r="I984" t="s">
        <v>58</v>
      </c>
      <c r="J984">
        <v>7</v>
      </c>
      <c r="K984" t="s">
        <v>26</v>
      </c>
      <c r="L984" t="s">
        <v>3153</v>
      </c>
      <c r="M984" t="s">
        <v>3085</v>
      </c>
      <c r="N984" t="s">
        <v>1825</v>
      </c>
      <c r="O984" t="s">
        <v>60</v>
      </c>
      <c r="P984" t="s">
        <v>31</v>
      </c>
    </row>
    <row r="985" spans="1:16" x14ac:dyDescent="0.25">
      <c r="A985" t="s">
        <v>3198</v>
      </c>
      <c r="B985" t="s">
        <v>3146</v>
      </c>
      <c r="C985" s="1" t="s">
        <v>3199</v>
      </c>
      <c r="D985" t="s">
        <v>34</v>
      </c>
      <c r="E985" t="s">
        <v>35</v>
      </c>
      <c r="F985" s="2">
        <v>20392.1</v>
      </c>
      <c r="G985" s="1" t="s">
        <v>3200</v>
      </c>
      <c r="H985" t="s">
        <v>1823</v>
      </c>
      <c r="I985" t="s">
        <v>58</v>
      </c>
      <c r="J985">
        <v>4</v>
      </c>
      <c r="K985" t="s">
        <v>26</v>
      </c>
      <c r="L985" t="s">
        <v>3153</v>
      </c>
      <c r="M985" t="s">
        <v>3085</v>
      </c>
      <c r="N985" t="s">
        <v>1825</v>
      </c>
      <c r="O985" t="s">
        <v>60</v>
      </c>
      <c r="P985" t="s">
        <v>31</v>
      </c>
    </row>
    <row r="986" spans="1:16" x14ac:dyDescent="0.25">
      <c r="A986" t="s">
        <v>3201</v>
      </c>
      <c r="B986" t="s">
        <v>3146</v>
      </c>
      <c r="C986" s="1" t="s">
        <v>3202</v>
      </c>
      <c r="D986" t="s">
        <v>34</v>
      </c>
      <c r="E986" t="s">
        <v>35</v>
      </c>
      <c r="F986" s="2">
        <v>102745.03</v>
      </c>
      <c r="G986" s="1" t="s">
        <v>3203</v>
      </c>
      <c r="H986" t="s">
        <v>1823</v>
      </c>
      <c r="I986" t="s">
        <v>1219</v>
      </c>
      <c r="J986">
        <v>7</v>
      </c>
      <c r="K986" t="s">
        <v>26</v>
      </c>
      <c r="L986" t="s">
        <v>3149</v>
      </c>
      <c r="M986" t="s">
        <v>3085</v>
      </c>
      <c r="N986" t="s">
        <v>1825</v>
      </c>
      <c r="O986" t="s">
        <v>68</v>
      </c>
      <c r="P986" t="s">
        <v>31</v>
      </c>
    </row>
    <row r="987" spans="1:16" x14ac:dyDescent="0.25">
      <c r="A987" t="s">
        <v>3204</v>
      </c>
      <c r="B987" t="s">
        <v>3146</v>
      </c>
      <c r="C987" s="1" t="s">
        <v>3205</v>
      </c>
      <c r="D987" t="s">
        <v>34</v>
      </c>
      <c r="E987" t="s">
        <v>35</v>
      </c>
      <c r="F987" s="2">
        <v>650668.16</v>
      </c>
      <c r="G987" s="1" t="s">
        <v>3206</v>
      </c>
      <c r="H987" t="s">
        <v>1823</v>
      </c>
      <c r="I987" t="s">
        <v>1219</v>
      </c>
      <c r="J987">
        <v>10</v>
      </c>
      <c r="K987" t="s">
        <v>26</v>
      </c>
      <c r="L987" t="s">
        <v>3207</v>
      </c>
      <c r="M987" t="s">
        <v>3085</v>
      </c>
      <c r="N987" t="s">
        <v>1825</v>
      </c>
      <c r="O987" t="s">
        <v>68</v>
      </c>
      <c r="P987" t="s">
        <v>404</v>
      </c>
    </row>
    <row r="988" spans="1:16" x14ac:dyDescent="0.25">
      <c r="A988" t="s">
        <v>3208</v>
      </c>
      <c r="B988" t="s">
        <v>3146</v>
      </c>
      <c r="C988" s="1" t="s">
        <v>3209</v>
      </c>
      <c r="D988" t="s">
        <v>34</v>
      </c>
      <c r="E988" t="s">
        <v>35</v>
      </c>
      <c r="F988" s="2">
        <v>445682.27</v>
      </c>
      <c r="G988" s="1" t="s">
        <v>3210</v>
      </c>
      <c r="H988" t="s">
        <v>1823</v>
      </c>
      <c r="I988" t="s">
        <v>1219</v>
      </c>
      <c r="J988">
        <v>9</v>
      </c>
      <c r="K988" t="s">
        <v>26</v>
      </c>
      <c r="L988" t="s">
        <v>3207</v>
      </c>
      <c r="M988" t="s">
        <v>3085</v>
      </c>
      <c r="N988" t="s">
        <v>1825</v>
      </c>
      <c r="O988" t="s">
        <v>68</v>
      </c>
      <c r="P988" t="s">
        <v>404</v>
      </c>
    </row>
    <row r="989" spans="1:16" x14ac:dyDescent="0.25">
      <c r="A989" t="s">
        <v>3211</v>
      </c>
      <c r="B989" t="s">
        <v>3146</v>
      </c>
      <c r="C989" s="1" t="s">
        <v>3212</v>
      </c>
      <c r="D989" t="s">
        <v>34</v>
      </c>
      <c r="E989" t="s">
        <v>35</v>
      </c>
      <c r="F989" s="2">
        <v>678724.96</v>
      </c>
      <c r="G989" s="1" t="s">
        <v>3213</v>
      </c>
      <c r="H989" t="s">
        <v>1823</v>
      </c>
      <c r="I989" t="s">
        <v>1219</v>
      </c>
      <c r="J989">
        <v>10</v>
      </c>
      <c r="K989" t="s">
        <v>26</v>
      </c>
      <c r="L989" t="s">
        <v>3207</v>
      </c>
      <c r="M989" t="s">
        <v>3085</v>
      </c>
      <c r="N989" t="s">
        <v>1825</v>
      </c>
      <c r="O989" t="s">
        <v>68</v>
      </c>
      <c r="P989" t="s">
        <v>404</v>
      </c>
    </row>
    <row r="990" spans="1:16" x14ac:dyDescent="0.25">
      <c r="A990" t="s">
        <v>3214</v>
      </c>
      <c r="B990" t="s">
        <v>3146</v>
      </c>
      <c r="C990" s="1" t="s">
        <v>3215</v>
      </c>
      <c r="D990" t="s">
        <v>34</v>
      </c>
      <c r="E990" t="s">
        <v>35</v>
      </c>
      <c r="F990" s="2">
        <v>396065.92</v>
      </c>
      <c r="G990" s="1" t="s">
        <v>3216</v>
      </c>
      <c r="H990" t="s">
        <v>1823</v>
      </c>
      <c r="I990" t="s">
        <v>1219</v>
      </c>
      <c r="J990">
        <v>10</v>
      </c>
      <c r="K990" t="s">
        <v>26</v>
      </c>
      <c r="L990" t="s">
        <v>3207</v>
      </c>
      <c r="M990" t="s">
        <v>3085</v>
      </c>
      <c r="N990" t="s">
        <v>1825</v>
      </c>
      <c r="O990" t="s">
        <v>68</v>
      </c>
      <c r="P990" t="s">
        <v>404</v>
      </c>
    </row>
    <row r="991" spans="1:16" x14ac:dyDescent="0.25">
      <c r="A991" t="s">
        <v>3217</v>
      </c>
      <c r="B991" t="s">
        <v>3146</v>
      </c>
      <c r="C991" s="1" t="s">
        <v>3218</v>
      </c>
      <c r="D991" t="s">
        <v>34</v>
      </c>
      <c r="E991" t="s">
        <v>35</v>
      </c>
      <c r="F991" s="2">
        <v>441026.22</v>
      </c>
      <c r="G991" s="1" t="s">
        <v>3219</v>
      </c>
      <c r="H991" t="s">
        <v>1823</v>
      </c>
      <c r="I991" t="s">
        <v>1219</v>
      </c>
      <c r="J991">
        <v>4</v>
      </c>
      <c r="K991" t="s">
        <v>26</v>
      </c>
      <c r="L991" t="s">
        <v>3207</v>
      </c>
      <c r="M991" t="s">
        <v>3085</v>
      </c>
      <c r="N991" t="s">
        <v>1825</v>
      </c>
      <c r="O991" t="s">
        <v>68</v>
      </c>
      <c r="P991" t="s">
        <v>404</v>
      </c>
    </row>
    <row r="992" spans="1:16" x14ac:dyDescent="0.25">
      <c r="A992" t="s">
        <v>3220</v>
      </c>
      <c r="B992" t="s">
        <v>3146</v>
      </c>
      <c r="C992" s="1" t="s">
        <v>3221</v>
      </c>
      <c r="D992" t="s">
        <v>34</v>
      </c>
      <c r="E992" t="s">
        <v>35</v>
      </c>
      <c r="F992" s="2">
        <v>541179.04</v>
      </c>
      <c r="G992" s="1" t="s">
        <v>3222</v>
      </c>
      <c r="H992" t="s">
        <v>1823</v>
      </c>
      <c r="I992" t="s">
        <v>1219</v>
      </c>
      <c r="J992">
        <v>6</v>
      </c>
      <c r="K992" t="s">
        <v>26</v>
      </c>
      <c r="L992" t="s">
        <v>3207</v>
      </c>
      <c r="M992" t="s">
        <v>3085</v>
      </c>
      <c r="N992" t="s">
        <v>1825</v>
      </c>
      <c r="O992" t="s">
        <v>68</v>
      </c>
      <c r="P992" t="s">
        <v>404</v>
      </c>
    </row>
    <row r="993" spans="1:16" x14ac:dyDescent="0.25">
      <c r="A993" t="s">
        <v>3223</v>
      </c>
      <c r="B993" t="s">
        <v>3146</v>
      </c>
      <c r="C993" s="1" t="s">
        <v>3224</v>
      </c>
      <c r="D993" t="s">
        <v>34</v>
      </c>
      <c r="E993" t="s">
        <v>35</v>
      </c>
      <c r="F993" s="2">
        <v>862988.34</v>
      </c>
      <c r="G993" s="1" t="s">
        <v>3225</v>
      </c>
      <c r="H993" t="s">
        <v>1823</v>
      </c>
      <c r="I993" t="s">
        <v>1219</v>
      </c>
      <c r="J993">
        <v>10</v>
      </c>
      <c r="K993" t="s">
        <v>26</v>
      </c>
      <c r="L993" t="s">
        <v>3207</v>
      </c>
      <c r="M993" t="s">
        <v>3085</v>
      </c>
      <c r="N993" t="s">
        <v>1825</v>
      </c>
      <c r="O993" t="s">
        <v>68</v>
      </c>
      <c r="P993" t="s">
        <v>404</v>
      </c>
    </row>
    <row r="994" spans="1:16" x14ac:dyDescent="0.25">
      <c r="A994" t="s">
        <v>3226</v>
      </c>
      <c r="B994" t="s">
        <v>3146</v>
      </c>
      <c r="C994" s="1" t="s">
        <v>3227</v>
      </c>
      <c r="D994" t="s">
        <v>34</v>
      </c>
      <c r="E994" t="s">
        <v>35</v>
      </c>
      <c r="F994" s="2">
        <v>965487.4</v>
      </c>
      <c r="G994" s="1" t="s">
        <v>3228</v>
      </c>
      <c r="H994" t="s">
        <v>1823</v>
      </c>
      <c r="I994" t="s">
        <v>1219</v>
      </c>
      <c r="J994">
        <v>10</v>
      </c>
      <c r="K994" t="s">
        <v>26</v>
      </c>
      <c r="L994" t="s">
        <v>3207</v>
      </c>
      <c r="M994" t="s">
        <v>3085</v>
      </c>
      <c r="N994" t="s">
        <v>1825</v>
      </c>
      <c r="O994" t="s">
        <v>68</v>
      </c>
      <c r="P994" t="s">
        <v>404</v>
      </c>
    </row>
    <row r="995" spans="1:16" x14ac:dyDescent="0.25">
      <c r="A995" t="s">
        <v>3229</v>
      </c>
      <c r="B995" t="s">
        <v>3146</v>
      </c>
      <c r="C995" s="1" t="s">
        <v>3230</v>
      </c>
      <c r="D995" t="s">
        <v>34</v>
      </c>
      <c r="E995" t="s">
        <v>35</v>
      </c>
      <c r="F995" s="2">
        <v>667019.24</v>
      </c>
      <c r="G995" s="1" t="s">
        <v>3231</v>
      </c>
      <c r="H995" t="s">
        <v>1823</v>
      </c>
      <c r="I995" t="s">
        <v>1219</v>
      </c>
      <c r="J995">
        <v>6</v>
      </c>
      <c r="K995" t="s">
        <v>26</v>
      </c>
      <c r="L995" t="s">
        <v>3207</v>
      </c>
      <c r="M995" t="s">
        <v>3085</v>
      </c>
      <c r="N995" t="s">
        <v>1825</v>
      </c>
      <c r="O995" t="s">
        <v>68</v>
      </c>
      <c r="P995" t="s">
        <v>404</v>
      </c>
    </row>
    <row r="996" spans="1:16" x14ac:dyDescent="0.25">
      <c r="A996" t="s">
        <v>3232</v>
      </c>
      <c r="B996" t="s">
        <v>3146</v>
      </c>
      <c r="C996" s="1" t="s">
        <v>3233</v>
      </c>
      <c r="D996" t="s">
        <v>42</v>
      </c>
      <c r="E996" t="s">
        <v>43</v>
      </c>
      <c r="F996" s="2">
        <v>257861.84</v>
      </c>
      <c r="G996" s="1" t="s">
        <v>3234</v>
      </c>
      <c r="H996" t="s">
        <v>1823</v>
      </c>
      <c r="I996" t="s">
        <v>308</v>
      </c>
      <c r="J996">
        <v>7</v>
      </c>
      <c r="K996" t="s">
        <v>26</v>
      </c>
      <c r="L996" t="s">
        <v>3235</v>
      </c>
      <c r="M996" t="s">
        <v>3085</v>
      </c>
      <c r="N996" t="s">
        <v>1825</v>
      </c>
      <c r="O996" t="s">
        <v>252</v>
      </c>
      <c r="P996" t="s">
        <v>404</v>
      </c>
    </row>
    <row r="997" spans="1:16" x14ac:dyDescent="0.25">
      <c r="A997" t="s">
        <v>3236</v>
      </c>
      <c r="B997" t="s">
        <v>3146</v>
      </c>
      <c r="C997" s="1" t="s">
        <v>3237</v>
      </c>
      <c r="D997" t="s">
        <v>42</v>
      </c>
      <c r="E997" t="s">
        <v>43</v>
      </c>
      <c r="F997" s="2">
        <v>457585.3</v>
      </c>
      <c r="G997" s="1" t="s">
        <v>3238</v>
      </c>
      <c r="H997" t="s">
        <v>1823</v>
      </c>
      <c r="I997" t="s">
        <v>308</v>
      </c>
      <c r="J997">
        <v>7</v>
      </c>
      <c r="K997" t="s">
        <v>26</v>
      </c>
      <c r="L997" t="s">
        <v>3235</v>
      </c>
      <c r="M997" t="s">
        <v>3085</v>
      </c>
      <c r="N997" t="s">
        <v>1825</v>
      </c>
      <c r="O997" t="s">
        <v>252</v>
      </c>
      <c r="P997" t="s">
        <v>404</v>
      </c>
    </row>
    <row r="998" spans="1:16" x14ac:dyDescent="0.25">
      <c r="A998" t="s">
        <v>3239</v>
      </c>
      <c r="B998" t="s">
        <v>3240</v>
      </c>
      <c r="C998" s="1" t="s">
        <v>3241</v>
      </c>
      <c r="D998" t="s">
        <v>34</v>
      </c>
      <c r="E998" t="s">
        <v>35</v>
      </c>
      <c r="F998" s="2">
        <v>188668.36</v>
      </c>
      <c r="G998" s="1" t="s">
        <v>3242</v>
      </c>
      <c r="H998" t="s">
        <v>1823</v>
      </c>
      <c r="I998" t="s">
        <v>1219</v>
      </c>
      <c r="J998">
        <v>8</v>
      </c>
      <c r="K998" t="s">
        <v>26</v>
      </c>
      <c r="L998" t="s">
        <v>3243</v>
      </c>
      <c r="M998" t="s">
        <v>3085</v>
      </c>
      <c r="N998" t="s">
        <v>1825</v>
      </c>
      <c r="O998" t="s">
        <v>68</v>
      </c>
      <c r="P998" t="s">
        <v>440</v>
      </c>
    </row>
    <row r="999" spans="1:16" x14ac:dyDescent="0.25">
      <c r="A999" t="s">
        <v>3244</v>
      </c>
      <c r="B999" t="s">
        <v>3240</v>
      </c>
      <c r="C999" s="1" t="s">
        <v>3245</v>
      </c>
      <c r="D999" t="s">
        <v>34</v>
      </c>
      <c r="E999" t="s">
        <v>35</v>
      </c>
      <c r="F999" s="2">
        <v>300311.26</v>
      </c>
      <c r="G999" s="1" t="s">
        <v>3246</v>
      </c>
      <c r="H999" t="s">
        <v>1823</v>
      </c>
      <c r="I999" t="s">
        <v>1219</v>
      </c>
      <c r="J999">
        <v>7</v>
      </c>
      <c r="K999" t="s">
        <v>26</v>
      </c>
      <c r="L999" t="s">
        <v>3243</v>
      </c>
      <c r="M999" t="s">
        <v>3085</v>
      </c>
      <c r="N999" t="s">
        <v>1825</v>
      </c>
      <c r="O999" t="s">
        <v>68</v>
      </c>
      <c r="P999" t="s">
        <v>440</v>
      </c>
    </row>
    <row r="1000" spans="1:16" x14ac:dyDescent="0.25">
      <c r="A1000" t="s">
        <v>3247</v>
      </c>
      <c r="B1000" t="s">
        <v>3240</v>
      </c>
      <c r="C1000" s="1" t="s">
        <v>3248</v>
      </c>
      <c r="D1000" t="s">
        <v>3047</v>
      </c>
      <c r="E1000" t="s">
        <v>3048</v>
      </c>
      <c r="F1000" s="2">
        <v>1182608.7</v>
      </c>
      <c r="G1000" s="1" t="s">
        <v>3249</v>
      </c>
      <c r="H1000" t="s">
        <v>1823</v>
      </c>
      <c r="I1000" t="s">
        <v>58</v>
      </c>
      <c r="J1000">
        <v>3</v>
      </c>
      <c r="K1000" t="s">
        <v>26</v>
      </c>
      <c r="L1000" t="s">
        <v>3153</v>
      </c>
      <c r="M1000" t="s">
        <v>3085</v>
      </c>
      <c r="N1000" t="s">
        <v>1825</v>
      </c>
      <c r="O1000" t="s">
        <v>60</v>
      </c>
      <c r="P1000" t="s">
        <v>31</v>
      </c>
    </row>
    <row r="1001" spans="1:16" x14ac:dyDescent="0.25">
      <c r="A1001" t="s">
        <v>3250</v>
      </c>
      <c r="B1001" t="s">
        <v>3240</v>
      </c>
      <c r="C1001" s="1" t="s">
        <v>3251</v>
      </c>
      <c r="D1001" t="s">
        <v>34</v>
      </c>
      <c r="E1001" t="s">
        <v>35</v>
      </c>
      <c r="F1001" s="2">
        <v>54776.8</v>
      </c>
      <c r="G1001" s="1" t="s">
        <v>3252</v>
      </c>
      <c r="H1001" t="s">
        <v>1823</v>
      </c>
      <c r="I1001" t="s">
        <v>37</v>
      </c>
      <c r="J1001">
        <v>4</v>
      </c>
      <c r="K1001" t="s">
        <v>26</v>
      </c>
      <c r="L1001" t="s">
        <v>3253</v>
      </c>
      <c r="M1001" t="s">
        <v>3085</v>
      </c>
      <c r="N1001" t="s">
        <v>1825</v>
      </c>
      <c r="O1001" t="s">
        <v>39</v>
      </c>
      <c r="P1001" t="s">
        <v>440</v>
      </c>
    </row>
    <row r="1002" spans="1:16" x14ac:dyDescent="0.25">
      <c r="A1002" t="s">
        <v>3254</v>
      </c>
      <c r="B1002" t="s">
        <v>3240</v>
      </c>
      <c r="C1002" s="1" t="s">
        <v>3255</v>
      </c>
      <c r="D1002" t="s">
        <v>34</v>
      </c>
      <c r="E1002" t="s">
        <v>35</v>
      </c>
      <c r="F1002" s="2">
        <v>74810.75</v>
      </c>
      <c r="G1002" s="1" t="s">
        <v>3256</v>
      </c>
      <c r="H1002" t="s">
        <v>1823</v>
      </c>
      <c r="I1002" t="s">
        <v>37</v>
      </c>
      <c r="J1002">
        <v>6</v>
      </c>
      <c r="K1002" t="s">
        <v>26</v>
      </c>
      <c r="L1002" t="s">
        <v>3253</v>
      </c>
      <c r="M1002" t="s">
        <v>3085</v>
      </c>
      <c r="N1002" t="s">
        <v>1825</v>
      </c>
      <c r="O1002" t="s">
        <v>39</v>
      </c>
      <c r="P1002" t="s">
        <v>440</v>
      </c>
    </row>
    <row r="1003" spans="1:16" x14ac:dyDescent="0.25">
      <c r="A1003" t="s">
        <v>3257</v>
      </c>
      <c r="B1003" t="s">
        <v>3240</v>
      </c>
      <c r="C1003" s="1" t="s">
        <v>3258</v>
      </c>
      <c r="D1003" t="s">
        <v>34</v>
      </c>
      <c r="E1003" t="s">
        <v>35</v>
      </c>
      <c r="F1003" s="2">
        <v>111672.11</v>
      </c>
      <c r="G1003" s="1" t="s">
        <v>3259</v>
      </c>
      <c r="H1003" t="s">
        <v>1823</v>
      </c>
      <c r="I1003" t="s">
        <v>37</v>
      </c>
      <c r="J1003">
        <v>7</v>
      </c>
      <c r="K1003" t="s">
        <v>26</v>
      </c>
      <c r="L1003" t="s">
        <v>3253</v>
      </c>
      <c r="M1003" t="s">
        <v>3085</v>
      </c>
      <c r="N1003" t="s">
        <v>1825</v>
      </c>
      <c r="O1003" t="s">
        <v>39</v>
      </c>
      <c r="P1003" t="s">
        <v>440</v>
      </c>
    </row>
    <row r="1004" spans="1:16" x14ac:dyDescent="0.25">
      <c r="A1004" t="s">
        <v>3260</v>
      </c>
      <c r="B1004" t="s">
        <v>3240</v>
      </c>
      <c r="C1004" s="1" t="s">
        <v>3261</v>
      </c>
      <c r="D1004" t="s">
        <v>34</v>
      </c>
      <c r="E1004" t="s">
        <v>35</v>
      </c>
      <c r="F1004" s="2">
        <v>90100.77</v>
      </c>
      <c r="G1004" s="1" t="s">
        <v>3262</v>
      </c>
      <c r="H1004" t="s">
        <v>1823</v>
      </c>
      <c r="I1004" t="s">
        <v>37</v>
      </c>
      <c r="J1004">
        <v>7</v>
      </c>
      <c r="K1004" t="s">
        <v>26</v>
      </c>
      <c r="L1004" t="s">
        <v>3253</v>
      </c>
      <c r="M1004" t="s">
        <v>3085</v>
      </c>
      <c r="N1004" t="s">
        <v>1825</v>
      </c>
      <c r="O1004" t="s">
        <v>39</v>
      </c>
      <c r="P1004" t="s">
        <v>440</v>
      </c>
    </row>
    <row r="1005" spans="1:16" x14ac:dyDescent="0.25">
      <c r="A1005" t="s">
        <v>3263</v>
      </c>
      <c r="B1005" t="s">
        <v>3264</v>
      </c>
      <c r="C1005" s="1" t="s">
        <v>3265</v>
      </c>
      <c r="D1005" t="s">
        <v>34</v>
      </c>
      <c r="E1005" t="s">
        <v>35</v>
      </c>
      <c r="F1005" s="2">
        <v>706218.57</v>
      </c>
      <c r="G1005" s="1" t="s">
        <v>3266</v>
      </c>
      <c r="H1005" t="s">
        <v>1823</v>
      </c>
      <c r="I1005" t="s">
        <v>300</v>
      </c>
      <c r="J1005">
        <v>7</v>
      </c>
      <c r="K1005" t="s">
        <v>26</v>
      </c>
      <c r="L1005" t="s">
        <v>3267</v>
      </c>
      <c r="M1005" t="s">
        <v>3085</v>
      </c>
      <c r="N1005" t="s">
        <v>1825</v>
      </c>
      <c r="O1005" t="s">
        <v>303</v>
      </c>
      <c r="P1005" t="s">
        <v>31</v>
      </c>
    </row>
    <row r="1006" spans="1:16" x14ac:dyDescent="0.25">
      <c r="A1006" t="s">
        <v>3268</v>
      </c>
      <c r="B1006" t="s">
        <v>3264</v>
      </c>
      <c r="C1006" s="1" t="s">
        <v>3269</v>
      </c>
      <c r="D1006" t="s">
        <v>42</v>
      </c>
      <c r="E1006" t="s">
        <v>43</v>
      </c>
      <c r="F1006" s="2">
        <v>4158.57</v>
      </c>
      <c r="G1006" s="1" t="s">
        <v>3270</v>
      </c>
      <c r="H1006" t="s">
        <v>1823</v>
      </c>
      <c r="I1006" t="s">
        <v>250</v>
      </c>
      <c r="J1006">
        <v>4</v>
      </c>
      <c r="K1006" t="s">
        <v>26</v>
      </c>
      <c r="L1006" t="s">
        <v>3175</v>
      </c>
      <c r="M1006" t="s">
        <v>3085</v>
      </c>
      <c r="N1006" t="s">
        <v>1825</v>
      </c>
      <c r="O1006" t="s">
        <v>252</v>
      </c>
      <c r="P1006" t="s">
        <v>31</v>
      </c>
    </row>
    <row r="1007" spans="1:16" x14ac:dyDescent="0.25">
      <c r="A1007" t="s">
        <v>3271</v>
      </c>
      <c r="B1007" t="s">
        <v>3264</v>
      </c>
      <c r="C1007" s="1" t="s">
        <v>3272</v>
      </c>
      <c r="D1007" t="s">
        <v>34</v>
      </c>
      <c r="E1007" t="s">
        <v>35</v>
      </c>
      <c r="F1007" s="2">
        <v>686042.13</v>
      </c>
      <c r="G1007" s="1" t="s">
        <v>3273</v>
      </c>
      <c r="H1007" t="s">
        <v>1823</v>
      </c>
      <c r="I1007" t="s">
        <v>300</v>
      </c>
      <c r="J1007">
        <v>10</v>
      </c>
      <c r="K1007" t="s">
        <v>26</v>
      </c>
      <c r="L1007" t="s">
        <v>3267</v>
      </c>
      <c r="M1007" t="s">
        <v>3085</v>
      </c>
      <c r="N1007" t="s">
        <v>1825</v>
      </c>
      <c r="O1007" t="s">
        <v>303</v>
      </c>
      <c r="P1007" t="s">
        <v>31</v>
      </c>
    </row>
    <row r="1008" spans="1:16" x14ac:dyDescent="0.25">
      <c r="A1008" t="s">
        <v>3274</v>
      </c>
      <c r="B1008" t="s">
        <v>3264</v>
      </c>
      <c r="C1008" s="1" t="s">
        <v>3275</v>
      </c>
      <c r="D1008" t="s">
        <v>34</v>
      </c>
      <c r="E1008" t="s">
        <v>35</v>
      </c>
      <c r="F1008" s="2">
        <v>704784.63</v>
      </c>
      <c r="G1008" s="1" t="s">
        <v>3276</v>
      </c>
      <c r="H1008" t="s">
        <v>1823</v>
      </c>
      <c r="I1008" t="s">
        <v>300</v>
      </c>
      <c r="J1008">
        <v>10</v>
      </c>
      <c r="K1008" t="s">
        <v>26</v>
      </c>
      <c r="L1008" t="s">
        <v>3267</v>
      </c>
      <c r="M1008" t="s">
        <v>3085</v>
      </c>
      <c r="N1008" t="s">
        <v>1825</v>
      </c>
      <c r="O1008" t="s">
        <v>303</v>
      </c>
      <c r="P1008" t="s">
        <v>31</v>
      </c>
    </row>
    <row r="1009" spans="1:16" x14ac:dyDescent="0.25">
      <c r="A1009" t="s">
        <v>3277</v>
      </c>
      <c r="B1009" t="s">
        <v>3264</v>
      </c>
      <c r="C1009" s="1" t="s">
        <v>3278</v>
      </c>
      <c r="D1009" t="s">
        <v>34</v>
      </c>
      <c r="E1009" t="s">
        <v>35</v>
      </c>
      <c r="F1009" s="2">
        <v>707283.63</v>
      </c>
      <c r="G1009" s="1" t="s">
        <v>3279</v>
      </c>
      <c r="H1009" t="s">
        <v>1823</v>
      </c>
      <c r="I1009" t="s">
        <v>300</v>
      </c>
      <c r="J1009">
        <v>10</v>
      </c>
      <c r="K1009" t="s">
        <v>26</v>
      </c>
      <c r="L1009" t="s">
        <v>3267</v>
      </c>
      <c r="M1009" t="s">
        <v>3085</v>
      </c>
      <c r="N1009" t="s">
        <v>1825</v>
      </c>
      <c r="O1009" t="s">
        <v>303</v>
      </c>
      <c r="P1009" t="s">
        <v>31</v>
      </c>
    </row>
    <row r="1010" spans="1:16" x14ac:dyDescent="0.25">
      <c r="A1010" t="s">
        <v>3280</v>
      </c>
      <c r="B1010" t="s">
        <v>3264</v>
      </c>
      <c r="C1010" s="1" t="s">
        <v>3281</v>
      </c>
      <c r="D1010" t="s">
        <v>34</v>
      </c>
      <c r="E1010" t="s">
        <v>35</v>
      </c>
      <c r="F1010" s="2">
        <v>712281.63</v>
      </c>
      <c r="G1010" s="1" t="s">
        <v>3282</v>
      </c>
      <c r="H1010" t="s">
        <v>1823</v>
      </c>
      <c r="I1010" t="s">
        <v>300</v>
      </c>
      <c r="J1010">
        <v>10</v>
      </c>
      <c r="K1010" t="s">
        <v>26</v>
      </c>
      <c r="L1010" t="s">
        <v>3267</v>
      </c>
      <c r="M1010" t="s">
        <v>3085</v>
      </c>
      <c r="N1010" t="s">
        <v>1825</v>
      </c>
      <c r="O1010" t="s">
        <v>303</v>
      </c>
      <c r="P1010" t="s">
        <v>31</v>
      </c>
    </row>
    <row r="1011" spans="1:16" x14ac:dyDescent="0.25">
      <c r="A1011" t="s">
        <v>3283</v>
      </c>
      <c r="B1011" t="s">
        <v>3264</v>
      </c>
      <c r="C1011" s="1" t="s">
        <v>3284</v>
      </c>
      <c r="D1011" t="s">
        <v>34</v>
      </c>
      <c r="E1011" t="s">
        <v>35</v>
      </c>
      <c r="F1011" s="2">
        <v>721028.13</v>
      </c>
      <c r="G1011" s="1" t="s">
        <v>3285</v>
      </c>
      <c r="H1011" t="s">
        <v>1823</v>
      </c>
      <c r="I1011" t="s">
        <v>300</v>
      </c>
      <c r="J1011">
        <v>10</v>
      </c>
      <c r="K1011" t="s">
        <v>26</v>
      </c>
      <c r="L1011" t="s">
        <v>3267</v>
      </c>
      <c r="M1011" t="s">
        <v>3085</v>
      </c>
      <c r="N1011" t="s">
        <v>1825</v>
      </c>
      <c r="O1011" t="s">
        <v>303</v>
      </c>
      <c r="P1011" t="s">
        <v>31</v>
      </c>
    </row>
    <row r="1012" spans="1:16" x14ac:dyDescent="0.25">
      <c r="A1012" t="s">
        <v>3286</v>
      </c>
      <c r="B1012" t="s">
        <v>3264</v>
      </c>
      <c r="C1012" s="1" t="s">
        <v>3287</v>
      </c>
      <c r="D1012" t="s">
        <v>34</v>
      </c>
      <c r="E1012" t="s">
        <v>35</v>
      </c>
      <c r="F1012" s="2">
        <v>727275.63</v>
      </c>
      <c r="G1012" s="1" t="s">
        <v>3288</v>
      </c>
      <c r="H1012" t="s">
        <v>1823</v>
      </c>
      <c r="I1012" t="s">
        <v>300</v>
      </c>
      <c r="J1012">
        <v>10</v>
      </c>
      <c r="K1012" t="s">
        <v>26</v>
      </c>
      <c r="L1012" t="s">
        <v>3267</v>
      </c>
      <c r="M1012" t="s">
        <v>3085</v>
      </c>
      <c r="N1012" t="s">
        <v>1825</v>
      </c>
      <c r="O1012" t="s">
        <v>303</v>
      </c>
      <c r="P1012" t="s">
        <v>31</v>
      </c>
    </row>
    <row r="1013" spans="1:16" x14ac:dyDescent="0.25">
      <c r="A1013" t="s">
        <v>3289</v>
      </c>
      <c r="B1013" t="s">
        <v>3264</v>
      </c>
      <c r="C1013" s="1" t="s">
        <v>3290</v>
      </c>
      <c r="D1013" t="s">
        <v>34</v>
      </c>
      <c r="E1013" t="s">
        <v>35</v>
      </c>
      <c r="F1013" s="2">
        <v>739770.63</v>
      </c>
      <c r="G1013" s="1" t="s">
        <v>3291</v>
      </c>
      <c r="H1013" t="s">
        <v>1823</v>
      </c>
      <c r="I1013" t="s">
        <v>300</v>
      </c>
      <c r="J1013">
        <v>10</v>
      </c>
      <c r="K1013" t="s">
        <v>26</v>
      </c>
      <c r="L1013" t="s">
        <v>3267</v>
      </c>
      <c r="M1013" t="s">
        <v>3085</v>
      </c>
      <c r="N1013" t="s">
        <v>1825</v>
      </c>
      <c r="O1013" t="s">
        <v>303</v>
      </c>
      <c r="P1013" t="s">
        <v>31</v>
      </c>
    </row>
    <row r="1014" spans="1:16" x14ac:dyDescent="0.25">
      <c r="A1014" t="s">
        <v>3292</v>
      </c>
      <c r="B1014" t="s">
        <v>3264</v>
      </c>
      <c r="C1014" s="1" t="s">
        <v>3293</v>
      </c>
      <c r="D1014" t="s">
        <v>34</v>
      </c>
      <c r="E1014" t="s">
        <v>35</v>
      </c>
      <c r="F1014" s="2">
        <v>752265.63</v>
      </c>
      <c r="G1014" s="1" t="s">
        <v>3294</v>
      </c>
      <c r="H1014" t="s">
        <v>1823</v>
      </c>
      <c r="I1014" t="s">
        <v>300</v>
      </c>
      <c r="J1014">
        <v>10</v>
      </c>
      <c r="K1014" t="s">
        <v>26</v>
      </c>
      <c r="L1014" t="s">
        <v>3267</v>
      </c>
      <c r="M1014" t="s">
        <v>3085</v>
      </c>
      <c r="N1014" t="s">
        <v>1825</v>
      </c>
      <c r="O1014" t="s">
        <v>303</v>
      </c>
      <c r="P1014" t="s">
        <v>31</v>
      </c>
    </row>
    <row r="1015" spans="1:16" x14ac:dyDescent="0.25">
      <c r="A1015" t="s">
        <v>3295</v>
      </c>
      <c r="B1015" t="s">
        <v>3296</v>
      </c>
      <c r="C1015" s="1" t="s">
        <v>3297</v>
      </c>
      <c r="D1015" t="s">
        <v>34</v>
      </c>
      <c r="E1015" t="s">
        <v>35</v>
      </c>
      <c r="F1015" s="2">
        <v>85029.43</v>
      </c>
      <c r="G1015" s="1" t="s">
        <v>3298</v>
      </c>
      <c r="H1015" t="s">
        <v>1823</v>
      </c>
      <c r="I1015" t="s">
        <v>25</v>
      </c>
      <c r="J1015">
        <v>7</v>
      </c>
      <c r="K1015" t="s">
        <v>26</v>
      </c>
      <c r="L1015" t="s">
        <v>3299</v>
      </c>
      <c r="M1015" t="s">
        <v>3085</v>
      </c>
      <c r="N1015" t="s">
        <v>1825</v>
      </c>
      <c r="O1015" t="s">
        <v>30</v>
      </c>
      <c r="P1015" t="s">
        <v>79</v>
      </c>
    </row>
    <row r="1016" spans="1:16" x14ac:dyDescent="0.25">
      <c r="A1016" t="s">
        <v>3300</v>
      </c>
      <c r="B1016" t="s">
        <v>3296</v>
      </c>
      <c r="C1016" s="1" t="s">
        <v>3301</v>
      </c>
      <c r="D1016" t="s">
        <v>21</v>
      </c>
      <c r="E1016" t="s">
        <v>22</v>
      </c>
      <c r="F1016" s="2">
        <v>1682.86</v>
      </c>
      <c r="G1016" s="1" t="s">
        <v>3302</v>
      </c>
      <c r="H1016" t="s">
        <v>1823</v>
      </c>
      <c r="I1016" t="s">
        <v>555</v>
      </c>
      <c r="J1016">
        <v>3</v>
      </c>
      <c r="K1016" t="s">
        <v>26</v>
      </c>
      <c r="L1016" t="s">
        <v>3157</v>
      </c>
      <c r="M1016" t="s">
        <v>3085</v>
      </c>
      <c r="N1016" t="s">
        <v>1825</v>
      </c>
      <c r="O1016" t="s">
        <v>47</v>
      </c>
      <c r="P1016" t="s">
        <v>31</v>
      </c>
    </row>
    <row r="1017" spans="1:16" x14ac:dyDescent="0.25">
      <c r="A1017" t="s">
        <v>3303</v>
      </c>
      <c r="B1017" t="s">
        <v>3296</v>
      </c>
      <c r="C1017" s="1" t="s">
        <v>3304</v>
      </c>
      <c r="D1017" t="s">
        <v>34</v>
      </c>
      <c r="E1017" t="s">
        <v>35</v>
      </c>
      <c r="F1017" s="2">
        <v>582852.45</v>
      </c>
      <c r="G1017" s="1" t="s">
        <v>3305</v>
      </c>
      <c r="H1017" t="s">
        <v>1823</v>
      </c>
      <c r="I1017" t="s">
        <v>37</v>
      </c>
      <c r="J1017">
        <v>9</v>
      </c>
      <c r="K1017" t="s">
        <v>26</v>
      </c>
      <c r="L1017" t="s">
        <v>3188</v>
      </c>
      <c r="M1017" t="s">
        <v>3085</v>
      </c>
      <c r="N1017" t="s">
        <v>1825</v>
      </c>
      <c r="O1017" t="s">
        <v>39</v>
      </c>
      <c r="P1017" t="s">
        <v>31</v>
      </c>
    </row>
    <row r="1018" spans="1:16" x14ac:dyDescent="0.25">
      <c r="A1018" t="s">
        <v>3306</v>
      </c>
      <c r="B1018" t="s">
        <v>3296</v>
      </c>
      <c r="C1018" s="1" t="s">
        <v>3307</v>
      </c>
      <c r="D1018" t="s">
        <v>21</v>
      </c>
      <c r="E1018" t="s">
        <v>22</v>
      </c>
      <c r="F1018" s="2">
        <v>15735.2</v>
      </c>
      <c r="G1018" s="1" t="s">
        <v>3308</v>
      </c>
      <c r="H1018" t="s">
        <v>1823</v>
      </c>
      <c r="I1018" t="s">
        <v>1219</v>
      </c>
      <c r="J1018">
        <v>8</v>
      </c>
      <c r="K1018" t="s">
        <v>26</v>
      </c>
      <c r="L1018" t="s">
        <v>3149</v>
      </c>
      <c r="M1018" t="s">
        <v>3085</v>
      </c>
      <c r="N1018" t="s">
        <v>1825</v>
      </c>
      <c r="O1018" t="s">
        <v>68</v>
      </c>
      <c r="P1018" t="s">
        <v>31</v>
      </c>
    </row>
    <row r="1019" spans="1:16" x14ac:dyDescent="0.25">
      <c r="A1019" t="s">
        <v>3309</v>
      </c>
      <c r="B1019" t="s">
        <v>3296</v>
      </c>
      <c r="C1019" s="1" t="s">
        <v>3310</v>
      </c>
      <c r="D1019" t="s">
        <v>21</v>
      </c>
      <c r="E1019" t="s">
        <v>22</v>
      </c>
      <c r="F1019" s="2">
        <v>8965.25</v>
      </c>
      <c r="G1019" s="1" t="s">
        <v>3311</v>
      </c>
      <c r="H1019" t="s">
        <v>1823</v>
      </c>
      <c r="I1019" t="s">
        <v>1219</v>
      </c>
      <c r="J1019">
        <v>8</v>
      </c>
      <c r="K1019" t="s">
        <v>26</v>
      </c>
      <c r="L1019" t="s">
        <v>3149</v>
      </c>
      <c r="M1019" t="s">
        <v>3085</v>
      </c>
      <c r="N1019" t="s">
        <v>1825</v>
      </c>
      <c r="O1019" t="s">
        <v>68</v>
      </c>
      <c r="P1019" t="s">
        <v>31</v>
      </c>
    </row>
    <row r="1020" spans="1:16" x14ac:dyDescent="0.25">
      <c r="A1020" t="s">
        <v>3312</v>
      </c>
      <c r="B1020" t="s">
        <v>3296</v>
      </c>
      <c r="C1020" s="1" t="s">
        <v>3313</v>
      </c>
      <c r="D1020" t="s">
        <v>21</v>
      </c>
      <c r="E1020" t="s">
        <v>22</v>
      </c>
      <c r="F1020" s="2">
        <v>7175.03</v>
      </c>
      <c r="G1020" s="1" t="s">
        <v>3314</v>
      </c>
      <c r="H1020" t="s">
        <v>1823</v>
      </c>
      <c r="I1020" t="s">
        <v>37</v>
      </c>
      <c r="J1020">
        <v>6</v>
      </c>
      <c r="K1020" t="s">
        <v>26</v>
      </c>
      <c r="L1020" t="s">
        <v>3188</v>
      </c>
      <c r="M1020" t="s">
        <v>3085</v>
      </c>
      <c r="N1020" t="s">
        <v>1825</v>
      </c>
      <c r="O1020" t="s">
        <v>39</v>
      </c>
      <c r="P1020" t="s">
        <v>31</v>
      </c>
    </row>
    <row r="1021" spans="1:16" x14ac:dyDescent="0.25">
      <c r="A1021" t="s">
        <v>3315</v>
      </c>
      <c r="B1021" t="s">
        <v>3296</v>
      </c>
      <c r="C1021" s="1" t="s">
        <v>3316</v>
      </c>
      <c r="D1021" t="s">
        <v>21</v>
      </c>
      <c r="E1021" t="s">
        <v>22</v>
      </c>
      <c r="F1021" s="2">
        <v>4510.76</v>
      </c>
      <c r="G1021" s="1" t="s">
        <v>3317</v>
      </c>
      <c r="H1021" t="s">
        <v>1823</v>
      </c>
      <c r="I1021" t="s">
        <v>37</v>
      </c>
      <c r="J1021">
        <v>6</v>
      </c>
      <c r="K1021" t="s">
        <v>26</v>
      </c>
      <c r="L1021" t="s">
        <v>3188</v>
      </c>
      <c r="M1021" t="s">
        <v>3085</v>
      </c>
      <c r="N1021" t="s">
        <v>1825</v>
      </c>
      <c r="O1021" t="s">
        <v>39</v>
      </c>
      <c r="P1021" t="s">
        <v>31</v>
      </c>
    </row>
    <row r="1022" spans="1:16" x14ac:dyDescent="0.25">
      <c r="A1022" t="s">
        <v>3318</v>
      </c>
      <c r="B1022" t="s">
        <v>3296</v>
      </c>
      <c r="C1022" s="1" t="s">
        <v>3319</v>
      </c>
      <c r="D1022" t="s">
        <v>21</v>
      </c>
      <c r="E1022" t="s">
        <v>22</v>
      </c>
      <c r="F1022" s="2">
        <v>3399.59</v>
      </c>
      <c r="G1022" s="1" t="s">
        <v>3320</v>
      </c>
      <c r="H1022" t="s">
        <v>1823</v>
      </c>
      <c r="I1022" t="s">
        <v>1219</v>
      </c>
      <c r="J1022">
        <v>6</v>
      </c>
      <c r="K1022" t="s">
        <v>26</v>
      </c>
      <c r="L1022" t="s">
        <v>3149</v>
      </c>
      <c r="M1022" t="s">
        <v>3085</v>
      </c>
      <c r="N1022" t="s">
        <v>1825</v>
      </c>
      <c r="O1022" t="s">
        <v>68</v>
      </c>
      <c r="P1022" t="s">
        <v>31</v>
      </c>
    </row>
    <row r="1023" spans="1:16" x14ac:dyDescent="0.25">
      <c r="A1023" t="s">
        <v>3321</v>
      </c>
      <c r="B1023" t="s">
        <v>3296</v>
      </c>
      <c r="C1023" s="1" t="s">
        <v>3322</v>
      </c>
      <c r="D1023" t="s">
        <v>34</v>
      </c>
      <c r="E1023" t="s">
        <v>35</v>
      </c>
      <c r="F1023" s="2">
        <v>104037.3</v>
      </c>
      <c r="G1023" s="1" t="s">
        <v>3323</v>
      </c>
      <c r="H1023" t="s">
        <v>1823</v>
      </c>
      <c r="I1023" t="s">
        <v>37</v>
      </c>
      <c r="J1023">
        <v>9</v>
      </c>
      <c r="K1023" t="s">
        <v>26</v>
      </c>
      <c r="L1023" t="s">
        <v>3188</v>
      </c>
      <c r="M1023" t="s">
        <v>3085</v>
      </c>
      <c r="N1023" t="s">
        <v>1825</v>
      </c>
      <c r="O1023" t="s">
        <v>39</v>
      </c>
      <c r="P1023" t="s">
        <v>31</v>
      </c>
    </row>
    <row r="1024" spans="1:16" x14ac:dyDescent="0.25">
      <c r="A1024" t="s">
        <v>3324</v>
      </c>
      <c r="B1024" t="s">
        <v>3296</v>
      </c>
      <c r="C1024" s="1" t="s">
        <v>3325</v>
      </c>
      <c r="D1024" t="s">
        <v>21</v>
      </c>
      <c r="E1024" t="s">
        <v>22</v>
      </c>
      <c r="F1024" s="2">
        <v>2192.53</v>
      </c>
      <c r="G1024" s="1" t="s">
        <v>3326</v>
      </c>
      <c r="H1024" t="s">
        <v>1823</v>
      </c>
      <c r="I1024" t="s">
        <v>1219</v>
      </c>
      <c r="J1024">
        <v>5</v>
      </c>
      <c r="K1024" t="s">
        <v>26</v>
      </c>
      <c r="L1024" t="s">
        <v>3149</v>
      </c>
      <c r="M1024" t="s">
        <v>3085</v>
      </c>
      <c r="N1024" t="s">
        <v>1825</v>
      </c>
      <c r="O1024" t="s">
        <v>68</v>
      </c>
      <c r="P1024" t="s">
        <v>31</v>
      </c>
    </row>
    <row r="1025" spans="1:16" x14ac:dyDescent="0.25">
      <c r="A1025" t="s">
        <v>3327</v>
      </c>
      <c r="B1025" t="s">
        <v>3296</v>
      </c>
      <c r="C1025" s="1" t="s">
        <v>3328</v>
      </c>
      <c r="D1025" t="s">
        <v>21</v>
      </c>
      <c r="E1025" t="s">
        <v>22</v>
      </c>
      <c r="F1025" s="2">
        <v>4668.73</v>
      </c>
      <c r="G1025" s="1" t="s">
        <v>3329</v>
      </c>
      <c r="H1025" t="s">
        <v>1823</v>
      </c>
      <c r="I1025" t="s">
        <v>1219</v>
      </c>
      <c r="J1025">
        <v>8</v>
      </c>
      <c r="K1025" t="s">
        <v>26</v>
      </c>
      <c r="L1025" t="s">
        <v>3149</v>
      </c>
      <c r="M1025" t="s">
        <v>3085</v>
      </c>
      <c r="N1025" t="s">
        <v>1825</v>
      </c>
      <c r="O1025" t="s">
        <v>68</v>
      </c>
      <c r="P1025" t="s">
        <v>31</v>
      </c>
    </row>
    <row r="1026" spans="1:16" x14ac:dyDescent="0.25">
      <c r="A1026" t="s">
        <v>3330</v>
      </c>
      <c r="B1026" t="s">
        <v>3296</v>
      </c>
      <c r="C1026" s="1" t="s">
        <v>3331</v>
      </c>
      <c r="D1026" t="s">
        <v>34</v>
      </c>
      <c r="E1026" t="s">
        <v>35</v>
      </c>
      <c r="F1026" s="2">
        <v>347036.97</v>
      </c>
      <c r="G1026" s="1" t="s">
        <v>3332</v>
      </c>
      <c r="H1026" t="s">
        <v>1823</v>
      </c>
      <c r="I1026" t="s">
        <v>37</v>
      </c>
      <c r="J1026">
        <v>6</v>
      </c>
      <c r="K1026" t="s">
        <v>26</v>
      </c>
      <c r="L1026" t="s">
        <v>3333</v>
      </c>
      <c r="M1026" t="s">
        <v>3085</v>
      </c>
      <c r="N1026" t="s">
        <v>1825</v>
      </c>
      <c r="O1026" t="s">
        <v>39</v>
      </c>
      <c r="P1026" t="s">
        <v>404</v>
      </c>
    </row>
    <row r="1027" spans="1:16" x14ac:dyDescent="0.25">
      <c r="A1027" t="s">
        <v>3334</v>
      </c>
      <c r="B1027" t="s">
        <v>3296</v>
      </c>
      <c r="C1027" s="1" t="s">
        <v>3335</v>
      </c>
      <c r="D1027" t="s">
        <v>21</v>
      </c>
      <c r="E1027" t="s">
        <v>22</v>
      </c>
      <c r="F1027" s="2">
        <v>11517.51</v>
      </c>
      <c r="G1027" s="1" t="s">
        <v>3336</v>
      </c>
      <c r="H1027" t="s">
        <v>1823</v>
      </c>
      <c r="I1027" t="s">
        <v>1219</v>
      </c>
      <c r="J1027">
        <v>6</v>
      </c>
      <c r="K1027" t="s">
        <v>26</v>
      </c>
      <c r="L1027" t="s">
        <v>3207</v>
      </c>
      <c r="M1027" t="s">
        <v>3085</v>
      </c>
      <c r="N1027" t="s">
        <v>1825</v>
      </c>
      <c r="O1027" t="s">
        <v>68</v>
      </c>
      <c r="P1027" t="s">
        <v>404</v>
      </c>
    </row>
    <row r="1028" spans="1:16" x14ac:dyDescent="0.25">
      <c r="A1028" t="s">
        <v>3337</v>
      </c>
      <c r="B1028" t="s">
        <v>3296</v>
      </c>
      <c r="C1028" s="1" t="s">
        <v>3338</v>
      </c>
      <c r="D1028" t="s">
        <v>21</v>
      </c>
      <c r="E1028" t="s">
        <v>22</v>
      </c>
      <c r="F1028" s="2">
        <v>13506.17</v>
      </c>
      <c r="G1028" s="1" t="s">
        <v>3339</v>
      </c>
      <c r="H1028" t="s">
        <v>1823</v>
      </c>
      <c r="I1028" t="s">
        <v>1219</v>
      </c>
      <c r="J1028">
        <v>6</v>
      </c>
      <c r="K1028" t="s">
        <v>26</v>
      </c>
      <c r="L1028" t="s">
        <v>3207</v>
      </c>
      <c r="M1028" t="s">
        <v>3085</v>
      </c>
      <c r="N1028" t="s">
        <v>1825</v>
      </c>
      <c r="O1028" t="s">
        <v>68</v>
      </c>
      <c r="P1028" t="s">
        <v>404</v>
      </c>
    </row>
    <row r="1029" spans="1:16" x14ac:dyDescent="0.25">
      <c r="A1029" t="s">
        <v>3340</v>
      </c>
      <c r="B1029" t="s">
        <v>3296</v>
      </c>
      <c r="C1029" s="1" t="s">
        <v>3341</v>
      </c>
      <c r="D1029" t="s">
        <v>21</v>
      </c>
      <c r="E1029" t="s">
        <v>22</v>
      </c>
      <c r="F1029" s="2">
        <v>17448.11</v>
      </c>
      <c r="G1029" s="1" t="s">
        <v>3342</v>
      </c>
      <c r="H1029" t="s">
        <v>1823</v>
      </c>
      <c r="I1029" t="s">
        <v>1219</v>
      </c>
      <c r="J1029">
        <v>6</v>
      </c>
      <c r="K1029" t="s">
        <v>26</v>
      </c>
      <c r="L1029" t="s">
        <v>3207</v>
      </c>
      <c r="M1029" t="s">
        <v>3085</v>
      </c>
      <c r="N1029" t="s">
        <v>1825</v>
      </c>
      <c r="O1029" t="s">
        <v>68</v>
      </c>
      <c r="P1029" t="s">
        <v>404</v>
      </c>
    </row>
    <row r="1030" spans="1:16" x14ac:dyDescent="0.25">
      <c r="A1030" t="s">
        <v>3343</v>
      </c>
      <c r="B1030" t="s">
        <v>3296</v>
      </c>
      <c r="C1030" s="1" t="s">
        <v>3344</v>
      </c>
      <c r="D1030" t="s">
        <v>34</v>
      </c>
      <c r="E1030" t="s">
        <v>35</v>
      </c>
      <c r="F1030" s="2">
        <v>601319.83</v>
      </c>
      <c r="G1030" s="1" t="s">
        <v>3345</v>
      </c>
      <c r="H1030" t="s">
        <v>1823</v>
      </c>
      <c r="I1030" t="s">
        <v>37</v>
      </c>
      <c r="J1030">
        <v>8</v>
      </c>
      <c r="K1030" t="s">
        <v>26</v>
      </c>
      <c r="L1030" t="s">
        <v>3253</v>
      </c>
      <c r="M1030" t="s">
        <v>3085</v>
      </c>
      <c r="N1030" t="s">
        <v>1825</v>
      </c>
      <c r="O1030" t="s">
        <v>39</v>
      </c>
      <c r="P1030" t="s">
        <v>440</v>
      </c>
    </row>
    <row r="1031" spans="1:16" x14ac:dyDescent="0.25">
      <c r="A1031" t="s">
        <v>3346</v>
      </c>
      <c r="B1031" t="s">
        <v>3347</v>
      </c>
      <c r="C1031" s="1" t="s">
        <v>3348</v>
      </c>
      <c r="D1031" t="s">
        <v>42</v>
      </c>
      <c r="E1031" t="s">
        <v>43</v>
      </c>
      <c r="F1031" s="2">
        <v>12614.56</v>
      </c>
      <c r="G1031" s="1" t="s">
        <v>3349</v>
      </c>
      <c r="H1031" t="s">
        <v>1823</v>
      </c>
      <c r="I1031" t="s">
        <v>1219</v>
      </c>
      <c r="J1031">
        <v>5</v>
      </c>
      <c r="K1031" t="s">
        <v>26</v>
      </c>
      <c r="L1031" t="s">
        <v>3149</v>
      </c>
      <c r="M1031" t="s">
        <v>3085</v>
      </c>
      <c r="N1031" t="s">
        <v>1825</v>
      </c>
      <c r="O1031" t="s">
        <v>68</v>
      </c>
      <c r="P1031" t="s">
        <v>31</v>
      </c>
    </row>
    <row r="1032" spans="1:16" x14ac:dyDescent="0.25">
      <c r="A1032" t="s">
        <v>3350</v>
      </c>
      <c r="B1032" t="s">
        <v>3347</v>
      </c>
      <c r="C1032" s="1" t="s">
        <v>3351</v>
      </c>
      <c r="D1032" t="s">
        <v>21</v>
      </c>
      <c r="E1032" t="s">
        <v>22</v>
      </c>
      <c r="F1032" s="2">
        <v>74286.93</v>
      </c>
      <c r="G1032" s="1" t="s">
        <v>3352</v>
      </c>
      <c r="H1032" t="s">
        <v>1823</v>
      </c>
      <c r="I1032" t="s">
        <v>1219</v>
      </c>
      <c r="J1032">
        <v>6</v>
      </c>
      <c r="K1032" t="s">
        <v>26</v>
      </c>
      <c r="L1032" t="s">
        <v>3149</v>
      </c>
      <c r="M1032" t="s">
        <v>3085</v>
      </c>
      <c r="N1032" t="s">
        <v>1825</v>
      </c>
      <c r="O1032" t="s">
        <v>68</v>
      </c>
      <c r="P1032" t="s">
        <v>31</v>
      </c>
    </row>
    <row r="1033" spans="1:16" x14ac:dyDescent="0.25">
      <c r="A1033" t="s">
        <v>3353</v>
      </c>
      <c r="B1033" t="s">
        <v>3347</v>
      </c>
      <c r="C1033" s="1" t="s">
        <v>3354</v>
      </c>
      <c r="D1033" t="s">
        <v>21</v>
      </c>
      <c r="E1033" t="s">
        <v>22</v>
      </c>
      <c r="F1033" s="2">
        <v>64791.72</v>
      </c>
      <c r="G1033" s="1" t="s">
        <v>3355</v>
      </c>
      <c r="H1033" t="s">
        <v>1823</v>
      </c>
      <c r="I1033" t="s">
        <v>1219</v>
      </c>
      <c r="J1033">
        <v>6</v>
      </c>
      <c r="K1033" t="s">
        <v>26</v>
      </c>
      <c r="L1033" t="s">
        <v>3149</v>
      </c>
      <c r="M1033" t="s">
        <v>3085</v>
      </c>
      <c r="N1033" t="s">
        <v>1825</v>
      </c>
      <c r="O1033" t="s">
        <v>68</v>
      </c>
      <c r="P1033" t="s">
        <v>31</v>
      </c>
    </row>
    <row r="1034" spans="1:16" x14ac:dyDescent="0.25">
      <c r="A1034" t="s">
        <v>3356</v>
      </c>
      <c r="B1034" t="s">
        <v>3357</v>
      </c>
      <c r="C1034" s="1" t="s">
        <v>3358</v>
      </c>
      <c r="D1034" t="s">
        <v>63</v>
      </c>
      <c r="E1034" t="s">
        <v>64</v>
      </c>
      <c r="F1034" s="2">
        <v>127600.45</v>
      </c>
      <c r="G1034" s="1" t="s">
        <v>3359</v>
      </c>
      <c r="H1034" t="s">
        <v>1823</v>
      </c>
      <c r="I1034" t="s">
        <v>1219</v>
      </c>
      <c r="J1034">
        <v>4</v>
      </c>
      <c r="K1034" t="s">
        <v>26</v>
      </c>
      <c r="L1034" t="s">
        <v>3149</v>
      </c>
      <c r="M1034" t="s">
        <v>3085</v>
      </c>
      <c r="N1034" t="s">
        <v>1825</v>
      </c>
      <c r="O1034" t="s">
        <v>68</v>
      </c>
      <c r="P1034" t="s">
        <v>31</v>
      </c>
    </row>
    <row r="1035" spans="1:16" x14ac:dyDescent="0.25">
      <c r="A1035" t="s">
        <v>3360</v>
      </c>
      <c r="B1035" t="s">
        <v>3357</v>
      </c>
      <c r="C1035" s="1" t="s">
        <v>3361</v>
      </c>
      <c r="D1035" t="s">
        <v>63</v>
      </c>
      <c r="E1035" t="s">
        <v>64</v>
      </c>
      <c r="F1035" s="2">
        <v>208912.43</v>
      </c>
      <c r="G1035" s="1" t="s">
        <v>3362</v>
      </c>
      <c r="H1035" t="s">
        <v>1823</v>
      </c>
      <c r="I1035" t="s">
        <v>401</v>
      </c>
      <c r="J1035">
        <v>4</v>
      </c>
      <c r="K1035" t="s">
        <v>26</v>
      </c>
      <c r="L1035" t="s">
        <v>3164</v>
      </c>
      <c r="M1035" t="s">
        <v>3085</v>
      </c>
      <c r="N1035" t="s">
        <v>1825</v>
      </c>
      <c r="O1035" t="s">
        <v>403</v>
      </c>
      <c r="P1035" t="s">
        <v>31</v>
      </c>
    </row>
    <row r="1036" spans="1:16" x14ac:dyDescent="0.25">
      <c r="A1036" t="s">
        <v>3363</v>
      </c>
      <c r="B1036" t="s">
        <v>3357</v>
      </c>
      <c r="C1036" s="1" t="s">
        <v>3364</v>
      </c>
      <c r="D1036" t="s">
        <v>63</v>
      </c>
      <c r="E1036" t="s">
        <v>64</v>
      </c>
      <c r="F1036" s="2">
        <v>116232.85</v>
      </c>
      <c r="G1036" s="1" t="s">
        <v>3365</v>
      </c>
      <c r="H1036" t="s">
        <v>1823</v>
      </c>
      <c r="I1036" t="s">
        <v>1219</v>
      </c>
      <c r="J1036">
        <v>4</v>
      </c>
      <c r="K1036" t="s">
        <v>26</v>
      </c>
      <c r="L1036" t="s">
        <v>3149</v>
      </c>
      <c r="M1036" t="s">
        <v>3085</v>
      </c>
      <c r="N1036" t="s">
        <v>1825</v>
      </c>
      <c r="O1036" t="s">
        <v>68</v>
      </c>
      <c r="P1036" t="s">
        <v>31</v>
      </c>
    </row>
    <row r="1037" spans="1:16" x14ac:dyDescent="0.25">
      <c r="A1037" t="s">
        <v>3366</v>
      </c>
      <c r="B1037" t="s">
        <v>3357</v>
      </c>
      <c r="C1037" s="1" t="s">
        <v>3367</v>
      </c>
      <c r="D1037" t="s">
        <v>63</v>
      </c>
      <c r="E1037" t="s">
        <v>64</v>
      </c>
      <c r="F1037" s="2">
        <v>239289.42</v>
      </c>
      <c r="G1037" s="1" t="s">
        <v>3368</v>
      </c>
      <c r="H1037" t="s">
        <v>1823</v>
      </c>
      <c r="I1037" t="s">
        <v>401</v>
      </c>
      <c r="J1037">
        <v>5</v>
      </c>
      <c r="K1037" t="s">
        <v>26</v>
      </c>
      <c r="L1037" t="s">
        <v>3164</v>
      </c>
      <c r="M1037" t="s">
        <v>3085</v>
      </c>
      <c r="N1037" t="s">
        <v>1825</v>
      </c>
      <c r="O1037" t="s">
        <v>403</v>
      </c>
      <c r="P1037" t="s">
        <v>31</v>
      </c>
    </row>
    <row r="1038" spans="1:16" x14ac:dyDescent="0.25">
      <c r="A1038" t="s">
        <v>3369</v>
      </c>
      <c r="B1038" t="s">
        <v>3357</v>
      </c>
      <c r="C1038" s="1" t="s">
        <v>3370</v>
      </c>
      <c r="D1038" t="s">
        <v>42</v>
      </c>
      <c r="E1038" t="s">
        <v>43</v>
      </c>
      <c r="F1038" s="2">
        <v>61411.56</v>
      </c>
      <c r="G1038" s="1" t="s">
        <v>3371</v>
      </c>
      <c r="H1038" t="s">
        <v>1823</v>
      </c>
      <c r="I1038" t="s">
        <v>1219</v>
      </c>
      <c r="J1038">
        <v>4</v>
      </c>
      <c r="K1038" t="s">
        <v>26</v>
      </c>
      <c r="L1038" t="s">
        <v>3149</v>
      </c>
      <c r="M1038" t="s">
        <v>3085</v>
      </c>
      <c r="N1038" t="s">
        <v>1825</v>
      </c>
      <c r="O1038" t="s">
        <v>68</v>
      </c>
      <c r="P1038" t="s">
        <v>31</v>
      </c>
    </row>
    <row r="1039" spans="1:16" x14ac:dyDescent="0.25">
      <c r="A1039" t="s">
        <v>3372</v>
      </c>
      <c r="B1039" t="s">
        <v>3357</v>
      </c>
      <c r="C1039" s="1" t="s">
        <v>3373</v>
      </c>
      <c r="D1039" t="s">
        <v>42</v>
      </c>
      <c r="E1039" t="s">
        <v>43</v>
      </c>
      <c r="F1039" s="2">
        <v>180155.77</v>
      </c>
      <c r="G1039" s="1" t="s">
        <v>3374</v>
      </c>
      <c r="H1039" t="s">
        <v>1823</v>
      </c>
      <c r="I1039" t="s">
        <v>1219</v>
      </c>
      <c r="J1039">
        <v>4</v>
      </c>
      <c r="K1039" t="s">
        <v>26</v>
      </c>
      <c r="L1039" t="s">
        <v>3149</v>
      </c>
      <c r="M1039" t="s">
        <v>3085</v>
      </c>
      <c r="N1039" t="s">
        <v>1825</v>
      </c>
      <c r="O1039" t="s">
        <v>68</v>
      </c>
      <c r="P1039" t="s">
        <v>31</v>
      </c>
    </row>
    <row r="1040" spans="1:16" x14ac:dyDescent="0.25">
      <c r="A1040" t="s">
        <v>3375</v>
      </c>
      <c r="B1040" t="s">
        <v>3357</v>
      </c>
      <c r="C1040" s="1" t="s">
        <v>3376</v>
      </c>
      <c r="D1040" t="s">
        <v>42</v>
      </c>
      <c r="E1040" t="s">
        <v>43</v>
      </c>
      <c r="F1040" s="2">
        <v>185031.66</v>
      </c>
      <c r="G1040" s="1" t="s">
        <v>3377</v>
      </c>
      <c r="H1040" t="s">
        <v>1823</v>
      </c>
      <c r="I1040" t="s">
        <v>37</v>
      </c>
      <c r="J1040">
        <v>5</v>
      </c>
      <c r="K1040" t="s">
        <v>26</v>
      </c>
      <c r="L1040" t="s">
        <v>3188</v>
      </c>
      <c r="M1040" t="s">
        <v>3085</v>
      </c>
      <c r="N1040" t="s">
        <v>1825</v>
      </c>
      <c r="O1040" t="s">
        <v>39</v>
      </c>
      <c r="P1040" t="s">
        <v>31</v>
      </c>
    </row>
    <row r="1041" spans="1:16" x14ac:dyDescent="0.25">
      <c r="A1041" t="s">
        <v>3378</v>
      </c>
      <c r="B1041" t="s">
        <v>3357</v>
      </c>
      <c r="C1041" s="1" t="s">
        <v>3379</v>
      </c>
      <c r="D1041" t="s">
        <v>42</v>
      </c>
      <c r="E1041" t="s">
        <v>43</v>
      </c>
      <c r="F1041" s="2">
        <v>19032.83</v>
      </c>
      <c r="G1041" s="1" t="s">
        <v>3380</v>
      </c>
      <c r="H1041" t="s">
        <v>1823</v>
      </c>
      <c r="I1041" t="s">
        <v>1219</v>
      </c>
      <c r="J1041">
        <v>4</v>
      </c>
      <c r="K1041" t="s">
        <v>26</v>
      </c>
      <c r="L1041" t="s">
        <v>3149</v>
      </c>
      <c r="M1041" t="s">
        <v>3085</v>
      </c>
      <c r="N1041" t="s">
        <v>1825</v>
      </c>
      <c r="O1041" t="s">
        <v>68</v>
      </c>
      <c r="P1041" t="s">
        <v>31</v>
      </c>
    </row>
    <row r="1042" spans="1:16" x14ac:dyDescent="0.25">
      <c r="A1042" t="s">
        <v>3381</v>
      </c>
      <c r="B1042" t="s">
        <v>3357</v>
      </c>
      <c r="C1042" s="1" t="s">
        <v>3382</v>
      </c>
      <c r="D1042" t="s">
        <v>42</v>
      </c>
      <c r="E1042" t="s">
        <v>43</v>
      </c>
      <c r="F1042" s="2">
        <v>56443.27</v>
      </c>
      <c r="G1042" s="1" t="s">
        <v>3383</v>
      </c>
      <c r="H1042" t="s">
        <v>1823</v>
      </c>
      <c r="I1042" t="s">
        <v>1219</v>
      </c>
      <c r="J1042">
        <v>4</v>
      </c>
      <c r="K1042" t="s">
        <v>26</v>
      </c>
      <c r="L1042" t="s">
        <v>3149</v>
      </c>
      <c r="M1042" t="s">
        <v>3085</v>
      </c>
      <c r="N1042" t="s">
        <v>1825</v>
      </c>
      <c r="O1042" t="s">
        <v>68</v>
      </c>
      <c r="P1042" t="s">
        <v>31</v>
      </c>
    </row>
    <row r="1043" spans="1:16" x14ac:dyDescent="0.25">
      <c r="A1043" t="s">
        <v>3384</v>
      </c>
      <c r="B1043" t="s">
        <v>3357</v>
      </c>
      <c r="C1043" s="1" t="s">
        <v>3385</v>
      </c>
      <c r="D1043" t="s">
        <v>42</v>
      </c>
      <c r="E1043" t="s">
        <v>43</v>
      </c>
      <c r="F1043" s="2">
        <v>53161.19</v>
      </c>
      <c r="G1043" s="1" t="s">
        <v>3386</v>
      </c>
      <c r="H1043" t="s">
        <v>1823</v>
      </c>
      <c r="I1043" t="s">
        <v>308</v>
      </c>
      <c r="J1043">
        <v>4</v>
      </c>
      <c r="K1043" t="s">
        <v>26</v>
      </c>
      <c r="L1043" t="s">
        <v>3175</v>
      </c>
      <c r="M1043" t="s">
        <v>3085</v>
      </c>
      <c r="N1043" t="s">
        <v>1825</v>
      </c>
      <c r="O1043" t="s">
        <v>252</v>
      </c>
      <c r="P1043" t="s">
        <v>31</v>
      </c>
    </row>
    <row r="1044" spans="1:16" x14ac:dyDescent="0.25">
      <c r="A1044" t="s">
        <v>3387</v>
      </c>
      <c r="B1044" t="s">
        <v>3357</v>
      </c>
      <c r="C1044" s="1" t="s">
        <v>3388</v>
      </c>
      <c r="D1044" t="s">
        <v>34</v>
      </c>
      <c r="E1044" t="s">
        <v>35</v>
      </c>
      <c r="F1044" s="2">
        <v>520761.11</v>
      </c>
      <c r="G1044" s="1" t="s">
        <v>3389</v>
      </c>
      <c r="H1044" t="s">
        <v>1823</v>
      </c>
      <c r="I1044" t="s">
        <v>1219</v>
      </c>
      <c r="J1044">
        <v>7</v>
      </c>
      <c r="K1044" t="s">
        <v>26</v>
      </c>
      <c r="L1044" t="s">
        <v>3149</v>
      </c>
      <c r="M1044" t="s">
        <v>3085</v>
      </c>
      <c r="N1044" t="s">
        <v>1825</v>
      </c>
      <c r="O1044" t="s">
        <v>68</v>
      </c>
      <c r="P1044" t="s">
        <v>31</v>
      </c>
    </row>
    <row r="1045" spans="1:16" x14ac:dyDescent="0.25">
      <c r="A1045" t="s">
        <v>3390</v>
      </c>
      <c r="B1045" t="s">
        <v>3357</v>
      </c>
      <c r="C1045" s="1" t="s">
        <v>3391</v>
      </c>
      <c r="D1045" t="s">
        <v>34</v>
      </c>
      <c r="E1045" t="s">
        <v>35</v>
      </c>
      <c r="F1045" s="2">
        <v>596851.28</v>
      </c>
      <c r="G1045" s="1" t="s">
        <v>3392</v>
      </c>
      <c r="H1045" t="s">
        <v>1823</v>
      </c>
      <c r="I1045" t="s">
        <v>1219</v>
      </c>
      <c r="J1045">
        <v>5</v>
      </c>
      <c r="K1045" t="s">
        <v>26</v>
      </c>
      <c r="L1045" t="s">
        <v>3149</v>
      </c>
      <c r="M1045" t="s">
        <v>3085</v>
      </c>
      <c r="N1045" t="s">
        <v>1825</v>
      </c>
      <c r="O1045" t="s">
        <v>68</v>
      </c>
      <c r="P1045" t="s">
        <v>31</v>
      </c>
    </row>
    <row r="1046" spans="1:16" x14ac:dyDescent="0.25">
      <c r="A1046" t="s">
        <v>3393</v>
      </c>
      <c r="B1046" t="s">
        <v>3357</v>
      </c>
      <c r="C1046" s="1" t="s">
        <v>3394</v>
      </c>
      <c r="D1046" t="s">
        <v>21</v>
      </c>
      <c r="E1046" t="s">
        <v>22</v>
      </c>
      <c r="F1046" s="2">
        <v>81152.04</v>
      </c>
      <c r="G1046" s="1" t="s">
        <v>3395</v>
      </c>
      <c r="H1046" t="s">
        <v>1823</v>
      </c>
      <c r="I1046" t="s">
        <v>1219</v>
      </c>
      <c r="J1046">
        <v>5</v>
      </c>
      <c r="K1046" t="s">
        <v>26</v>
      </c>
      <c r="L1046" t="s">
        <v>3149</v>
      </c>
      <c r="M1046" t="s">
        <v>3085</v>
      </c>
      <c r="N1046" t="s">
        <v>1825</v>
      </c>
      <c r="O1046" t="s">
        <v>68</v>
      </c>
      <c r="P1046" t="s">
        <v>31</v>
      </c>
    </row>
    <row r="1047" spans="1:16" x14ac:dyDescent="0.25">
      <c r="A1047" t="s">
        <v>3396</v>
      </c>
      <c r="B1047" t="s">
        <v>3357</v>
      </c>
      <c r="C1047" s="1" t="s">
        <v>3397</v>
      </c>
      <c r="D1047" t="s">
        <v>21</v>
      </c>
      <c r="E1047" t="s">
        <v>22</v>
      </c>
      <c r="F1047" s="2">
        <v>83220.07</v>
      </c>
      <c r="G1047" s="1" t="s">
        <v>3398</v>
      </c>
      <c r="H1047" t="s">
        <v>1823</v>
      </c>
      <c r="I1047" t="s">
        <v>1219</v>
      </c>
      <c r="J1047">
        <v>5</v>
      </c>
      <c r="K1047" t="s">
        <v>26</v>
      </c>
      <c r="L1047" t="s">
        <v>3149</v>
      </c>
      <c r="M1047" t="s">
        <v>3085</v>
      </c>
      <c r="N1047" t="s">
        <v>1825</v>
      </c>
      <c r="O1047" t="s">
        <v>68</v>
      </c>
      <c r="P1047" t="s">
        <v>31</v>
      </c>
    </row>
    <row r="1048" spans="1:16" x14ac:dyDescent="0.25">
      <c r="A1048" t="s">
        <v>3399</v>
      </c>
      <c r="B1048" t="s">
        <v>3357</v>
      </c>
      <c r="C1048" s="1" t="s">
        <v>3400</v>
      </c>
      <c r="D1048" t="s">
        <v>21</v>
      </c>
      <c r="E1048" t="s">
        <v>22</v>
      </c>
      <c r="F1048" s="2">
        <v>61073.88</v>
      </c>
      <c r="G1048" s="1" t="s">
        <v>3401</v>
      </c>
      <c r="H1048" t="s">
        <v>1823</v>
      </c>
      <c r="I1048" t="s">
        <v>1219</v>
      </c>
      <c r="J1048">
        <v>5</v>
      </c>
      <c r="K1048" t="s">
        <v>26</v>
      </c>
      <c r="L1048" t="s">
        <v>3149</v>
      </c>
      <c r="M1048" t="s">
        <v>3085</v>
      </c>
      <c r="N1048" t="s">
        <v>1825</v>
      </c>
      <c r="O1048" t="s">
        <v>68</v>
      </c>
      <c r="P1048" t="s">
        <v>31</v>
      </c>
    </row>
    <row r="1049" spans="1:16" x14ac:dyDescent="0.25">
      <c r="A1049" t="s">
        <v>3402</v>
      </c>
      <c r="B1049" t="s">
        <v>3357</v>
      </c>
      <c r="C1049" s="1" t="s">
        <v>3403</v>
      </c>
      <c r="D1049" t="s">
        <v>21</v>
      </c>
      <c r="E1049" t="s">
        <v>22</v>
      </c>
      <c r="F1049" s="2">
        <v>60566.02</v>
      </c>
      <c r="G1049" s="1" t="s">
        <v>3404</v>
      </c>
      <c r="H1049" t="s">
        <v>1823</v>
      </c>
      <c r="I1049" t="s">
        <v>1219</v>
      </c>
      <c r="J1049">
        <v>5</v>
      </c>
      <c r="K1049" t="s">
        <v>26</v>
      </c>
      <c r="L1049" t="s">
        <v>3149</v>
      </c>
      <c r="M1049" t="s">
        <v>3085</v>
      </c>
      <c r="N1049" t="s">
        <v>1825</v>
      </c>
      <c r="O1049" t="s">
        <v>68</v>
      </c>
      <c r="P1049" t="s">
        <v>31</v>
      </c>
    </row>
    <row r="1050" spans="1:16" x14ac:dyDescent="0.25">
      <c r="A1050" t="s">
        <v>3405</v>
      </c>
      <c r="B1050" t="s">
        <v>3357</v>
      </c>
      <c r="C1050" s="1" t="s">
        <v>3406</v>
      </c>
      <c r="D1050" t="s">
        <v>63</v>
      </c>
      <c r="E1050" t="s">
        <v>64</v>
      </c>
      <c r="F1050" s="2">
        <v>644319.73</v>
      </c>
      <c r="G1050" s="1" t="s">
        <v>3407</v>
      </c>
      <c r="H1050" t="s">
        <v>1823</v>
      </c>
      <c r="I1050" t="s">
        <v>1219</v>
      </c>
      <c r="J1050">
        <v>10</v>
      </c>
      <c r="K1050" t="s">
        <v>26</v>
      </c>
      <c r="L1050" t="s">
        <v>3149</v>
      </c>
      <c r="M1050" t="s">
        <v>3085</v>
      </c>
      <c r="N1050" t="s">
        <v>1825</v>
      </c>
      <c r="O1050" t="s">
        <v>68</v>
      </c>
      <c r="P1050" t="s">
        <v>31</v>
      </c>
    </row>
    <row r="1051" spans="1:16" x14ac:dyDescent="0.25">
      <c r="A1051" t="s">
        <v>3408</v>
      </c>
      <c r="B1051" t="s">
        <v>3357</v>
      </c>
      <c r="C1051" s="1" t="s">
        <v>3409</v>
      </c>
      <c r="D1051" t="s">
        <v>42</v>
      </c>
      <c r="E1051" t="s">
        <v>43</v>
      </c>
      <c r="F1051" s="2">
        <v>43536.07</v>
      </c>
      <c r="G1051" s="1" t="s">
        <v>3410</v>
      </c>
      <c r="H1051" t="s">
        <v>1823</v>
      </c>
      <c r="I1051" t="s">
        <v>1219</v>
      </c>
      <c r="J1051">
        <v>6</v>
      </c>
      <c r="K1051" t="s">
        <v>26</v>
      </c>
      <c r="L1051" t="s">
        <v>3207</v>
      </c>
      <c r="M1051" t="s">
        <v>3085</v>
      </c>
      <c r="N1051" t="s">
        <v>1825</v>
      </c>
      <c r="O1051" t="s">
        <v>68</v>
      </c>
      <c r="P1051" t="s">
        <v>404</v>
      </c>
    </row>
    <row r="1052" spans="1:16" x14ac:dyDescent="0.25">
      <c r="A1052" t="s">
        <v>3411</v>
      </c>
      <c r="B1052" t="s">
        <v>3357</v>
      </c>
      <c r="C1052" s="1" t="s">
        <v>3412</v>
      </c>
      <c r="D1052" t="s">
        <v>42</v>
      </c>
      <c r="E1052" t="s">
        <v>43</v>
      </c>
      <c r="F1052" s="2">
        <v>51795.77</v>
      </c>
      <c r="G1052" s="1" t="s">
        <v>3413</v>
      </c>
      <c r="H1052" t="s">
        <v>1823</v>
      </c>
      <c r="I1052" t="s">
        <v>1219</v>
      </c>
      <c r="J1052">
        <v>5</v>
      </c>
      <c r="K1052" t="s">
        <v>26</v>
      </c>
      <c r="L1052" t="s">
        <v>3207</v>
      </c>
      <c r="M1052" t="s">
        <v>3085</v>
      </c>
      <c r="N1052" t="s">
        <v>1825</v>
      </c>
      <c r="O1052" t="s">
        <v>68</v>
      </c>
      <c r="P1052" t="s">
        <v>404</v>
      </c>
    </row>
    <row r="1053" spans="1:16" x14ac:dyDescent="0.25">
      <c r="A1053" t="s">
        <v>3414</v>
      </c>
      <c r="B1053" t="s">
        <v>3357</v>
      </c>
      <c r="C1053" s="1" t="s">
        <v>3415</v>
      </c>
      <c r="D1053" t="s">
        <v>21</v>
      </c>
      <c r="E1053" t="s">
        <v>22</v>
      </c>
      <c r="F1053" s="2">
        <v>72638.52</v>
      </c>
      <c r="G1053" s="1" t="s">
        <v>3416</v>
      </c>
      <c r="H1053" t="s">
        <v>1823</v>
      </c>
      <c r="I1053" t="s">
        <v>1219</v>
      </c>
      <c r="J1053">
        <v>5</v>
      </c>
      <c r="K1053" t="s">
        <v>26</v>
      </c>
      <c r="L1053" t="s">
        <v>3207</v>
      </c>
      <c r="M1053" t="s">
        <v>3085</v>
      </c>
      <c r="N1053" t="s">
        <v>1825</v>
      </c>
      <c r="O1053" t="s">
        <v>68</v>
      </c>
      <c r="P1053" t="s">
        <v>404</v>
      </c>
    </row>
    <row r="1054" spans="1:16" x14ac:dyDescent="0.25">
      <c r="A1054" t="s">
        <v>3417</v>
      </c>
      <c r="B1054" t="s">
        <v>3357</v>
      </c>
      <c r="C1054" s="1" t="s">
        <v>3418</v>
      </c>
      <c r="D1054" t="s">
        <v>21</v>
      </c>
      <c r="E1054" t="s">
        <v>22</v>
      </c>
      <c r="F1054" s="2">
        <v>75763.52</v>
      </c>
      <c r="G1054" s="1" t="s">
        <v>3419</v>
      </c>
      <c r="H1054" t="s">
        <v>1823</v>
      </c>
      <c r="I1054" t="s">
        <v>250</v>
      </c>
      <c r="J1054">
        <v>5</v>
      </c>
      <c r="K1054" t="s">
        <v>26</v>
      </c>
      <c r="L1054" t="s">
        <v>3235</v>
      </c>
      <c r="M1054" t="s">
        <v>3085</v>
      </c>
      <c r="N1054" t="s">
        <v>1825</v>
      </c>
      <c r="O1054" t="s">
        <v>252</v>
      </c>
      <c r="P1054" t="s">
        <v>404</v>
      </c>
    </row>
    <row r="1055" spans="1:16" x14ac:dyDescent="0.25">
      <c r="A1055" t="s">
        <v>3420</v>
      </c>
      <c r="B1055" t="s">
        <v>3421</v>
      </c>
      <c r="C1055" s="1" t="s">
        <v>3422</v>
      </c>
      <c r="D1055" t="s">
        <v>42</v>
      </c>
      <c r="E1055" t="s">
        <v>43</v>
      </c>
      <c r="F1055" s="2">
        <v>3074.77</v>
      </c>
      <c r="G1055" s="1" t="s">
        <v>3423</v>
      </c>
      <c r="H1055" t="s">
        <v>1823</v>
      </c>
      <c r="I1055" t="s">
        <v>1219</v>
      </c>
      <c r="J1055">
        <v>5</v>
      </c>
      <c r="K1055" t="s">
        <v>26</v>
      </c>
      <c r="L1055" t="s">
        <v>3149</v>
      </c>
      <c r="M1055" t="s">
        <v>3085</v>
      </c>
      <c r="N1055" t="s">
        <v>1825</v>
      </c>
      <c r="O1055" t="s">
        <v>68</v>
      </c>
      <c r="P1055" t="s">
        <v>31</v>
      </c>
    </row>
    <row r="1056" spans="1:16" x14ac:dyDescent="0.25">
      <c r="A1056" t="s">
        <v>3424</v>
      </c>
      <c r="B1056" t="s">
        <v>3421</v>
      </c>
      <c r="C1056" s="1" t="s">
        <v>3425</v>
      </c>
      <c r="D1056" t="s">
        <v>63</v>
      </c>
      <c r="E1056" t="s">
        <v>64</v>
      </c>
      <c r="F1056" s="2">
        <v>18763.41</v>
      </c>
      <c r="G1056" s="1" t="s">
        <v>3426</v>
      </c>
      <c r="H1056" t="s">
        <v>1823</v>
      </c>
      <c r="I1056" t="s">
        <v>1219</v>
      </c>
      <c r="J1056">
        <v>3</v>
      </c>
      <c r="K1056" t="s">
        <v>26</v>
      </c>
      <c r="L1056" t="s">
        <v>3149</v>
      </c>
      <c r="M1056" t="s">
        <v>3085</v>
      </c>
      <c r="N1056" t="s">
        <v>1825</v>
      </c>
      <c r="O1056" t="s">
        <v>68</v>
      </c>
      <c r="P1056" t="s">
        <v>31</v>
      </c>
    </row>
    <row r="1057" spans="1:16" x14ac:dyDescent="0.25">
      <c r="A1057" t="s">
        <v>3427</v>
      </c>
      <c r="B1057" t="s">
        <v>3421</v>
      </c>
      <c r="C1057" s="1" t="s">
        <v>3428</v>
      </c>
      <c r="D1057" t="s">
        <v>63</v>
      </c>
      <c r="E1057" t="s">
        <v>64</v>
      </c>
      <c r="F1057" s="2">
        <v>6539.39</v>
      </c>
      <c r="G1057" s="1" t="s">
        <v>3429</v>
      </c>
      <c r="H1057" t="s">
        <v>1823</v>
      </c>
      <c r="I1057" t="s">
        <v>1219</v>
      </c>
      <c r="J1057">
        <v>6</v>
      </c>
      <c r="K1057" t="s">
        <v>26</v>
      </c>
      <c r="L1057" t="s">
        <v>3149</v>
      </c>
      <c r="M1057" t="s">
        <v>3085</v>
      </c>
      <c r="N1057" t="s">
        <v>1825</v>
      </c>
      <c r="O1057" t="s">
        <v>68</v>
      </c>
      <c r="P1057" t="s">
        <v>31</v>
      </c>
    </row>
    <row r="1058" spans="1:16" x14ac:dyDescent="0.25">
      <c r="A1058" t="s">
        <v>3430</v>
      </c>
      <c r="B1058" t="s">
        <v>3421</v>
      </c>
      <c r="C1058" s="1" t="s">
        <v>3431</v>
      </c>
      <c r="D1058" t="s">
        <v>21</v>
      </c>
      <c r="E1058" t="s">
        <v>22</v>
      </c>
      <c r="F1058" s="2">
        <v>51709.5</v>
      </c>
      <c r="G1058" s="1" t="s">
        <v>3432</v>
      </c>
      <c r="H1058" t="s">
        <v>1823</v>
      </c>
      <c r="I1058" t="s">
        <v>1219</v>
      </c>
      <c r="J1058">
        <v>5</v>
      </c>
      <c r="K1058" t="s">
        <v>26</v>
      </c>
      <c r="L1058" t="s">
        <v>3149</v>
      </c>
      <c r="M1058" t="s">
        <v>3085</v>
      </c>
      <c r="N1058" t="s">
        <v>1825</v>
      </c>
      <c r="O1058" t="s">
        <v>68</v>
      </c>
      <c r="P1058" t="s">
        <v>31</v>
      </c>
    </row>
    <row r="1059" spans="1:16" x14ac:dyDescent="0.25">
      <c r="A1059" t="s">
        <v>3433</v>
      </c>
      <c r="B1059" t="s">
        <v>3421</v>
      </c>
      <c r="C1059" s="1" t="s">
        <v>3434</v>
      </c>
      <c r="D1059" t="s">
        <v>63</v>
      </c>
      <c r="E1059" t="s">
        <v>64</v>
      </c>
      <c r="F1059" s="2">
        <v>522397.19</v>
      </c>
      <c r="G1059" s="1" t="s">
        <v>3435</v>
      </c>
      <c r="H1059" t="s">
        <v>1823</v>
      </c>
      <c r="I1059" t="s">
        <v>1219</v>
      </c>
      <c r="J1059">
        <v>6</v>
      </c>
      <c r="K1059" t="s">
        <v>26</v>
      </c>
      <c r="L1059" t="s">
        <v>3149</v>
      </c>
      <c r="M1059" t="s">
        <v>3085</v>
      </c>
      <c r="N1059" t="s">
        <v>1825</v>
      </c>
      <c r="O1059" t="s">
        <v>68</v>
      </c>
      <c r="P1059" t="s">
        <v>31</v>
      </c>
    </row>
    <row r="1060" spans="1:16" x14ac:dyDescent="0.25">
      <c r="A1060" t="s">
        <v>3436</v>
      </c>
      <c r="B1060" t="s">
        <v>3421</v>
      </c>
      <c r="C1060" s="1" t="s">
        <v>3437</v>
      </c>
      <c r="D1060" t="s">
        <v>63</v>
      </c>
      <c r="E1060" t="s">
        <v>64</v>
      </c>
      <c r="F1060" s="2">
        <v>225587.71</v>
      </c>
      <c r="G1060" s="1" t="s">
        <v>3438</v>
      </c>
      <c r="H1060" t="s">
        <v>1823</v>
      </c>
      <c r="I1060" t="s">
        <v>1219</v>
      </c>
      <c r="J1060">
        <v>5</v>
      </c>
      <c r="K1060" t="s">
        <v>26</v>
      </c>
      <c r="L1060" t="s">
        <v>3149</v>
      </c>
      <c r="M1060" t="s">
        <v>3085</v>
      </c>
      <c r="N1060" t="s">
        <v>1825</v>
      </c>
      <c r="O1060" t="s">
        <v>68</v>
      </c>
      <c r="P1060" t="s">
        <v>31</v>
      </c>
    </row>
    <row r="1061" spans="1:16" x14ac:dyDescent="0.25">
      <c r="A1061" t="s">
        <v>3439</v>
      </c>
      <c r="B1061" t="s">
        <v>3421</v>
      </c>
      <c r="C1061" s="1" t="s">
        <v>3440</v>
      </c>
      <c r="D1061" t="s">
        <v>42</v>
      </c>
      <c r="E1061" t="s">
        <v>43</v>
      </c>
      <c r="F1061" s="2">
        <v>188559.22</v>
      </c>
      <c r="G1061" s="1" t="s">
        <v>3441</v>
      </c>
      <c r="H1061" t="s">
        <v>1823</v>
      </c>
      <c r="I1061" t="s">
        <v>250</v>
      </c>
      <c r="J1061">
        <v>9</v>
      </c>
      <c r="K1061" t="s">
        <v>26</v>
      </c>
      <c r="L1061" t="s">
        <v>3235</v>
      </c>
      <c r="M1061" t="s">
        <v>3085</v>
      </c>
      <c r="N1061" t="s">
        <v>1825</v>
      </c>
      <c r="O1061" t="s">
        <v>252</v>
      </c>
      <c r="P1061" t="s">
        <v>404</v>
      </c>
    </row>
    <row r="1062" spans="1:16" x14ac:dyDescent="0.25">
      <c r="A1062" t="s">
        <v>3442</v>
      </c>
      <c r="B1062" t="s">
        <v>3421</v>
      </c>
      <c r="C1062" s="1" t="s">
        <v>3443</v>
      </c>
      <c r="D1062" t="s">
        <v>63</v>
      </c>
      <c r="E1062" t="s">
        <v>64</v>
      </c>
      <c r="F1062" s="2">
        <v>234032.98</v>
      </c>
      <c r="G1062" s="1" t="s">
        <v>3444</v>
      </c>
      <c r="H1062" t="s">
        <v>1823</v>
      </c>
      <c r="I1062" t="s">
        <v>1219</v>
      </c>
      <c r="J1062">
        <v>4</v>
      </c>
      <c r="K1062" t="s">
        <v>26</v>
      </c>
      <c r="L1062" t="s">
        <v>3207</v>
      </c>
      <c r="M1062" t="s">
        <v>3085</v>
      </c>
      <c r="N1062" t="s">
        <v>1825</v>
      </c>
      <c r="O1062" t="s">
        <v>68</v>
      </c>
      <c r="P1062" t="s">
        <v>404</v>
      </c>
    </row>
    <row r="1063" spans="1:16" x14ac:dyDescent="0.25">
      <c r="A1063" t="s">
        <v>3445</v>
      </c>
      <c r="B1063" t="s">
        <v>3421</v>
      </c>
      <c r="C1063" s="1" t="s">
        <v>3446</v>
      </c>
      <c r="D1063" t="s">
        <v>63</v>
      </c>
      <c r="E1063" t="s">
        <v>64</v>
      </c>
      <c r="F1063" s="2">
        <v>141868.87</v>
      </c>
      <c r="G1063" s="1" t="s">
        <v>3447</v>
      </c>
      <c r="H1063" t="s">
        <v>1823</v>
      </c>
      <c r="I1063" t="s">
        <v>1219</v>
      </c>
      <c r="J1063">
        <v>4</v>
      </c>
      <c r="K1063" t="s">
        <v>26</v>
      </c>
      <c r="L1063" t="s">
        <v>3207</v>
      </c>
      <c r="M1063" t="s">
        <v>3085</v>
      </c>
      <c r="N1063" t="s">
        <v>1825</v>
      </c>
      <c r="O1063" t="s">
        <v>68</v>
      </c>
      <c r="P1063" t="s">
        <v>404</v>
      </c>
    </row>
    <row r="1064" spans="1:16" x14ac:dyDescent="0.25">
      <c r="A1064" t="s">
        <v>3448</v>
      </c>
      <c r="B1064" t="s">
        <v>3421</v>
      </c>
      <c r="C1064" s="1" t="s">
        <v>3449</v>
      </c>
      <c r="D1064" t="s">
        <v>63</v>
      </c>
      <c r="E1064" t="s">
        <v>64</v>
      </c>
      <c r="F1064" s="2">
        <v>350990.44</v>
      </c>
      <c r="G1064" s="1" t="s">
        <v>3450</v>
      </c>
      <c r="H1064" t="s">
        <v>1823</v>
      </c>
      <c r="I1064" t="s">
        <v>1219</v>
      </c>
      <c r="J1064">
        <v>6</v>
      </c>
      <c r="K1064" t="s">
        <v>26</v>
      </c>
      <c r="L1064" t="s">
        <v>3207</v>
      </c>
      <c r="M1064" t="s">
        <v>3085</v>
      </c>
      <c r="N1064" t="s">
        <v>1825</v>
      </c>
      <c r="O1064" t="s">
        <v>68</v>
      </c>
      <c r="P1064" t="s">
        <v>404</v>
      </c>
    </row>
    <row r="1065" spans="1:16" x14ac:dyDescent="0.25">
      <c r="A1065" t="s">
        <v>3451</v>
      </c>
      <c r="B1065" t="s">
        <v>3421</v>
      </c>
      <c r="C1065" s="1" t="s">
        <v>3452</v>
      </c>
      <c r="D1065" t="s">
        <v>63</v>
      </c>
      <c r="E1065" t="s">
        <v>64</v>
      </c>
      <c r="F1065" s="2">
        <v>341386.32</v>
      </c>
      <c r="G1065" s="1" t="s">
        <v>3453</v>
      </c>
      <c r="H1065" t="s">
        <v>1823</v>
      </c>
      <c r="I1065" t="s">
        <v>1219</v>
      </c>
      <c r="J1065">
        <v>6</v>
      </c>
      <c r="K1065" t="s">
        <v>26</v>
      </c>
      <c r="L1065" t="s">
        <v>3207</v>
      </c>
      <c r="M1065" t="s">
        <v>3085</v>
      </c>
      <c r="N1065" t="s">
        <v>1825</v>
      </c>
      <c r="O1065" t="s">
        <v>68</v>
      </c>
      <c r="P1065" t="s">
        <v>404</v>
      </c>
    </row>
    <row r="1066" spans="1:16" x14ac:dyDescent="0.25">
      <c r="A1066" t="s">
        <v>3454</v>
      </c>
      <c r="B1066" t="s">
        <v>3421</v>
      </c>
      <c r="C1066" s="1" t="s">
        <v>3455</v>
      </c>
      <c r="D1066" t="s">
        <v>63</v>
      </c>
      <c r="E1066" t="s">
        <v>64</v>
      </c>
      <c r="F1066" s="2">
        <v>370010.77</v>
      </c>
      <c r="G1066" s="1" t="s">
        <v>3456</v>
      </c>
      <c r="H1066" t="s">
        <v>1823</v>
      </c>
      <c r="I1066" t="s">
        <v>1219</v>
      </c>
      <c r="J1066">
        <v>6</v>
      </c>
      <c r="K1066" t="s">
        <v>26</v>
      </c>
      <c r="L1066" t="s">
        <v>3207</v>
      </c>
      <c r="M1066" t="s">
        <v>3085</v>
      </c>
      <c r="N1066" t="s">
        <v>1825</v>
      </c>
      <c r="O1066" t="s">
        <v>68</v>
      </c>
      <c r="P1066" t="s">
        <v>404</v>
      </c>
    </row>
    <row r="1067" spans="1:16" x14ac:dyDescent="0.25">
      <c r="A1067" t="s">
        <v>3457</v>
      </c>
      <c r="B1067" t="s">
        <v>3421</v>
      </c>
      <c r="C1067" s="1" t="s">
        <v>3458</v>
      </c>
      <c r="D1067" t="s">
        <v>63</v>
      </c>
      <c r="E1067" t="s">
        <v>64</v>
      </c>
      <c r="F1067" s="2">
        <v>8040.18</v>
      </c>
      <c r="G1067" s="1" t="s">
        <v>3459</v>
      </c>
      <c r="H1067" t="s">
        <v>1823</v>
      </c>
      <c r="I1067" t="s">
        <v>1219</v>
      </c>
      <c r="J1067">
        <v>7</v>
      </c>
      <c r="K1067" t="s">
        <v>26</v>
      </c>
      <c r="L1067" t="s">
        <v>3207</v>
      </c>
      <c r="M1067" t="s">
        <v>3085</v>
      </c>
      <c r="N1067" t="s">
        <v>1825</v>
      </c>
      <c r="O1067" t="s">
        <v>68</v>
      </c>
      <c r="P1067" t="s">
        <v>404</v>
      </c>
    </row>
    <row r="1068" spans="1:16" x14ac:dyDescent="0.25">
      <c r="A1068" t="s">
        <v>3460</v>
      </c>
      <c r="B1068" t="s">
        <v>3421</v>
      </c>
      <c r="C1068" s="1" t="s">
        <v>3461</v>
      </c>
      <c r="D1068" t="s">
        <v>63</v>
      </c>
      <c r="E1068" t="s">
        <v>64</v>
      </c>
      <c r="F1068" s="2">
        <v>489290.35</v>
      </c>
      <c r="G1068" s="1" t="s">
        <v>3462</v>
      </c>
      <c r="H1068" t="s">
        <v>1823</v>
      </c>
      <c r="I1068" t="s">
        <v>1219</v>
      </c>
      <c r="J1068">
        <v>5</v>
      </c>
      <c r="K1068" t="s">
        <v>26</v>
      </c>
      <c r="L1068" t="s">
        <v>3207</v>
      </c>
      <c r="M1068" t="s">
        <v>3085</v>
      </c>
      <c r="N1068" t="s">
        <v>1825</v>
      </c>
      <c r="O1068" t="s">
        <v>68</v>
      </c>
      <c r="P1068" t="s">
        <v>404</v>
      </c>
    </row>
    <row r="1069" spans="1:16" x14ac:dyDescent="0.25">
      <c r="A1069" t="s">
        <v>3463</v>
      </c>
      <c r="B1069" t="s">
        <v>3421</v>
      </c>
      <c r="C1069" s="1" t="s">
        <v>3464</v>
      </c>
      <c r="D1069" t="s">
        <v>63</v>
      </c>
      <c r="E1069" t="s">
        <v>64</v>
      </c>
      <c r="F1069" s="2">
        <v>245332.02</v>
      </c>
      <c r="G1069" s="1" t="s">
        <v>3465</v>
      </c>
      <c r="H1069" t="s">
        <v>1823</v>
      </c>
      <c r="I1069" t="s">
        <v>1219</v>
      </c>
      <c r="J1069">
        <v>5</v>
      </c>
      <c r="K1069" t="s">
        <v>26</v>
      </c>
      <c r="L1069" t="s">
        <v>3207</v>
      </c>
      <c r="M1069" t="s">
        <v>3085</v>
      </c>
      <c r="N1069" t="s">
        <v>1825</v>
      </c>
      <c r="O1069" t="s">
        <v>68</v>
      </c>
      <c r="P1069" t="s">
        <v>404</v>
      </c>
    </row>
    <row r="1070" spans="1:16" x14ac:dyDescent="0.25">
      <c r="A1070" t="s">
        <v>3466</v>
      </c>
      <c r="B1070" t="s">
        <v>3421</v>
      </c>
      <c r="C1070" s="1" t="s">
        <v>3467</v>
      </c>
      <c r="D1070" t="s">
        <v>63</v>
      </c>
      <c r="E1070" t="s">
        <v>64</v>
      </c>
      <c r="F1070" s="2">
        <v>317036.35</v>
      </c>
      <c r="G1070" s="1" t="s">
        <v>3468</v>
      </c>
      <c r="H1070" t="s">
        <v>1823</v>
      </c>
      <c r="I1070" t="s">
        <v>1219</v>
      </c>
      <c r="J1070">
        <v>5</v>
      </c>
      <c r="K1070" t="s">
        <v>26</v>
      </c>
      <c r="L1070" t="s">
        <v>3207</v>
      </c>
      <c r="M1070" t="s">
        <v>3085</v>
      </c>
      <c r="N1070" t="s">
        <v>1825</v>
      </c>
      <c r="O1070" t="s">
        <v>68</v>
      </c>
      <c r="P1070" t="s">
        <v>404</v>
      </c>
    </row>
    <row r="1071" spans="1:16" x14ac:dyDescent="0.25">
      <c r="A1071" t="s">
        <v>3469</v>
      </c>
      <c r="B1071" t="s">
        <v>3421</v>
      </c>
      <c r="C1071" s="1" t="s">
        <v>3470</v>
      </c>
      <c r="D1071" t="s">
        <v>42</v>
      </c>
      <c r="E1071" t="s">
        <v>43</v>
      </c>
      <c r="F1071" s="2">
        <v>2328.25</v>
      </c>
      <c r="G1071" s="1" t="s">
        <v>3471</v>
      </c>
      <c r="H1071" t="s">
        <v>1823</v>
      </c>
      <c r="I1071" t="s">
        <v>1219</v>
      </c>
      <c r="J1071">
        <v>8</v>
      </c>
      <c r="K1071" t="s">
        <v>26</v>
      </c>
      <c r="L1071" t="s">
        <v>3243</v>
      </c>
      <c r="M1071" t="s">
        <v>3085</v>
      </c>
      <c r="N1071" t="s">
        <v>1825</v>
      </c>
      <c r="O1071" t="s">
        <v>68</v>
      </c>
      <c r="P1071" t="s">
        <v>440</v>
      </c>
    </row>
    <row r="1072" spans="1:16" x14ac:dyDescent="0.25">
      <c r="A1072" t="s">
        <v>3472</v>
      </c>
      <c r="B1072" t="s">
        <v>3473</v>
      </c>
      <c r="C1072" s="1" t="s">
        <v>3474</v>
      </c>
      <c r="D1072" t="s">
        <v>34</v>
      </c>
      <c r="E1072" t="s">
        <v>35</v>
      </c>
      <c r="F1072" s="2">
        <v>1749674.79</v>
      </c>
      <c r="G1072" s="1" t="s">
        <v>3475</v>
      </c>
      <c r="H1072" t="s">
        <v>448</v>
      </c>
      <c r="I1072" t="s">
        <v>300</v>
      </c>
      <c r="J1072">
        <v>11</v>
      </c>
      <c r="K1072" t="s">
        <v>26</v>
      </c>
      <c r="L1072" t="s">
        <v>3476</v>
      </c>
      <c r="M1072" t="s">
        <v>3085</v>
      </c>
      <c r="N1072" t="s">
        <v>450</v>
      </c>
      <c r="O1072" t="s">
        <v>303</v>
      </c>
      <c r="P1072" t="s">
        <v>31</v>
      </c>
    </row>
    <row r="1073" spans="1:16" x14ac:dyDescent="0.25">
      <c r="A1073" t="s">
        <v>3477</v>
      </c>
      <c r="B1073" t="s">
        <v>3473</v>
      </c>
      <c r="C1073" s="1" t="s">
        <v>3478</v>
      </c>
      <c r="D1073" t="s">
        <v>34</v>
      </c>
      <c r="E1073" t="s">
        <v>35</v>
      </c>
      <c r="F1073" s="2">
        <v>1017236.07</v>
      </c>
      <c r="G1073" s="1" t="s">
        <v>3479</v>
      </c>
      <c r="H1073" t="s">
        <v>448</v>
      </c>
      <c r="I1073" t="s">
        <v>300</v>
      </c>
      <c r="J1073">
        <v>6</v>
      </c>
      <c r="K1073" t="s">
        <v>26</v>
      </c>
      <c r="L1073" t="s">
        <v>3476</v>
      </c>
      <c r="M1073" t="s">
        <v>3085</v>
      </c>
      <c r="N1073" t="s">
        <v>450</v>
      </c>
      <c r="O1073" t="s">
        <v>303</v>
      </c>
      <c r="P1073" t="s">
        <v>31</v>
      </c>
    </row>
    <row r="1074" spans="1:16" x14ac:dyDescent="0.25">
      <c r="A1074" t="s">
        <v>3480</v>
      </c>
      <c r="B1074" t="s">
        <v>3473</v>
      </c>
      <c r="C1074" s="1" t="s">
        <v>3481</v>
      </c>
      <c r="D1074" t="s">
        <v>34</v>
      </c>
      <c r="E1074" t="s">
        <v>35</v>
      </c>
      <c r="F1074" s="2">
        <v>890417.74</v>
      </c>
      <c r="G1074" s="1" t="s">
        <v>3482</v>
      </c>
      <c r="H1074" t="s">
        <v>448</v>
      </c>
      <c r="I1074" t="s">
        <v>300</v>
      </c>
      <c r="J1074">
        <v>6</v>
      </c>
      <c r="K1074" t="s">
        <v>26</v>
      </c>
      <c r="L1074" t="s">
        <v>3476</v>
      </c>
      <c r="M1074" t="s">
        <v>3085</v>
      </c>
      <c r="N1074" t="s">
        <v>450</v>
      </c>
      <c r="O1074" t="s">
        <v>303</v>
      </c>
      <c r="P1074" t="s">
        <v>31</v>
      </c>
    </row>
    <row r="1075" spans="1:16" x14ac:dyDescent="0.25">
      <c r="A1075" t="s">
        <v>3483</v>
      </c>
      <c r="B1075" t="s">
        <v>3473</v>
      </c>
      <c r="C1075" s="1" t="s">
        <v>3484</v>
      </c>
      <c r="D1075" t="s">
        <v>34</v>
      </c>
      <c r="E1075" t="s">
        <v>35</v>
      </c>
      <c r="F1075" s="2">
        <v>983390.23</v>
      </c>
      <c r="G1075" s="1" t="s">
        <v>3485</v>
      </c>
      <c r="H1075" t="s">
        <v>448</v>
      </c>
      <c r="I1075" t="s">
        <v>300</v>
      </c>
      <c r="J1075">
        <v>6</v>
      </c>
      <c r="K1075" t="s">
        <v>26</v>
      </c>
      <c r="L1075" t="s">
        <v>3476</v>
      </c>
      <c r="M1075" t="s">
        <v>3085</v>
      </c>
      <c r="N1075" t="s">
        <v>450</v>
      </c>
      <c r="O1075" t="s">
        <v>303</v>
      </c>
      <c r="P1075" t="s">
        <v>31</v>
      </c>
    </row>
    <row r="1076" spans="1:16" x14ac:dyDescent="0.25">
      <c r="A1076" t="s">
        <v>3486</v>
      </c>
      <c r="B1076" t="s">
        <v>3473</v>
      </c>
      <c r="C1076" s="1" t="s">
        <v>3487</v>
      </c>
      <c r="D1076" t="s">
        <v>34</v>
      </c>
      <c r="E1076" t="s">
        <v>35</v>
      </c>
      <c r="F1076" s="2">
        <v>695107.88</v>
      </c>
      <c r="G1076" s="1" t="s">
        <v>3488</v>
      </c>
      <c r="H1076" t="s">
        <v>448</v>
      </c>
      <c r="I1076" t="s">
        <v>1219</v>
      </c>
      <c r="J1076">
        <v>8</v>
      </c>
      <c r="K1076" t="s">
        <v>26</v>
      </c>
      <c r="L1076" t="s">
        <v>3489</v>
      </c>
      <c r="M1076" t="s">
        <v>3085</v>
      </c>
      <c r="N1076" t="s">
        <v>450</v>
      </c>
      <c r="O1076" t="s">
        <v>68</v>
      </c>
      <c r="P1076" t="s">
        <v>31</v>
      </c>
    </row>
    <row r="1077" spans="1:16" x14ac:dyDescent="0.25">
      <c r="A1077" t="s">
        <v>3490</v>
      </c>
      <c r="B1077" t="s">
        <v>3473</v>
      </c>
      <c r="C1077" s="1" t="s">
        <v>3491</v>
      </c>
      <c r="D1077" t="s">
        <v>42</v>
      </c>
      <c r="E1077" t="s">
        <v>43</v>
      </c>
      <c r="F1077" s="2">
        <v>12119.25</v>
      </c>
      <c r="G1077" s="1" t="s">
        <v>3492</v>
      </c>
      <c r="H1077" t="s">
        <v>448</v>
      </c>
      <c r="I1077" t="s">
        <v>555</v>
      </c>
      <c r="J1077">
        <v>5</v>
      </c>
      <c r="K1077" t="s">
        <v>26</v>
      </c>
      <c r="L1077" t="s">
        <v>3493</v>
      </c>
      <c r="M1077" t="s">
        <v>3085</v>
      </c>
      <c r="N1077" t="s">
        <v>450</v>
      </c>
      <c r="O1077" t="s">
        <v>47</v>
      </c>
      <c r="P1077" t="s">
        <v>31</v>
      </c>
    </row>
    <row r="1078" spans="1:16" x14ac:dyDescent="0.25">
      <c r="A1078" t="s">
        <v>3494</v>
      </c>
      <c r="B1078" t="s">
        <v>3473</v>
      </c>
      <c r="C1078" s="1" t="s">
        <v>3495</v>
      </c>
      <c r="D1078" t="s">
        <v>42</v>
      </c>
      <c r="E1078" t="s">
        <v>43</v>
      </c>
      <c r="F1078" s="2">
        <v>331577.11</v>
      </c>
      <c r="G1078" s="1" t="s">
        <v>3496</v>
      </c>
      <c r="H1078" t="s">
        <v>448</v>
      </c>
      <c r="I1078" t="s">
        <v>250</v>
      </c>
      <c r="J1078">
        <v>9</v>
      </c>
      <c r="K1078" t="s">
        <v>26</v>
      </c>
      <c r="L1078" t="s">
        <v>3497</v>
      </c>
      <c r="M1078" t="s">
        <v>3085</v>
      </c>
      <c r="N1078" t="s">
        <v>450</v>
      </c>
      <c r="O1078" t="s">
        <v>252</v>
      </c>
      <c r="P1078" t="s">
        <v>404</v>
      </c>
    </row>
    <row r="1079" spans="1:16" x14ac:dyDescent="0.25">
      <c r="A1079" t="s">
        <v>3498</v>
      </c>
      <c r="B1079" t="s">
        <v>3473</v>
      </c>
      <c r="C1079" s="1" t="s">
        <v>3499</v>
      </c>
      <c r="D1079" t="s">
        <v>21</v>
      </c>
      <c r="E1079" t="s">
        <v>22</v>
      </c>
      <c r="F1079" s="2">
        <v>331974.44</v>
      </c>
      <c r="G1079" s="1" t="s">
        <v>3500</v>
      </c>
      <c r="H1079" t="s">
        <v>448</v>
      </c>
      <c r="I1079" t="s">
        <v>1219</v>
      </c>
      <c r="J1079">
        <v>3</v>
      </c>
      <c r="K1079" t="s">
        <v>26</v>
      </c>
      <c r="L1079" t="s">
        <v>3501</v>
      </c>
      <c r="M1079" t="s">
        <v>3085</v>
      </c>
      <c r="N1079" t="s">
        <v>450</v>
      </c>
      <c r="O1079" t="s">
        <v>68</v>
      </c>
      <c r="P1079" t="s">
        <v>404</v>
      </c>
    </row>
    <row r="1080" spans="1:16" x14ac:dyDescent="0.25">
      <c r="A1080" t="s">
        <v>3502</v>
      </c>
      <c r="B1080" t="s">
        <v>3473</v>
      </c>
      <c r="C1080" s="1" t="s">
        <v>3503</v>
      </c>
      <c r="D1080" t="s">
        <v>42</v>
      </c>
      <c r="E1080" t="s">
        <v>43</v>
      </c>
      <c r="F1080" s="2">
        <v>25601.82</v>
      </c>
      <c r="G1080" s="1" t="s">
        <v>3504</v>
      </c>
      <c r="H1080" t="s">
        <v>448</v>
      </c>
      <c r="I1080" t="s">
        <v>308</v>
      </c>
      <c r="J1080">
        <v>5</v>
      </c>
      <c r="K1080" t="s">
        <v>26</v>
      </c>
      <c r="L1080" t="s">
        <v>3497</v>
      </c>
      <c r="M1080" t="s">
        <v>3085</v>
      </c>
      <c r="N1080" t="s">
        <v>450</v>
      </c>
      <c r="O1080" t="s">
        <v>252</v>
      </c>
      <c r="P1080" t="s">
        <v>404</v>
      </c>
    </row>
    <row r="1081" spans="1:16" x14ac:dyDescent="0.25">
      <c r="A1081" t="s">
        <v>3505</v>
      </c>
      <c r="B1081" t="s">
        <v>3473</v>
      </c>
      <c r="C1081" s="1" t="s">
        <v>3506</v>
      </c>
      <c r="D1081" t="s">
        <v>42</v>
      </c>
      <c r="E1081" t="s">
        <v>43</v>
      </c>
      <c r="F1081" s="2">
        <v>432582.97</v>
      </c>
      <c r="G1081" s="1" t="s">
        <v>3507</v>
      </c>
      <c r="H1081" t="s">
        <v>448</v>
      </c>
      <c r="I1081" t="s">
        <v>401</v>
      </c>
      <c r="J1081">
        <v>9</v>
      </c>
      <c r="K1081" t="s">
        <v>26</v>
      </c>
      <c r="L1081" t="s">
        <v>3508</v>
      </c>
      <c r="M1081" t="s">
        <v>3085</v>
      </c>
      <c r="N1081" t="s">
        <v>450</v>
      </c>
      <c r="O1081" t="s">
        <v>403</v>
      </c>
      <c r="P1081" t="s">
        <v>404</v>
      </c>
    </row>
    <row r="1082" spans="1:16" x14ac:dyDescent="0.25">
      <c r="A1082" t="s">
        <v>3509</v>
      </c>
      <c r="B1082" t="s">
        <v>3473</v>
      </c>
      <c r="C1082" s="1" t="s">
        <v>3510</v>
      </c>
      <c r="D1082" t="s">
        <v>231</v>
      </c>
      <c r="E1082" t="s">
        <v>232</v>
      </c>
      <c r="F1082" s="2">
        <v>4170.69</v>
      </c>
      <c r="G1082" s="1" t="s">
        <v>438</v>
      </c>
      <c r="H1082" t="s">
        <v>448</v>
      </c>
      <c r="I1082" t="s">
        <v>401</v>
      </c>
      <c r="J1082">
        <v>6</v>
      </c>
      <c r="K1082" t="s">
        <v>26</v>
      </c>
      <c r="L1082" t="s">
        <v>3511</v>
      </c>
      <c r="M1082" t="s">
        <v>3085</v>
      </c>
      <c r="N1082" t="s">
        <v>450</v>
      </c>
      <c r="O1082" t="s">
        <v>403</v>
      </c>
      <c r="P1082" t="s">
        <v>440</v>
      </c>
    </row>
    <row r="1083" spans="1:16" x14ac:dyDescent="0.25">
      <c r="A1083" t="s">
        <v>3512</v>
      </c>
      <c r="B1083" t="s">
        <v>3473</v>
      </c>
      <c r="C1083" s="1" t="s">
        <v>3513</v>
      </c>
      <c r="D1083" t="s">
        <v>231</v>
      </c>
      <c r="E1083" t="s">
        <v>232</v>
      </c>
      <c r="F1083" s="2">
        <v>4427.28</v>
      </c>
      <c r="G1083" s="1" t="s">
        <v>443</v>
      </c>
      <c r="H1083" t="s">
        <v>448</v>
      </c>
      <c r="I1083" t="s">
        <v>401</v>
      </c>
      <c r="J1083">
        <v>6</v>
      </c>
      <c r="K1083" t="s">
        <v>26</v>
      </c>
      <c r="L1083" t="s">
        <v>3511</v>
      </c>
      <c r="M1083" t="s">
        <v>3085</v>
      </c>
      <c r="N1083" t="s">
        <v>450</v>
      </c>
      <c r="O1083" t="s">
        <v>403</v>
      </c>
      <c r="P1083" t="s">
        <v>440</v>
      </c>
    </row>
    <row r="1084" spans="1:16" x14ac:dyDescent="0.25">
      <c r="A1084" t="s">
        <v>3514</v>
      </c>
      <c r="B1084" t="s">
        <v>3515</v>
      </c>
      <c r="C1084" s="1" t="s">
        <v>3516</v>
      </c>
      <c r="D1084" t="s">
        <v>3047</v>
      </c>
      <c r="E1084" t="s">
        <v>3048</v>
      </c>
      <c r="F1084" s="2">
        <v>628400</v>
      </c>
      <c r="G1084" s="1" t="s">
        <v>3517</v>
      </c>
      <c r="H1084" t="s">
        <v>1823</v>
      </c>
      <c r="I1084" t="s">
        <v>1219</v>
      </c>
      <c r="J1084">
        <v>1</v>
      </c>
      <c r="K1084" t="s">
        <v>26</v>
      </c>
      <c r="L1084" t="s">
        <v>3518</v>
      </c>
      <c r="M1084" t="s">
        <v>3085</v>
      </c>
      <c r="N1084" t="s">
        <v>1825</v>
      </c>
      <c r="O1084" t="s">
        <v>68</v>
      </c>
      <c r="P1084" t="s">
        <v>3055</v>
      </c>
    </row>
    <row r="1085" spans="1:16" x14ac:dyDescent="0.25">
      <c r="A1085" t="s">
        <v>3519</v>
      </c>
      <c r="B1085" t="s">
        <v>3515</v>
      </c>
      <c r="C1085" s="1" t="s">
        <v>3520</v>
      </c>
      <c r="D1085" t="s">
        <v>3047</v>
      </c>
      <c r="E1085" t="s">
        <v>3048</v>
      </c>
      <c r="F1085" s="2">
        <v>6086507.61</v>
      </c>
      <c r="G1085" s="1" t="s">
        <v>3521</v>
      </c>
      <c r="H1085" t="s">
        <v>1823</v>
      </c>
      <c r="I1085" t="s">
        <v>58</v>
      </c>
      <c r="J1085">
        <v>4</v>
      </c>
      <c r="K1085" t="s">
        <v>26</v>
      </c>
      <c r="L1085" t="s">
        <v>3153</v>
      </c>
      <c r="M1085" t="s">
        <v>3085</v>
      </c>
      <c r="N1085" t="s">
        <v>1825</v>
      </c>
      <c r="O1085" t="s">
        <v>60</v>
      </c>
      <c r="P1085" t="s">
        <v>31</v>
      </c>
    </row>
    <row r="1086" spans="1:16" x14ac:dyDescent="0.25">
      <c r="A1086" t="s">
        <v>3522</v>
      </c>
      <c r="B1086" t="s">
        <v>3515</v>
      </c>
      <c r="C1086" s="1" t="s">
        <v>3523</v>
      </c>
      <c r="D1086" t="s">
        <v>63</v>
      </c>
      <c r="E1086" t="s">
        <v>64</v>
      </c>
      <c r="F1086" s="2">
        <v>224058.23</v>
      </c>
      <c r="G1086" s="1" t="s">
        <v>3524</v>
      </c>
      <c r="H1086" t="s">
        <v>1823</v>
      </c>
      <c r="I1086" t="s">
        <v>25</v>
      </c>
      <c r="J1086">
        <v>2</v>
      </c>
      <c r="K1086" t="s">
        <v>26</v>
      </c>
      <c r="L1086" t="s">
        <v>3299</v>
      </c>
      <c r="M1086" t="s">
        <v>3085</v>
      </c>
      <c r="N1086" t="s">
        <v>1825</v>
      </c>
      <c r="O1086" t="s">
        <v>30</v>
      </c>
      <c r="P1086" t="s">
        <v>79</v>
      </c>
    </row>
    <row r="1087" spans="1:16" x14ac:dyDescent="0.25">
      <c r="A1087" t="s">
        <v>3525</v>
      </c>
      <c r="B1087" t="s">
        <v>3515</v>
      </c>
      <c r="C1087" s="1" t="s">
        <v>3526</v>
      </c>
      <c r="D1087" t="s">
        <v>42</v>
      </c>
      <c r="E1087" t="s">
        <v>43</v>
      </c>
      <c r="F1087" s="2">
        <v>5601.45</v>
      </c>
      <c r="G1087" s="1" t="s">
        <v>3527</v>
      </c>
      <c r="H1087" t="s">
        <v>1823</v>
      </c>
      <c r="I1087" t="s">
        <v>25</v>
      </c>
      <c r="J1087">
        <v>2</v>
      </c>
      <c r="K1087" t="s">
        <v>26</v>
      </c>
      <c r="L1087" t="s">
        <v>3299</v>
      </c>
      <c r="M1087" t="s">
        <v>3085</v>
      </c>
      <c r="N1087" t="s">
        <v>1825</v>
      </c>
      <c r="O1087" t="s">
        <v>30</v>
      </c>
      <c r="P1087" t="s">
        <v>79</v>
      </c>
    </row>
    <row r="1088" spans="1:16" x14ac:dyDescent="0.25">
      <c r="A1088" t="s">
        <v>3528</v>
      </c>
      <c r="B1088" t="s">
        <v>3515</v>
      </c>
      <c r="C1088" s="1" t="s">
        <v>3529</v>
      </c>
      <c r="D1088" t="s">
        <v>42</v>
      </c>
      <c r="E1088" t="s">
        <v>43</v>
      </c>
      <c r="F1088" s="2">
        <v>2800.73</v>
      </c>
      <c r="G1088" s="1" t="s">
        <v>3530</v>
      </c>
      <c r="H1088" t="s">
        <v>1823</v>
      </c>
      <c r="I1088" t="s">
        <v>25</v>
      </c>
      <c r="J1088">
        <v>2</v>
      </c>
      <c r="K1088" t="s">
        <v>26</v>
      </c>
      <c r="L1088" t="s">
        <v>3299</v>
      </c>
      <c r="M1088" t="s">
        <v>3085</v>
      </c>
      <c r="N1088" t="s">
        <v>1825</v>
      </c>
      <c r="O1088" t="s">
        <v>30</v>
      </c>
      <c r="P1088" t="s">
        <v>79</v>
      </c>
    </row>
    <row r="1089" spans="1:16" x14ac:dyDescent="0.25">
      <c r="A1089" t="s">
        <v>3531</v>
      </c>
      <c r="B1089" t="s">
        <v>3515</v>
      </c>
      <c r="C1089" s="1" t="s">
        <v>3532</v>
      </c>
      <c r="D1089" t="s">
        <v>3533</v>
      </c>
      <c r="E1089" t="s">
        <v>64</v>
      </c>
      <c r="F1089" s="2">
        <v>263604.5</v>
      </c>
      <c r="G1089" s="1" t="s">
        <v>3534</v>
      </c>
      <c r="H1089" t="s">
        <v>1823</v>
      </c>
      <c r="I1089" t="s">
        <v>25</v>
      </c>
      <c r="J1089">
        <v>2</v>
      </c>
      <c r="K1089" t="s">
        <v>26</v>
      </c>
      <c r="L1089" t="s">
        <v>3299</v>
      </c>
      <c r="M1089" t="s">
        <v>3085</v>
      </c>
      <c r="N1089" t="s">
        <v>1825</v>
      </c>
      <c r="O1089" t="s">
        <v>30</v>
      </c>
      <c r="P1089" t="s">
        <v>79</v>
      </c>
    </row>
    <row r="1090" spans="1:16" x14ac:dyDescent="0.25">
      <c r="A1090" t="s">
        <v>3535</v>
      </c>
      <c r="B1090" t="s">
        <v>3515</v>
      </c>
      <c r="C1090" s="1" t="s">
        <v>3536</v>
      </c>
      <c r="D1090" t="s">
        <v>3065</v>
      </c>
      <c r="E1090" t="s">
        <v>3066</v>
      </c>
      <c r="F1090" s="2">
        <v>485725.59</v>
      </c>
      <c r="G1090" s="1" t="s">
        <v>3537</v>
      </c>
      <c r="H1090" t="s">
        <v>1823</v>
      </c>
      <c r="I1090" t="s">
        <v>1219</v>
      </c>
      <c r="J1090">
        <v>4</v>
      </c>
      <c r="K1090" t="s">
        <v>26</v>
      </c>
      <c r="L1090" t="s">
        <v>3149</v>
      </c>
      <c r="M1090" t="s">
        <v>3085</v>
      </c>
      <c r="N1090" t="s">
        <v>1825</v>
      </c>
      <c r="O1090" t="s">
        <v>68</v>
      </c>
      <c r="P1090" t="s">
        <v>31</v>
      </c>
    </row>
    <row r="1091" spans="1:16" x14ac:dyDescent="0.25">
      <c r="A1091" t="s">
        <v>3538</v>
      </c>
      <c r="B1091" t="s">
        <v>3539</v>
      </c>
      <c r="C1091" s="1" t="s">
        <v>3540</v>
      </c>
      <c r="D1091" t="s">
        <v>34</v>
      </c>
      <c r="E1091" t="s">
        <v>35</v>
      </c>
      <c r="F1091" s="2">
        <v>4902.53</v>
      </c>
      <c r="G1091" s="1" t="s">
        <v>3541</v>
      </c>
      <c r="H1091" t="s">
        <v>24</v>
      </c>
      <c r="I1091" t="s">
        <v>37</v>
      </c>
      <c r="J1091">
        <v>2</v>
      </c>
      <c r="K1091" t="s">
        <v>26</v>
      </c>
      <c r="L1091" t="s">
        <v>3542</v>
      </c>
      <c r="M1091" t="s">
        <v>3085</v>
      </c>
      <c r="N1091" t="s">
        <v>29</v>
      </c>
      <c r="O1091" t="s">
        <v>39</v>
      </c>
      <c r="P1091" t="s">
        <v>31</v>
      </c>
    </row>
    <row r="1092" spans="1:16" x14ac:dyDescent="0.25">
      <c r="A1092" t="s">
        <v>3543</v>
      </c>
      <c r="B1092" t="s">
        <v>3539</v>
      </c>
      <c r="C1092" s="1" t="s">
        <v>3544</v>
      </c>
      <c r="D1092" t="s">
        <v>3545</v>
      </c>
      <c r="E1092" t="s">
        <v>3546</v>
      </c>
      <c r="F1092" s="2">
        <v>1325</v>
      </c>
      <c r="G1092" s="1" t="s">
        <v>3547</v>
      </c>
      <c r="H1092" t="s">
        <v>24</v>
      </c>
      <c r="I1092" t="s">
        <v>37</v>
      </c>
      <c r="J1092">
        <v>1</v>
      </c>
      <c r="K1092" t="s">
        <v>26</v>
      </c>
      <c r="L1092" t="s">
        <v>3542</v>
      </c>
      <c r="M1092" t="s">
        <v>3085</v>
      </c>
      <c r="N1092" t="s">
        <v>29</v>
      </c>
      <c r="O1092" t="s">
        <v>39</v>
      </c>
      <c r="P1092" t="s">
        <v>31</v>
      </c>
    </row>
    <row r="1093" spans="1:16" x14ac:dyDescent="0.25">
      <c r="A1093" t="s">
        <v>3548</v>
      </c>
      <c r="B1093" t="s">
        <v>3539</v>
      </c>
      <c r="C1093" s="1" t="s">
        <v>3549</v>
      </c>
      <c r="D1093" t="s">
        <v>3545</v>
      </c>
      <c r="E1093" t="s">
        <v>3546</v>
      </c>
      <c r="F1093" s="2">
        <v>1656.25</v>
      </c>
      <c r="G1093" s="1" t="s">
        <v>3550</v>
      </c>
      <c r="H1093" t="s">
        <v>24</v>
      </c>
      <c r="I1093" t="s">
        <v>37</v>
      </c>
      <c r="J1093">
        <v>1</v>
      </c>
      <c r="K1093" t="s">
        <v>26</v>
      </c>
      <c r="L1093" t="s">
        <v>3542</v>
      </c>
      <c r="M1093" t="s">
        <v>3085</v>
      </c>
      <c r="N1093" t="s">
        <v>29</v>
      </c>
      <c r="O1093" t="s">
        <v>39</v>
      </c>
      <c r="P1093" t="s">
        <v>31</v>
      </c>
    </row>
    <row r="1094" spans="1:16" x14ac:dyDescent="0.25">
      <c r="A1094" t="s">
        <v>3551</v>
      </c>
      <c r="B1094" t="s">
        <v>3539</v>
      </c>
      <c r="C1094" s="1" t="s">
        <v>3552</v>
      </c>
      <c r="D1094" t="s">
        <v>34</v>
      </c>
      <c r="E1094" t="s">
        <v>35</v>
      </c>
      <c r="F1094" s="2">
        <v>1656.25</v>
      </c>
      <c r="G1094" s="1" t="s">
        <v>3553</v>
      </c>
      <c r="H1094" t="s">
        <v>24</v>
      </c>
      <c r="I1094" t="s">
        <v>37</v>
      </c>
      <c r="J1094">
        <v>1</v>
      </c>
      <c r="K1094" t="s">
        <v>26</v>
      </c>
      <c r="L1094" t="s">
        <v>3542</v>
      </c>
      <c r="M1094" t="s">
        <v>3085</v>
      </c>
      <c r="N1094" t="s">
        <v>29</v>
      </c>
      <c r="O1094" t="s">
        <v>39</v>
      </c>
      <c r="P1094" t="s">
        <v>31</v>
      </c>
    </row>
    <row r="1095" spans="1:16" x14ac:dyDescent="0.25">
      <c r="A1095" t="s">
        <v>3554</v>
      </c>
      <c r="B1095" t="s">
        <v>3539</v>
      </c>
      <c r="C1095" s="1" t="s">
        <v>3555</v>
      </c>
      <c r="D1095" t="s">
        <v>3545</v>
      </c>
      <c r="E1095" t="s">
        <v>3546</v>
      </c>
      <c r="F1095" s="2">
        <v>1921.25</v>
      </c>
      <c r="G1095" s="1" t="s">
        <v>3556</v>
      </c>
      <c r="H1095" t="s">
        <v>24</v>
      </c>
      <c r="I1095" t="s">
        <v>37</v>
      </c>
      <c r="J1095">
        <v>1</v>
      </c>
      <c r="K1095" t="s">
        <v>26</v>
      </c>
      <c r="L1095" t="s">
        <v>3542</v>
      </c>
      <c r="M1095" t="s">
        <v>3085</v>
      </c>
      <c r="N1095" t="s">
        <v>29</v>
      </c>
      <c r="O1095" t="s">
        <v>39</v>
      </c>
      <c r="P1095" t="s">
        <v>31</v>
      </c>
    </row>
    <row r="1096" spans="1:16" x14ac:dyDescent="0.25">
      <c r="A1096" t="s">
        <v>3557</v>
      </c>
      <c r="B1096" t="s">
        <v>3539</v>
      </c>
      <c r="C1096" s="1" t="s">
        <v>3558</v>
      </c>
      <c r="D1096" t="s">
        <v>231</v>
      </c>
      <c r="E1096" t="s">
        <v>232</v>
      </c>
      <c r="F1096" s="2">
        <v>146.18</v>
      </c>
      <c r="G1096" s="1" t="s">
        <v>3559</v>
      </c>
      <c r="H1096" t="s">
        <v>24</v>
      </c>
      <c r="I1096" t="s">
        <v>37</v>
      </c>
      <c r="J1096">
        <v>1</v>
      </c>
      <c r="K1096" t="s">
        <v>26</v>
      </c>
      <c r="L1096" t="s">
        <v>3542</v>
      </c>
      <c r="M1096" t="s">
        <v>3085</v>
      </c>
      <c r="N1096" t="s">
        <v>29</v>
      </c>
      <c r="O1096" t="s">
        <v>39</v>
      </c>
      <c r="P1096" t="s">
        <v>31</v>
      </c>
    </row>
    <row r="1097" spans="1:16" x14ac:dyDescent="0.25">
      <c r="A1097" t="s">
        <v>3560</v>
      </c>
      <c r="B1097" t="s">
        <v>3561</v>
      </c>
      <c r="C1097" s="1" t="s">
        <v>3562</v>
      </c>
      <c r="D1097" t="s">
        <v>3563</v>
      </c>
      <c r="E1097" t="s">
        <v>3564</v>
      </c>
      <c r="F1097" s="2">
        <v>2244.25</v>
      </c>
      <c r="G1097" s="1" t="s">
        <v>3565</v>
      </c>
      <c r="H1097" t="s">
        <v>448</v>
      </c>
      <c r="I1097" t="s">
        <v>401</v>
      </c>
      <c r="J1097">
        <v>12</v>
      </c>
      <c r="K1097" t="s">
        <v>26</v>
      </c>
      <c r="L1097" t="s">
        <v>3566</v>
      </c>
      <c r="M1097" t="s">
        <v>3085</v>
      </c>
      <c r="N1097" t="s">
        <v>450</v>
      </c>
      <c r="O1097" t="s">
        <v>403</v>
      </c>
      <c r="P1097" t="s">
        <v>31</v>
      </c>
    </row>
    <row r="1098" spans="1:16" x14ac:dyDescent="0.25">
      <c r="A1098" t="s">
        <v>3567</v>
      </c>
      <c r="B1098" t="s">
        <v>3561</v>
      </c>
      <c r="C1098" s="1" t="s">
        <v>3568</v>
      </c>
      <c r="D1098" t="s">
        <v>3563</v>
      </c>
      <c r="E1098" t="s">
        <v>3564</v>
      </c>
      <c r="F1098" s="2">
        <v>501977.71</v>
      </c>
      <c r="G1098" s="1" t="s">
        <v>3569</v>
      </c>
      <c r="H1098" t="s">
        <v>448</v>
      </c>
      <c r="I1098" t="s">
        <v>401</v>
      </c>
      <c r="J1098">
        <v>19</v>
      </c>
      <c r="K1098" t="s">
        <v>26</v>
      </c>
      <c r="L1098" t="s">
        <v>3566</v>
      </c>
      <c r="M1098" t="s">
        <v>3085</v>
      </c>
      <c r="N1098" t="s">
        <v>450</v>
      </c>
      <c r="O1098" t="s">
        <v>403</v>
      </c>
      <c r="P1098" t="s">
        <v>31</v>
      </c>
    </row>
    <row r="1099" spans="1:16" x14ac:dyDescent="0.25">
      <c r="A1099" t="s">
        <v>3570</v>
      </c>
      <c r="B1099" t="s">
        <v>3561</v>
      </c>
      <c r="C1099" s="1" t="s">
        <v>3571</v>
      </c>
      <c r="D1099" t="s">
        <v>34</v>
      </c>
      <c r="E1099" t="s">
        <v>35</v>
      </c>
      <c r="F1099" s="2">
        <v>1506371.22</v>
      </c>
      <c r="G1099" s="1" t="s">
        <v>3572</v>
      </c>
      <c r="H1099" t="s">
        <v>448</v>
      </c>
      <c r="I1099" t="s">
        <v>1219</v>
      </c>
      <c r="J1099">
        <v>10</v>
      </c>
      <c r="K1099" t="s">
        <v>26</v>
      </c>
      <c r="L1099" t="s">
        <v>3489</v>
      </c>
      <c r="M1099" t="s">
        <v>3085</v>
      </c>
      <c r="N1099" t="s">
        <v>450</v>
      </c>
      <c r="O1099" t="s">
        <v>68</v>
      </c>
      <c r="P1099" t="s">
        <v>31</v>
      </c>
    </row>
    <row r="1100" spans="1:16" x14ac:dyDescent="0.25">
      <c r="A1100" t="s">
        <v>3573</v>
      </c>
      <c r="B1100" t="s">
        <v>3561</v>
      </c>
      <c r="C1100" s="1" t="s">
        <v>3574</v>
      </c>
      <c r="D1100" t="s">
        <v>34</v>
      </c>
      <c r="E1100" t="s">
        <v>35</v>
      </c>
      <c r="F1100" s="2">
        <v>522652.68</v>
      </c>
      <c r="G1100" s="1" t="s">
        <v>3575</v>
      </c>
      <c r="H1100" t="s">
        <v>448</v>
      </c>
      <c r="I1100" t="s">
        <v>1219</v>
      </c>
      <c r="J1100">
        <v>4</v>
      </c>
      <c r="K1100" t="s">
        <v>26</v>
      </c>
      <c r="L1100" t="s">
        <v>3489</v>
      </c>
      <c r="M1100" t="s">
        <v>3085</v>
      </c>
      <c r="N1100" t="s">
        <v>450</v>
      </c>
      <c r="O1100" t="s">
        <v>68</v>
      </c>
      <c r="P1100" t="s">
        <v>31</v>
      </c>
    </row>
    <row r="1101" spans="1:16" x14ac:dyDescent="0.25">
      <c r="A1101" t="s">
        <v>3576</v>
      </c>
      <c r="B1101" t="s">
        <v>3561</v>
      </c>
      <c r="C1101" s="1" t="s">
        <v>3577</v>
      </c>
      <c r="D1101" t="s">
        <v>42</v>
      </c>
      <c r="E1101" t="s">
        <v>43</v>
      </c>
      <c r="F1101" s="2">
        <v>232490</v>
      </c>
      <c r="G1101" s="1" t="s">
        <v>3578</v>
      </c>
      <c r="H1101" t="s">
        <v>448</v>
      </c>
      <c r="I1101" t="s">
        <v>1219</v>
      </c>
      <c r="J1101">
        <v>5</v>
      </c>
      <c r="K1101" t="s">
        <v>26</v>
      </c>
      <c r="L1101" t="s">
        <v>3489</v>
      </c>
      <c r="M1101" t="s">
        <v>3085</v>
      </c>
      <c r="N1101" t="s">
        <v>450</v>
      </c>
      <c r="O1101" t="s">
        <v>68</v>
      </c>
      <c r="P1101" t="s">
        <v>31</v>
      </c>
    </row>
    <row r="1102" spans="1:16" x14ac:dyDescent="0.25">
      <c r="A1102" t="s">
        <v>3579</v>
      </c>
      <c r="B1102" t="s">
        <v>3561</v>
      </c>
      <c r="C1102" s="1" t="s">
        <v>3580</v>
      </c>
      <c r="D1102" t="s">
        <v>42</v>
      </c>
      <c r="E1102" t="s">
        <v>43</v>
      </c>
      <c r="F1102" s="2">
        <v>37549.85</v>
      </c>
      <c r="G1102" s="1" t="s">
        <v>3581</v>
      </c>
      <c r="H1102" t="s">
        <v>448</v>
      </c>
      <c r="I1102" t="s">
        <v>45</v>
      </c>
      <c r="J1102">
        <v>7</v>
      </c>
      <c r="K1102" t="s">
        <v>26</v>
      </c>
      <c r="L1102" t="s">
        <v>3493</v>
      </c>
      <c r="M1102" t="s">
        <v>3085</v>
      </c>
      <c r="N1102" t="s">
        <v>450</v>
      </c>
      <c r="O1102" t="s">
        <v>47</v>
      </c>
      <c r="P1102" t="s">
        <v>31</v>
      </c>
    </row>
    <row r="1103" spans="1:16" x14ac:dyDescent="0.25">
      <c r="A1103" t="s">
        <v>3582</v>
      </c>
      <c r="B1103" t="s">
        <v>3561</v>
      </c>
      <c r="C1103" s="1" t="s">
        <v>1922</v>
      </c>
      <c r="D1103" t="s">
        <v>42</v>
      </c>
      <c r="E1103" t="s">
        <v>43</v>
      </c>
      <c r="F1103" s="2">
        <v>31266.08</v>
      </c>
      <c r="G1103" s="1" t="s">
        <v>1923</v>
      </c>
      <c r="H1103" t="s">
        <v>448</v>
      </c>
      <c r="I1103" t="s">
        <v>45</v>
      </c>
      <c r="J1103">
        <v>6</v>
      </c>
      <c r="K1103" t="s">
        <v>26</v>
      </c>
      <c r="L1103" t="s">
        <v>3493</v>
      </c>
      <c r="M1103" t="s">
        <v>3085</v>
      </c>
      <c r="N1103" t="s">
        <v>450</v>
      </c>
      <c r="O1103" t="s">
        <v>47</v>
      </c>
      <c r="P1103" t="s">
        <v>31</v>
      </c>
    </row>
    <row r="1104" spans="1:16" x14ac:dyDescent="0.25">
      <c r="A1104" t="s">
        <v>3583</v>
      </c>
      <c r="B1104" t="s">
        <v>3561</v>
      </c>
      <c r="C1104" s="1" t="s">
        <v>3584</v>
      </c>
      <c r="D1104" t="s">
        <v>42</v>
      </c>
      <c r="E1104" t="s">
        <v>43</v>
      </c>
      <c r="F1104" s="2">
        <v>45340.62</v>
      </c>
      <c r="G1104" s="1" t="s">
        <v>3585</v>
      </c>
      <c r="H1104" t="s">
        <v>448</v>
      </c>
      <c r="I1104" t="s">
        <v>45</v>
      </c>
      <c r="J1104">
        <v>5</v>
      </c>
      <c r="K1104" t="s">
        <v>26</v>
      </c>
      <c r="L1104" t="s">
        <v>3493</v>
      </c>
      <c r="M1104" t="s">
        <v>3085</v>
      </c>
      <c r="N1104" t="s">
        <v>450</v>
      </c>
      <c r="O1104" t="s">
        <v>47</v>
      </c>
      <c r="P1104" t="s">
        <v>31</v>
      </c>
    </row>
    <row r="1105" spans="1:16" x14ac:dyDescent="0.25">
      <c r="A1105" t="s">
        <v>3586</v>
      </c>
      <c r="B1105" t="s">
        <v>3561</v>
      </c>
      <c r="C1105" s="1" t="s">
        <v>3587</v>
      </c>
      <c r="D1105" t="s">
        <v>42</v>
      </c>
      <c r="E1105" t="s">
        <v>43</v>
      </c>
      <c r="F1105" s="2">
        <v>41795.16</v>
      </c>
      <c r="G1105" s="1" t="s">
        <v>3588</v>
      </c>
      <c r="H1105" t="s">
        <v>448</v>
      </c>
      <c r="I1105" t="s">
        <v>45</v>
      </c>
      <c r="J1105">
        <v>7</v>
      </c>
      <c r="K1105" t="s">
        <v>26</v>
      </c>
      <c r="L1105" t="s">
        <v>3493</v>
      </c>
      <c r="M1105" t="s">
        <v>3085</v>
      </c>
      <c r="N1105" t="s">
        <v>450</v>
      </c>
      <c r="O1105" t="s">
        <v>47</v>
      </c>
      <c r="P1105" t="s">
        <v>31</v>
      </c>
    </row>
    <row r="1106" spans="1:16" x14ac:dyDescent="0.25">
      <c r="A1106" t="s">
        <v>3589</v>
      </c>
      <c r="B1106" t="s">
        <v>3561</v>
      </c>
      <c r="C1106" s="1" t="s">
        <v>3590</v>
      </c>
      <c r="D1106" t="s">
        <v>42</v>
      </c>
      <c r="E1106" t="s">
        <v>43</v>
      </c>
      <c r="F1106" s="2">
        <v>13649.3</v>
      </c>
      <c r="G1106" s="1" t="s">
        <v>3591</v>
      </c>
      <c r="H1106" t="s">
        <v>448</v>
      </c>
      <c r="I1106" t="s">
        <v>308</v>
      </c>
      <c r="J1106">
        <v>4</v>
      </c>
      <c r="K1106" t="s">
        <v>26</v>
      </c>
      <c r="L1106" t="s">
        <v>3592</v>
      </c>
      <c r="M1106" t="s">
        <v>3085</v>
      </c>
      <c r="N1106" t="s">
        <v>450</v>
      </c>
      <c r="O1106" t="s">
        <v>252</v>
      </c>
      <c r="P1106" t="s">
        <v>31</v>
      </c>
    </row>
    <row r="1107" spans="1:16" x14ac:dyDescent="0.25">
      <c r="A1107" t="s">
        <v>3593</v>
      </c>
      <c r="B1107" t="s">
        <v>3561</v>
      </c>
      <c r="C1107" s="1" t="s">
        <v>3594</v>
      </c>
      <c r="D1107" t="s">
        <v>42</v>
      </c>
      <c r="E1107" t="s">
        <v>43</v>
      </c>
      <c r="F1107" s="2">
        <v>23198.05</v>
      </c>
      <c r="G1107" s="1" t="s">
        <v>3595</v>
      </c>
      <c r="H1107" t="s">
        <v>448</v>
      </c>
      <c r="I1107" t="s">
        <v>308</v>
      </c>
      <c r="J1107">
        <v>4</v>
      </c>
      <c r="K1107" t="s">
        <v>26</v>
      </c>
      <c r="L1107" t="s">
        <v>3592</v>
      </c>
      <c r="M1107" t="s">
        <v>3085</v>
      </c>
      <c r="N1107" t="s">
        <v>450</v>
      </c>
      <c r="O1107" t="s">
        <v>252</v>
      </c>
      <c r="P1107" t="s">
        <v>31</v>
      </c>
    </row>
    <row r="1108" spans="1:16" x14ac:dyDescent="0.25">
      <c r="A1108" t="s">
        <v>3596</v>
      </c>
      <c r="B1108" t="s">
        <v>3561</v>
      </c>
      <c r="C1108" s="1" t="s">
        <v>3597</v>
      </c>
      <c r="D1108" t="s">
        <v>42</v>
      </c>
      <c r="E1108" t="s">
        <v>43</v>
      </c>
      <c r="F1108" s="2">
        <v>35571</v>
      </c>
      <c r="G1108" s="1" t="s">
        <v>3598</v>
      </c>
      <c r="H1108" t="s">
        <v>448</v>
      </c>
      <c r="I1108" t="s">
        <v>308</v>
      </c>
      <c r="J1108">
        <v>4</v>
      </c>
      <c r="K1108" t="s">
        <v>26</v>
      </c>
      <c r="L1108" t="s">
        <v>3592</v>
      </c>
      <c r="M1108" t="s">
        <v>3085</v>
      </c>
      <c r="N1108" t="s">
        <v>450</v>
      </c>
      <c r="O1108" t="s">
        <v>252</v>
      </c>
      <c r="P1108" t="s">
        <v>31</v>
      </c>
    </row>
    <row r="1109" spans="1:16" x14ac:dyDescent="0.25">
      <c r="A1109" t="s">
        <v>3599</v>
      </c>
      <c r="B1109" t="s">
        <v>3561</v>
      </c>
      <c r="C1109" s="1" t="s">
        <v>3600</v>
      </c>
      <c r="D1109" t="s">
        <v>42</v>
      </c>
      <c r="E1109" t="s">
        <v>43</v>
      </c>
      <c r="F1109" s="2">
        <v>846842.57</v>
      </c>
      <c r="G1109" s="1" t="s">
        <v>3601</v>
      </c>
      <c r="H1109" t="s">
        <v>448</v>
      </c>
      <c r="I1109" t="s">
        <v>1219</v>
      </c>
      <c r="J1109">
        <v>15</v>
      </c>
      <c r="K1109" t="s">
        <v>26</v>
      </c>
      <c r="L1109" t="s">
        <v>3489</v>
      </c>
      <c r="M1109" t="s">
        <v>3085</v>
      </c>
      <c r="N1109" t="s">
        <v>450</v>
      </c>
      <c r="O1109" t="s">
        <v>68</v>
      </c>
      <c r="P1109" t="s">
        <v>31</v>
      </c>
    </row>
    <row r="1110" spans="1:16" x14ac:dyDescent="0.25">
      <c r="A1110" t="s">
        <v>3602</v>
      </c>
      <c r="B1110" t="s">
        <v>3561</v>
      </c>
      <c r="C1110" s="1" t="s">
        <v>3603</v>
      </c>
      <c r="D1110" t="s">
        <v>42</v>
      </c>
      <c r="E1110" t="s">
        <v>43</v>
      </c>
      <c r="F1110" s="2">
        <v>4215.74</v>
      </c>
      <c r="G1110" s="1" t="s">
        <v>3604</v>
      </c>
      <c r="H1110" t="s">
        <v>448</v>
      </c>
      <c r="I1110" t="s">
        <v>1219</v>
      </c>
      <c r="J1110">
        <v>4</v>
      </c>
      <c r="K1110" t="s">
        <v>26</v>
      </c>
      <c r="L1110" t="s">
        <v>3489</v>
      </c>
      <c r="M1110" t="s">
        <v>3085</v>
      </c>
      <c r="N1110" t="s">
        <v>450</v>
      </c>
      <c r="O1110" t="s">
        <v>68</v>
      </c>
      <c r="P1110" t="s">
        <v>31</v>
      </c>
    </row>
    <row r="1111" spans="1:16" x14ac:dyDescent="0.25">
      <c r="A1111" t="s">
        <v>3605</v>
      </c>
      <c r="B1111" t="s">
        <v>3561</v>
      </c>
      <c r="C1111" s="1" t="s">
        <v>3606</v>
      </c>
      <c r="D1111" t="s">
        <v>34</v>
      </c>
      <c r="E1111" t="s">
        <v>35</v>
      </c>
      <c r="F1111" s="2">
        <v>368860.2</v>
      </c>
      <c r="G1111" s="1" t="s">
        <v>3607</v>
      </c>
      <c r="H1111" t="s">
        <v>448</v>
      </c>
      <c r="I1111" t="s">
        <v>25</v>
      </c>
      <c r="J1111">
        <v>7</v>
      </c>
      <c r="K1111" t="s">
        <v>26</v>
      </c>
      <c r="L1111" t="s">
        <v>3608</v>
      </c>
      <c r="M1111" t="s">
        <v>3085</v>
      </c>
      <c r="N1111" t="s">
        <v>450</v>
      </c>
      <c r="O1111" t="s">
        <v>30</v>
      </c>
      <c r="P1111" t="s">
        <v>79</v>
      </c>
    </row>
    <row r="1112" spans="1:16" x14ac:dyDescent="0.25">
      <c r="A1112" t="s">
        <v>3609</v>
      </c>
      <c r="B1112" t="s">
        <v>3561</v>
      </c>
      <c r="C1112" s="1" t="s">
        <v>3610</v>
      </c>
      <c r="D1112" t="s">
        <v>21</v>
      </c>
      <c r="E1112" t="s">
        <v>22</v>
      </c>
      <c r="F1112" s="2">
        <v>212974.22</v>
      </c>
      <c r="G1112" s="1" t="s">
        <v>3611</v>
      </c>
      <c r="H1112" t="s">
        <v>448</v>
      </c>
      <c r="I1112" t="s">
        <v>25</v>
      </c>
      <c r="J1112">
        <v>10</v>
      </c>
      <c r="K1112" t="s">
        <v>3612</v>
      </c>
      <c r="L1112" t="s">
        <v>3608</v>
      </c>
      <c r="M1112" t="s">
        <v>3085</v>
      </c>
      <c r="N1112" t="s">
        <v>450</v>
      </c>
      <c r="O1112" t="s">
        <v>30</v>
      </c>
      <c r="P1112" t="s">
        <v>79</v>
      </c>
    </row>
    <row r="1113" spans="1:16" x14ac:dyDescent="0.25">
      <c r="A1113" t="s">
        <v>3613</v>
      </c>
      <c r="B1113" t="s">
        <v>3561</v>
      </c>
      <c r="C1113" s="1" t="s">
        <v>3614</v>
      </c>
      <c r="D1113" t="s">
        <v>21</v>
      </c>
      <c r="E1113" t="s">
        <v>22</v>
      </c>
      <c r="F1113" s="2">
        <v>17512.44</v>
      </c>
      <c r="G1113" s="1" t="s">
        <v>3615</v>
      </c>
      <c r="H1113" t="s">
        <v>448</v>
      </c>
      <c r="I1113" t="s">
        <v>25</v>
      </c>
      <c r="J1113">
        <v>4</v>
      </c>
      <c r="K1113" t="s">
        <v>26</v>
      </c>
      <c r="L1113" t="s">
        <v>3608</v>
      </c>
      <c r="M1113" t="s">
        <v>3085</v>
      </c>
      <c r="N1113" t="s">
        <v>450</v>
      </c>
      <c r="O1113" t="s">
        <v>30</v>
      </c>
      <c r="P1113" t="s">
        <v>79</v>
      </c>
    </row>
    <row r="1114" spans="1:16" x14ac:dyDescent="0.25">
      <c r="A1114" t="s">
        <v>3616</v>
      </c>
      <c r="B1114" t="s">
        <v>3561</v>
      </c>
      <c r="C1114" s="1" t="s">
        <v>3617</v>
      </c>
      <c r="D1114" t="s">
        <v>63</v>
      </c>
      <c r="E1114" t="s">
        <v>64</v>
      </c>
      <c r="F1114" s="2">
        <v>46423.31</v>
      </c>
      <c r="G1114" s="1" t="s">
        <v>3618</v>
      </c>
      <c r="H1114" t="s">
        <v>448</v>
      </c>
      <c r="I1114" t="s">
        <v>25</v>
      </c>
      <c r="J1114">
        <v>4</v>
      </c>
      <c r="K1114" t="s">
        <v>26</v>
      </c>
      <c r="L1114" t="s">
        <v>3608</v>
      </c>
      <c r="M1114" t="s">
        <v>3085</v>
      </c>
      <c r="N1114" t="s">
        <v>450</v>
      </c>
      <c r="O1114" t="s">
        <v>30</v>
      </c>
      <c r="P1114" t="s">
        <v>79</v>
      </c>
    </row>
    <row r="1115" spans="1:16" x14ac:dyDescent="0.25">
      <c r="A1115" t="s">
        <v>3619</v>
      </c>
      <c r="B1115" t="s">
        <v>3561</v>
      </c>
      <c r="C1115" s="1" t="s">
        <v>3620</v>
      </c>
      <c r="D1115" t="s">
        <v>21</v>
      </c>
      <c r="E1115" t="s">
        <v>22</v>
      </c>
      <c r="F1115" s="2">
        <v>17748.23</v>
      </c>
      <c r="G1115" s="1" t="s">
        <v>3621</v>
      </c>
      <c r="H1115" t="s">
        <v>448</v>
      </c>
      <c r="I1115" t="s">
        <v>1219</v>
      </c>
      <c r="J1115">
        <v>6</v>
      </c>
      <c r="K1115" t="s">
        <v>26</v>
      </c>
      <c r="L1115" t="s">
        <v>3489</v>
      </c>
      <c r="M1115" t="s">
        <v>3085</v>
      </c>
      <c r="N1115" t="s">
        <v>450</v>
      </c>
      <c r="O1115" t="s">
        <v>68</v>
      </c>
      <c r="P1115" t="s">
        <v>31</v>
      </c>
    </row>
    <row r="1116" spans="1:16" x14ac:dyDescent="0.25">
      <c r="A1116" t="s">
        <v>3622</v>
      </c>
      <c r="B1116" t="s">
        <v>3561</v>
      </c>
      <c r="C1116" s="1" t="s">
        <v>3623</v>
      </c>
      <c r="D1116" t="s">
        <v>21</v>
      </c>
      <c r="E1116" t="s">
        <v>22</v>
      </c>
      <c r="F1116" s="2">
        <v>31983.47</v>
      </c>
      <c r="G1116" s="1" t="s">
        <v>3624</v>
      </c>
      <c r="H1116" t="s">
        <v>448</v>
      </c>
      <c r="I1116" t="s">
        <v>1219</v>
      </c>
      <c r="J1116">
        <v>6</v>
      </c>
      <c r="K1116" t="s">
        <v>26</v>
      </c>
      <c r="L1116" t="s">
        <v>3489</v>
      </c>
      <c r="M1116" t="s">
        <v>3085</v>
      </c>
      <c r="N1116" t="s">
        <v>450</v>
      </c>
      <c r="O1116" t="s">
        <v>68</v>
      </c>
      <c r="P1116" t="s">
        <v>31</v>
      </c>
    </row>
    <row r="1117" spans="1:16" x14ac:dyDescent="0.25">
      <c r="A1117" t="s">
        <v>3625</v>
      </c>
      <c r="B1117" t="s">
        <v>3561</v>
      </c>
      <c r="C1117" s="1" t="s">
        <v>3626</v>
      </c>
      <c r="D1117" t="s">
        <v>231</v>
      </c>
      <c r="E1117" t="s">
        <v>232</v>
      </c>
      <c r="F1117" s="2">
        <v>17935.72</v>
      </c>
      <c r="G1117" s="1" t="s">
        <v>3627</v>
      </c>
      <c r="H1117" t="s">
        <v>448</v>
      </c>
      <c r="I1117" t="s">
        <v>37</v>
      </c>
      <c r="J1117">
        <v>14</v>
      </c>
      <c r="K1117" t="s">
        <v>26</v>
      </c>
      <c r="L1117" t="s">
        <v>3628</v>
      </c>
      <c r="M1117" t="s">
        <v>3085</v>
      </c>
      <c r="N1117" t="s">
        <v>450</v>
      </c>
      <c r="O1117" t="s">
        <v>39</v>
      </c>
      <c r="P1117" t="s">
        <v>440</v>
      </c>
    </row>
    <row r="1118" spans="1:16" x14ac:dyDescent="0.25">
      <c r="A1118" t="s">
        <v>3629</v>
      </c>
      <c r="B1118" t="s">
        <v>3561</v>
      </c>
      <c r="C1118" s="1" t="s">
        <v>3630</v>
      </c>
      <c r="D1118" t="s">
        <v>21</v>
      </c>
      <c r="E1118" t="s">
        <v>22</v>
      </c>
      <c r="F1118" s="2">
        <v>56808.21</v>
      </c>
      <c r="G1118" s="1" t="s">
        <v>3631</v>
      </c>
      <c r="H1118" t="s">
        <v>448</v>
      </c>
      <c r="I1118" t="s">
        <v>1219</v>
      </c>
      <c r="J1118">
        <v>3</v>
      </c>
      <c r="K1118" t="s">
        <v>26</v>
      </c>
      <c r="L1118" t="s">
        <v>3489</v>
      </c>
      <c r="M1118" t="s">
        <v>3085</v>
      </c>
      <c r="N1118" t="s">
        <v>450</v>
      </c>
      <c r="O1118" t="s">
        <v>68</v>
      </c>
      <c r="P1118" t="s">
        <v>31</v>
      </c>
    </row>
    <row r="1119" spans="1:16" x14ac:dyDescent="0.25">
      <c r="A1119" t="s">
        <v>3632</v>
      </c>
      <c r="B1119" t="s">
        <v>3561</v>
      </c>
      <c r="C1119" s="1" t="s">
        <v>3633</v>
      </c>
      <c r="D1119" t="s">
        <v>231</v>
      </c>
      <c r="E1119" t="s">
        <v>232</v>
      </c>
      <c r="F1119" s="2">
        <v>4706</v>
      </c>
      <c r="G1119" s="1" t="s">
        <v>3634</v>
      </c>
      <c r="H1119" t="s">
        <v>448</v>
      </c>
      <c r="I1119" t="s">
        <v>401</v>
      </c>
      <c r="J1119">
        <v>5</v>
      </c>
      <c r="K1119" t="s">
        <v>26</v>
      </c>
      <c r="L1119" t="s">
        <v>3566</v>
      </c>
      <c r="M1119" t="s">
        <v>3085</v>
      </c>
      <c r="N1119" t="s">
        <v>450</v>
      </c>
      <c r="O1119" t="s">
        <v>403</v>
      </c>
      <c r="P1119" t="s">
        <v>31</v>
      </c>
    </row>
    <row r="1120" spans="1:16" x14ac:dyDescent="0.25">
      <c r="A1120" t="s">
        <v>3635</v>
      </c>
      <c r="B1120" t="s">
        <v>3561</v>
      </c>
      <c r="C1120" s="1" t="s">
        <v>3636</v>
      </c>
      <c r="D1120" t="s">
        <v>231</v>
      </c>
      <c r="E1120" t="s">
        <v>232</v>
      </c>
      <c r="F1120" s="2">
        <v>4825.37</v>
      </c>
      <c r="G1120" s="1" t="s">
        <v>3637</v>
      </c>
      <c r="H1120" t="s">
        <v>448</v>
      </c>
      <c r="I1120" t="s">
        <v>401</v>
      </c>
      <c r="J1120">
        <v>5</v>
      </c>
      <c r="K1120" t="s">
        <v>26</v>
      </c>
      <c r="L1120" t="s">
        <v>3566</v>
      </c>
      <c r="M1120" t="s">
        <v>3085</v>
      </c>
      <c r="N1120" t="s">
        <v>450</v>
      </c>
      <c r="O1120" t="s">
        <v>403</v>
      </c>
      <c r="P1120" t="s">
        <v>31</v>
      </c>
    </row>
    <row r="1121" spans="1:16" x14ac:dyDescent="0.25">
      <c r="A1121" t="s">
        <v>3638</v>
      </c>
      <c r="B1121" t="s">
        <v>3561</v>
      </c>
      <c r="C1121" s="1" t="s">
        <v>3639</v>
      </c>
      <c r="D1121" t="s">
        <v>231</v>
      </c>
      <c r="E1121" t="s">
        <v>232</v>
      </c>
      <c r="F1121" s="2">
        <v>4668.59</v>
      </c>
      <c r="G1121" s="1" t="s">
        <v>3640</v>
      </c>
      <c r="H1121" t="s">
        <v>448</v>
      </c>
      <c r="I1121" t="s">
        <v>401</v>
      </c>
      <c r="J1121">
        <v>5</v>
      </c>
      <c r="K1121" t="s">
        <v>26</v>
      </c>
      <c r="L1121" t="s">
        <v>3566</v>
      </c>
      <c r="M1121" t="s">
        <v>3085</v>
      </c>
      <c r="N1121" t="s">
        <v>450</v>
      </c>
      <c r="O1121" t="s">
        <v>403</v>
      </c>
      <c r="P1121" t="s">
        <v>31</v>
      </c>
    </row>
    <row r="1122" spans="1:16" x14ac:dyDescent="0.25">
      <c r="A1122" t="s">
        <v>3641</v>
      </c>
      <c r="B1122" t="s">
        <v>3561</v>
      </c>
      <c r="C1122" s="1" t="s">
        <v>3642</v>
      </c>
      <c r="D1122" t="s">
        <v>231</v>
      </c>
      <c r="E1122" t="s">
        <v>232</v>
      </c>
      <c r="F1122" s="2">
        <v>4671.59</v>
      </c>
      <c r="G1122" s="1" t="s">
        <v>3643</v>
      </c>
      <c r="H1122" t="s">
        <v>448</v>
      </c>
      <c r="I1122" t="s">
        <v>401</v>
      </c>
      <c r="J1122">
        <v>5</v>
      </c>
      <c r="K1122" t="s">
        <v>26</v>
      </c>
      <c r="L1122" t="s">
        <v>3566</v>
      </c>
      <c r="M1122" t="s">
        <v>3085</v>
      </c>
      <c r="N1122" t="s">
        <v>450</v>
      </c>
      <c r="O1122" t="s">
        <v>403</v>
      </c>
      <c r="P1122" t="s">
        <v>31</v>
      </c>
    </row>
    <row r="1123" spans="1:16" x14ac:dyDescent="0.25">
      <c r="A1123" t="s">
        <v>3644</v>
      </c>
      <c r="B1123" t="s">
        <v>3561</v>
      </c>
      <c r="C1123" s="1" t="s">
        <v>3645</v>
      </c>
      <c r="D1123" t="s">
        <v>231</v>
      </c>
      <c r="E1123" t="s">
        <v>232</v>
      </c>
      <c r="F1123" s="2">
        <v>4713.69</v>
      </c>
      <c r="G1123" s="1" t="s">
        <v>3646</v>
      </c>
      <c r="H1123" t="s">
        <v>448</v>
      </c>
      <c r="I1123" t="s">
        <v>401</v>
      </c>
      <c r="J1123">
        <v>5</v>
      </c>
      <c r="K1123" t="s">
        <v>26</v>
      </c>
      <c r="L1123" t="s">
        <v>3566</v>
      </c>
      <c r="M1123" t="s">
        <v>3085</v>
      </c>
      <c r="N1123" t="s">
        <v>450</v>
      </c>
      <c r="O1123" t="s">
        <v>403</v>
      </c>
      <c r="P1123" t="s">
        <v>31</v>
      </c>
    </row>
    <row r="1124" spans="1:16" x14ac:dyDescent="0.25">
      <c r="A1124" t="s">
        <v>3647</v>
      </c>
      <c r="B1124" t="s">
        <v>3561</v>
      </c>
      <c r="C1124" s="1" t="s">
        <v>3648</v>
      </c>
      <c r="D1124" t="s">
        <v>231</v>
      </c>
      <c r="E1124" t="s">
        <v>232</v>
      </c>
      <c r="F1124" s="2">
        <v>4578.43</v>
      </c>
      <c r="G1124" s="1" t="s">
        <v>3649</v>
      </c>
      <c r="H1124" t="s">
        <v>448</v>
      </c>
      <c r="I1124" t="s">
        <v>401</v>
      </c>
      <c r="J1124">
        <v>5</v>
      </c>
      <c r="K1124" t="s">
        <v>26</v>
      </c>
      <c r="L1124" t="s">
        <v>3566</v>
      </c>
      <c r="M1124" t="s">
        <v>3085</v>
      </c>
      <c r="N1124" t="s">
        <v>450</v>
      </c>
      <c r="O1124" t="s">
        <v>403</v>
      </c>
      <c r="P1124" t="s">
        <v>31</v>
      </c>
    </row>
    <row r="1125" spans="1:16" x14ac:dyDescent="0.25">
      <c r="A1125" t="s">
        <v>3650</v>
      </c>
      <c r="B1125" t="s">
        <v>3561</v>
      </c>
      <c r="C1125" s="1" t="s">
        <v>3651</v>
      </c>
      <c r="D1125" t="s">
        <v>231</v>
      </c>
      <c r="E1125" t="s">
        <v>232</v>
      </c>
      <c r="F1125" s="2">
        <v>4578.43</v>
      </c>
      <c r="G1125" s="1" t="s">
        <v>3649</v>
      </c>
      <c r="H1125" t="s">
        <v>448</v>
      </c>
      <c r="I1125" t="s">
        <v>401</v>
      </c>
      <c r="J1125">
        <v>5</v>
      </c>
      <c r="K1125" t="s">
        <v>26</v>
      </c>
      <c r="L1125" t="s">
        <v>3566</v>
      </c>
      <c r="M1125" t="s">
        <v>3085</v>
      </c>
      <c r="N1125" t="s">
        <v>450</v>
      </c>
      <c r="O1125" t="s">
        <v>403</v>
      </c>
      <c r="P1125" t="s">
        <v>31</v>
      </c>
    </row>
    <row r="1126" spans="1:16" x14ac:dyDescent="0.25">
      <c r="A1126" t="s">
        <v>3652</v>
      </c>
      <c r="B1126" t="s">
        <v>3561</v>
      </c>
      <c r="C1126" s="1" t="s">
        <v>3653</v>
      </c>
      <c r="D1126" t="s">
        <v>42</v>
      </c>
      <c r="E1126" t="s">
        <v>43</v>
      </c>
      <c r="F1126" s="2">
        <v>317027.35</v>
      </c>
      <c r="G1126" s="1" t="s">
        <v>3654</v>
      </c>
      <c r="H1126" t="s">
        <v>448</v>
      </c>
      <c r="I1126" t="s">
        <v>25</v>
      </c>
      <c r="J1126">
        <v>7</v>
      </c>
      <c r="K1126" t="s">
        <v>26</v>
      </c>
      <c r="L1126" t="s">
        <v>3608</v>
      </c>
      <c r="M1126" t="s">
        <v>3085</v>
      </c>
      <c r="N1126" t="s">
        <v>450</v>
      </c>
      <c r="O1126" t="s">
        <v>30</v>
      </c>
      <c r="P1126" t="s">
        <v>79</v>
      </c>
    </row>
    <row r="1127" spans="1:16" x14ac:dyDescent="0.25">
      <c r="A1127" t="s">
        <v>3655</v>
      </c>
      <c r="B1127" t="s">
        <v>3561</v>
      </c>
      <c r="C1127" s="1" t="s">
        <v>3656</v>
      </c>
      <c r="D1127" t="s">
        <v>42</v>
      </c>
      <c r="E1127" t="s">
        <v>43</v>
      </c>
      <c r="F1127" s="2">
        <v>375904.69</v>
      </c>
      <c r="G1127" s="1" t="s">
        <v>3657</v>
      </c>
      <c r="H1127" t="s">
        <v>448</v>
      </c>
      <c r="I1127" t="s">
        <v>25</v>
      </c>
      <c r="J1127">
        <v>7</v>
      </c>
      <c r="K1127" t="s">
        <v>26</v>
      </c>
      <c r="L1127" t="s">
        <v>3608</v>
      </c>
      <c r="M1127" t="s">
        <v>3085</v>
      </c>
      <c r="N1127" t="s">
        <v>450</v>
      </c>
      <c r="O1127" t="s">
        <v>30</v>
      </c>
      <c r="P1127" t="s">
        <v>79</v>
      </c>
    </row>
    <row r="1128" spans="1:16" x14ac:dyDescent="0.25">
      <c r="A1128" t="s">
        <v>3658</v>
      </c>
      <c r="B1128" t="s">
        <v>3561</v>
      </c>
      <c r="C1128" s="1" t="s">
        <v>3659</v>
      </c>
      <c r="D1128" t="s">
        <v>42</v>
      </c>
      <c r="E1128" t="s">
        <v>43</v>
      </c>
      <c r="F1128" s="2">
        <v>463566.2</v>
      </c>
      <c r="G1128" s="1" t="s">
        <v>3660</v>
      </c>
      <c r="H1128" t="s">
        <v>448</v>
      </c>
      <c r="I1128" t="s">
        <v>25</v>
      </c>
      <c r="J1128">
        <v>7</v>
      </c>
      <c r="K1128" t="s">
        <v>26</v>
      </c>
      <c r="L1128" t="s">
        <v>3608</v>
      </c>
      <c r="M1128" t="s">
        <v>3085</v>
      </c>
      <c r="N1128" t="s">
        <v>450</v>
      </c>
      <c r="O1128" t="s">
        <v>30</v>
      </c>
      <c r="P1128" t="s">
        <v>79</v>
      </c>
    </row>
    <row r="1129" spans="1:16" x14ac:dyDescent="0.25">
      <c r="A1129" t="s">
        <v>3661</v>
      </c>
      <c r="B1129" t="s">
        <v>3561</v>
      </c>
      <c r="C1129" s="1" t="s">
        <v>3662</v>
      </c>
      <c r="D1129" t="s">
        <v>231</v>
      </c>
      <c r="E1129" t="s">
        <v>232</v>
      </c>
      <c r="F1129" s="2">
        <v>2981.73</v>
      </c>
      <c r="G1129" s="1" t="s">
        <v>3663</v>
      </c>
      <c r="H1129" t="s">
        <v>448</v>
      </c>
      <c r="I1129" t="s">
        <v>1219</v>
      </c>
      <c r="J1129">
        <v>7</v>
      </c>
      <c r="K1129" t="s">
        <v>26</v>
      </c>
      <c r="L1129" t="s">
        <v>3489</v>
      </c>
      <c r="M1129" t="s">
        <v>3085</v>
      </c>
      <c r="N1129" t="s">
        <v>450</v>
      </c>
      <c r="O1129" t="s">
        <v>68</v>
      </c>
      <c r="P1129" t="s">
        <v>31</v>
      </c>
    </row>
    <row r="1130" spans="1:16" x14ac:dyDescent="0.25">
      <c r="A1130" t="s">
        <v>3664</v>
      </c>
      <c r="B1130" t="s">
        <v>3561</v>
      </c>
      <c r="C1130" s="1" t="s">
        <v>3665</v>
      </c>
      <c r="D1130" t="s">
        <v>63</v>
      </c>
      <c r="E1130" t="s">
        <v>64</v>
      </c>
      <c r="F1130" s="2">
        <v>42833.81</v>
      </c>
      <c r="G1130" s="1" t="s">
        <v>3666</v>
      </c>
      <c r="H1130" t="s">
        <v>448</v>
      </c>
      <c r="I1130" t="s">
        <v>1219</v>
      </c>
      <c r="J1130">
        <v>6</v>
      </c>
      <c r="K1130" t="s">
        <v>26</v>
      </c>
      <c r="L1130" t="s">
        <v>3489</v>
      </c>
      <c r="M1130" t="s">
        <v>3085</v>
      </c>
      <c r="N1130" t="s">
        <v>450</v>
      </c>
      <c r="O1130" t="s">
        <v>68</v>
      </c>
      <c r="P1130" t="s">
        <v>31</v>
      </c>
    </row>
    <row r="1131" spans="1:16" x14ac:dyDescent="0.25">
      <c r="A1131" t="s">
        <v>3667</v>
      </c>
      <c r="B1131" t="s">
        <v>3561</v>
      </c>
      <c r="C1131" s="1" t="s">
        <v>3668</v>
      </c>
      <c r="D1131" t="s">
        <v>34</v>
      </c>
      <c r="E1131" t="s">
        <v>35</v>
      </c>
      <c r="F1131" s="2">
        <v>105811.37</v>
      </c>
      <c r="G1131" s="1" t="s">
        <v>3669</v>
      </c>
      <c r="H1131" t="s">
        <v>448</v>
      </c>
      <c r="I1131" t="s">
        <v>58</v>
      </c>
      <c r="J1131">
        <v>5</v>
      </c>
      <c r="K1131" t="s">
        <v>26</v>
      </c>
      <c r="L1131" t="s">
        <v>3670</v>
      </c>
      <c r="M1131" t="s">
        <v>3085</v>
      </c>
      <c r="N1131" t="s">
        <v>450</v>
      </c>
      <c r="O1131" t="s">
        <v>60</v>
      </c>
      <c r="P1131" t="s">
        <v>31</v>
      </c>
    </row>
    <row r="1132" spans="1:16" x14ac:dyDescent="0.25">
      <c r="A1132" t="s">
        <v>3671</v>
      </c>
      <c r="B1132" t="s">
        <v>3561</v>
      </c>
      <c r="C1132" s="1" t="s">
        <v>3672</v>
      </c>
      <c r="D1132" t="s">
        <v>34</v>
      </c>
      <c r="E1132" t="s">
        <v>35</v>
      </c>
      <c r="F1132" s="2">
        <v>102396.31</v>
      </c>
      <c r="G1132" s="1" t="s">
        <v>3673</v>
      </c>
      <c r="H1132" t="s">
        <v>448</v>
      </c>
      <c r="I1132" t="s">
        <v>58</v>
      </c>
      <c r="J1132">
        <v>4</v>
      </c>
      <c r="K1132" t="s">
        <v>26</v>
      </c>
      <c r="L1132" t="s">
        <v>3670</v>
      </c>
      <c r="M1132" t="s">
        <v>3085</v>
      </c>
      <c r="N1132" t="s">
        <v>450</v>
      </c>
      <c r="O1132" t="s">
        <v>60</v>
      </c>
      <c r="P1132" t="s">
        <v>31</v>
      </c>
    </row>
    <row r="1133" spans="1:16" x14ac:dyDescent="0.25">
      <c r="A1133" t="s">
        <v>3674</v>
      </c>
      <c r="B1133" t="s">
        <v>3561</v>
      </c>
      <c r="C1133" s="1" t="s">
        <v>3675</v>
      </c>
      <c r="D1133" t="s">
        <v>231</v>
      </c>
      <c r="E1133" t="s">
        <v>232</v>
      </c>
      <c r="F1133" s="2">
        <v>1415.74</v>
      </c>
      <c r="G1133" s="1" t="s">
        <v>3676</v>
      </c>
      <c r="H1133" t="s">
        <v>448</v>
      </c>
      <c r="I1133" t="s">
        <v>1219</v>
      </c>
      <c r="J1133">
        <v>6</v>
      </c>
      <c r="K1133" t="s">
        <v>26</v>
      </c>
      <c r="L1133" t="s">
        <v>3489</v>
      </c>
      <c r="M1133" t="s">
        <v>3085</v>
      </c>
      <c r="N1133" t="s">
        <v>450</v>
      </c>
      <c r="O1133" t="s">
        <v>68</v>
      </c>
      <c r="P1133" t="s">
        <v>31</v>
      </c>
    </row>
    <row r="1134" spans="1:16" x14ac:dyDescent="0.25">
      <c r="A1134" t="s">
        <v>3677</v>
      </c>
      <c r="B1134" t="s">
        <v>3561</v>
      </c>
      <c r="C1134" s="1" t="s">
        <v>3678</v>
      </c>
      <c r="D1134" t="s">
        <v>42</v>
      </c>
      <c r="E1134" t="s">
        <v>43</v>
      </c>
      <c r="F1134" s="2">
        <v>10799.29</v>
      </c>
      <c r="G1134" s="1" t="s">
        <v>3679</v>
      </c>
      <c r="H1134" t="s">
        <v>448</v>
      </c>
      <c r="I1134" t="s">
        <v>555</v>
      </c>
      <c r="J1134">
        <v>4</v>
      </c>
      <c r="K1134" t="s">
        <v>26</v>
      </c>
      <c r="L1134" t="s">
        <v>3493</v>
      </c>
      <c r="M1134" t="s">
        <v>3085</v>
      </c>
      <c r="N1134" t="s">
        <v>450</v>
      </c>
      <c r="O1134" t="s">
        <v>47</v>
      </c>
      <c r="P1134" t="s">
        <v>31</v>
      </c>
    </row>
    <row r="1135" spans="1:16" x14ac:dyDescent="0.25">
      <c r="A1135" t="s">
        <v>3680</v>
      </c>
      <c r="B1135" t="s">
        <v>3561</v>
      </c>
      <c r="C1135" s="1" t="s">
        <v>3681</v>
      </c>
      <c r="D1135" t="s">
        <v>42</v>
      </c>
      <c r="E1135" t="s">
        <v>43</v>
      </c>
      <c r="F1135" s="2">
        <v>35847.79</v>
      </c>
      <c r="G1135" s="1" t="s">
        <v>3682</v>
      </c>
      <c r="H1135" t="s">
        <v>448</v>
      </c>
      <c r="I1135" t="s">
        <v>1219</v>
      </c>
      <c r="J1135">
        <v>3</v>
      </c>
      <c r="K1135" t="s">
        <v>26</v>
      </c>
      <c r="L1135" t="s">
        <v>3489</v>
      </c>
      <c r="M1135" t="s">
        <v>3085</v>
      </c>
      <c r="N1135" t="s">
        <v>450</v>
      </c>
      <c r="O1135" t="s">
        <v>68</v>
      </c>
      <c r="P1135" t="s">
        <v>31</v>
      </c>
    </row>
    <row r="1136" spans="1:16" x14ac:dyDescent="0.25">
      <c r="A1136" t="s">
        <v>3683</v>
      </c>
      <c r="B1136" t="s">
        <v>3561</v>
      </c>
      <c r="C1136" s="1" t="s">
        <v>3684</v>
      </c>
      <c r="D1136" t="s">
        <v>42</v>
      </c>
      <c r="E1136" t="s">
        <v>43</v>
      </c>
      <c r="F1136" s="2">
        <v>303251.73</v>
      </c>
      <c r="G1136" s="1" t="s">
        <v>3685</v>
      </c>
      <c r="H1136" t="s">
        <v>448</v>
      </c>
      <c r="I1136" t="s">
        <v>1219</v>
      </c>
      <c r="J1136">
        <v>5</v>
      </c>
      <c r="K1136" t="s">
        <v>26</v>
      </c>
      <c r="L1136" t="s">
        <v>3489</v>
      </c>
      <c r="M1136" t="s">
        <v>3085</v>
      </c>
      <c r="N1136" t="s">
        <v>450</v>
      </c>
      <c r="O1136" t="s">
        <v>68</v>
      </c>
      <c r="P1136" t="s">
        <v>31</v>
      </c>
    </row>
    <row r="1137" spans="1:16" x14ac:dyDescent="0.25">
      <c r="A1137" t="s">
        <v>3686</v>
      </c>
      <c r="B1137" t="s">
        <v>3561</v>
      </c>
      <c r="C1137" s="1" t="s">
        <v>3687</v>
      </c>
      <c r="D1137" t="s">
        <v>42</v>
      </c>
      <c r="E1137" t="s">
        <v>43</v>
      </c>
      <c r="F1137" s="2">
        <v>248459.86</v>
      </c>
      <c r="G1137" s="1" t="s">
        <v>3688</v>
      </c>
      <c r="H1137" t="s">
        <v>448</v>
      </c>
      <c r="I1137" t="s">
        <v>1219</v>
      </c>
      <c r="J1137">
        <v>5</v>
      </c>
      <c r="K1137" t="s">
        <v>26</v>
      </c>
      <c r="L1137" t="s">
        <v>3489</v>
      </c>
      <c r="M1137" t="s">
        <v>3085</v>
      </c>
      <c r="N1137" t="s">
        <v>450</v>
      </c>
      <c r="O1137" t="s">
        <v>68</v>
      </c>
      <c r="P1137" t="s">
        <v>31</v>
      </c>
    </row>
    <row r="1138" spans="1:16" x14ac:dyDescent="0.25">
      <c r="A1138" t="s">
        <v>3689</v>
      </c>
      <c r="B1138" t="s">
        <v>3561</v>
      </c>
      <c r="C1138" s="1" t="s">
        <v>3690</v>
      </c>
      <c r="D1138" t="s">
        <v>63</v>
      </c>
      <c r="E1138" t="s">
        <v>64</v>
      </c>
      <c r="F1138" s="2">
        <v>459718.11</v>
      </c>
      <c r="G1138" s="1" t="s">
        <v>3691</v>
      </c>
      <c r="H1138" t="s">
        <v>448</v>
      </c>
      <c r="I1138" t="s">
        <v>1219</v>
      </c>
      <c r="J1138">
        <v>2</v>
      </c>
      <c r="K1138" t="s">
        <v>26</v>
      </c>
      <c r="L1138" t="s">
        <v>3501</v>
      </c>
      <c r="M1138" t="s">
        <v>3085</v>
      </c>
      <c r="N1138" t="s">
        <v>450</v>
      </c>
      <c r="O1138" t="s">
        <v>68</v>
      </c>
      <c r="P1138" t="s">
        <v>404</v>
      </c>
    </row>
    <row r="1139" spans="1:16" x14ac:dyDescent="0.25">
      <c r="A1139" t="s">
        <v>3692</v>
      </c>
      <c r="B1139" t="s">
        <v>3561</v>
      </c>
      <c r="C1139" s="1" t="s">
        <v>3693</v>
      </c>
      <c r="D1139" t="s">
        <v>21</v>
      </c>
      <c r="E1139" t="s">
        <v>22</v>
      </c>
      <c r="F1139" s="2">
        <v>21248.19</v>
      </c>
      <c r="G1139" s="1" t="s">
        <v>3694</v>
      </c>
      <c r="H1139" t="s">
        <v>448</v>
      </c>
      <c r="I1139" t="s">
        <v>1219</v>
      </c>
      <c r="J1139">
        <v>3</v>
      </c>
      <c r="K1139" t="s">
        <v>26</v>
      </c>
      <c r="L1139" t="s">
        <v>3501</v>
      </c>
      <c r="M1139" t="s">
        <v>3085</v>
      </c>
      <c r="N1139" t="s">
        <v>450</v>
      </c>
      <c r="O1139" t="s">
        <v>68</v>
      </c>
      <c r="P1139" t="s">
        <v>404</v>
      </c>
    </row>
    <row r="1140" spans="1:16" x14ac:dyDescent="0.25">
      <c r="A1140" t="s">
        <v>3695</v>
      </c>
      <c r="B1140" t="s">
        <v>3561</v>
      </c>
      <c r="C1140" s="1" t="s">
        <v>3696</v>
      </c>
      <c r="D1140" t="s">
        <v>21</v>
      </c>
      <c r="E1140" t="s">
        <v>22</v>
      </c>
      <c r="F1140" s="2">
        <v>29309.99</v>
      </c>
      <c r="G1140" s="1" t="s">
        <v>3697</v>
      </c>
      <c r="H1140" t="s">
        <v>448</v>
      </c>
      <c r="I1140" t="s">
        <v>1219</v>
      </c>
      <c r="J1140">
        <v>3</v>
      </c>
      <c r="K1140" t="s">
        <v>26</v>
      </c>
      <c r="L1140" t="s">
        <v>3501</v>
      </c>
      <c r="M1140" t="s">
        <v>3085</v>
      </c>
      <c r="N1140" t="s">
        <v>450</v>
      </c>
      <c r="O1140" t="s">
        <v>68</v>
      </c>
      <c r="P1140" t="s">
        <v>404</v>
      </c>
    </row>
    <row r="1141" spans="1:16" x14ac:dyDescent="0.25">
      <c r="A1141" t="s">
        <v>3698</v>
      </c>
      <c r="B1141" t="s">
        <v>3561</v>
      </c>
      <c r="C1141" s="1" t="s">
        <v>3699</v>
      </c>
      <c r="D1141" t="s">
        <v>21</v>
      </c>
      <c r="E1141" t="s">
        <v>22</v>
      </c>
      <c r="F1141" s="2">
        <v>11745.77</v>
      </c>
      <c r="G1141" s="1" t="s">
        <v>3700</v>
      </c>
      <c r="H1141" t="s">
        <v>448</v>
      </c>
      <c r="I1141" t="s">
        <v>1219</v>
      </c>
      <c r="J1141">
        <v>3</v>
      </c>
      <c r="K1141" t="s">
        <v>26</v>
      </c>
      <c r="L1141" t="s">
        <v>3501</v>
      </c>
      <c r="M1141" t="s">
        <v>3085</v>
      </c>
      <c r="N1141" t="s">
        <v>450</v>
      </c>
      <c r="O1141" t="s">
        <v>68</v>
      </c>
      <c r="P1141" t="s">
        <v>404</v>
      </c>
    </row>
    <row r="1142" spans="1:16" x14ac:dyDescent="0.25">
      <c r="A1142" t="s">
        <v>3701</v>
      </c>
      <c r="B1142" t="s">
        <v>3561</v>
      </c>
      <c r="C1142" s="1" t="s">
        <v>3702</v>
      </c>
      <c r="D1142" t="s">
        <v>21</v>
      </c>
      <c r="E1142" t="s">
        <v>22</v>
      </c>
      <c r="F1142" s="2">
        <v>6494.88</v>
      </c>
      <c r="G1142" s="1" t="s">
        <v>3703</v>
      </c>
      <c r="H1142" t="s">
        <v>448</v>
      </c>
      <c r="I1142" t="s">
        <v>1219</v>
      </c>
      <c r="J1142">
        <v>3</v>
      </c>
      <c r="K1142" t="s">
        <v>26</v>
      </c>
      <c r="L1142" t="s">
        <v>3501</v>
      </c>
      <c r="M1142" t="s">
        <v>3085</v>
      </c>
      <c r="N1142" t="s">
        <v>450</v>
      </c>
      <c r="O1142" t="s">
        <v>68</v>
      </c>
      <c r="P1142" t="s">
        <v>404</v>
      </c>
    </row>
    <row r="1143" spans="1:16" x14ac:dyDescent="0.25">
      <c r="A1143" t="s">
        <v>3704</v>
      </c>
      <c r="B1143" t="s">
        <v>3561</v>
      </c>
      <c r="C1143" s="1" t="s">
        <v>3705</v>
      </c>
      <c r="D1143" t="s">
        <v>21</v>
      </c>
      <c r="E1143" t="s">
        <v>22</v>
      </c>
      <c r="F1143" s="2">
        <v>5992.98</v>
      </c>
      <c r="G1143" s="1" t="s">
        <v>3706</v>
      </c>
      <c r="H1143" t="s">
        <v>448</v>
      </c>
      <c r="I1143" t="s">
        <v>1219</v>
      </c>
      <c r="J1143">
        <v>3</v>
      </c>
      <c r="K1143" t="s">
        <v>26</v>
      </c>
      <c r="L1143" t="s">
        <v>3501</v>
      </c>
      <c r="M1143" t="s">
        <v>3085</v>
      </c>
      <c r="N1143" t="s">
        <v>450</v>
      </c>
      <c r="O1143" t="s">
        <v>68</v>
      </c>
      <c r="P1143" t="s">
        <v>404</v>
      </c>
    </row>
    <row r="1144" spans="1:16" x14ac:dyDescent="0.25">
      <c r="A1144" t="s">
        <v>3707</v>
      </c>
      <c r="B1144" t="s">
        <v>3561</v>
      </c>
      <c r="C1144" s="1" t="s">
        <v>3708</v>
      </c>
      <c r="D1144" t="s">
        <v>21</v>
      </c>
      <c r="E1144" t="s">
        <v>22</v>
      </c>
      <c r="F1144" s="2">
        <v>4570.23</v>
      </c>
      <c r="G1144" s="1" t="s">
        <v>3709</v>
      </c>
      <c r="H1144" t="s">
        <v>448</v>
      </c>
      <c r="I1144" t="s">
        <v>58</v>
      </c>
      <c r="J1144">
        <v>3</v>
      </c>
      <c r="K1144" t="s">
        <v>26</v>
      </c>
      <c r="L1144" t="s">
        <v>3710</v>
      </c>
      <c r="M1144" t="s">
        <v>3085</v>
      </c>
      <c r="N1144" t="s">
        <v>450</v>
      </c>
      <c r="O1144" t="s">
        <v>60</v>
      </c>
      <c r="P1144" t="s">
        <v>404</v>
      </c>
    </row>
    <row r="1145" spans="1:16" x14ac:dyDescent="0.25">
      <c r="A1145" t="s">
        <v>3711</v>
      </c>
      <c r="B1145" t="s">
        <v>3561</v>
      </c>
      <c r="C1145" s="1" t="s">
        <v>3712</v>
      </c>
      <c r="D1145" t="s">
        <v>21</v>
      </c>
      <c r="E1145" t="s">
        <v>22</v>
      </c>
      <c r="F1145" s="2">
        <v>6480.18</v>
      </c>
      <c r="G1145" s="1" t="s">
        <v>3713</v>
      </c>
      <c r="H1145" t="s">
        <v>448</v>
      </c>
      <c r="I1145" t="s">
        <v>58</v>
      </c>
      <c r="J1145">
        <v>3</v>
      </c>
      <c r="K1145" t="s">
        <v>26</v>
      </c>
      <c r="L1145" t="s">
        <v>3710</v>
      </c>
      <c r="M1145" t="s">
        <v>3085</v>
      </c>
      <c r="N1145" t="s">
        <v>450</v>
      </c>
      <c r="O1145" t="s">
        <v>60</v>
      </c>
      <c r="P1145" t="s">
        <v>404</v>
      </c>
    </row>
    <row r="1146" spans="1:16" x14ac:dyDescent="0.25">
      <c r="A1146" t="s">
        <v>3714</v>
      </c>
      <c r="B1146" t="s">
        <v>3561</v>
      </c>
      <c r="C1146" s="1" t="s">
        <v>3715</v>
      </c>
      <c r="D1146" t="s">
        <v>21</v>
      </c>
      <c r="E1146" t="s">
        <v>22</v>
      </c>
      <c r="F1146" s="2">
        <v>7194.88</v>
      </c>
      <c r="G1146" s="1" t="s">
        <v>3716</v>
      </c>
      <c r="H1146" t="s">
        <v>448</v>
      </c>
      <c r="I1146" t="s">
        <v>58</v>
      </c>
      <c r="J1146">
        <v>3</v>
      </c>
      <c r="K1146" t="s">
        <v>26</v>
      </c>
      <c r="L1146" t="s">
        <v>3710</v>
      </c>
      <c r="M1146" t="s">
        <v>3085</v>
      </c>
      <c r="N1146" t="s">
        <v>450</v>
      </c>
      <c r="O1146" t="s">
        <v>60</v>
      </c>
      <c r="P1146" t="s">
        <v>404</v>
      </c>
    </row>
    <row r="1147" spans="1:16" x14ac:dyDescent="0.25">
      <c r="A1147" t="s">
        <v>3717</v>
      </c>
      <c r="B1147" t="s">
        <v>3561</v>
      </c>
      <c r="C1147" s="1" t="s">
        <v>3718</v>
      </c>
      <c r="D1147" t="s">
        <v>21</v>
      </c>
      <c r="E1147" t="s">
        <v>22</v>
      </c>
      <c r="F1147" s="2">
        <v>7314.33</v>
      </c>
      <c r="G1147" s="1" t="s">
        <v>3719</v>
      </c>
      <c r="H1147" t="s">
        <v>448</v>
      </c>
      <c r="I1147" t="s">
        <v>58</v>
      </c>
      <c r="J1147">
        <v>3</v>
      </c>
      <c r="K1147" t="s">
        <v>26</v>
      </c>
      <c r="L1147" t="s">
        <v>3710</v>
      </c>
      <c r="M1147" t="s">
        <v>3085</v>
      </c>
      <c r="N1147" t="s">
        <v>450</v>
      </c>
      <c r="O1147" t="s">
        <v>60</v>
      </c>
      <c r="P1147" t="s">
        <v>404</v>
      </c>
    </row>
    <row r="1148" spans="1:16" x14ac:dyDescent="0.25">
      <c r="A1148" t="s">
        <v>3720</v>
      </c>
      <c r="B1148" t="s">
        <v>3561</v>
      </c>
      <c r="C1148" s="1" t="s">
        <v>3721</v>
      </c>
      <c r="D1148" t="s">
        <v>21</v>
      </c>
      <c r="E1148" t="s">
        <v>22</v>
      </c>
      <c r="F1148" s="2">
        <v>8712.76</v>
      </c>
      <c r="G1148" s="1" t="s">
        <v>3722</v>
      </c>
      <c r="H1148" t="s">
        <v>448</v>
      </c>
      <c r="I1148" t="s">
        <v>58</v>
      </c>
      <c r="J1148">
        <v>3</v>
      </c>
      <c r="K1148" t="s">
        <v>26</v>
      </c>
      <c r="L1148" t="s">
        <v>3710</v>
      </c>
      <c r="M1148" t="s">
        <v>3085</v>
      </c>
      <c r="N1148" t="s">
        <v>450</v>
      </c>
      <c r="O1148" t="s">
        <v>60</v>
      </c>
      <c r="P1148" t="s">
        <v>404</v>
      </c>
    </row>
    <row r="1149" spans="1:16" x14ac:dyDescent="0.25">
      <c r="A1149" t="s">
        <v>3723</v>
      </c>
      <c r="B1149" t="s">
        <v>3561</v>
      </c>
      <c r="C1149" s="1" t="s">
        <v>3724</v>
      </c>
      <c r="D1149" t="s">
        <v>21</v>
      </c>
      <c r="E1149" t="s">
        <v>22</v>
      </c>
      <c r="F1149" s="2">
        <v>10240.18</v>
      </c>
      <c r="G1149" s="1" t="s">
        <v>3725</v>
      </c>
      <c r="H1149" t="s">
        <v>448</v>
      </c>
      <c r="I1149" t="s">
        <v>58</v>
      </c>
      <c r="J1149">
        <v>3</v>
      </c>
      <c r="K1149" t="s">
        <v>26</v>
      </c>
      <c r="L1149" t="s">
        <v>3710</v>
      </c>
      <c r="M1149" t="s">
        <v>3085</v>
      </c>
      <c r="N1149" t="s">
        <v>450</v>
      </c>
      <c r="O1149" t="s">
        <v>60</v>
      </c>
      <c r="P1149" t="s">
        <v>404</v>
      </c>
    </row>
    <row r="1150" spans="1:16" x14ac:dyDescent="0.25">
      <c r="A1150" t="s">
        <v>3726</v>
      </c>
      <c r="B1150" t="s">
        <v>3561</v>
      </c>
      <c r="C1150" s="1" t="s">
        <v>3727</v>
      </c>
      <c r="D1150" t="s">
        <v>21</v>
      </c>
      <c r="E1150" t="s">
        <v>22</v>
      </c>
      <c r="F1150" s="2">
        <v>14439.18</v>
      </c>
      <c r="G1150" s="1" t="s">
        <v>3728</v>
      </c>
      <c r="H1150" t="s">
        <v>448</v>
      </c>
      <c r="I1150" t="s">
        <v>58</v>
      </c>
      <c r="J1150">
        <v>3</v>
      </c>
      <c r="K1150" t="s">
        <v>26</v>
      </c>
      <c r="L1150" t="s">
        <v>3710</v>
      </c>
      <c r="M1150" t="s">
        <v>3085</v>
      </c>
      <c r="N1150" t="s">
        <v>450</v>
      </c>
      <c r="O1150" t="s">
        <v>60</v>
      </c>
      <c r="P1150" t="s">
        <v>404</v>
      </c>
    </row>
    <row r="1151" spans="1:16" x14ac:dyDescent="0.25">
      <c r="A1151" t="s">
        <v>3729</v>
      </c>
      <c r="B1151" t="s">
        <v>3561</v>
      </c>
      <c r="C1151" s="1" t="s">
        <v>3730</v>
      </c>
      <c r="D1151" t="s">
        <v>21</v>
      </c>
      <c r="E1151" t="s">
        <v>22</v>
      </c>
      <c r="F1151" s="2">
        <v>16338.63</v>
      </c>
      <c r="G1151" s="1" t="s">
        <v>3731</v>
      </c>
      <c r="H1151" t="s">
        <v>448</v>
      </c>
      <c r="I1151" t="s">
        <v>58</v>
      </c>
      <c r="J1151">
        <v>3</v>
      </c>
      <c r="K1151" t="s">
        <v>26</v>
      </c>
      <c r="L1151" t="s">
        <v>3710</v>
      </c>
      <c r="M1151" t="s">
        <v>3085</v>
      </c>
      <c r="N1151" t="s">
        <v>450</v>
      </c>
      <c r="O1151" t="s">
        <v>60</v>
      </c>
      <c r="P1151" t="s">
        <v>404</v>
      </c>
    </row>
    <row r="1152" spans="1:16" x14ac:dyDescent="0.25">
      <c r="A1152" t="s">
        <v>3732</v>
      </c>
      <c r="B1152" t="s">
        <v>3561</v>
      </c>
      <c r="C1152" s="1" t="s">
        <v>3733</v>
      </c>
      <c r="D1152" t="s">
        <v>21</v>
      </c>
      <c r="E1152" t="s">
        <v>22</v>
      </c>
      <c r="F1152" s="2">
        <v>20171.13</v>
      </c>
      <c r="G1152" s="1" t="s">
        <v>3734</v>
      </c>
      <c r="H1152" t="s">
        <v>448</v>
      </c>
      <c r="I1152" t="s">
        <v>58</v>
      </c>
      <c r="J1152">
        <v>3</v>
      </c>
      <c r="K1152" t="s">
        <v>26</v>
      </c>
      <c r="L1152" t="s">
        <v>3710</v>
      </c>
      <c r="M1152" t="s">
        <v>3085</v>
      </c>
      <c r="N1152" t="s">
        <v>450</v>
      </c>
      <c r="O1152" t="s">
        <v>60</v>
      </c>
      <c r="P1152" t="s">
        <v>404</v>
      </c>
    </row>
    <row r="1153" spans="1:16" x14ac:dyDescent="0.25">
      <c r="A1153" t="s">
        <v>3735</v>
      </c>
      <c r="B1153" t="s">
        <v>3561</v>
      </c>
      <c r="C1153" s="1" t="s">
        <v>3736</v>
      </c>
      <c r="D1153" t="s">
        <v>21</v>
      </c>
      <c r="E1153" t="s">
        <v>22</v>
      </c>
      <c r="F1153" s="2">
        <v>16783.85</v>
      </c>
      <c r="G1153" s="1" t="s">
        <v>3737</v>
      </c>
      <c r="H1153" t="s">
        <v>448</v>
      </c>
      <c r="I1153" t="s">
        <v>25</v>
      </c>
      <c r="J1153">
        <v>3</v>
      </c>
      <c r="K1153" t="s">
        <v>26</v>
      </c>
      <c r="L1153" t="s">
        <v>3738</v>
      </c>
      <c r="M1153" t="s">
        <v>3085</v>
      </c>
      <c r="N1153" t="s">
        <v>450</v>
      </c>
      <c r="O1153" t="s">
        <v>30</v>
      </c>
      <c r="P1153" t="s">
        <v>404</v>
      </c>
    </row>
    <row r="1154" spans="1:16" x14ac:dyDescent="0.25">
      <c r="A1154" t="s">
        <v>3739</v>
      </c>
      <c r="B1154" t="s">
        <v>3561</v>
      </c>
      <c r="C1154" s="1" t="s">
        <v>3740</v>
      </c>
      <c r="D1154" t="s">
        <v>21</v>
      </c>
      <c r="E1154" t="s">
        <v>22</v>
      </c>
      <c r="F1154" s="2">
        <v>8310.24</v>
      </c>
      <c r="G1154" s="1" t="s">
        <v>3741</v>
      </c>
      <c r="H1154" t="s">
        <v>448</v>
      </c>
      <c r="I1154" t="s">
        <v>25</v>
      </c>
      <c r="J1154">
        <v>3</v>
      </c>
      <c r="K1154" t="s">
        <v>26</v>
      </c>
      <c r="L1154" t="s">
        <v>3738</v>
      </c>
      <c r="M1154" t="s">
        <v>3085</v>
      </c>
      <c r="N1154" t="s">
        <v>450</v>
      </c>
      <c r="O1154" t="s">
        <v>30</v>
      </c>
      <c r="P1154" t="s">
        <v>404</v>
      </c>
    </row>
    <row r="1155" spans="1:16" x14ac:dyDescent="0.25">
      <c r="A1155" t="s">
        <v>3742</v>
      </c>
      <c r="B1155" t="s">
        <v>3561</v>
      </c>
      <c r="C1155" s="1" t="s">
        <v>3743</v>
      </c>
      <c r="D1155" t="s">
        <v>21</v>
      </c>
      <c r="E1155" t="s">
        <v>22</v>
      </c>
      <c r="F1155" s="2">
        <v>12199.46</v>
      </c>
      <c r="G1155" s="1" t="s">
        <v>3744</v>
      </c>
      <c r="H1155" t="s">
        <v>448</v>
      </c>
      <c r="I1155" t="s">
        <v>25</v>
      </c>
      <c r="J1155">
        <v>3</v>
      </c>
      <c r="K1155" t="s">
        <v>26</v>
      </c>
      <c r="L1155" t="s">
        <v>3738</v>
      </c>
      <c r="M1155" t="s">
        <v>3085</v>
      </c>
      <c r="N1155" t="s">
        <v>450</v>
      </c>
      <c r="O1155" t="s">
        <v>30</v>
      </c>
      <c r="P1155" t="s">
        <v>404</v>
      </c>
    </row>
    <row r="1156" spans="1:16" x14ac:dyDescent="0.25">
      <c r="A1156" t="s">
        <v>3745</v>
      </c>
      <c r="B1156" t="s">
        <v>3561</v>
      </c>
      <c r="C1156" s="1" t="s">
        <v>3746</v>
      </c>
      <c r="D1156" t="s">
        <v>21</v>
      </c>
      <c r="E1156" t="s">
        <v>22</v>
      </c>
      <c r="F1156" s="2">
        <v>7339.66</v>
      </c>
      <c r="G1156" s="1" t="s">
        <v>3747</v>
      </c>
      <c r="H1156" t="s">
        <v>448</v>
      </c>
      <c r="I1156" t="s">
        <v>25</v>
      </c>
      <c r="J1156">
        <v>3</v>
      </c>
      <c r="K1156" t="s">
        <v>26</v>
      </c>
      <c r="L1156" t="s">
        <v>3738</v>
      </c>
      <c r="M1156" t="s">
        <v>3085</v>
      </c>
      <c r="N1156" t="s">
        <v>450</v>
      </c>
      <c r="O1156" t="s">
        <v>30</v>
      </c>
      <c r="P1156" t="s">
        <v>404</v>
      </c>
    </row>
    <row r="1157" spans="1:16" x14ac:dyDescent="0.25">
      <c r="A1157" t="s">
        <v>3748</v>
      </c>
      <c r="B1157" t="s">
        <v>3749</v>
      </c>
      <c r="C1157" s="1" t="s">
        <v>3750</v>
      </c>
      <c r="D1157" t="s">
        <v>63</v>
      </c>
      <c r="E1157" t="s">
        <v>64</v>
      </c>
      <c r="F1157" s="2">
        <v>336434.36</v>
      </c>
      <c r="G1157" s="1" t="s">
        <v>3751</v>
      </c>
      <c r="H1157" t="s">
        <v>307</v>
      </c>
      <c r="I1157" t="s">
        <v>257</v>
      </c>
      <c r="J1157">
        <v>12</v>
      </c>
      <c r="K1157" t="s">
        <v>26</v>
      </c>
      <c r="L1157" t="s">
        <v>3752</v>
      </c>
      <c r="M1157" t="s">
        <v>3753</v>
      </c>
      <c r="N1157" t="s">
        <v>310</v>
      </c>
      <c r="O1157" t="s">
        <v>259</v>
      </c>
      <c r="P1157" t="s">
        <v>31</v>
      </c>
    </row>
    <row r="1158" spans="1:16" x14ac:dyDescent="0.25">
      <c r="A1158" t="s">
        <v>3754</v>
      </c>
      <c r="B1158" t="s">
        <v>3749</v>
      </c>
      <c r="C1158" s="1" t="s">
        <v>3755</v>
      </c>
      <c r="D1158" t="s">
        <v>42</v>
      </c>
      <c r="E1158" t="s">
        <v>43</v>
      </c>
      <c r="F1158" s="2">
        <v>63339.16</v>
      </c>
      <c r="G1158" s="1" t="s">
        <v>3756</v>
      </c>
      <c r="H1158" t="s">
        <v>307</v>
      </c>
      <c r="I1158" t="s">
        <v>775</v>
      </c>
      <c r="J1158">
        <v>13</v>
      </c>
      <c r="K1158" t="s">
        <v>26</v>
      </c>
      <c r="L1158" t="s">
        <v>3757</v>
      </c>
      <c r="M1158" t="s">
        <v>3753</v>
      </c>
      <c r="N1158" t="s">
        <v>310</v>
      </c>
      <c r="O1158" t="s">
        <v>777</v>
      </c>
      <c r="P1158" t="s">
        <v>404</v>
      </c>
    </row>
    <row r="1159" spans="1:16" x14ac:dyDescent="0.25">
      <c r="A1159" t="s">
        <v>3758</v>
      </c>
      <c r="B1159" t="s">
        <v>3749</v>
      </c>
      <c r="C1159" s="1" t="s">
        <v>3759</v>
      </c>
      <c r="D1159" t="s">
        <v>42</v>
      </c>
      <c r="E1159" t="s">
        <v>43</v>
      </c>
      <c r="F1159" s="2">
        <v>83174.08</v>
      </c>
      <c r="G1159" s="1" t="s">
        <v>3760</v>
      </c>
      <c r="H1159" t="s">
        <v>307</v>
      </c>
      <c r="I1159" t="s">
        <v>775</v>
      </c>
      <c r="J1159">
        <v>13</v>
      </c>
      <c r="K1159" t="s">
        <v>26</v>
      </c>
      <c r="L1159" t="s">
        <v>3757</v>
      </c>
      <c r="M1159" t="s">
        <v>3753</v>
      </c>
      <c r="N1159" t="s">
        <v>310</v>
      </c>
      <c r="O1159" t="s">
        <v>777</v>
      </c>
      <c r="P1159" t="s">
        <v>404</v>
      </c>
    </row>
    <row r="1160" spans="1:16" x14ac:dyDescent="0.25">
      <c r="A1160" t="s">
        <v>3761</v>
      </c>
      <c r="B1160" t="s">
        <v>3749</v>
      </c>
      <c r="C1160" s="1" t="s">
        <v>3762</v>
      </c>
      <c r="D1160" t="s">
        <v>42</v>
      </c>
      <c r="E1160" t="s">
        <v>43</v>
      </c>
      <c r="F1160" s="2">
        <v>88495.41</v>
      </c>
      <c r="G1160" s="1" t="s">
        <v>3763</v>
      </c>
      <c r="H1160" t="s">
        <v>307</v>
      </c>
      <c r="I1160" t="s">
        <v>775</v>
      </c>
      <c r="J1160">
        <v>11</v>
      </c>
      <c r="K1160" t="s">
        <v>26</v>
      </c>
      <c r="L1160" t="s">
        <v>3757</v>
      </c>
      <c r="M1160" t="s">
        <v>3753</v>
      </c>
      <c r="N1160" t="s">
        <v>310</v>
      </c>
      <c r="O1160" t="s">
        <v>777</v>
      </c>
      <c r="P1160" t="s">
        <v>404</v>
      </c>
    </row>
    <row r="1161" spans="1:16" x14ac:dyDescent="0.25">
      <c r="A1161" t="s">
        <v>3764</v>
      </c>
      <c r="B1161" t="s">
        <v>3749</v>
      </c>
      <c r="C1161" s="1" t="s">
        <v>3765</v>
      </c>
      <c r="D1161" t="s">
        <v>42</v>
      </c>
      <c r="E1161" t="s">
        <v>43</v>
      </c>
      <c r="F1161" s="2">
        <v>43424.81</v>
      </c>
      <c r="G1161" s="1" t="s">
        <v>3766</v>
      </c>
      <c r="H1161" t="s">
        <v>307</v>
      </c>
      <c r="I1161" t="s">
        <v>775</v>
      </c>
      <c r="J1161">
        <v>11</v>
      </c>
      <c r="K1161" t="s">
        <v>26</v>
      </c>
      <c r="L1161" t="s">
        <v>3757</v>
      </c>
      <c r="M1161" t="s">
        <v>3753</v>
      </c>
      <c r="N1161" t="s">
        <v>310</v>
      </c>
      <c r="O1161" t="s">
        <v>777</v>
      </c>
      <c r="P1161" t="s">
        <v>404</v>
      </c>
    </row>
    <row r="1162" spans="1:16" x14ac:dyDescent="0.25">
      <c r="A1162" t="s">
        <v>3767</v>
      </c>
      <c r="B1162" t="s">
        <v>3749</v>
      </c>
      <c r="C1162" s="1" t="s">
        <v>3768</v>
      </c>
      <c r="D1162" t="s">
        <v>42</v>
      </c>
      <c r="E1162" t="s">
        <v>43</v>
      </c>
      <c r="F1162" s="2">
        <v>65516.53</v>
      </c>
      <c r="G1162" s="1" t="s">
        <v>3769</v>
      </c>
      <c r="H1162" t="s">
        <v>307</v>
      </c>
      <c r="I1162" t="s">
        <v>775</v>
      </c>
      <c r="J1162">
        <v>13</v>
      </c>
      <c r="K1162" t="s">
        <v>26</v>
      </c>
      <c r="L1162" t="s">
        <v>3757</v>
      </c>
      <c r="M1162" t="s">
        <v>3753</v>
      </c>
      <c r="N1162" t="s">
        <v>310</v>
      </c>
      <c r="O1162" t="s">
        <v>777</v>
      </c>
      <c r="P1162" t="s">
        <v>404</v>
      </c>
    </row>
    <row r="1163" spans="1:16" x14ac:dyDescent="0.25">
      <c r="A1163" t="s">
        <v>3770</v>
      </c>
      <c r="B1163" t="s">
        <v>3749</v>
      </c>
      <c r="C1163" s="1" t="s">
        <v>3771</v>
      </c>
      <c r="D1163" t="s">
        <v>42</v>
      </c>
      <c r="E1163" t="s">
        <v>43</v>
      </c>
      <c r="F1163" s="2">
        <v>84102.1</v>
      </c>
      <c r="G1163" s="1" t="s">
        <v>3772</v>
      </c>
      <c r="H1163" t="s">
        <v>307</v>
      </c>
      <c r="I1163" t="s">
        <v>775</v>
      </c>
      <c r="J1163">
        <v>13</v>
      </c>
      <c r="K1163" t="s">
        <v>26</v>
      </c>
      <c r="L1163" t="s">
        <v>3757</v>
      </c>
      <c r="M1163" t="s">
        <v>3753</v>
      </c>
      <c r="N1163" t="s">
        <v>310</v>
      </c>
      <c r="O1163" t="s">
        <v>777</v>
      </c>
      <c r="P1163" t="s">
        <v>404</v>
      </c>
    </row>
    <row r="1164" spans="1:16" x14ac:dyDescent="0.25">
      <c r="A1164" t="s">
        <v>3773</v>
      </c>
      <c r="B1164" t="s">
        <v>3749</v>
      </c>
      <c r="C1164" s="1" t="s">
        <v>3774</v>
      </c>
      <c r="D1164" t="s">
        <v>42</v>
      </c>
      <c r="E1164" t="s">
        <v>43</v>
      </c>
      <c r="F1164" s="2">
        <v>91372.95</v>
      </c>
      <c r="G1164" s="1" t="s">
        <v>3775</v>
      </c>
      <c r="H1164" t="s">
        <v>307</v>
      </c>
      <c r="I1164" t="s">
        <v>775</v>
      </c>
      <c r="J1164">
        <v>11</v>
      </c>
      <c r="K1164" t="s">
        <v>26</v>
      </c>
      <c r="L1164" t="s">
        <v>3757</v>
      </c>
      <c r="M1164" t="s">
        <v>3753</v>
      </c>
      <c r="N1164" t="s">
        <v>310</v>
      </c>
      <c r="O1164" t="s">
        <v>777</v>
      </c>
      <c r="P1164" t="s">
        <v>404</v>
      </c>
    </row>
    <row r="1165" spans="1:16" x14ac:dyDescent="0.25">
      <c r="A1165" t="s">
        <v>3776</v>
      </c>
      <c r="B1165" t="s">
        <v>3749</v>
      </c>
      <c r="C1165" s="1" t="s">
        <v>3777</v>
      </c>
      <c r="D1165" t="s">
        <v>42</v>
      </c>
      <c r="E1165" t="s">
        <v>43</v>
      </c>
      <c r="F1165" s="2">
        <v>45327.59</v>
      </c>
      <c r="G1165" s="1" t="s">
        <v>3778</v>
      </c>
      <c r="H1165" t="s">
        <v>307</v>
      </c>
      <c r="I1165" t="s">
        <v>775</v>
      </c>
      <c r="J1165">
        <v>11</v>
      </c>
      <c r="K1165" t="s">
        <v>26</v>
      </c>
      <c r="L1165" t="s">
        <v>3757</v>
      </c>
      <c r="M1165" t="s">
        <v>3753</v>
      </c>
      <c r="N1165" t="s">
        <v>310</v>
      </c>
      <c r="O1165" t="s">
        <v>777</v>
      </c>
      <c r="P1165" t="s">
        <v>404</v>
      </c>
    </row>
    <row r="1166" spans="1:16" x14ac:dyDescent="0.25">
      <c r="A1166" t="s">
        <v>3779</v>
      </c>
      <c r="B1166" t="s">
        <v>3749</v>
      </c>
      <c r="C1166" s="1" t="s">
        <v>3780</v>
      </c>
      <c r="D1166" t="s">
        <v>42</v>
      </c>
      <c r="E1166" t="s">
        <v>43</v>
      </c>
      <c r="F1166" s="2">
        <v>75525.53</v>
      </c>
      <c r="G1166" s="1" t="s">
        <v>3781</v>
      </c>
      <c r="H1166" t="s">
        <v>307</v>
      </c>
      <c r="I1166" t="s">
        <v>775</v>
      </c>
      <c r="J1166">
        <v>13</v>
      </c>
      <c r="K1166" t="s">
        <v>26</v>
      </c>
      <c r="L1166" t="s">
        <v>3757</v>
      </c>
      <c r="M1166" t="s">
        <v>3753</v>
      </c>
      <c r="N1166" t="s">
        <v>310</v>
      </c>
      <c r="O1166" t="s">
        <v>777</v>
      </c>
      <c r="P1166" t="s">
        <v>404</v>
      </c>
    </row>
    <row r="1167" spans="1:16" x14ac:dyDescent="0.25">
      <c r="A1167" t="s">
        <v>3782</v>
      </c>
      <c r="B1167" t="s">
        <v>3749</v>
      </c>
      <c r="C1167" s="1" t="s">
        <v>3783</v>
      </c>
      <c r="D1167" t="s">
        <v>42</v>
      </c>
      <c r="E1167" t="s">
        <v>43</v>
      </c>
      <c r="F1167" s="2">
        <v>94820.14</v>
      </c>
      <c r="G1167" s="1" t="s">
        <v>3784</v>
      </c>
      <c r="H1167" t="s">
        <v>307</v>
      </c>
      <c r="I1167" t="s">
        <v>775</v>
      </c>
      <c r="J1167">
        <v>13</v>
      </c>
      <c r="K1167" t="s">
        <v>26</v>
      </c>
      <c r="L1167" t="s">
        <v>3757</v>
      </c>
      <c r="M1167" t="s">
        <v>3753</v>
      </c>
      <c r="N1167" t="s">
        <v>310</v>
      </c>
      <c r="O1167" t="s">
        <v>777</v>
      </c>
      <c r="P1167" t="s">
        <v>404</v>
      </c>
    </row>
    <row r="1168" spans="1:16" x14ac:dyDescent="0.25">
      <c r="A1168" t="s">
        <v>3785</v>
      </c>
      <c r="B1168" t="s">
        <v>3749</v>
      </c>
      <c r="C1168" s="1" t="s">
        <v>3786</v>
      </c>
      <c r="D1168" t="s">
        <v>42</v>
      </c>
      <c r="E1168" t="s">
        <v>43</v>
      </c>
      <c r="F1168" s="2">
        <v>102090.99</v>
      </c>
      <c r="G1168" s="1" t="s">
        <v>3787</v>
      </c>
      <c r="H1168" t="s">
        <v>307</v>
      </c>
      <c r="I1168" t="s">
        <v>775</v>
      </c>
      <c r="J1168">
        <v>11</v>
      </c>
      <c r="K1168" t="s">
        <v>26</v>
      </c>
      <c r="L1168" t="s">
        <v>3757</v>
      </c>
      <c r="M1168" t="s">
        <v>3753</v>
      </c>
      <c r="N1168" t="s">
        <v>310</v>
      </c>
      <c r="O1168" t="s">
        <v>777</v>
      </c>
      <c r="P1168" t="s">
        <v>404</v>
      </c>
    </row>
    <row r="1169" spans="1:16" x14ac:dyDescent="0.25">
      <c r="A1169" t="s">
        <v>3788</v>
      </c>
      <c r="B1169" t="s">
        <v>3749</v>
      </c>
      <c r="C1169" s="1" t="s">
        <v>3789</v>
      </c>
      <c r="D1169" t="s">
        <v>42</v>
      </c>
      <c r="E1169" t="s">
        <v>43</v>
      </c>
      <c r="F1169" s="2">
        <v>55336.59</v>
      </c>
      <c r="G1169" s="1" t="s">
        <v>3790</v>
      </c>
      <c r="H1169" t="s">
        <v>307</v>
      </c>
      <c r="I1169" t="s">
        <v>775</v>
      </c>
      <c r="J1169">
        <v>11</v>
      </c>
      <c r="K1169" t="s">
        <v>26</v>
      </c>
      <c r="L1169" t="s">
        <v>3757</v>
      </c>
      <c r="M1169" t="s">
        <v>3753</v>
      </c>
      <c r="N1169" t="s">
        <v>310</v>
      </c>
      <c r="O1169" t="s">
        <v>777</v>
      </c>
      <c r="P1169" t="s">
        <v>404</v>
      </c>
    </row>
    <row r="1170" spans="1:16" x14ac:dyDescent="0.25">
      <c r="A1170" t="s">
        <v>3791</v>
      </c>
      <c r="B1170" t="s">
        <v>3749</v>
      </c>
      <c r="C1170" s="1" t="s">
        <v>3792</v>
      </c>
      <c r="D1170" t="s">
        <v>42</v>
      </c>
      <c r="E1170" t="s">
        <v>43</v>
      </c>
      <c r="F1170" s="2">
        <v>64471.52</v>
      </c>
      <c r="G1170" s="1" t="s">
        <v>3793</v>
      </c>
      <c r="H1170" t="s">
        <v>307</v>
      </c>
      <c r="I1170" t="s">
        <v>775</v>
      </c>
      <c r="J1170">
        <v>13</v>
      </c>
      <c r="K1170" t="s">
        <v>26</v>
      </c>
      <c r="L1170" t="s">
        <v>3757</v>
      </c>
      <c r="M1170" t="s">
        <v>3753</v>
      </c>
      <c r="N1170" t="s">
        <v>310</v>
      </c>
      <c r="O1170" t="s">
        <v>777</v>
      </c>
      <c r="P1170" t="s">
        <v>404</v>
      </c>
    </row>
    <row r="1171" spans="1:16" x14ac:dyDescent="0.25">
      <c r="A1171" t="s">
        <v>3794</v>
      </c>
      <c r="B1171" t="s">
        <v>3749</v>
      </c>
      <c r="C1171" s="1" t="s">
        <v>3795</v>
      </c>
      <c r="D1171" t="s">
        <v>42</v>
      </c>
      <c r="E1171" t="s">
        <v>43</v>
      </c>
      <c r="F1171" s="2">
        <v>82538.43</v>
      </c>
      <c r="G1171" s="1" t="s">
        <v>3796</v>
      </c>
      <c r="H1171" t="s">
        <v>307</v>
      </c>
      <c r="I1171" t="s">
        <v>775</v>
      </c>
      <c r="J1171">
        <v>13</v>
      </c>
      <c r="K1171" t="s">
        <v>26</v>
      </c>
      <c r="L1171" t="s">
        <v>3757</v>
      </c>
      <c r="M1171" t="s">
        <v>3753</v>
      </c>
      <c r="N1171" t="s">
        <v>310</v>
      </c>
      <c r="O1171" t="s">
        <v>777</v>
      </c>
      <c r="P1171" t="s">
        <v>404</v>
      </c>
    </row>
    <row r="1172" spans="1:16" x14ac:dyDescent="0.25">
      <c r="A1172" t="s">
        <v>3797</v>
      </c>
      <c r="B1172" t="s">
        <v>3749</v>
      </c>
      <c r="C1172" s="1" t="s">
        <v>3798</v>
      </c>
      <c r="D1172" t="s">
        <v>42</v>
      </c>
      <c r="E1172" t="s">
        <v>43</v>
      </c>
      <c r="F1172" s="2">
        <v>89809.28</v>
      </c>
      <c r="G1172" s="1" t="s">
        <v>3799</v>
      </c>
      <c r="H1172" t="s">
        <v>307</v>
      </c>
      <c r="I1172" t="s">
        <v>775</v>
      </c>
      <c r="J1172">
        <v>11</v>
      </c>
      <c r="K1172" t="s">
        <v>26</v>
      </c>
      <c r="L1172" t="s">
        <v>3757</v>
      </c>
      <c r="M1172" t="s">
        <v>3753</v>
      </c>
      <c r="N1172" t="s">
        <v>310</v>
      </c>
      <c r="O1172" t="s">
        <v>777</v>
      </c>
      <c r="P1172" t="s">
        <v>404</v>
      </c>
    </row>
    <row r="1173" spans="1:16" x14ac:dyDescent="0.25">
      <c r="A1173" t="s">
        <v>3800</v>
      </c>
      <c r="B1173" t="s">
        <v>3749</v>
      </c>
      <c r="C1173" s="1" t="s">
        <v>3801</v>
      </c>
      <c r="D1173" t="s">
        <v>42</v>
      </c>
      <c r="E1173" t="s">
        <v>43</v>
      </c>
      <c r="F1173" s="2">
        <v>43763.92</v>
      </c>
      <c r="G1173" s="1" t="s">
        <v>3802</v>
      </c>
      <c r="H1173" t="s">
        <v>307</v>
      </c>
      <c r="I1173" t="s">
        <v>775</v>
      </c>
      <c r="J1173">
        <v>11</v>
      </c>
      <c r="K1173" t="s">
        <v>26</v>
      </c>
      <c r="L1173" t="s">
        <v>3757</v>
      </c>
      <c r="M1173" t="s">
        <v>3753</v>
      </c>
      <c r="N1173" t="s">
        <v>310</v>
      </c>
      <c r="O1173" t="s">
        <v>777</v>
      </c>
      <c r="P1173" t="s">
        <v>404</v>
      </c>
    </row>
    <row r="1174" spans="1:16" x14ac:dyDescent="0.25">
      <c r="A1174" t="s">
        <v>3803</v>
      </c>
      <c r="B1174" t="s">
        <v>3749</v>
      </c>
      <c r="C1174" s="1" t="s">
        <v>3804</v>
      </c>
      <c r="D1174" t="s">
        <v>42</v>
      </c>
      <c r="E1174" t="s">
        <v>43</v>
      </c>
      <c r="F1174" s="2">
        <v>102981.69</v>
      </c>
      <c r="G1174" s="1" t="s">
        <v>3805</v>
      </c>
      <c r="H1174" t="s">
        <v>307</v>
      </c>
      <c r="I1174" t="s">
        <v>775</v>
      </c>
      <c r="J1174">
        <v>13</v>
      </c>
      <c r="K1174" t="s">
        <v>26</v>
      </c>
      <c r="L1174" t="s">
        <v>3757</v>
      </c>
      <c r="M1174" t="s">
        <v>3753</v>
      </c>
      <c r="N1174" t="s">
        <v>310</v>
      </c>
      <c r="O1174" t="s">
        <v>777</v>
      </c>
      <c r="P1174" t="s">
        <v>404</v>
      </c>
    </row>
    <row r="1175" spans="1:16" x14ac:dyDescent="0.25">
      <c r="A1175" t="s">
        <v>3806</v>
      </c>
      <c r="B1175" t="s">
        <v>3749</v>
      </c>
      <c r="C1175" s="1" t="s">
        <v>3807</v>
      </c>
      <c r="D1175" t="s">
        <v>42</v>
      </c>
      <c r="E1175" t="s">
        <v>43</v>
      </c>
      <c r="F1175" s="2">
        <v>121048.6</v>
      </c>
      <c r="G1175" s="1" t="s">
        <v>3808</v>
      </c>
      <c r="H1175" t="s">
        <v>307</v>
      </c>
      <c r="I1175" t="s">
        <v>775</v>
      </c>
      <c r="J1175">
        <v>13</v>
      </c>
      <c r="K1175" t="s">
        <v>26</v>
      </c>
      <c r="L1175" t="s">
        <v>3757</v>
      </c>
      <c r="M1175" t="s">
        <v>3753</v>
      </c>
      <c r="N1175" t="s">
        <v>310</v>
      </c>
      <c r="O1175" t="s">
        <v>777</v>
      </c>
      <c r="P1175" t="s">
        <v>404</v>
      </c>
    </row>
    <row r="1176" spans="1:16" x14ac:dyDescent="0.25">
      <c r="A1176" t="s">
        <v>3809</v>
      </c>
      <c r="B1176" t="s">
        <v>3749</v>
      </c>
      <c r="C1176" s="1" t="s">
        <v>3810</v>
      </c>
      <c r="D1176" t="s">
        <v>42</v>
      </c>
      <c r="E1176" t="s">
        <v>43</v>
      </c>
      <c r="F1176" s="2">
        <v>128319.45</v>
      </c>
      <c r="G1176" s="1" t="s">
        <v>3811</v>
      </c>
      <c r="H1176" t="s">
        <v>307</v>
      </c>
      <c r="I1176" t="s">
        <v>775</v>
      </c>
      <c r="J1176">
        <v>11</v>
      </c>
      <c r="K1176" t="s">
        <v>26</v>
      </c>
      <c r="L1176" t="s">
        <v>3757</v>
      </c>
      <c r="M1176" t="s">
        <v>3753</v>
      </c>
      <c r="N1176" t="s">
        <v>310</v>
      </c>
      <c r="O1176" t="s">
        <v>777</v>
      </c>
      <c r="P1176" t="s">
        <v>404</v>
      </c>
    </row>
    <row r="1177" spans="1:16" x14ac:dyDescent="0.25">
      <c r="A1177" t="s">
        <v>3812</v>
      </c>
      <c r="B1177" t="s">
        <v>3749</v>
      </c>
      <c r="C1177" s="1" t="s">
        <v>3813</v>
      </c>
      <c r="D1177" t="s">
        <v>42</v>
      </c>
      <c r="E1177" t="s">
        <v>43</v>
      </c>
      <c r="F1177" s="2">
        <v>82274.09</v>
      </c>
      <c r="G1177" s="1" t="s">
        <v>3814</v>
      </c>
      <c r="H1177" t="s">
        <v>307</v>
      </c>
      <c r="I1177" t="s">
        <v>775</v>
      </c>
      <c r="J1177">
        <v>11</v>
      </c>
      <c r="K1177" t="s">
        <v>26</v>
      </c>
      <c r="L1177" t="s">
        <v>3757</v>
      </c>
      <c r="M1177" t="s">
        <v>3753</v>
      </c>
      <c r="N1177" t="s">
        <v>310</v>
      </c>
      <c r="O1177" t="s">
        <v>777</v>
      </c>
      <c r="P1177" t="s">
        <v>404</v>
      </c>
    </row>
    <row r="1178" spans="1:16" x14ac:dyDescent="0.25">
      <c r="A1178" t="s">
        <v>3815</v>
      </c>
      <c r="B1178" t="s">
        <v>3749</v>
      </c>
      <c r="C1178" s="1" t="s">
        <v>3816</v>
      </c>
      <c r="D1178" t="s">
        <v>42</v>
      </c>
      <c r="E1178" t="s">
        <v>43</v>
      </c>
      <c r="F1178" s="2">
        <v>128451.02</v>
      </c>
      <c r="G1178" s="1" t="s">
        <v>3817</v>
      </c>
      <c r="H1178" t="s">
        <v>307</v>
      </c>
      <c r="I1178" t="s">
        <v>775</v>
      </c>
      <c r="J1178">
        <v>13</v>
      </c>
      <c r="K1178" t="s">
        <v>26</v>
      </c>
      <c r="L1178" t="s">
        <v>3757</v>
      </c>
      <c r="M1178" t="s">
        <v>3753</v>
      </c>
      <c r="N1178" t="s">
        <v>310</v>
      </c>
      <c r="O1178" t="s">
        <v>777</v>
      </c>
      <c r="P1178" t="s">
        <v>404</v>
      </c>
    </row>
    <row r="1179" spans="1:16" x14ac:dyDescent="0.25">
      <c r="A1179" t="s">
        <v>3818</v>
      </c>
      <c r="B1179" t="s">
        <v>3749</v>
      </c>
      <c r="C1179" s="1" t="s">
        <v>3819</v>
      </c>
      <c r="D1179" t="s">
        <v>42</v>
      </c>
      <c r="E1179" t="s">
        <v>43</v>
      </c>
      <c r="F1179" s="2">
        <v>146517.93</v>
      </c>
      <c r="G1179" s="1" t="s">
        <v>3820</v>
      </c>
      <c r="H1179" t="s">
        <v>307</v>
      </c>
      <c r="I1179" t="s">
        <v>775</v>
      </c>
      <c r="J1179">
        <v>13</v>
      </c>
      <c r="K1179" t="s">
        <v>26</v>
      </c>
      <c r="L1179" t="s">
        <v>3757</v>
      </c>
      <c r="M1179" t="s">
        <v>3753</v>
      </c>
      <c r="N1179" t="s">
        <v>310</v>
      </c>
      <c r="O1179" t="s">
        <v>777</v>
      </c>
      <c r="P1179" t="s">
        <v>404</v>
      </c>
    </row>
    <row r="1180" spans="1:16" x14ac:dyDescent="0.25">
      <c r="A1180" t="s">
        <v>3821</v>
      </c>
      <c r="B1180" t="s">
        <v>3749</v>
      </c>
      <c r="C1180" s="1" t="s">
        <v>3822</v>
      </c>
      <c r="D1180" t="s">
        <v>42</v>
      </c>
      <c r="E1180" t="s">
        <v>43</v>
      </c>
      <c r="F1180" s="2">
        <v>153788.78</v>
      </c>
      <c r="G1180" s="1" t="s">
        <v>3823</v>
      </c>
      <c r="H1180" t="s">
        <v>307</v>
      </c>
      <c r="I1180" t="s">
        <v>775</v>
      </c>
      <c r="J1180">
        <v>11</v>
      </c>
      <c r="K1180" t="s">
        <v>26</v>
      </c>
      <c r="L1180" t="s">
        <v>3757</v>
      </c>
      <c r="M1180" t="s">
        <v>3753</v>
      </c>
      <c r="N1180" t="s">
        <v>310</v>
      </c>
      <c r="O1180" t="s">
        <v>777</v>
      </c>
      <c r="P1180" t="s">
        <v>404</v>
      </c>
    </row>
    <row r="1181" spans="1:16" x14ac:dyDescent="0.25">
      <c r="A1181" t="s">
        <v>3824</v>
      </c>
      <c r="B1181" t="s">
        <v>3749</v>
      </c>
      <c r="C1181" s="1" t="s">
        <v>3825</v>
      </c>
      <c r="D1181" t="s">
        <v>42</v>
      </c>
      <c r="E1181" t="s">
        <v>43</v>
      </c>
      <c r="F1181" s="2">
        <v>107743.42</v>
      </c>
      <c r="G1181" s="1" t="s">
        <v>3826</v>
      </c>
      <c r="H1181" t="s">
        <v>307</v>
      </c>
      <c r="I1181" t="s">
        <v>775</v>
      </c>
      <c r="J1181">
        <v>11</v>
      </c>
      <c r="K1181" t="s">
        <v>26</v>
      </c>
      <c r="L1181" t="s">
        <v>3757</v>
      </c>
      <c r="M1181" t="s">
        <v>3753</v>
      </c>
      <c r="N1181" t="s">
        <v>310</v>
      </c>
      <c r="O1181" t="s">
        <v>777</v>
      </c>
      <c r="P1181" t="s">
        <v>404</v>
      </c>
    </row>
    <row r="1182" spans="1:16" x14ac:dyDescent="0.25">
      <c r="A1182" t="s">
        <v>3827</v>
      </c>
      <c r="B1182" t="s">
        <v>3749</v>
      </c>
      <c r="C1182" s="1" t="s">
        <v>3828</v>
      </c>
      <c r="D1182" t="s">
        <v>42</v>
      </c>
      <c r="E1182" t="s">
        <v>43</v>
      </c>
      <c r="F1182" s="2">
        <v>167352.36</v>
      </c>
      <c r="G1182" s="1" t="s">
        <v>3829</v>
      </c>
      <c r="H1182" t="s">
        <v>307</v>
      </c>
      <c r="I1182" t="s">
        <v>775</v>
      </c>
      <c r="J1182">
        <v>13</v>
      </c>
      <c r="K1182" t="s">
        <v>26</v>
      </c>
      <c r="L1182" t="s">
        <v>3757</v>
      </c>
      <c r="M1182" t="s">
        <v>3753</v>
      </c>
      <c r="N1182" t="s">
        <v>310</v>
      </c>
      <c r="O1182" t="s">
        <v>777</v>
      </c>
      <c r="P1182" t="s">
        <v>404</v>
      </c>
    </row>
    <row r="1183" spans="1:16" x14ac:dyDescent="0.25">
      <c r="A1183" t="s">
        <v>3830</v>
      </c>
      <c r="B1183" t="s">
        <v>3749</v>
      </c>
      <c r="C1183" s="1" t="s">
        <v>3831</v>
      </c>
      <c r="D1183" t="s">
        <v>42</v>
      </c>
      <c r="E1183" t="s">
        <v>43</v>
      </c>
      <c r="F1183" s="2">
        <v>190444.76</v>
      </c>
      <c r="G1183" s="1" t="s">
        <v>3832</v>
      </c>
      <c r="H1183" t="s">
        <v>307</v>
      </c>
      <c r="I1183" t="s">
        <v>775</v>
      </c>
      <c r="J1183">
        <v>13</v>
      </c>
      <c r="K1183" t="s">
        <v>26</v>
      </c>
      <c r="L1183" t="s">
        <v>3757</v>
      </c>
      <c r="M1183" t="s">
        <v>3753</v>
      </c>
      <c r="N1183" t="s">
        <v>310</v>
      </c>
      <c r="O1183" t="s">
        <v>777</v>
      </c>
      <c r="P1183" t="s">
        <v>404</v>
      </c>
    </row>
    <row r="1184" spans="1:16" x14ac:dyDescent="0.25">
      <c r="A1184" t="s">
        <v>3833</v>
      </c>
      <c r="B1184" t="s">
        <v>3749</v>
      </c>
      <c r="C1184" s="1" t="s">
        <v>3834</v>
      </c>
      <c r="D1184" t="s">
        <v>42</v>
      </c>
      <c r="E1184" t="s">
        <v>43</v>
      </c>
      <c r="F1184" s="2">
        <v>194548.85</v>
      </c>
      <c r="G1184" s="1" t="s">
        <v>3835</v>
      </c>
      <c r="H1184" t="s">
        <v>307</v>
      </c>
      <c r="I1184" t="s">
        <v>775</v>
      </c>
      <c r="J1184">
        <v>11</v>
      </c>
      <c r="K1184" t="s">
        <v>26</v>
      </c>
      <c r="L1184" t="s">
        <v>3757</v>
      </c>
      <c r="M1184" t="s">
        <v>3753</v>
      </c>
      <c r="N1184" t="s">
        <v>310</v>
      </c>
      <c r="O1184" t="s">
        <v>777</v>
      </c>
      <c r="P1184" t="s">
        <v>404</v>
      </c>
    </row>
    <row r="1185" spans="1:16" x14ac:dyDescent="0.25">
      <c r="A1185" t="s">
        <v>3836</v>
      </c>
      <c r="B1185" t="s">
        <v>3749</v>
      </c>
      <c r="C1185" s="1" t="s">
        <v>3837</v>
      </c>
      <c r="D1185" t="s">
        <v>42</v>
      </c>
      <c r="E1185" t="s">
        <v>43</v>
      </c>
      <c r="F1185" s="2">
        <v>145073.91</v>
      </c>
      <c r="G1185" s="1" t="s">
        <v>3838</v>
      </c>
      <c r="H1185" t="s">
        <v>307</v>
      </c>
      <c r="I1185" t="s">
        <v>775</v>
      </c>
      <c r="J1185">
        <v>11</v>
      </c>
      <c r="K1185" t="s">
        <v>26</v>
      </c>
      <c r="L1185" t="s">
        <v>3757</v>
      </c>
      <c r="M1185" t="s">
        <v>3753</v>
      </c>
      <c r="N1185" t="s">
        <v>310</v>
      </c>
      <c r="O1185" t="s">
        <v>777</v>
      </c>
      <c r="P1185" t="s">
        <v>404</v>
      </c>
    </row>
    <row r="1186" spans="1:16" x14ac:dyDescent="0.25">
      <c r="A1186" t="s">
        <v>3839</v>
      </c>
      <c r="B1186" t="s">
        <v>3749</v>
      </c>
      <c r="C1186" s="1" t="s">
        <v>3840</v>
      </c>
      <c r="D1186" t="s">
        <v>63</v>
      </c>
      <c r="E1186" t="s">
        <v>64</v>
      </c>
      <c r="F1186" s="2">
        <v>82738.98</v>
      </c>
      <c r="G1186" s="1" t="s">
        <v>3841</v>
      </c>
      <c r="H1186" t="s">
        <v>307</v>
      </c>
      <c r="I1186" t="s">
        <v>401</v>
      </c>
      <c r="J1186">
        <v>7</v>
      </c>
      <c r="K1186" t="s">
        <v>26</v>
      </c>
      <c r="L1186" t="s">
        <v>3842</v>
      </c>
      <c r="M1186" t="s">
        <v>3753</v>
      </c>
      <c r="N1186" t="s">
        <v>310</v>
      </c>
      <c r="O1186" t="s">
        <v>403</v>
      </c>
      <c r="P1186" t="s">
        <v>31</v>
      </c>
    </row>
    <row r="1187" spans="1:16" x14ac:dyDescent="0.25">
      <c r="A1187" t="s">
        <v>3843</v>
      </c>
      <c r="B1187" t="s">
        <v>3844</v>
      </c>
      <c r="C1187" s="1" t="s">
        <v>3845</v>
      </c>
      <c r="D1187" t="s">
        <v>247</v>
      </c>
      <c r="E1187" t="s">
        <v>248</v>
      </c>
      <c r="F1187" s="2">
        <v>2599965</v>
      </c>
      <c r="G1187" s="1" t="s">
        <v>3846</v>
      </c>
      <c r="H1187" t="s">
        <v>3847</v>
      </c>
      <c r="I1187" t="s">
        <v>3848</v>
      </c>
      <c r="J1187">
        <v>1</v>
      </c>
      <c r="K1187" t="s">
        <v>26</v>
      </c>
      <c r="L1187" t="s">
        <v>3849</v>
      </c>
      <c r="M1187" t="s">
        <v>3850</v>
      </c>
      <c r="N1187" t="s">
        <v>3851</v>
      </c>
      <c r="O1187" t="s">
        <v>807</v>
      </c>
      <c r="P1187" t="s">
        <v>31</v>
      </c>
    </row>
    <row r="1188" spans="1:16" x14ac:dyDescent="0.25">
      <c r="A1188" t="s">
        <v>3852</v>
      </c>
      <c r="B1188" t="s">
        <v>3844</v>
      </c>
      <c r="C1188" s="1" t="s">
        <v>3853</v>
      </c>
      <c r="D1188" t="s">
        <v>247</v>
      </c>
      <c r="E1188" t="s">
        <v>248</v>
      </c>
      <c r="F1188" s="2">
        <v>4328807</v>
      </c>
      <c r="G1188" s="1" t="s">
        <v>3854</v>
      </c>
      <c r="H1188" t="s">
        <v>3847</v>
      </c>
      <c r="I1188" t="s">
        <v>3848</v>
      </c>
      <c r="J1188">
        <v>1</v>
      </c>
      <c r="K1188" t="s">
        <v>26</v>
      </c>
      <c r="L1188" t="s">
        <v>3849</v>
      </c>
      <c r="M1188" t="s">
        <v>3850</v>
      </c>
      <c r="N1188" t="s">
        <v>3851</v>
      </c>
      <c r="O1188" t="s">
        <v>807</v>
      </c>
      <c r="P1188" t="s">
        <v>31</v>
      </c>
    </row>
    <row r="1189" spans="1:16" x14ac:dyDescent="0.25">
      <c r="A1189" t="s">
        <v>3855</v>
      </c>
      <c r="B1189" t="s">
        <v>3844</v>
      </c>
      <c r="C1189" s="1" t="s">
        <v>3856</v>
      </c>
      <c r="D1189" t="s">
        <v>247</v>
      </c>
      <c r="E1189" t="s">
        <v>248</v>
      </c>
      <c r="F1189" s="2">
        <v>1855416</v>
      </c>
      <c r="G1189" s="1" t="s">
        <v>3857</v>
      </c>
      <c r="H1189" t="s">
        <v>3847</v>
      </c>
      <c r="I1189" t="s">
        <v>3848</v>
      </c>
      <c r="J1189">
        <v>1</v>
      </c>
      <c r="K1189" t="s">
        <v>26</v>
      </c>
      <c r="L1189" t="s">
        <v>3849</v>
      </c>
      <c r="M1189" t="s">
        <v>3850</v>
      </c>
      <c r="N1189" t="s">
        <v>3851</v>
      </c>
      <c r="O1189" t="s">
        <v>807</v>
      </c>
      <c r="P1189" t="s">
        <v>31</v>
      </c>
    </row>
    <row r="1190" spans="1:16" x14ac:dyDescent="0.25">
      <c r="A1190" t="s">
        <v>3858</v>
      </c>
      <c r="B1190" t="s">
        <v>3844</v>
      </c>
      <c r="C1190" s="1" t="s">
        <v>3859</v>
      </c>
      <c r="D1190" t="s">
        <v>247</v>
      </c>
      <c r="E1190" t="s">
        <v>248</v>
      </c>
      <c r="F1190" s="2">
        <v>2355753</v>
      </c>
      <c r="G1190" s="1" t="s">
        <v>3860</v>
      </c>
      <c r="H1190" t="s">
        <v>3847</v>
      </c>
      <c r="I1190" t="s">
        <v>3848</v>
      </c>
      <c r="J1190">
        <v>1</v>
      </c>
      <c r="K1190" t="s">
        <v>26</v>
      </c>
      <c r="L1190" t="s">
        <v>3849</v>
      </c>
      <c r="M1190" t="s">
        <v>3850</v>
      </c>
      <c r="N1190" t="s">
        <v>3851</v>
      </c>
      <c r="O1190" t="s">
        <v>807</v>
      </c>
      <c r="P1190" t="s">
        <v>31</v>
      </c>
    </row>
    <row r="1191" spans="1:16" x14ac:dyDescent="0.25">
      <c r="A1191" t="s">
        <v>3861</v>
      </c>
      <c r="B1191" t="s">
        <v>3844</v>
      </c>
      <c r="C1191" s="1" t="s">
        <v>3862</v>
      </c>
      <c r="D1191" t="s">
        <v>247</v>
      </c>
      <c r="E1191" t="s">
        <v>248</v>
      </c>
      <c r="F1191" s="2">
        <v>2288743</v>
      </c>
      <c r="G1191" s="1" t="s">
        <v>3863</v>
      </c>
      <c r="H1191" t="s">
        <v>3847</v>
      </c>
      <c r="I1191" t="s">
        <v>3848</v>
      </c>
      <c r="J1191">
        <v>1</v>
      </c>
      <c r="K1191" t="s">
        <v>26</v>
      </c>
      <c r="L1191" t="s">
        <v>3849</v>
      </c>
      <c r="M1191" t="s">
        <v>3850</v>
      </c>
      <c r="N1191" t="s">
        <v>3851</v>
      </c>
      <c r="O1191" t="s">
        <v>807</v>
      </c>
      <c r="P1191" t="s">
        <v>31</v>
      </c>
    </row>
    <row r="1192" spans="1:16" x14ac:dyDescent="0.25">
      <c r="A1192" t="s">
        <v>3864</v>
      </c>
      <c r="B1192" t="s">
        <v>3844</v>
      </c>
      <c r="C1192" s="1" t="s">
        <v>3865</v>
      </c>
      <c r="D1192" t="s">
        <v>247</v>
      </c>
      <c r="E1192" t="s">
        <v>248</v>
      </c>
      <c r="F1192" s="2">
        <v>2790569</v>
      </c>
      <c r="G1192" s="1" t="s">
        <v>3866</v>
      </c>
      <c r="H1192" t="s">
        <v>3847</v>
      </c>
      <c r="I1192" t="s">
        <v>3848</v>
      </c>
      <c r="J1192">
        <v>1</v>
      </c>
      <c r="K1192" t="s">
        <v>26</v>
      </c>
      <c r="L1192" t="s">
        <v>3849</v>
      </c>
      <c r="M1192" t="s">
        <v>3850</v>
      </c>
      <c r="N1192" t="s">
        <v>3851</v>
      </c>
      <c r="O1192" t="s">
        <v>807</v>
      </c>
      <c r="P1192" t="s">
        <v>31</v>
      </c>
    </row>
    <row r="1193" spans="1:16" x14ac:dyDescent="0.25">
      <c r="A1193" t="s">
        <v>3867</v>
      </c>
      <c r="B1193" t="s">
        <v>3844</v>
      </c>
      <c r="C1193" s="1" t="s">
        <v>3868</v>
      </c>
      <c r="D1193" t="s">
        <v>247</v>
      </c>
      <c r="E1193" t="s">
        <v>248</v>
      </c>
      <c r="F1193" s="2">
        <v>1733310</v>
      </c>
      <c r="G1193" s="1" t="s">
        <v>3869</v>
      </c>
      <c r="H1193" t="s">
        <v>3847</v>
      </c>
      <c r="I1193" t="s">
        <v>3848</v>
      </c>
      <c r="J1193">
        <v>1</v>
      </c>
      <c r="K1193" t="s">
        <v>26</v>
      </c>
      <c r="L1193" t="s">
        <v>3849</v>
      </c>
      <c r="M1193" t="s">
        <v>3850</v>
      </c>
      <c r="N1193" t="s">
        <v>3851</v>
      </c>
      <c r="O1193" t="s">
        <v>807</v>
      </c>
      <c r="P1193" t="s">
        <v>31</v>
      </c>
    </row>
    <row r="1194" spans="1:16" x14ac:dyDescent="0.25">
      <c r="A1194" t="s">
        <v>3870</v>
      </c>
      <c r="B1194" t="s">
        <v>3844</v>
      </c>
      <c r="C1194" s="1" t="s">
        <v>3871</v>
      </c>
      <c r="D1194" t="s">
        <v>247</v>
      </c>
      <c r="E1194" t="s">
        <v>248</v>
      </c>
      <c r="F1194" s="2">
        <v>1506967</v>
      </c>
      <c r="G1194" s="1" t="s">
        <v>3872</v>
      </c>
      <c r="H1194" t="s">
        <v>3847</v>
      </c>
      <c r="I1194" t="s">
        <v>3848</v>
      </c>
      <c r="J1194">
        <v>1</v>
      </c>
      <c r="K1194" t="s">
        <v>26</v>
      </c>
      <c r="L1194" t="s">
        <v>3849</v>
      </c>
      <c r="M1194" t="s">
        <v>3850</v>
      </c>
      <c r="N1194" t="s">
        <v>3851</v>
      </c>
      <c r="O1194" t="s">
        <v>807</v>
      </c>
      <c r="P1194" t="s">
        <v>31</v>
      </c>
    </row>
    <row r="1195" spans="1:16" x14ac:dyDescent="0.25">
      <c r="A1195" t="s">
        <v>3873</v>
      </c>
      <c r="B1195" t="s">
        <v>3844</v>
      </c>
      <c r="C1195" s="1" t="s">
        <v>3874</v>
      </c>
      <c r="D1195" t="s">
        <v>247</v>
      </c>
      <c r="E1195" t="s">
        <v>248</v>
      </c>
      <c r="F1195" s="2">
        <v>2470413</v>
      </c>
      <c r="G1195" s="1" t="s">
        <v>3875</v>
      </c>
      <c r="H1195" t="s">
        <v>3847</v>
      </c>
      <c r="I1195" t="s">
        <v>3848</v>
      </c>
      <c r="J1195">
        <v>1</v>
      </c>
      <c r="K1195" t="s">
        <v>26</v>
      </c>
      <c r="L1195" t="s">
        <v>3849</v>
      </c>
      <c r="M1195" t="s">
        <v>3850</v>
      </c>
      <c r="N1195" t="s">
        <v>3851</v>
      </c>
      <c r="O1195" t="s">
        <v>807</v>
      </c>
      <c r="P1195" t="s">
        <v>31</v>
      </c>
    </row>
    <row r="1196" spans="1:16" x14ac:dyDescent="0.25">
      <c r="A1196" t="s">
        <v>3876</v>
      </c>
      <c r="B1196" t="s">
        <v>3844</v>
      </c>
      <c r="C1196" s="1" t="s">
        <v>3877</v>
      </c>
      <c r="D1196" t="s">
        <v>247</v>
      </c>
      <c r="E1196" t="s">
        <v>248</v>
      </c>
      <c r="F1196" s="2">
        <v>1995391</v>
      </c>
      <c r="G1196" s="1" t="s">
        <v>3878</v>
      </c>
      <c r="H1196" t="s">
        <v>3847</v>
      </c>
      <c r="I1196" t="s">
        <v>3848</v>
      </c>
      <c r="J1196">
        <v>1</v>
      </c>
      <c r="K1196" t="s">
        <v>26</v>
      </c>
      <c r="L1196" t="s">
        <v>3849</v>
      </c>
      <c r="M1196" t="s">
        <v>3850</v>
      </c>
      <c r="N1196" t="s">
        <v>3851</v>
      </c>
      <c r="O1196" t="s">
        <v>807</v>
      </c>
      <c r="P1196" t="s">
        <v>31</v>
      </c>
    </row>
    <row r="1197" spans="1:16" x14ac:dyDescent="0.25">
      <c r="A1197" t="s">
        <v>3879</v>
      </c>
      <c r="B1197" t="s">
        <v>3844</v>
      </c>
      <c r="C1197" s="1" t="s">
        <v>3880</v>
      </c>
      <c r="D1197" t="s">
        <v>247</v>
      </c>
      <c r="E1197" t="s">
        <v>248</v>
      </c>
      <c r="F1197" s="2">
        <v>9906968</v>
      </c>
      <c r="G1197" s="1" t="s">
        <v>3881</v>
      </c>
      <c r="H1197" t="s">
        <v>3847</v>
      </c>
      <c r="I1197" t="s">
        <v>3848</v>
      </c>
      <c r="J1197">
        <v>1</v>
      </c>
      <c r="K1197" t="s">
        <v>26</v>
      </c>
      <c r="L1197" t="s">
        <v>3849</v>
      </c>
      <c r="M1197" t="s">
        <v>3850</v>
      </c>
      <c r="N1197" t="s">
        <v>3851</v>
      </c>
      <c r="O1197" t="s">
        <v>807</v>
      </c>
      <c r="P1197" t="s">
        <v>31</v>
      </c>
    </row>
    <row r="1198" spans="1:16" x14ac:dyDescent="0.25">
      <c r="A1198" t="s">
        <v>3882</v>
      </c>
      <c r="B1198" t="s">
        <v>3844</v>
      </c>
      <c r="C1198" s="1" t="s">
        <v>3883</v>
      </c>
      <c r="D1198" t="s">
        <v>247</v>
      </c>
      <c r="E1198" t="s">
        <v>248</v>
      </c>
      <c r="F1198" s="2">
        <v>7119377</v>
      </c>
      <c r="G1198" s="1" t="s">
        <v>3884</v>
      </c>
      <c r="H1198" t="s">
        <v>3847</v>
      </c>
      <c r="I1198" t="s">
        <v>3848</v>
      </c>
      <c r="J1198">
        <v>1</v>
      </c>
      <c r="K1198" t="s">
        <v>26</v>
      </c>
      <c r="L1198" t="s">
        <v>3849</v>
      </c>
      <c r="M1198" t="s">
        <v>3850</v>
      </c>
      <c r="N1198" t="s">
        <v>3851</v>
      </c>
      <c r="O1198" t="s">
        <v>807</v>
      </c>
      <c r="P1198" t="s">
        <v>31</v>
      </c>
    </row>
    <row r="1199" spans="1:16" x14ac:dyDescent="0.25">
      <c r="A1199" t="s">
        <v>3885</v>
      </c>
      <c r="B1199" t="s">
        <v>3844</v>
      </c>
      <c r="C1199" s="1" t="s">
        <v>3886</v>
      </c>
      <c r="D1199" t="s">
        <v>247</v>
      </c>
      <c r="E1199" t="s">
        <v>248</v>
      </c>
      <c r="F1199" s="2">
        <v>7119377</v>
      </c>
      <c r="G1199" s="1" t="s">
        <v>3887</v>
      </c>
      <c r="H1199" t="s">
        <v>3847</v>
      </c>
      <c r="I1199" t="s">
        <v>3848</v>
      </c>
      <c r="J1199">
        <v>1</v>
      </c>
      <c r="K1199" t="s">
        <v>26</v>
      </c>
      <c r="L1199" t="s">
        <v>3849</v>
      </c>
      <c r="M1199" t="s">
        <v>3850</v>
      </c>
      <c r="N1199" t="s">
        <v>3851</v>
      </c>
      <c r="O1199" t="s">
        <v>807</v>
      </c>
      <c r="P1199" t="s">
        <v>31</v>
      </c>
    </row>
    <row r="1200" spans="1:16" x14ac:dyDescent="0.25">
      <c r="A1200" t="s">
        <v>3888</v>
      </c>
      <c r="B1200" t="s">
        <v>3844</v>
      </c>
      <c r="C1200" s="1" t="s">
        <v>3889</v>
      </c>
      <c r="D1200" t="s">
        <v>247</v>
      </c>
      <c r="E1200" t="s">
        <v>248</v>
      </c>
      <c r="F1200" s="2">
        <v>7119377</v>
      </c>
      <c r="G1200" s="1" t="s">
        <v>3890</v>
      </c>
      <c r="H1200" t="s">
        <v>3847</v>
      </c>
      <c r="I1200" t="s">
        <v>3848</v>
      </c>
      <c r="J1200">
        <v>1</v>
      </c>
      <c r="K1200" t="s">
        <v>26</v>
      </c>
      <c r="L1200" t="s">
        <v>3849</v>
      </c>
      <c r="M1200" t="s">
        <v>3850</v>
      </c>
      <c r="N1200" t="s">
        <v>3851</v>
      </c>
      <c r="O1200" t="s">
        <v>807</v>
      </c>
      <c r="P1200" t="s">
        <v>31</v>
      </c>
    </row>
    <row r="1201" spans="1:16" x14ac:dyDescent="0.25">
      <c r="A1201" t="s">
        <v>3891</v>
      </c>
      <c r="B1201" t="s">
        <v>3844</v>
      </c>
      <c r="C1201" s="1" t="s">
        <v>3892</v>
      </c>
      <c r="D1201" t="s">
        <v>247</v>
      </c>
      <c r="E1201" t="s">
        <v>248</v>
      </c>
      <c r="F1201" s="2">
        <v>7119377</v>
      </c>
      <c r="G1201" s="1" t="s">
        <v>3893</v>
      </c>
      <c r="H1201" t="s">
        <v>3847</v>
      </c>
      <c r="I1201" t="s">
        <v>3848</v>
      </c>
      <c r="J1201">
        <v>1</v>
      </c>
      <c r="K1201" t="s">
        <v>26</v>
      </c>
      <c r="L1201" t="s">
        <v>3849</v>
      </c>
      <c r="M1201" t="s">
        <v>3850</v>
      </c>
      <c r="N1201" t="s">
        <v>3851</v>
      </c>
      <c r="O1201" t="s">
        <v>807</v>
      </c>
      <c r="P1201" t="s">
        <v>31</v>
      </c>
    </row>
    <row r="1202" spans="1:16" x14ac:dyDescent="0.25">
      <c r="A1202" t="s">
        <v>3894</v>
      </c>
      <c r="B1202" t="s">
        <v>3844</v>
      </c>
      <c r="C1202" s="1" t="s">
        <v>3895</v>
      </c>
      <c r="D1202" t="s">
        <v>247</v>
      </c>
      <c r="E1202" t="s">
        <v>248</v>
      </c>
      <c r="F1202" s="2">
        <v>6419501</v>
      </c>
      <c r="G1202" s="1" t="s">
        <v>3896</v>
      </c>
      <c r="H1202" t="s">
        <v>3847</v>
      </c>
      <c r="I1202" t="s">
        <v>3848</v>
      </c>
      <c r="J1202">
        <v>1</v>
      </c>
      <c r="K1202" t="s">
        <v>26</v>
      </c>
      <c r="L1202" t="s">
        <v>3849</v>
      </c>
      <c r="M1202" t="s">
        <v>3850</v>
      </c>
      <c r="N1202" t="s">
        <v>3851</v>
      </c>
      <c r="O1202" t="s">
        <v>807</v>
      </c>
      <c r="P1202" t="s">
        <v>31</v>
      </c>
    </row>
    <row r="1203" spans="1:16" x14ac:dyDescent="0.25">
      <c r="A1203" t="s">
        <v>3897</v>
      </c>
      <c r="B1203" t="s">
        <v>3844</v>
      </c>
      <c r="C1203" s="1" t="s">
        <v>3898</v>
      </c>
      <c r="D1203" t="s">
        <v>247</v>
      </c>
      <c r="E1203" t="s">
        <v>248</v>
      </c>
      <c r="F1203" s="2">
        <v>2032618</v>
      </c>
      <c r="G1203" s="1" t="s">
        <v>3899</v>
      </c>
      <c r="H1203" t="s">
        <v>3847</v>
      </c>
      <c r="I1203" t="s">
        <v>3848</v>
      </c>
      <c r="J1203">
        <v>1</v>
      </c>
      <c r="K1203" t="s">
        <v>26</v>
      </c>
      <c r="L1203" t="s">
        <v>3849</v>
      </c>
      <c r="M1203" t="s">
        <v>3850</v>
      </c>
      <c r="N1203" t="s">
        <v>3851</v>
      </c>
      <c r="O1203" t="s">
        <v>807</v>
      </c>
      <c r="P1203" t="s">
        <v>31</v>
      </c>
    </row>
    <row r="1204" spans="1:16" x14ac:dyDescent="0.25">
      <c r="A1204" t="s">
        <v>3900</v>
      </c>
      <c r="B1204" t="s">
        <v>3844</v>
      </c>
      <c r="C1204" s="1" t="s">
        <v>3901</v>
      </c>
      <c r="D1204" t="s">
        <v>247</v>
      </c>
      <c r="E1204" t="s">
        <v>248</v>
      </c>
      <c r="F1204" s="2">
        <v>1830101</v>
      </c>
      <c r="G1204" s="1" t="s">
        <v>3902</v>
      </c>
      <c r="H1204" t="s">
        <v>3847</v>
      </c>
      <c r="I1204" t="s">
        <v>3848</v>
      </c>
      <c r="J1204">
        <v>1</v>
      </c>
      <c r="K1204" t="s">
        <v>26</v>
      </c>
      <c r="L1204" t="s">
        <v>3849</v>
      </c>
      <c r="M1204" t="s">
        <v>3850</v>
      </c>
      <c r="N1204" t="s">
        <v>3851</v>
      </c>
      <c r="O1204" t="s">
        <v>807</v>
      </c>
      <c r="P1204" t="s">
        <v>31</v>
      </c>
    </row>
    <row r="1205" spans="1:16" x14ac:dyDescent="0.25">
      <c r="A1205" t="s">
        <v>3903</v>
      </c>
      <c r="B1205" t="s">
        <v>3844</v>
      </c>
      <c r="C1205" s="1" t="s">
        <v>3904</v>
      </c>
      <c r="D1205" t="s">
        <v>247</v>
      </c>
      <c r="E1205" t="s">
        <v>248</v>
      </c>
      <c r="F1205" s="2">
        <v>1733310</v>
      </c>
      <c r="G1205" s="1" t="s">
        <v>3905</v>
      </c>
      <c r="H1205" t="s">
        <v>3847</v>
      </c>
      <c r="I1205" t="s">
        <v>3848</v>
      </c>
      <c r="J1205">
        <v>1</v>
      </c>
      <c r="K1205" t="s">
        <v>26</v>
      </c>
      <c r="L1205" t="s">
        <v>3849</v>
      </c>
      <c r="M1205" t="s">
        <v>3850</v>
      </c>
      <c r="N1205" t="s">
        <v>3851</v>
      </c>
      <c r="O1205" t="s">
        <v>807</v>
      </c>
      <c r="P1205" t="s">
        <v>31</v>
      </c>
    </row>
    <row r="1206" spans="1:16" x14ac:dyDescent="0.25">
      <c r="A1206" t="s">
        <v>3906</v>
      </c>
      <c r="B1206" t="s">
        <v>3844</v>
      </c>
      <c r="C1206" s="1" t="s">
        <v>3907</v>
      </c>
      <c r="D1206" t="s">
        <v>247</v>
      </c>
      <c r="E1206" t="s">
        <v>248</v>
      </c>
      <c r="F1206" s="2">
        <v>2473391</v>
      </c>
      <c r="G1206" s="1" t="s">
        <v>3908</v>
      </c>
      <c r="H1206" t="s">
        <v>3847</v>
      </c>
      <c r="I1206" t="s">
        <v>3848</v>
      </c>
      <c r="J1206">
        <v>1</v>
      </c>
      <c r="K1206" t="s">
        <v>26</v>
      </c>
      <c r="L1206" t="s">
        <v>3849</v>
      </c>
      <c r="M1206" t="s">
        <v>3850</v>
      </c>
      <c r="N1206" t="s">
        <v>3851</v>
      </c>
      <c r="O1206" t="s">
        <v>807</v>
      </c>
      <c r="P1206" t="s">
        <v>31</v>
      </c>
    </row>
    <row r="1207" spans="1:16" x14ac:dyDescent="0.25">
      <c r="A1207" t="s">
        <v>3909</v>
      </c>
      <c r="B1207" t="s">
        <v>3844</v>
      </c>
      <c r="C1207" s="1" t="s">
        <v>3910</v>
      </c>
      <c r="D1207" t="s">
        <v>247</v>
      </c>
      <c r="E1207" t="s">
        <v>248</v>
      </c>
      <c r="F1207" s="2">
        <v>1486120</v>
      </c>
      <c r="G1207" s="1" t="s">
        <v>3911</v>
      </c>
      <c r="H1207" t="s">
        <v>3847</v>
      </c>
      <c r="I1207" t="s">
        <v>3848</v>
      </c>
      <c r="J1207">
        <v>1</v>
      </c>
      <c r="K1207" t="s">
        <v>26</v>
      </c>
      <c r="L1207" t="s">
        <v>3849</v>
      </c>
      <c r="M1207" t="s">
        <v>3850</v>
      </c>
      <c r="N1207" t="s">
        <v>3851</v>
      </c>
      <c r="O1207" t="s">
        <v>807</v>
      </c>
      <c r="P1207" t="s">
        <v>31</v>
      </c>
    </row>
    <row r="1208" spans="1:16" x14ac:dyDescent="0.25">
      <c r="A1208" t="s">
        <v>3912</v>
      </c>
      <c r="B1208" t="s">
        <v>3844</v>
      </c>
      <c r="C1208" s="1" t="s">
        <v>3913</v>
      </c>
      <c r="D1208" t="s">
        <v>247</v>
      </c>
      <c r="E1208" t="s">
        <v>248</v>
      </c>
      <c r="F1208" s="2">
        <v>2223223</v>
      </c>
      <c r="G1208" s="1" t="s">
        <v>3914</v>
      </c>
      <c r="H1208" t="s">
        <v>3847</v>
      </c>
      <c r="I1208" t="s">
        <v>3848</v>
      </c>
      <c r="J1208">
        <v>1</v>
      </c>
      <c r="K1208" t="s">
        <v>26</v>
      </c>
      <c r="L1208" t="s">
        <v>3849</v>
      </c>
      <c r="M1208" t="s">
        <v>3850</v>
      </c>
      <c r="N1208" t="s">
        <v>3851</v>
      </c>
      <c r="O1208" t="s">
        <v>807</v>
      </c>
      <c r="P1208" t="s">
        <v>31</v>
      </c>
    </row>
    <row r="1209" spans="1:16" x14ac:dyDescent="0.25">
      <c r="A1209" t="s">
        <v>3915</v>
      </c>
      <c r="B1209" t="s">
        <v>3844</v>
      </c>
      <c r="C1209" s="1" t="s">
        <v>3916</v>
      </c>
      <c r="D1209" t="s">
        <v>247</v>
      </c>
      <c r="E1209" t="s">
        <v>248</v>
      </c>
      <c r="F1209" s="2">
        <v>12999824</v>
      </c>
      <c r="G1209" s="1" t="s">
        <v>3917</v>
      </c>
      <c r="H1209" t="s">
        <v>3847</v>
      </c>
      <c r="I1209" t="s">
        <v>3848</v>
      </c>
      <c r="J1209">
        <v>1</v>
      </c>
      <c r="K1209" t="s">
        <v>26</v>
      </c>
      <c r="L1209" t="s">
        <v>3849</v>
      </c>
      <c r="M1209" t="s">
        <v>3850</v>
      </c>
      <c r="N1209" t="s">
        <v>3851</v>
      </c>
      <c r="O1209" t="s">
        <v>807</v>
      </c>
      <c r="P1209" t="s">
        <v>31</v>
      </c>
    </row>
    <row r="1210" spans="1:16" x14ac:dyDescent="0.25">
      <c r="A1210" t="s">
        <v>3918</v>
      </c>
      <c r="B1210" t="s">
        <v>3844</v>
      </c>
      <c r="C1210" s="1" t="s">
        <v>3919</v>
      </c>
      <c r="D1210" t="s">
        <v>247</v>
      </c>
      <c r="E1210" t="s">
        <v>248</v>
      </c>
      <c r="F1210" s="2">
        <v>9906968</v>
      </c>
      <c r="G1210" s="1" t="s">
        <v>3920</v>
      </c>
      <c r="H1210" t="s">
        <v>3847</v>
      </c>
      <c r="I1210" t="s">
        <v>3848</v>
      </c>
      <c r="J1210">
        <v>1</v>
      </c>
      <c r="K1210" t="s">
        <v>26</v>
      </c>
      <c r="L1210" t="s">
        <v>3849</v>
      </c>
      <c r="M1210" t="s">
        <v>3850</v>
      </c>
      <c r="N1210" t="s">
        <v>3851</v>
      </c>
      <c r="O1210" t="s">
        <v>807</v>
      </c>
      <c r="P1210" t="s">
        <v>31</v>
      </c>
    </row>
    <row r="1211" spans="1:16" x14ac:dyDescent="0.25">
      <c r="A1211" t="s">
        <v>3921</v>
      </c>
      <c r="B1211" t="s">
        <v>3844</v>
      </c>
      <c r="C1211" s="1" t="s">
        <v>3922</v>
      </c>
      <c r="D1211" t="s">
        <v>247</v>
      </c>
      <c r="E1211" t="s">
        <v>248</v>
      </c>
      <c r="F1211" s="2">
        <v>8359795</v>
      </c>
      <c r="G1211" s="1" t="s">
        <v>3923</v>
      </c>
      <c r="H1211" t="s">
        <v>3847</v>
      </c>
      <c r="I1211" t="s">
        <v>3848</v>
      </c>
      <c r="J1211">
        <v>1</v>
      </c>
      <c r="K1211" t="s">
        <v>26</v>
      </c>
      <c r="L1211" t="s">
        <v>3849</v>
      </c>
      <c r="M1211" t="s">
        <v>3850</v>
      </c>
      <c r="N1211" t="s">
        <v>3851</v>
      </c>
      <c r="O1211" t="s">
        <v>807</v>
      </c>
      <c r="P1211" t="s">
        <v>31</v>
      </c>
    </row>
    <row r="1212" spans="1:16" x14ac:dyDescent="0.25">
      <c r="A1212" t="s">
        <v>3924</v>
      </c>
      <c r="B1212" t="s">
        <v>3844</v>
      </c>
      <c r="C1212" s="1" t="s">
        <v>3925</v>
      </c>
      <c r="D1212" t="s">
        <v>247</v>
      </c>
      <c r="E1212" t="s">
        <v>248</v>
      </c>
      <c r="F1212" s="2">
        <v>7119377</v>
      </c>
      <c r="G1212" s="1" t="s">
        <v>3926</v>
      </c>
      <c r="H1212" t="s">
        <v>3847</v>
      </c>
      <c r="I1212" t="s">
        <v>3848</v>
      </c>
      <c r="J1212">
        <v>1</v>
      </c>
      <c r="K1212" t="s">
        <v>26</v>
      </c>
      <c r="L1212" t="s">
        <v>3849</v>
      </c>
      <c r="M1212" t="s">
        <v>3850</v>
      </c>
      <c r="N1212" t="s">
        <v>3851</v>
      </c>
      <c r="O1212" t="s">
        <v>807</v>
      </c>
      <c r="P1212" t="s">
        <v>31</v>
      </c>
    </row>
    <row r="1213" spans="1:16" x14ac:dyDescent="0.25">
      <c r="A1213" t="s">
        <v>3927</v>
      </c>
      <c r="B1213" t="s">
        <v>3844</v>
      </c>
      <c r="C1213" s="1" t="s">
        <v>3928</v>
      </c>
      <c r="D1213" t="s">
        <v>247</v>
      </c>
      <c r="E1213" t="s">
        <v>248</v>
      </c>
      <c r="F1213" s="2">
        <v>6419501</v>
      </c>
      <c r="G1213" s="1" t="s">
        <v>3929</v>
      </c>
      <c r="H1213" t="s">
        <v>3847</v>
      </c>
      <c r="I1213" t="s">
        <v>3848</v>
      </c>
      <c r="J1213">
        <v>1</v>
      </c>
      <c r="K1213" t="s">
        <v>26</v>
      </c>
      <c r="L1213" t="s">
        <v>3849</v>
      </c>
      <c r="M1213" t="s">
        <v>3850</v>
      </c>
      <c r="N1213" t="s">
        <v>3851</v>
      </c>
      <c r="O1213" t="s">
        <v>807</v>
      </c>
      <c r="P1213" t="s">
        <v>31</v>
      </c>
    </row>
    <row r="1214" spans="1:16" x14ac:dyDescent="0.25">
      <c r="A1214" t="s">
        <v>3930</v>
      </c>
      <c r="B1214" t="s">
        <v>3844</v>
      </c>
      <c r="C1214" s="1" t="s">
        <v>3931</v>
      </c>
      <c r="D1214" t="s">
        <v>247</v>
      </c>
      <c r="E1214" t="s">
        <v>248</v>
      </c>
      <c r="F1214" s="2">
        <v>5725581</v>
      </c>
      <c r="G1214" s="1" t="s">
        <v>3932</v>
      </c>
      <c r="H1214" t="s">
        <v>3847</v>
      </c>
      <c r="I1214" t="s">
        <v>3848</v>
      </c>
      <c r="J1214">
        <v>1</v>
      </c>
      <c r="K1214" t="s">
        <v>26</v>
      </c>
      <c r="L1214" t="s">
        <v>3849</v>
      </c>
      <c r="M1214" t="s">
        <v>3850</v>
      </c>
      <c r="N1214" t="s">
        <v>3851</v>
      </c>
      <c r="O1214" t="s">
        <v>807</v>
      </c>
      <c r="P1214" t="s">
        <v>31</v>
      </c>
    </row>
    <row r="1215" spans="1:16" x14ac:dyDescent="0.25">
      <c r="A1215" t="s">
        <v>3933</v>
      </c>
      <c r="B1215" t="s">
        <v>3844</v>
      </c>
      <c r="C1215" s="1" t="s">
        <v>3934</v>
      </c>
      <c r="D1215" t="s">
        <v>247</v>
      </c>
      <c r="E1215" t="s">
        <v>248</v>
      </c>
      <c r="F1215" s="2">
        <v>4328807</v>
      </c>
      <c r="G1215" s="1" t="s">
        <v>3935</v>
      </c>
      <c r="H1215" t="s">
        <v>3847</v>
      </c>
      <c r="I1215" t="s">
        <v>3848</v>
      </c>
      <c r="J1215">
        <v>1</v>
      </c>
      <c r="K1215" t="s">
        <v>26</v>
      </c>
      <c r="L1215" t="s">
        <v>3849</v>
      </c>
      <c r="M1215" t="s">
        <v>3850</v>
      </c>
      <c r="N1215" t="s">
        <v>3851</v>
      </c>
      <c r="O1215" t="s">
        <v>807</v>
      </c>
      <c r="P1215" t="s">
        <v>31</v>
      </c>
    </row>
    <row r="1216" spans="1:16" x14ac:dyDescent="0.25">
      <c r="A1216" t="s">
        <v>3936</v>
      </c>
      <c r="B1216" t="s">
        <v>3844</v>
      </c>
      <c r="C1216" s="1" t="s">
        <v>3937</v>
      </c>
      <c r="D1216" t="s">
        <v>247</v>
      </c>
      <c r="E1216" t="s">
        <v>248</v>
      </c>
      <c r="F1216" s="2">
        <v>4084595</v>
      </c>
      <c r="G1216" s="1" t="s">
        <v>3938</v>
      </c>
      <c r="H1216" t="s">
        <v>3847</v>
      </c>
      <c r="I1216" t="s">
        <v>3848</v>
      </c>
      <c r="J1216">
        <v>1</v>
      </c>
      <c r="K1216" t="s">
        <v>26</v>
      </c>
      <c r="L1216" t="s">
        <v>3849</v>
      </c>
      <c r="M1216" t="s">
        <v>3850</v>
      </c>
      <c r="N1216" t="s">
        <v>3851</v>
      </c>
      <c r="O1216" t="s">
        <v>807</v>
      </c>
      <c r="P1216" t="s">
        <v>31</v>
      </c>
    </row>
    <row r="1217" spans="1:16" x14ac:dyDescent="0.25">
      <c r="A1217" t="s">
        <v>3939</v>
      </c>
      <c r="B1217" t="s">
        <v>3844</v>
      </c>
      <c r="C1217" s="1" t="s">
        <v>3940</v>
      </c>
      <c r="D1217" t="s">
        <v>247</v>
      </c>
      <c r="E1217" t="s">
        <v>248</v>
      </c>
      <c r="F1217" s="2">
        <v>4328807</v>
      </c>
      <c r="G1217" s="1" t="s">
        <v>3941</v>
      </c>
      <c r="H1217" t="s">
        <v>3847</v>
      </c>
      <c r="I1217" t="s">
        <v>3848</v>
      </c>
      <c r="J1217">
        <v>1</v>
      </c>
      <c r="K1217" t="s">
        <v>26</v>
      </c>
      <c r="L1217" t="s">
        <v>3849</v>
      </c>
      <c r="M1217" t="s">
        <v>3850</v>
      </c>
      <c r="N1217" t="s">
        <v>3851</v>
      </c>
      <c r="O1217" t="s">
        <v>807</v>
      </c>
      <c r="P1217" t="s">
        <v>31</v>
      </c>
    </row>
    <row r="1218" spans="1:16" x14ac:dyDescent="0.25">
      <c r="A1218" t="s">
        <v>3942</v>
      </c>
      <c r="B1218" t="s">
        <v>3844</v>
      </c>
      <c r="C1218" s="1" t="s">
        <v>3943</v>
      </c>
      <c r="D1218" t="s">
        <v>247</v>
      </c>
      <c r="E1218" t="s">
        <v>248</v>
      </c>
      <c r="F1218" s="2">
        <v>1506967</v>
      </c>
      <c r="G1218" s="1" t="s">
        <v>3944</v>
      </c>
      <c r="H1218" t="s">
        <v>3847</v>
      </c>
      <c r="I1218" t="s">
        <v>3848</v>
      </c>
      <c r="J1218">
        <v>1</v>
      </c>
      <c r="K1218" t="s">
        <v>26</v>
      </c>
      <c r="L1218" t="s">
        <v>3849</v>
      </c>
      <c r="M1218" t="s">
        <v>3850</v>
      </c>
      <c r="N1218" t="s">
        <v>3851</v>
      </c>
      <c r="O1218" t="s">
        <v>807</v>
      </c>
      <c r="P1218" t="s">
        <v>31</v>
      </c>
    </row>
    <row r="1219" spans="1:16" x14ac:dyDescent="0.25">
      <c r="A1219" t="s">
        <v>3945</v>
      </c>
      <c r="B1219" t="s">
        <v>3844</v>
      </c>
      <c r="C1219" s="1" t="s">
        <v>3946</v>
      </c>
      <c r="D1219" t="s">
        <v>247</v>
      </c>
      <c r="E1219" t="s">
        <v>248</v>
      </c>
      <c r="F1219" s="2">
        <v>1255309</v>
      </c>
      <c r="G1219" s="1" t="s">
        <v>3947</v>
      </c>
      <c r="H1219" t="s">
        <v>3847</v>
      </c>
      <c r="I1219" t="s">
        <v>3848</v>
      </c>
      <c r="J1219">
        <v>1</v>
      </c>
      <c r="K1219" t="s">
        <v>26</v>
      </c>
      <c r="L1219" t="s">
        <v>3849</v>
      </c>
      <c r="M1219" t="s">
        <v>3850</v>
      </c>
      <c r="N1219" t="s">
        <v>3851</v>
      </c>
      <c r="O1219" t="s">
        <v>807</v>
      </c>
      <c r="P1219" t="s">
        <v>31</v>
      </c>
    </row>
    <row r="1220" spans="1:16" x14ac:dyDescent="0.25">
      <c r="A1220" t="s">
        <v>3948</v>
      </c>
      <c r="B1220" t="s">
        <v>3844</v>
      </c>
      <c r="C1220" s="1" t="s">
        <v>3949</v>
      </c>
      <c r="D1220" t="s">
        <v>247</v>
      </c>
      <c r="E1220" t="s">
        <v>248</v>
      </c>
      <c r="F1220" s="2">
        <v>1255309</v>
      </c>
      <c r="G1220" s="1" t="s">
        <v>3950</v>
      </c>
      <c r="H1220" t="s">
        <v>3847</v>
      </c>
      <c r="I1220" t="s">
        <v>3848</v>
      </c>
      <c r="J1220">
        <v>1</v>
      </c>
      <c r="K1220" t="s">
        <v>26</v>
      </c>
      <c r="L1220" t="s">
        <v>3849</v>
      </c>
      <c r="M1220" t="s">
        <v>3850</v>
      </c>
      <c r="N1220" t="s">
        <v>3851</v>
      </c>
      <c r="O1220" t="s">
        <v>807</v>
      </c>
      <c r="P1220" t="s">
        <v>31</v>
      </c>
    </row>
    <row r="1221" spans="1:16" x14ac:dyDescent="0.25">
      <c r="A1221" t="s">
        <v>3951</v>
      </c>
      <c r="B1221" t="s">
        <v>3844</v>
      </c>
      <c r="C1221" s="1" t="s">
        <v>3952</v>
      </c>
      <c r="D1221" t="s">
        <v>247</v>
      </c>
      <c r="E1221" t="s">
        <v>248</v>
      </c>
      <c r="F1221" s="2">
        <v>2677398</v>
      </c>
      <c r="G1221" s="1" t="s">
        <v>3953</v>
      </c>
      <c r="H1221" t="s">
        <v>3847</v>
      </c>
      <c r="I1221" t="s">
        <v>3848</v>
      </c>
      <c r="J1221">
        <v>1</v>
      </c>
      <c r="K1221" t="s">
        <v>26</v>
      </c>
      <c r="L1221" t="s">
        <v>3849</v>
      </c>
      <c r="M1221" t="s">
        <v>3850</v>
      </c>
      <c r="N1221" t="s">
        <v>3851</v>
      </c>
      <c r="O1221" t="s">
        <v>807</v>
      </c>
      <c r="P1221" t="s">
        <v>31</v>
      </c>
    </row>
    <row r="1222" spans="1:16" x14ac:dyDescent="0.25">
      <c r="A1222" t="s">
        <v>3954</v>
      </c>
      <c r="B1222" t="s">
        <v>3844</v>
      </c>
      <c r="C1222" s="1" t="s">
        <v>3955</v>
      </c>
      <c r="D1222" t="s">
        <v>247</v>
      </c>
      <c r="E1222" t="s">
        <v>248</v>
      </c>
      <c r="F1222" s="2">
        <v>2337884</v>
      </c>
      <c r="G1222" s="1" t="s">
        <v>3956</v>
      </c>
      <c r="H1222" t="s">
        <v>3847</v>
      </c>
      <c r="I1222" t="s">
        <v>3848</v>
      </c>
      <c r="J1222">
        <v>1</v>
      </c>
      <c r="K1222" t="s">
        <v>26</v>
      </c>
      <c r="L1222" t="s">
        <v>3849</v>
      </c>
      <c r="M1222" t="s">
        <v>3850</v>
      </c>
      <c r="N1222" t="s">
        <v>3851</v>
      </c>
      <c r="O1222" t="s">
        <v>807</v>
      </c>
      <c r="P1222" t="s">
        <v>31</v>
      </c>
    </row>
    <row r="1223" spans="1:16" x14ac:dyDescent="0.25">
      <c r="A1223" t="s">
        <v>3957</v>
      </c>
      <c r="B1223" t="s">
        <v>3844</v>
      </c>
      <c r="C1223" s="1" t="s">
        <v>3958</v>
      </c>
      <c r="D1223" t="s">
        <v>247</v>
      </c>
      <c r="E1223" t="s">
        <v>248</v>
      </c>
      <c r="F1223" s="2">
        <v>2790569</v>
      </c>
      <c r="G1223" s="1" t="s">
        <v>3959</v>
      </c>
      <c r="H1223" t="s">
        <v>3847</v>
      </c>
      <c r="I1223" t="s">
        <v>3848</v>
      </c>
      <c r="J1223">
        <v>1</v>
      </c>
      <c r="K1223" t="s">
        <v>26</v>
      </c>
      <c r="L1223" t="s">
        <v>3849</v>
      </c>
      <c r="M1223" t="s">
        <v>3850</v>
      </c>
      <c r="N1223" t="s">
        <v>3851</v>
      </c>
      <c r="O1223" t="s">
        <v>807</v>
      </c>
      <c r="P1223" t="s">
        <v>31</v>
      </c>
    </row>
    <row r="1224" spans="1:16" x14ac:dyDescent="0.25">
      <c r="A1224" t="s">
        <v>3960</v>
      </c>
      <c r="B1224" t="s">
        <v>3961</v>
      </c>
      <c r="C1224" s="1" t="s">
        <v>3962</v>
      </c>
      <c r="D1224" t="s">
        <v>3963</v>
      </c>
      <c r="E1224" t="s">
        <v>3964</v>
      </c>
      <c r="F1224" s="2">
        <v>315.67</v>
      </c>
      <c r="G1224" s="1" t="s">
        <v>3965</v>
      </c>
      <c r="H1224" t="s">
        <v>3847</v>
      </c>
      <c r="I1224" t="s">
        <v>300</v>
      </c>
      <c r="J1224">
        <v>4</v>
      </c>
      <c r="K1224" t="s">
        <v>26</v>
      </c>
      <c r="L1224" t="s">
        <v>3966</v>
      </c>
      <c r="M1224" t="s">
        <v>3967</v>
      </c>
      <c r="N1224" t="s">
        <v>3851</v>
      </c>
      <c r="O1224" t="s">
        <v>303</v>
      </c>
      <c r="P1224" t="s">
        <v>31</v>
      </c>
    </row>
    <row r="1225" spans="1:16" x14ac:dyDescent="0.25">
      <c r="A1225" t="s">
        <v>3968</v>
      </c>
      <c r="B1225" t="s">
        <v>3961</v>
      </c>
      <c r="C1225" s="1" t="s">
        <v>3969</v>
      </c>
      <c r="D1225" t="s">
        <v>34</v>
      </c>
      <c r="E1225" t="s">
        <v>35</v>
      </c>
      <c r="F1225" s="2">
        <v>501767.9</v>
      </c>
      <c r="G1225" s="1" t="s">
        <v>3970</v>
      </c>
      <c r="H1225" t="s">
        <v>3847</v>
      </c>
      <c r="I1225" t="s">
        <v>300</v>
      </c>
      <c r="J1225">
        <v>4</v>
      </c>
      <c r="K1225" t="s">
        <v>26</v>
      </c>
      <c r="L1225" t="s">
        <v>3966</v>
      </c>
      <c r="M1225" t="s">
        <v>3967</v>
      </c>
      <c r="N1225" t="s">
        <v>3851</v>
      </c>
      <c r="O1225" t="s">
        <v>303</v>
      </c>
      <c r="P1225" t="s">
        <v>31</v>
      </c>
    </row>
    <row r="1226" spans="1:16" x14ac:dyDescent="0.25">
      <c r="A1226" t="s">
        <v>3971</v>
      </c>
      <c r="B1226" t="s">
        <v>3961</v>
      </c>
      <c r="C1226" s="1" t="s">
        <v>3972</v>
      </c>
      <c r="D1226" t="s">
        <v>34</v>
      </c>
      <c r="E1226" t="s">
        <v>35</v>
      </c>
      <c r="F1226" s="2">
        <v>470829.15</v>
      </c>
      <c r="G1226" s="1" t="s">
        <v>3973</v>
      </c>
      <c r="H1226" t="s">
        <v>3847</v>
      </c>
      <c r="I1226" t="s">
        <v>300</v>
      </c>
      <c r="J1226">
        <v>4</v>
      </c>
      <c r="K1226" t="s">
        <v>26</v>
      </c>
      <c r="L1226" t="s">
        <v>3966</v>
      </c>
      <c r="M1226" t="s">
        <v>3967</v>
      </c>
      <c r="N1226" t="s">
        <v>3851</v>
      </c>
      <c r="O1226" t="s">
        <v>303</v>
      </c>
      <c r="P1226" t="s">
        <v>31</v>
      </c>
    </row>
    <row r="1227" spans="1:16" x14ac:dyDescent="0.25">
      <c r="A1227" t="s">
        <v>3974</v>
      </c>
      <c r="B1227" t="s">
        <v>3961</v>
      </c>
      <c r="C1227" s="1" t="s">
        <v>3975</v>
      </c>
      <c r="D1227" t="s">
        <v>34</v>
      </c>
      <c r="E1227" t="s">
        <v>35</v>
      </c>
      <c r="F1227" s="2">
        <v>586929.15</v>
      </c>
      <c r="G1227" s="1" t="s">
        <v>3976</v>
      </c>
      <c r="H1227" t="s">
        <v>3847</v>
      </c>
      <c r="I1227" t="s">
        <v>300</v>
      </c>
      <c r="J1227">
        <v>5</v>
      </c>
      <c r="K1227" t="s">
        <v>26</v>
      </c>
      <c r="L1227" t="s">
        <v>3966</v>
      </c>
      <c r="M1227" t="s">
        <v>3967</v>
      </c>
      <c r="N1227" t="s">
        <v>3851</v>
      </c>
      <c r="O1227" t="s">
        <v>303</v>
      </c>
      <c r="P1227" t="s">
        <v>31</v>
      </c>
    </row>
    <row r="1228" spans="1:16" x14ac:dyDescent="0.25">
      <c r="A1228" t="s">
        <v>3977</v>
      </c>
      <c r="B1228" t="s">
        <v>3961</v>
      </c>
      <c r="C1228" s="1" t="s">
        <v>3978</v>
      </c>
      <c r="D1228" t="s">
        <v>34</v>
      </c>
      <c r="E1228" t="s">
        <v>35</v>
      </c>
      <c r="F1228" s="2">
        <v>409741.65</v>
      </c>
      <c r="G1228" s="1" t="s">
        <v>3979</v>
      </c>
      <c r="H1228" t="s">
        <v>3847</v>
      </c>
      <c r="I1228" t="s">
        <v>300</v>
      </c>
      <c r="J1228">
        <v>4</v>
      </c>
      <c r="K1228" t="s">
        <v>26</v>
      </c>
      <c r="L1228" t="s">
        <v>3966</v>
      </c>
      <c r="M1228" t="s">
        <v>3967</v>
      </c>
      <c r="N1228" t="s">
        <v>3851</v>
      </c>
      <c r="O1228" t="s">
        <v>303</v>
      </c>
      <c r="P1228" t="s">
        <v>31</v>
      </c>
    </row>
    <row r="1229" spans="1:16" x14ac:dyDescent="0.25">
      <c r="A1229" t="s">
        <v>3980</v>
      </c>
      <c r="B1229" t="s">
        <v>3961</v>
      </c>
      <c r="C1229" s="1" t="s">
        <v>3981</v>
      </c>
      <c r="D1229" t="s">
        <v>34</v>
      </c>
      <c r="E1229" t="s">
        <v>35</v>
      </c>
      <c r="F1229" s="2">
        <v>365704.15</v>
      </c>
      <c r="G1229" s="1" t="s">
        <v>3982</v>
      </c>
      <c r="H1229" t="s">
        <v>3847</v>
      </c>
      <c r="I1229" t="s">
        <v>300</v>
      </c>
      <c r="J1229">
        <v>4</v>
      </c>
      <c r="K1229" t="s">
        <v>26</v>
      </c>
      <c r="L1229" t="s">
        <v>3966</v>
      </c>
      <c r="M1229" t="s">
        <v>3967</v>
      </c>
      <c r="N1229" t="s">
        <v>3851</v>
      </c>
      <c r="O1229" t="s">
        <v>303</v>
      </c>
      <c r="P1229" t="s">
        <v>31</v>
      </c>
    </row>
    <row r="1230" spans="1:16" x14ac:dyDescent="0.25">
      <c r="A1230" t="s">
        <v>3983</v>
      </c>
      <c r="B1230" t="s">
        <v>3961</v>
      </c>
      <c r="C1230" s="1" t="s">
        <v>3984</v>
      </c>
      <c r="D1230" t="s">
        <v>34</v>
      </c>
      <c r="E1230" t="s">
        <v>35</v>
      </c>
      <c r="F1230" s="2">
        <v>336476.65</v>
      </c>
      <c r="G1230" s="1" t="s">
        <v>3985</v>
      </c>
      <c r="H1230" t="s">
        <v>3847</v>
      </c>
      <c r="I1230" t="s">
        <v>300</v>
      </c>
      <c r="J1230">
        <v>4</v>
      </c>
      <c r="K1230" t="s">
        <v>26</v>
      </c>
      <c r="L1230" t="s">
        <v>3966</v>
      </c>
      <c r="M1230" t="s">
        <v>3967</v>
      </c>
      <c r="N1230" t="s">
        <v>3851</v>
      </c>
      <c r="O1230" t="s">
        <v>303</v>
      </c>
      <c r="P1230" t="s">
        <v>31</v>
      </c>
    </row>
    <row r="1231" spans="1:16" x14ac:dyDescent="0.25">
      <c r="A1231" t="s">
        <v>3986</v>
      </c>
      <c r="B1231" t="s">
        <v>3961</v>
      </c>
      <c r="C1231" s="1" t="s">
        <v>3987</v>
      </c>
      <c r="D1231" t="s">
        <v>34</v>
      </c>
      <c r="E1231" t="s">
        <v>35</v>
      </c>
      <c r="F1231" s="2">
        <v>470007.9</v>
      </c>
      <c r="G1231" s="1" t="s">
        <v>3988</v>
      </c>
      <c r="H1231" t="s">
        <v>3847</v>
      </c>
      <c r="I1231" t="s">
        <v>300</v>
      </c>
      <c r="J1231">
        <v>4</v>
      </c>
      <c r="K1231" t="s">
        <v>26</v>
      </c>
      <c r="L1231" t="s">
        <v>3966</v>
      </c>
      <c r="M1231" t="s">
        <v>3967</v>
      </c>
      <c r="N1231" t="s">
        <v>3851</v>
      </c>
      <c r="O1231" t="s">
        <v>303</v>
      </c>
      <c r="P1231" t="s">
        <v>31</v>
      </c>
    </row>
    <row r="1232" spans="1:16" x14ac:dyDescent="0.25">
      <c r="A1232" t="s">
        <v>3989</v>
      </c>
      <c r="B1232" t="s">
        <v>3961</v>
      </c>
      <c r="C1232" s="1" t="s">
        <v>3990</v>
      </c>
      <c r="D1232" t="s">
        <v>34</v>
      </c>
      <c r="E1232" t="s">
        <v>35</v>
      </c>
      <c r="F1232" s="2">
        <v>407136.65</v>
      </c>
      <c r="G1232" s="1" t="s">
        <v>3991</v>
      </c>
      <c r="H1232" t="s">
        <v>3847</v>
      </c>
      <c r="I1232" t="s">
        <v>58</v>
      </c>
      <c r="J1232">
        <v>4</v>
      </c>
      <c r="K1232" t="s">
        <v>26</v>
      </c>
      <c r="L1232" t="s">
        <v>3992</v>
      </c>
      <c r="M1232" t="s">
        <v>3967</v>
      </c>
      <c r="N1232" t="s">
        <v>3851</v>
      </c>
      <c r="O1232" t="s">
        <v>60</v>
      </c>
      <c r="P1232" t="s">
        <v>31</v>
      </c>
    </row>
    <row r="1233" spans="1:16" x14ac:dyDescent="0.25">
      <c r="A1233" t="s">
        <v>3993</v>
      </c>
      <c r="B1233" t="s">
        <v>3994</v>
      </c>
      <c r="C1233" s="1" t="s">
        <v>3995</v>
      </c>
      <c r="D1233" t="s">
        <v>34</v>
      </c>
      <c r="E1233" t="s">
        <v>35</v>
      </c>
      <c r="F1233" s="2">
        <v>378413.54</v>
      </c>
      <c r="G1233" s="1" t="s">
        <v>3996</v>
      </c>
      <c r="H1233" t="s">
        <v>3847</v>
      </c>
      <c r="I1233" t="s">
        <v>300</v>
      </c>
      <c r="J1233">
        <v>7</v>
      </c>
      <c r="K1233" t="s">
        <v>26</v>
      </c>
      <c r="L1233" t="s">
        <v>3966</v>
      </c>
      <c r="M1233" t="s">
        <v>3967</v>
      </c>
      <c r="N1233" t="s">
        <v>3851</v>
      </c>
      <c r="O1233" t="s">
        <v>303</v>
      </c>
      <c r="P1233" t="s">
        <v>31</v>
      </c>
    </row>
    <row r="1234" spans="1:16" x14ac:dyDescent="0.25">
      <c r="A1234" t="s">
        <v>3997</v>
      </c>
      <c r="B1234" t="s">
        <v>3994</v>
      </c>
      <c r="C1234" s="1" t="s">
        <v>3998</v>
      </c>
      <c r="D1234" t="s">
        <v>34</v>
      </c>
      <c r="E1234" t="s">
        <v>35</v>
      </c>
      <c r="F1234" s="2">
        <v>520986.7</v>
      </c>
      <c r="G1234" s="1" t="s">
        <v>3999</v>
      </c>
      <c r="H1234" t="s">
        <v>3847</v>
      </c>
      <c r="I1234" t="s">
        <v>300</v>
      </c>
      <c r="J1234">
        <v>7</v>
      </c>
      <c r="K1234" t="s">
        <v>26</v>
      </c>
      <c r="L1234" t="s">
        <v>3966</v>
      </c>
      <c r="M1234" t="s">
        <v>3967</v>
      </c>
      <c r="N1234" t="s">
        <v>3851</v>
      </c>
      <c r="O1234" t="s">
        <v>303</v>
      </c>
      <c r="P1234" t="s">
        <v>31</v>
      </c>
    </row>
    <row r="1235" spans="1:16" x14ac:dyDescent="0.25">
      <c r="A1235" t="s">
        <v>4000</v>
      </c>
      <c r="B1235" t="s">
        <v>3994</v>
      </c>
      <c r="C1235" s="1" t="s">
        <v>4001</v>
      </c>
      <c r="D1235" t="s">
        <v>34</v>
      </c>
      <c r="E1235" t="s">
        <v>35</v>
      </c>
      <c r="F1235" s="2">
        <v>450245.66</v>
      </c>
      <c r="G1235" s="1" t="s">
        <v>4002</v>
      </c>
      <c r="H1235" t="s">
        <v>3847</v>
      </c>
      <c r="I1235" t="s">
        <v>300</v>
      </c>
      <c r="J1235">
        <v>7</v>
      </c>
      <c r="K1235" t="s">
        <v>26</v>
      </c>
      <c r="L1235" t="s">
        <v>3966</v>
      </c>
      <c r="M1235" t="s">
        <v>3967</v>
      </c>
      <c r="N1235" t="s">
        <v>3851</v>
      </c>
      <c r="O1235" t="s">
        <v>303</v>
      </c>
      <c r="P1235" t="s">
        <v>31</v>
      </c>
    </row>
    <row r="1236" spans="1:16" x14ac:dyDescent="0.25">
      <c r="A1236" t="s">
        <v>4003</v>
      </c>
      <c r="B1236" t="s">
        <v>3994</v>
      </c>
      <c r="C1236" s="1" t="s">
        <v>4004</v>
      </c>
      <c r="D1236" t="s">
        <v>34</v>
      </c>
      <c r="E1236" t="s">
        <v>35</v>
      </c>
      <c r="F1236" s="2">
        <v>426702.51</v>
      </c>
      <c r="G1236" s="1" t="s">
        <v>4005</v>
      </c>
      <c r="H1236" t="s">
        <v>3847</v>
      </c>
      <c r="I1236" t="s">
        <v>300</v>
      </c>
      <c r="J1236">
        <v>7</v>
      </c>
      <c r="K1236" t="s">
        <v>26</v>
      </c>
      <c r="L1236" t="s">
        <v>3966</v>
      </c>
      <c r="M1236" t="s">
        <v>3967</v>
      </c>
      <c r="N1236" t="s">
        <v>3851</v>
      </c>
      <c r="O1236" t="s">
        <v>303</v>
      </c>
      <c r="P1236" t="s">
        <v>31</v>
      </c>
    </row>
    <row r="1237" spans="1:16" x14ac:dyDescent="0.25">
      <c r="A1237" t="s">
        <v>4006</v>
      </c>
      <c r="B1237" t="s">
        <v>3994</v>
      </c>
      <c r="C1237" s="1" t="s">
        <v>4007</v>
      </c>
      <c r="D1237" t="s">
        <v>34</v>
      </c>
      <c r="E1237" t="s">
        <v>35</v>
      </c>
      <c r="F1237" s="2">
        <v>378413.54</v>
      </c>
      <c r="G1237" s="1" t="s">
        <v>3996</v>
      </c>
      <c r="H1237" t="s">
        <v>3847</v>
      </c>
      <c r="I1237" t="s">
        <v>300</v>
      </c>
      <c r="J1237">
        <v>7</v>
      </c>
      <c r="K1237" t="s">
        <v>26</v>
      </c>
      <c r="L1237" t="s">
        <v>3966</v>
      </c>
      <c r="M1237" t="s">
        <v>3967</v>
      </c>
      <c r="N1237" t="s">
        <v>3851</v>
      </c>
      <c r="O1237" t="s">
        <v>303</v>
      </c>
      <c r="P1237" t="s">
        <v>31</v>
      </c>
    </row>
    <row r="1238" spans="1:16" x14ac:dyDescent="0.25">
      <c r="A1238" t="s">
        <v>4008</v>
      </c>
      <c r="B1238" t="s">
        <v>3994</v>
      </c>
      <c r="C1238" s="1" t="s">
        <v>4009</v>
      </c>
      <c r="D1238" t="s">
        <v>34</v>
      </c>
      <c r="E1238" t="s">
        <v>35</v>
      </c>
      <c r="F1238" s="2">
        <v>543324.7</v>
      </c>
      <c r="G1238" s="1" t="s">
        <v>4010</v>
      </c>
      <c r="H1238" t="s">
        <v>3847</v>
      </c>
      <c r="I1238" t="s">
        <v>300</v>
      </c>
      <c r="J1238">
        <v>7</v>
      </c>
      <c r="K1238" t="s">
        <v>26</v>
      </c>
      <c r="L1238" t="s">
        <v>3966</v>
      </c>
      <c r="M1238" t="s">
        <v>3967</v>
      </c>
      <c r="N1238" t="s">
        <v>3851</v>
      </c>
      <c r="O1238" t="s">
        <v>303</v>
      </c>
      <c r="P1238" t="s">
        <v>31</v>
      </c>
    </row>
    <row r="1239" spans="1:16" x14ac:dyDescent="0.25">
      <c r="A1239" t="s">
        <v>4011</v>
      </c>
      <c r="B1239" t="s">
        <v>3994</v>
      </c>
      <c r="C1239" s="1" t="s">
        <v>4012</v>
      </c>
      <c r="D1239" t="s">
        <v>34</v>
      </c>
      <c r="E1239" t="s">
        <v>35</v>
      </c>
      <c r="F1239" s="2">
        <v>475506.98</v>
      </c>
      <c r="G1239" s="1" t="s">
        <v>4013</v>
      </c>
      <c r="H1239" t="s">
        <v>3847</v>
      </c>
      <c r="I1239" t="s">
        <v>300</v>
      </c>
      <c r="J1239">
        <v>7</v>
      </c>
      <c r="K1239" t="s">
        <v>26</v>
      </c>
      <c r="L1239" t="s">
        <v>3966</v>
      </c>
      <c r="M1239" t="s">
        <v>3967</v>
      </c>
      <c r="N1239" t="s">
        <v>3851</v>
      </c>
      <c r="O1239" t="s">
        <v>303</v>
      </c>
      <c r="P1239" t="s">
        <v>31</v>
      </c>
    </row>
    <row r="1240" spans="1:16" x14ac:dyDescent="0.25">
      <c r="A1240" t="s">
        <v>4014</v>
      </c>
      <c r="B1240" t="s">
        <v>3994</v>
      </c>
      <c r="C1240" s="1" t="s">
        <v>4015</v>
      </c>
      <c r="D1240" t="s">
        <v>34</v>
      </c>
      <c r="E1240" t="s">
        <v>35</v>
      </c>
      <c r="F1240" s="2">
        <v>426702.51</v>
      </c>
      <c r="G1240" s="1" t="s">
        <v>4005</v>
      </c>
      <c r="H1240" t="s">
        <v>3847</v>
      </c>
      <c r="I1240" t="s">
        <v>300</v>
      </c>
      <c r="J1240">
        <v>7</v>
      </c>
      <c r="K1240" t="s">
        <v>26</v>
      </c>
      <c r="L1240" t="s">
        <v>3966</v>
      </c>
      <c r="M1240" t="s">
        <v>3967</v>
      </c>
      <c r="N1240" t="s">
        <v>3851</v>
      </c>
      <c r="O1240" t="s">
        <v>303</v>
      </c>
      <c r="P1240" t="s">
        <v>31</v>
      </c>
    </row>
    <row r="1241" spans="1:16" x14ac:dyDescent="0.25">
      <c r="A1241" t="s">
        <v>4016</v>
      </c>
      <c r="B1241" t="s">
        <v>3994</v>
      </c>
      <c r="C1241" s="1" t="s">
        <v>4017</v>
      </c>
      <c r="D1241" t="s">
        <v>34</v>
      </c>
      <c r="E1241" t="s">
        <v>35</v>
      </c>
      <c r="F1241" s="2">
        <v>358711.93</v>
      </c>
      <c r="G1241" s="1" t="s">
        <v>4018</v>
      </c>
      <c r="H1241" t="s">
        <v>3847</v>
      </c>
      <c r="I1241" t="s">
        <v>300</v>
      </c>
      <c r="J1241">
        <v>5</v>
      </c>
      <c r="K1241" t="s">
        <v>26</v>
      </c>
      <c r="L1241" t="s">
        <v>3966</v>
      </c>
      <c r="M1241" t="s">
        <v>3967</v>
      </c>
      <c r="N1241" t="s">
        <v>3851</v>
      </c>
      <c r="O1241" t="s">
        <v>303</v>
      </c>
      <c r="P1241" t="s">
        <v>31</v>
      </c>
    </row>
    <row r="1242" spans="1:16" x14ac:dyDescent="0.25">
      <c r="A1242" t="s">
        <v>4019</v>
      </c>
      <c r="B1242" t="s">
        <v>3994</v>
      </c>
      <c r="C1242" s="1" t="s">
        <v>4020</v>
      </c>
      <c r="D1242" t="s">
        <v>34</v>
      </c>
      <c r="E1242" t="s">
        <v>35</v>
      </c>
      <c r="F1242" s="2">
        <v>525086</v>
      </c>
      <c r="G1242" s="1" t="s">
        <v>4021</v>
      </c>
      <c r="H1242" t="s">
        <v>3847</v>
      </c>
      <c r="I1242" t="s">
        <v>300</v>
      </c>
      <c r="J1242">
        <v>2</v>
      </c>
      <c r="K1242" t="s">
        <v>26</v>
      </c>
      <c r="L1242" t="s">
        <v>3966</v>
      </c>
      <c r="M1242" t="s">
        <v>3967</v>
      </c>
      <c r="N1242" t="s">
        <v>3851</v>
      </c>
      <c r="O1242" t="s">
        <v>303</v>
      </c>
      <c r="P1242" t="s">
        <v>31</v>
      </c>
    </row>
    <row r="1243" spans="1:16" x14ac:dyDescent="0.25">
      <c r="A1243" t="s">
        <v>4022</v>
      </c>
      <c r="B1243" t="s">
        <v>3994</v>
      </c>
      <c r="C1243" s="1" t="s">
        <v>4023</v>
      </c>
      <c r="D1243" t="s">
        <v>34</v>
      </c>
      <c r="E1243" t="s">
        <v>35</v>
      </c>
      <c r="F1243" s="2">
        <v>598074.17</v>
      </c>
      <c r="G1243" s="1" t="s">
        <v>4024</v>
      </c>
      <c r="H1243" t="s">
        <v>3847</v>
      </c>
      <c r="I1243" t="s">
        <v>300</v>
      </c>
      <c r="J1243">
        <v>2</v>
      </c>
      <c r="K1243" t="s">
        <v>26</v>
      </c>
      <c r="L1243" t="s">
        <v>3966</v>
      </c>
      <c r="M1243" t="s">
        <v>3967</v>
      </c>
      <c r="N1243" t="s">
        <v>3851</v>
      </c>
      <c r="O1243" t="s">
        <v>303</v>
      </c>
      <c r="P1243" t="s">
        <v>31</v>
      </c>
    </row>
    <row r="1244" spans="1:16" x14ac:dyDescent="0.25">
      <c r="A1244" t="s">
        <v>4025</v>
      </c>
      <c r="B1244" t="s">
        <v>4026</v>
      </c>
      <c r="C1244" s="1" t="s">
        <v>437</v>
      </c>
      <c r="D1244" t="s">
        <v>231</v>
      </c>
      <c r="E1244" t="s">
        <v>232</v>
      </c>
      <c r="F1244" s="2">
        <v>4170.69</v>
      </c>
      <c r="G1244" s="1" t="s">
        <v>438</v>
      </c>
      <c r="H1244" t="s">
        <v>3847</v>
      </c>
      <c r="I1244" t="s">
        <v>401</v>
      </c>
      <c r="J1244">
        <v>6</v>
      </c>
      <c r="K1244" t="s">
        <v>26</v>
      </c>
      <c r="L1244" t="s">
        <v>4027</v>
      </c>
      <c r="M1244" t="s">
        <v>3967</v>
      </c>
      <c r="N1244" t="s">
        <v>3851</v>
      </c>
      <c r="O1244" t="s">
        <v>403</v>
      </c>
      <c r="P1244" t="s">
        <v>440</v>
      </c>
    </row>
    <row r="1245" spans="1:16" x14ac:dyDescent="0.25">
      <c r="A1245" t="s">
        <v>4028</v>
      </c>
      <c r="B1245" t="s">
        <v>4026</v>
      </c>
      <c r="C1245" s="1" t="s">
        <v>442</v>
      </c>
      <c r="D1245" t="s">
        <v>231</v>
      </c>
      <c r="E1245" t="s">
        <v>232</v>
      </c>
      <c r="F1245" s="2">
        <v>4427.28</v>
      </c>
      <c r="G1245" s="1" t="s">
        <v>443</v>
      </c>
      <c r="H1245" t="s">
        <v>3847</v>
      </c>
      <c r="I1245" t="s">
        <v>401</v>
      </c>
      <c r="J1245">
        <v>6</v>
      </c>
      <c r="K1245" t="s">
        <v>26</v>
      </c>
      <c r="L1245" t="s">
        <v>4027</v>
      </c>
      <c r="M1245" t="s">
        <v>3967</v>
      </c>
      <c r="N1245" t="s">
        <v>3851</v>
      </c>
      <c r="O1245" t="s">
        <v>403</v>
      </c>
      <c r="P1245" t="s">
        <v>440</v>
      </c>
    </row>
    <row r="1246" spans="1:16" x14ac:dyDescent="0.25">
      <c r="A1246" t="s">
        <v>4029</v>
      </c>
      <c r="B1246" t="s">
        <v>4030</v>
      </c>
      <c r="C1246" s="1" t="s">
        <v>4031</v>
      </c>
      <c r="D1246" t="s">
        <v>21</v>
      </c>
      <c r="E1246" t="s">
        <v>22</v>
      </c>
      <c r="F1246" s="2">
        <v>142134.84</v>
      </c>
      <c r="G1246" s="1" t="s">
        <v>4032</v>
      </c>
      <c r="H1246" t="s">
        <v>3847</v>
      </c>
      <c r="I1246" t="s">
        <v>540</v>
      </c>
      <c r="J1246">
        <v>5</v>
      </c>
      <c r="K1246" t="s">
        <v>26</v>
      </c>
      <c r="L1246" t="s">
        <v>4033</v>
      </c>
      <c r="M1246" t="s">
        <v>3967</v>
      </c>
      <c r="N1246" t="s">
        <v>3851</v>
      </c>
      <c r="O1246" t="s">
        <v>542</v>
      </c>
      <c r="P1246" t="s">
        <v>31</v>
      </c>
    </row>
    <row r="1247" spans="1:16" x14ac:dyDescent="0.25">
      <c r="A1247" t="s">
        <v>4034</v>
      </c>
      <c r="B1247" t="s">
        <v>4030</v>
      </c>
      <c r="C1247" s="1" t="s">
        <v>4035</v>
      </c>
      <c r="D1247" t="s">
        <v>21</v>
      </c>
      <c r="E1247" t="s">
        <v>22</v>
      </c>
      <c r="F1247" s="2">
        <v>50090.78</v>
      </c>
      <c r="G1247" s="1" t="s">
        <v>4036</v>
      </c>
      <c r="H1247" t="s">
        <v>3847</v>
      </c>
      <c r="I1247" t="s">
        <v>540</v>
      </c>
      <c r="J1247">
        <v>5</v>
      </c>
      <c r="K1247" t="s">
        <v>26</v>
      </c>
      <c r="L1247" t="s">
        <v>4033</v>
      </c>
      <c r="M1247" t="s">
        <v>3967</v>
      </c>
      <c r="N1247" t="s">
        <v>3851</v>
      </c>
      <c r="O1247" t="s">
        <v>542</v>
      </c>
      <c r="P1247" t="s">
        <v>31</v>
      </c>
    </row>
    <row r="1248" spans="1:16" x14ac:dyDescent="0.25">
      <c r="A1248" t="s">
        <v>4037</v>
      </c>
      <c r="B1248" t="s">
        <v>4030</v>
      </c>
      <c r="C1248" s="1" t="s">
        <v>4038</v>
      </c>
      <c r="D1248" t="s">
        <v>21</v>
      </c>
      <c r="E1248" t="s">
        <v>22</v>
      </c>
      <c r="F1248" s="2">
        <v>79038.99</v>
      </c>
      <c r="G1248" s="1" t="s">
        <v>4039</v>
      </c>
      <c r="H1248" t="s">
        <v>3847</v>
      </c>
      <c r="I1248" t="s">
        <v>540</v>
      </c>
      <c r="J1248">
        <v>4</v>
      </c>
      <c r="K1248" t="s">
        <v>26</v>
      </c>
      <c r="L1248" t="s">
        <v>4033</v>
      </c>
      <c r="M1248" t="s">
        <v>3967</v>
      </c>
      <c r="N1248" t="s">
        <v>3851</v>
      </c>
      <c r="O1248" t="s">
        <v>542</v>
      </c>
      <c r="P124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3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4040</v>
      </c>
    </row>
    <row r="2" spans="1:1" x14ac:dyDescent="0.25">
      <c r="A2" s="4" t="s">
        <v>4041</v>
      </c>
    </row>
    <row r="4" ht="30" customHeight="1" spans="1:6" x14ac:dyDescent="0.25">
      <c r="A4" s="5" t="s">
        <v>4042</v>
      </c>
      <c r="B4" s="5"/>
      <c r="C4" s="5"/>
      <c r="D4" s="5"/>
      <c r="E4" s="5"/>
      <c r="F4" s="5"/>
    </row>
    <row r="5" ht="42" customHeight="1" spans="1:6" x14ac:dyDescent="0.25">
      <c r="A5" s="6" t="s">
        <v>4043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4049</v>
      </c>
      <c r="B7" t="s">
        <v>4050</v>
      </c>
      <c r="C7" t="s">
        <v>4051</v>
      </c>
      <c r="D7" s="7">
        <v>0.8</v>
      </c>
      <c r="E7" s="2">
        <v>9037.33</v>
      </c>
      <c r="F7" s="2">
        <v>7229.86</v>
      </c>
    </row>
    <row r="8" spans="1:6" x14ac:dyDescent="0.25">
      <c r="A8" t="s">
        <v>4052</v>
      </c>
      <c r="B8" t="s">
        <v>4053</v>
      </c>
      <c r="C8" t="s">
        <v>4054</v>
      </c>
      <c r="D8" s="7">
        <v>3.5</v>
      </c>
      <c r="E8" s="2">
        <v>7229.86</v>
      </c>
      <c r="F8" s="2">
        <v>253.05</v>
      </c>
    </row>
    <row r="9" spans="1:6" x14ac:dyDescent="0.25">
      <c r="A9" t="s">
        <v>4055</v>
      </c>
      <c r="D9" s="7"/>
      <c r="E9" s="2"/>
      <c r="F9" s="2">
        <f>SUBTOTAL(109,A_1_01_01[VALOR PARCIAL])</f>
      </c>
    </row>
    <row r="11" ht="30" customHeight="1" spans="1:6" x14ac:dyDescent="0.25">
      <c r="A11" s="5" t="s">
        <v>4056</v>
      </c>
      <c r="B11" s="5"/>
      <c r="C11" s="5"/>
      <c r="D11" s="5"/>
      <c r="E11" s="5"/>
      <c r="F11" s="5"/>
    </row>
    <row r="12" ht="42" customHeight="1" spans="1:6" x14ac:dyDescent="0.25">
      <c r="A12" s="6" t="s">
        <v>4057</v>
      </c>
      <c r="B12" s="6"/>
      <c r="C12" s="6"/>
      <c r="D12" s="6"/>
      <c r="E12" s="6"/>
      <c r="F12" s="6"/>
    </row>
    <row r="13" spans="1:6" x14ac:dyDescent="0.25">
      <c r="A13" t="s">
        <v>4044</v>
      </c>
      <c r="B13" t="s">
        <v>4045</v>
      </c>
      <c r="C13" t="s">
        <v>5</v>
      </c>
      <c r="D13" t="s">
        <v>4046</v>
      </c>
      <c r="E13" t="s">
        <v>4047</v>
      </c>
      <c r="F13" t="s">
        <v>4048</v>
      </c>
    </row>
    <row r="14" spans="1:6" x14ac:dyDescent="0.25">
      <c r="A14" t="s">
        <v>4058</v>
      </c>
      <c r="B14" t="s">
        <v>4059</v>
      </c>
      <c r="C14" t="s">
        <v>3545</v>
      </c>
      <c r="D14" s="7">
        <v>1.3</v>
      </c>
      <c r="E14" s="2">
        <v>1325</v>
      </c>
      <c r="F14" s="2">
        <v>1722.5</v>
      </c>
    </row>
    <row r="15" spans="1:6" x14ac:dyDescent="0.25">
      <c r="A15" t="s">
        <v>4055</v>
      </c>
      <c r="D15" s="7"/>
      <c r="E15" s="2"/>
      <c r="F15" s="2">
        <f>SUBTOTAL(109,A_1_01_02[VALOR PARCIAL])</f>
      </c>
    </row>
    <row r="17" ht="30" customHeight="1" spans="1:6" x14ac:dyDescent="0.25">
      <c r="A17" s="5" t="s">
        <v>4060</v>
      </c>
      <c r="B17" s="5"/>
      <c r="C17" s="5"/>
      <c r="D17" s="5"/>
      <c r="E17" s="5"/>
      <c r="F17" s="5"/>
    </row>
    <row r="18" ht="42" customHeight="1" spans="1:6" x14ac:dyDescent="0.25">
      <c r="A18" s="6" t="s">
        <v>4061</v>
      </c>
      <c r="B18" s="6"/>
      <c r="C18" s="6"/>
      <c r="D18" s="6"/>
      <c r="E18" s="6"/>
      <c r="F18" s="6"/>
    </row>
    <row r="19" spans="1:6" x14ac:dyDescent="0.25">
      <c r="A19" t="s">
        <v>4044</v>
      </c>
      <c r="B19" t="s">
        <v>4045</v>
      </c>
      <c r="C19" t="s">
        <v>5</v>
      </c>
      <c r="D19" t="s">
        <v>4046</v>
      </c>
      <c r="E19" t="s">
        <v>4047</v>
      </c>
      <c r="F19" t="s">
        <v>4048</v>
      </c>
    </row>
    <row r="20" spans="1:6" x14ac:dyDescent="0.25">
      <c r="A20" t="s">
        <v>4062</v>
      </c>
      <c r="B20" t="s">
        <v>4063</v>
      </c>
      <c r="C20" t="s">
        <v>231</v>
      </c>
      <c r="D20" s="7">
        <v>0.2</v>
      </c>
      <c r="E20" s="2">
        <v>7400</v>
      </c>
      <c r="F20" s="2">
        <v>1480</v>
      </c>
    </row>
    <row r="21" spans="1:6" x14ac:dyDescent="0.25">
      <c r="A21" t="s">
        <v>4062</v>
      </c>
      <c r="B21" t="s">
        <v>4064</v>
      </c>
      <c r="C21" t="s">
        <v>63</v>
      </c>
      <c r="D21" s="7">
        <v>0.53</v>
      </c>
      <c r="E21" s="2">
        <v>17200</v>
      </c>
      <c r="F21" s="2">
        <v>9116</v>
      </c>
    </row>
    <row r="22" spans="1:6" x14ac:dyDescent="0.25">
      <c r="A22" t="s">
        <v>4062</v>
      </c>
      <c r="B22" t="s">
        <v>4065</v>
      </c>
      <c r="C22" t="s">
        <v>4066</v>
      </c>
      <c r="D22" s="7">
        <v>0.05</v>
      </c>
      <c r="E22" s="2">
        <v>3433</v>
      </c>
      <c r="F22" s="2">
        <v>171.65</v>
      </c>
    </row>
    <row r="23" spans="1:6" x14ac:dyDescent="0.25">
      <c r="A23" t="s">
        <v>4062</v>
      </c>
      <c r="B23" t="s">
        <v>4067</v>
      </c>
      <c r="C23" t="s">
        <v>231</v>
      </c>
      <c r="D23" s="7">
        <v>1.5</v>
      </c>
      <c r="E23" s="2">
        <v>7080</v>
      </c>
      <c r="F23" s="2">
        <v>10620</v>
      </c>
    </row>
    <row r="24" spans="1:6" x14ac:dyDescent="0.25">
      <c r="A24" t="s">
        <v>4049</v>
      </c>
      <c r="B24" t="s">
        <v>4050</v>
      </c>
      <c r="C24" t="s">
        <v>4051</v>
      </c>
      <c r="D24" s="7">
        <v>1.2</v>
      </c>
      <c r="E24" s="2">
        <v>9037.33</v>
      </c>
      <c r="F24" s="2">
        <v>10844.8</v>
      </c>
    </row>
    <row r="25" spans="1:6" x14ac:dyDescent="0.25">
      <c r="A25" t="s">
        <v>4052</v>
      </c>
      <c r="B25" t="s">
        <v>4053</v>
      </c>
      <c r="C25" t="s">
        <v>4054</v>
      </c>
      <c r="D25" s="7">
        <v>5</v>
      </c>
      <c r="E25" s="2">
        <v>10844.8</v>
      </c>
      <c r="F25" s="2">
        <v>542.24</v>
      </c>
    </row>
    <row r="26" spans="1:6" x14ac:dyDescent="0.25">
      <c r="A26" t="s">
        <v>4055</v>
      </c>
      <c r="D26" s="7"/>
      <c r="E26" s="2"/>
      <c r="F26" s="2">
        <f>SUBTOTAL(109,A_1_01_03[VALOR PARCIAL])</f>
      </c>
    </row>
    <row r="28" ht="30" customHeight="1" spans="1:6" x14ac:dyDescent="0.25">
      <c r="A28" s="5" t="s">
        <v>4068</v>
      </c>
      <c r="B28" s="5"/>
      <c r="C28" s="5"/>
      <c r="D28" s="5"/>
      <c r="E28" s="5"/>
      <c r="F28" s="5"/>
    </row>
    <row r="29" ht="42" customHeight="1" spans="1:6" x14ac:dyDescent="0.25">
      <c r="A29" s="6" t="s">
        <v>4069</v>
      </c>
      <c r="B29" s="6"/>
      <c r="C29" s="6"/>
      <c r="D29" s="6"/>
      <c r="E29" s="6"/>
      <c r="F29" s="6"/>
    </row>
    <row r="30" spans="1:6" x14ac:dyDescent="0.25">
      <c r="A30" t="s">
        <v>4044</v>
      </c>
      <c r="B30" t="s">
        <v>4045</v>
      </c>
      <c r="C30" t="s">
        <v>5</v>
      </c>
      <c r="D30" t="s">
        <v>4046</v>
      </c>
      <c r="E30" t="s">
        <v>4047</v>
      </c>
      <c r="F30" t="s">
        <v>4048</v>
      </c>
    </row>
    <row r="31" spans="1:6" x14ac:dyDescent="0.25">
      <c r="A31" t="s">
        <v>4062</v>
      </c>
      <c r="B31" t="s">
        <v>4070</v>
      </c>
      <c r="C31" t="s">
        <v>42</v>
      </c>
      <c r="D31" s="7">
        <v>5.25</v>
      </c>
      <c r="E31" s="2">
        <v>7381.08</v>
      </c>
      <c r="F31" s="2">
        <v>38750.67</v>
      </c>
    </row>
    <row r="32" spans="1:6" x14ac:dyDescent="0.25">
      <c r="A32" t="s">
        <v>4062</v>
      </c>
      <c r="B32" t="s">
        <v>4071</v>
      </c>
      <c r="C32" t="s">
        <v>42</v>
      </c>
      <c r="D32" s="7">
        <v>0.32</v>
      </c>
      <c r="E32" s="2">
        <v>2555</v>
      </c>
      <c r="F32" s="2">
        <v>817.6</v>
      </c>
    </row>
    <row r="33" spans="1:6" x14ac:dyDescent="0.25">
      <c r="A33" t="s">
        <v>4062</v>
      </c>
      <c r="B33" t="s">
        <v>4072</v>
      </c>
      <c r="C33" t="s">
        <v>4066</v>
      </c>
      <c r="D33" s="7">
        <v>1.05</v>
      </c>
      <c r="E33" s="2">
        <v>3150</v>
      </c>
      <c r="F33" s="2">
        <v>3307.5</v>
      </c>
    </row>
    <row r="34" spans="1:6" x14ac:dyDescent="0.25">
      <c r="A34" t="s">
        <v>4049</v>
      </c>
      <c r="B34" t="s">
        <v>4050</v>
      </c>
      <c r="C34" t="s">
        <v>4051</v>
      </c>
      <c r="D34" s="7">
        <v>0.4</v>
      </c>
      <c r="E34" s="2">
        <v>9037.33</v>
      </c>
      <c r="F34" s="2">
        <v>3614.93</v>
      </c>
    </row>
    <row r="35" spans="1:6" x14ac:dyDescent="0.25">
      <c r="A35" t="s">
        <v>4049</v>
      </c>
      <c r="B35" t="s">
        <v>4073</v>
      </c>
      <c r="C35" t="s">
        <v>4051</v>
      </c>
      <c r="D35" s="7">
        <v>0.4</v>
      </c>
      <c r="E35" s="2">
        <v>15517.89</v>
      </c>
      <c r="F35" s="2">
        <v>6207.16</v>
      </c>
    </row>
    <row r="36" spans="1:6" x14ac:dyDescent="0.25">
      <c r="A36" t="s">
        <v>4052</v>
      </c>
      <c r="B36" t="s">
        <v>4053</v>
      </c>
      <c r="C36" t="s">
        <v>4054</v>
      </c>
      <c r="D36" s="7">
        <v>4</v>
      </c>
      <c r="E36" s="2">
        <v>9822.09</v>
      </c>
      <c r="F36" s="2">
        <v>392.88</v>
      </c>
    </row>
    <row r="37" spans="1:6" x14ac:dyDescent="0.25">
      <c r="A37" t="s">
        <v>4055</v>
      </c>
      <c r="D37" s="7"/>
      <c r="E37" s="2"/>
      <c r="F37" s="2">
        <f>SUBTOTAL(109,A_1_01_04[VALOR PARCIAL])</f>
      </c>
    </row>
    <row r="39" ht="30" customHeight="1" spans="1:6" x14ac:dyDescent="0.25">
      <c r="A39" s="5" t="s">
        <v>4074</v>
      </c>
      <c r="B39" s="5"/>
      <c r="C39" s="5"/>
      <c r="D39" s="5"/>
      <c r="E39" s="5"/>
      <c r="F39" s="5"/>
    </row>
    <row r="40" ht="42" customHeight="1" spans="1:6" x14ac:dyDescent="0.25">
      <c r="A40" s="6" t="s">
        <v>4075</v>
      </c>
      <c r="B40" s="6"/>
      <c r="C40" s="6"/>
      <c r="D40" s="6"/>
      <c r="E40" s="6"/>
      <c r="F40" s="6"/>
    </row>
    <row r="41" spans="1:6" x14ac:dyDescent="0.25">
      <c r="A41" t="s">
        <v>4044</v>
      </c>
      <c r="B41" t="s">
        <v>4045</v>
      </c>
      <c r="C41" t="s">
        <v>5</v>
      </c>
      <c r="D41" t="s">
        <v>4046</v>
      </c>
      <c r="E41" t="s">
        <v>4047</v>
      </c>
      <c r="F41" t="s">
        <v>4048</v>
      </c>
    </row>
    <row r="42" spans="1:6" x14ac:dyDescent="0.25">
      <c r="A42" t="s">
        <v>4062</v>
      </c>
      <c r="B42" t="s">
        <v>4076</v>
      </c>
      <c r="C42" t="s">
        <v>3963</v>
      </c>
      <c r="D42" s="7">
        <v>0.35</v>
      </c>
      <c r="E42" s="2">
        <v>21</v>
      </c>
      <c r="F42" s="2">
        <v>7.35</v>
      </c>
    </row>
    <row r="43" spans="1:6" x14ac:dyDescent="0.25">
      <c r="A43" t="s">
        <v>4049</v>
      </c>
      <c r="B43" t="s">
        <v>4050</v>
      </c>
      <c r="C43" t="s">
        <v>4051</v>
      </c>
      <c r="D43" s="7">
        <v>0.02</v>
      </c>
      <c r="E43" s="2">
        <v>9037.33</v>
      </c>
      <c r="F43" s="2">
        <v>180.75</v>
      </c>
    </row>
    <row r="44" spans="1:6" x14ac:dyDescent="0.25">
      <c r="A44" t="s">
        <v>4052</v>
      </c>
      <c r="B44" t="s">
        <v>4077</v>
      </c>
      <c r="C44" t="s">
        <v>287</v>
      </c>
      <c r="D44" s="7">
        <v>0</v>
      </c>
      <c r="E44" s="2">
        <v>74712.95</v>
      </c>
      <c r="F44" s="2">
        <v>298.85</v>
      </c>
    </row>
    <row r="45" spans="1:6" x14ac:dyDescent="0.25">
      <c r="A45" t="s">
        <v>4052</v>
      </c>
      <c r="B45" t="s">
        <v>4078</v>
      </c>
      <c r="C45" t="s">
        <v>287</v>
      </c>
      <c r="D45" s="7">
        <v>0</v>
      </c>
      <c r="E45" s="2">
        <v>157100</v>
      </c>
      <c r="F45" s="2">
        <v>628.4</v>
      </c>
    </row>
    <row r="46" spans="1:6" x14ac:dyDescent="0.25">
      <c r="A46" t="s">
        <v>4055</v>
      </c>
      <c r="D46" s="7"/>
      <c r="E46" s="2"/>
      <c r="F46" s="2">
        <f>SUBTOTAL(109,A_1_01_05[VALOR PARCIAL])</f>
      </c>
    </row>
    <row r="48" ht="30" customHeight="1" spans="1:6" x14ac:dyDescent="0.25">
      <c r="A48" s="5" t="s">
        <v>4079</v>
      </c>
      <c r="B48" s="5"/>
      <c r="C48" s="5"/>
      <c r="D48" s="5"/>
      <c r="E48" s="5"/>
      <c r="F48" s="5"/>
    </row>
    <row r="49" ht="42" customHeight="1" spans="1:6" x14ac:dyDescent="0.25">
      <c r="A49" s="6" t="s">
        <v>4080</v>
      </c>
      <c r="B49" s="6"/>
      <c r="C49" s="6"/>
      <c r="D49" s="6"/>
      <c r="E49" s="6"/>
      <c r="F49" s="6"/>
    </row>
    <row r="50" spans="1:6" x14ac:dyDescent="0.25">
      <c r="A50" t="s">
        <v>4044</v>
      </c>
      <c r="B50" t="s">
        <v>4045</v>
      </c>
      <c r="C50" t="s">
        <v>5</v>
      </c>
      <c r="D50" t="s">
        <v>4046</v>
      </c>
      <c r="E50" t="s">
        <v>4047</v>
      </c>
      <c r="F50" t="s">
        <v>4048</v>
      </c>
    </row>
    <row r="51" spans="1:6" x14ac:dyDescent="0.25">
      <c r="A51" t="s">
        <v>4062</v>
      </c>
      <c r="B51" t="s">
        <v>4076</v>
      </c>
      <c r="C51" t="s">
        <v>3963</v>
      </c>
      <c r="D51" s="7">
        <v>0.35</v>
      </c>
      <c r="E51" s="2">
        <v>21</v>
      </c>
      <c r="F51" s="2">
        <v>7.35</v>
      </c>
    </row>
    <row r="52" spans="1:6" x14ac:dyDescent="0.25">
      <c r="A52" t="s">
        <v>4049</v>
      </c>
      <c r="B52" t="s">
        <v>4050</v>
      </c>
      <c r="C52" t="s">
        <v>4051</v>
      </c>
      <c r="D52" s="7">
        <v>0.24</v>
      </c>
      <c r="E52" s="2">
        <v>9037.33</v>
      </c>
      <c r="F52" s="2">
        <v>2168.96</v>
      </c>
    </row>
    <row r="53" spans="1:6" x14ac:dyDescent="0.25">
      <c r="A53" t="s">
        <v>4049</v>
      </c>
      <c r="B53" t="s">
        <v>4073</v>
      </c>
      <c r="C53" t="s">
        <v>4051</v>
      </c>
      <c r="D53" s="7">
        <v>0.08</v>
      </c>
      <c r="E53" s="2">
        <v>15517.89</v>
      </c>
      <c r="F53" s="2">
        <v>1241.43</v>
      </c>
    </row>
    <row r="54" spans="1:6" x14ac:dyDescent="0.25">
      <c r="A54" t="s">
        <v>4052</v>
      </c>
      <c r="B54" t="s">
        <v>4077</v>
      </c>
      <c r="C54" t="s">
        <v>287</v>
      </c>
      <c r="D54" s="7">
        <v>0.02</v>
      </c>
      <c r="E54" s="2">
        <v>74712.95</v>
      </c>
      <c r="F54" s="2">
        <v>1195.41</v>
      </c>
    </row>
    <row r="55" spans="1:6" x14ac:dyDescent="0.25">
      <c r="A55" t="s">
        <v>4052</v>
      </c>
      <c r="B55" t="s">
        <v>4078</v>
      </c>
      <c r="C55" t="s">
        <v>287</v>
      </c>
      <c r="D55" s="7">
        <v>0.01</v>
      </c>
      <c r="E55" s="2">
        <v>157100</v>
      </c>
      <c r="F55" s="2">
        <v>1099.7</v>
      </c>
    </row>
    <row r="56" spans="1:6" x14ac:dyDescent="0.25">
      <c r="A56" t="s">
        <v>4052</v>
      </c>
      <c r="B56" t="s">
        <v>4081</v>
      </c>
      <c r="C56" t="s">
        <v>287</v>
      </c>
      <c r="D56" s="7">
        <v>0.01</v>
      </c>
      <c r="E56" s="2">
        <v>98968.79</v>
      </c>
      <c r="F56" s="2">
        <v>692.78</v>
      </c>
    </row>
    <row r="57" spans="1:6" x14ac:dyDescent="0.25">
      <c r="A57" t="s">
        <v>4055</v>
      </c>
      <c r="D57" s="7"/>
      <c r="E57" s="2"/>
      <c r="F57" s="2">
        <f>SUBTOTAL(109,A_1_01_06[VALOR PARCIAL])</f>
      </c>
    </row>
    <row r="59" ht="30" customHeight="1" spans="1:6" x14ac:dyDescent="0.25">
      <c r="A59" s="5" t="s">
        <v>4082</v>
      </c>
      <c r="B59" s="5"/>
      <c r="C59" s="5"/>
      <c r="D59" s="5"/>
      <c r="E59" s="5"/>
      <c r="F59" s="5"/>
    </row>
    <row r="60" ht="42" customHeight="1" spans="1:6" x14ac:dyDescent="0.25">
      <c r="A60" s="6" t="s">
        <v>4083</v>
      </c>
      <c r="B60" s="6"/>
      <c r="C60" s="6"/>
      <c r="D60" s="6"/>
      <c r="E60" s="6"/>
      <c r="F60" s="6"/>
    </row>
    <row r="61" spans="1:6" x14ac:dyDescent="0.25">
      <c r="A61" t="s">
        <v>4044</v>
      </c>
      <c r="B61" t="s">
        <v>4045</v>
      </c>
      <c r="C61" t="s">
        <v>5</v>
      </c>
      <c r="D61" t="s">
        <v>4046</v>
      </c>
      <c r="E61" t="s">
        <v>4047</v>
      </c>
      <c r="F61" t="s">
        <v>4048</v>
      </c>
    </row>
    <row r="62" spans="1:6" x14ac:dyDescent="0.25">
      <c r="A62" t="s">
        <v>4049</v>
      </c>
      <c r="B62" t="s">
        <v>4050</v>
      </c>
      <c r="C62" t="s">
        <v>4051</v>
      </c>
      <c r="D62" s="7">
        <v>0.5</v>
      </c>
      <c r="E62" s="2">
        <v>9037.33</v>
      </c>
      <c r="F62" s="2">
        <v>4518.66</v>
      </c>
    </row>
    <row r="63" spans="1:6" x14ac:dyDescent="0.25">
      <c r="A63" t="s">
        <v>4049</v>
      </c>
      <c r="B63" t="s">
        <v>4073</v>
      </c>
      <c r="C63" t="s">
        <v>4051</v>
      </c>
      <c r="D63" s="7">
        <v>0.5</v>
      </c>
      <c r="E63" s="2">
        <v>15517.89</v>
      </c>
      <c r="F63" s="2">
        <v>7758.94</v>
      </c>
    </row>
    <row r="64" spans="1:6" x14ac:dyDescent="0.25">
      <c r="A64" t="s">
        <v>4052</v>
      </c>
      <c r="B64" t="s">
        <v>4084</v>
      </c>
      <c r="C64" t="s">
        <v>287</v>
      </c>
      <c r="D64" s="7">
        <v>0.5</v>
      </c>
      <c r="E64" s="2">
        <v>145366.67</v>
      </c>
      <c r="F64" s="2">
        <v>72683.34</v>
      </c>
    </row>
    <row r="65" spans="1:6" x14ac:dyDescent="0.25">
      <c r="A65" t="s">
        <v>4052</v>
      </c>
      <c r="B65" t="s">
        <v>4085</v>
      </c>
      <c r="C65" t="s">
        <v>287</v>
      </c>
      <c r="D65" s="7">
        <v>1</v>
      </c>
      <c r="E65" s="2">
        <v>5732.5</v>
      </c>
      <c r="F65" s="2">
        <v>5732.5</v>
      </c>
    </row>
    <row r="66" spans="1:6" x14ac:dyDescent="0.25">
      <c r="A66" t="s">
        <v>4052</v>
      </c>
      <c r="B66" t="s">
        <v>4053</v>
      </c>
      <c r="C66" t="s">
        <v>4054</v>
      </c>
      <c r="D66" s="7">
        <v>1</v>
      </c>
      <c r="E66" s="2">
        <v>12277.6</v>
      </c>
      <c r="F66" s="2">
        <v>122.78</v>
      </c>
    </row>
    <row r="67" spans="1:6" x14ac:dyDescent="0.25">
      <c r="A67" t="s">
        <v>4055</v>
      </c>
      <c r="D67" s="7"/>
      <c r="E67" s="2"/>
      <c r="F67" s="2">
        <f>SUBTOTAL(109,A_1_01_07[VALOR PARCIAL])</f>
      </c>
    </row>
    <row r="69" ht="30" customHeight="1" spans="1:6" x14ac:dyDescent="0.25">
      <c r="A69" s="5" t="s">
        <v>4086</v>
      </c>
      <c r="B69" s="5"/>
      <c r="C69" s="5"/>
      <c r="D69" s="5"/>
      <c r="E69" s="5"/>
      <c r="F69" s="5"/>
    </row>
    <row r="70" ht="42" customHeight="1" spans="1:6" x14ac:dyDescent="0.25">
      <c r="A70" s="6" t="s">
        <v>4087</v>
      </c>
      <c r="B70" s="6"/>
      <c r="C70" s="6"/>
      <c r="D70" s="6"/>
      <c r="E70" s="6"/>
      <c r="F70" s="6"/>
    </row>
    <row r="71" spans="1:6" x14ac:dyDescent="0.25">
      <c r="A71" t="s">
        <v>4044</v>
      </c>
      <c r="B71" t="s">
        <v>4045</v>
      </c>
      <c r="C71" t="s">
        <v>5</v>
      </c>
      <c r="D71" t="s">
        <v>4046</v>
      </c>
      <c r="E71" t="s">
        <v>4047</v>
      </c>
      <c r="F71" t="s">
        <v>4048</v>
      </c>
    </row>
    <row r="72" spans="1:6" x14ac:dyDescent="0.25">
      <c r="A72" t="s">
        <v>4049</v>
      </c>
      <c r="B72" t="s">
        <v>4050</v>
      </c>
      <c r="C72" t="s">
        <v>4051</v>
      </c>
      <c r="D72" s="7">
        <v>0.55</v>
      </c>
      <c r="E72" s="2">
        <v>9037.33</v>
      </c>
      <c r="F72" s="2">
        <v>4970.53</v>
      </c>
    </row>
    <row r="73" spans="1:6" x14ac:dyDescent="0.25">
      <c r="A73" t="s">
        <v>4052</v>
      </c>
      <c r="B73" t="s">
        <v>4053</v>
      </c>
      <c r="C73" t="s">
        <v>4054</v>
      </c>
      <c r="D73" s="7">
        <v>5</v>
      </c>
      <c r="E73" s="2">
        <v>4970.53</v>
      </c>
      <c r="F73" s="2">
        <v>248.53</v>
      </c>
    </row>
    <row r="74" spans="1:6" x14ac:dyDescent="0.25">
      <c r="A74" t="s">
        <v>4055</v>
      </c>
      <c r="D74" s="7"/>
      <c r="E74" s="2"/>
      <c r="F74" s="2">
        <f>SUBTOTAL(109,A_1_01_08[VALOR PARCIAL])</f>
      </c>
    </row>
    <row r="76" ht="30" customHeight="1" spans="1:6" x14ac:dyDescent="0.25">
      <c r="A76" s="5" t="s">
        <v>4088</v>
      </c>
      <c r="B76" s="5"/>
      <c r="C76" s="5"/>
      <c r="D76" s="5"/>
      <c r="E76" s="5"/>
      <c r="F76" s="5"/>
    </row>
    <row r="77" ht="42" customHeight="1" spans="1:6" x14ac:dyDescent="0.25">
      <c r="A77" s="6" t="s">
        <v>4089</v>
      </c>
      <c r="B77" s="6"/>
      <c r="C77" s="6"/>
      <c r="D77" s="6"/>
      <c r="E77" s="6"/>
      <c r="F77" s="6"/>
    </row>
    <row r="78" spans="1:6" x14ac:dyDescent="0.25">
      <c r="A78" t="s">
        <v>4044</v>
      </c>
      <c r="B78" t="s">
        <v>4045</v>
      </c>
      <c r="C78" t="s">
        <v>5</v>
      </c>
      <c r="D78" t="s">
        <v>4046</v>
      </c>
      <c r="E78" t="s">
        <v>4047</v>
      </c>
      <c r="F78" t="s">
        <v>4048</v>
      </c>
    </row>
    <row r="79" spans="1:6" x14ac:dyDescent="0.25">
      <c r="A79" t="s">
        <v>4049</v>
      </c>
      <c r="B79" t="s">
        <v>4050</v>
      </c>
      <c r="C79" t="s">
        <v>4051</v>
      </c>
      <c r="D79" s="7">
        <v>1.8</v>
      </c>
      <c r="E79" s="2">
        <v>9037.33</v>
      </c>
      <c r="F79" s="2">
        <v>16267.19</v>
      </c>
    </row>
    <row r="80" spans="1:6" x14ac:dyDescent="0.25">
      <c r="A80" t="s">
        <v>4052</v>
      </c>
      <c r="B80" t="s">
        <v>4053</v>
      </c>
      <c r="C80" t="s">
        <v>4054</v>
      </c>
      <c r="D80" s="7">
        <v>5</v>
      </c>
      <c r="E80" s="2">
        <v>16267.19</v>
      </c>
      <c r="F80" s="2">
        <v>813.36</v>
      </c>
    </row>
    <row r="81" spans="1:6" x14ac:dyDescent="0.25">
      <c r="A81" t="s">
        <v>4055</v>
      </c>
      <c r="D81" s="7"/>
      <c r="E81" s="2"/>
      <c r="F81" s="2">
        <f>SUBTOTAL(109,A_1_01_09[VALOR PARCIAL])</f>
      </c>
    </row>
    <row r="83" ht="30" customHeight="1" spans="1:6" x14ac:dyDescent="0.25">
      <c r="A83" s="5" t="s">
        <v>4090</v>
      </c>
      <c r="B83" s="5"/>
      <c r="C83" s="5"/>
      <c r="D83" s="5"/>
      <c r="E83" s="5"/>
      <c r="F83" s="5"/>
    </row>
    <row r="84" ht="42" customHeight="1" spans="1:6" x14ac:dyDescent="0.25">
      <c r="A84" s="6" t="s">
        <v>4091</v>
      </c>
      <c r="B84" s="6"/>
      <c r="C84" s="6"/>
      <c r="D84" s="6"/>
      <c r="E84" s="6"/>
      <c r="F84" s="6"/>
    </row>
    <row r="85" spans="1:6" x14ac:dyDescent="0.25">
      <c r="A85" t="s">
        <v>4044</v>
      </c>
      <c r="B85" t="s">
        <v>4045</v>
      </c>
      <c r="C85" t="s">
        <v>5</v>
      </c>
      <c r="D85" t="s">
        <v>4046</v>
      </c>
      <c r="E85" t="s">
        <v>4047</v>
      </c>
      <c r="F85" t="s">
        <v>4048</v>
      </c>
    </row>
    <row r="86" spans="1:6" x14ac:dyDescent="0.25">
      <c r="A86" t="s">
        <v>4049</v>
      </c>
      <c r="B86" t="s">
        <v>4050</v>
      </c>
      <c r="C86" t="s">
        <v>4051</v>
      </c>
      <c r="D86" s="7">
        <v>2.8</v>
      </c>
      <c r="E86" s="2">
        <v>9037.33</v>
      </c>
      <c r="F86" s="2">
        <v>25304.52</v>
      </c>
    </row>
    <row r="87" spans="1:6" x14ac:dyDescent="0.25">
      <c r="A87" t="s">
        <v>4052</v>
      </c>
      <c r="B87" t="s">
        <v>4092</v>
      </c>
      <c r="C87" t="s">
        <v>287</v>
      </c>
      <c r="D87" s="7">
        <v>1.5</v>
      </c>
      <c r="E87" s="2">
        <v>97476</v>
      </c>
      <c r="F87" s="2">
        <v>146214</v>
      </c>
    </row>
    <row r="88" spans="1:6" x14ac:dyDescent="0.25">
      <c r="A88" t="s">
        <v>4052</v>
      </c>
      <c r="B88" t="s">
        <v>4053</v>
      </c>
      <c r="C88" t="s">
        <v>4054</v>
      </c>
      <c r="D88" s="7">
        <v>5</v>
      </c>
      <c r="E88" s="2">
        <v>25304.52</v>
      </c>
      <c r="F88" s="2">
        <v>1265.23</v>
      </c>
    </row>
    <row r="89" spans="1:6" x14ac:dyDescent="0.25">
      <c r="A89" t="s">
        <v>4055</v>
      </c>
      <c r="D89" s="7"/>
      <c r="E89" s="2"/>
      <c r="F89" s="2">
        <f>SUBTOTAL(109,A_1_01_10[VALOR PARCIAL])</f>
      </c>
    </row>
    <row r="91" ht="30" customHeight="1" spans="1:6" x14ac:dyDescent="0.25">
      <c r="A91" s="5" t="s">
        <v>4093</v>
      </c>
      <c r="B91" s="5"/>
      <c r="C91" s="5"/>
      <c r="D91" s="5"/>
      <c r="E91" s="5"/>
      <c r="F91" s="5"/>
    </row>
    <row r="92" ht="42" customHeight="1" spans="1:6" x14ac:dyDescent="0.25">
      <c r="A92" s="6" t="s">
        <v>4094</v>
      </c>
      <c r="B92" s="6"/>
      <c r="C92" s="6"/>
      <c r="D92" s="6"/>
      <c r="E92" s="6"/>
      <c r="F92" s="6"/>
    </row>
    <row r="93" spans="1:6" x14ac:dyDescent="0.25">
      <c r="A93" t="s">
        <v>4044</v>
      </c>
      <c r="B93" t="s">
        <v>4045</v>
      </c>
      <c r="C93" t="s">
        <v>5</v>
      </c>
      <c r="D93" t="s">
        <v>4046</v>
      </c>
      <c r="E93" t="s">
        <v>4047</v>
      </c>
      <c r="F93" t="s">
        <v>4048</v>
      </c>
    </row>
    <row r="94" spans="1:6" x14ac:dyDescent="0.25">
      <c r="A94" t="s">
        <v>4049</v>
      </c>
      <c r="B94" t="s">
        <v>4050</v>
      </c>
      <c r="C94" t="s">
        <v>4051</v>
      </c>
      <c r="D94" s="7">
        <v>0.5</v>
      </c>
      <c r="E94" s="2">
        <v>9037.33</v>
      </c>
      <c r="F94" s="2">
        <v>4518.66</v>
      </c>
    </row>
    <row r="95" spans="1:6" x14ac:dyDescent="0.25">
      <c r="A95" t="s">
        <v>4052</v>
      </c>
      <c r="B95" t="s">
        <v>4053</v>
      </c>
      <c r="C95" t="s">
        <v>4054</v>
      </c>
      <c r="D95" s="7">
        <v>3.5</v>
      </c>
      <c r="E95" s="2">
        <v>4518.66</v>
      </c>
      <c r="F95" s="2">
        <v>158.15</v>
      </c>
    </row>
    <row r="96" spans="1:6" x14ac:dyDescent="0.25">
      <c r="A96" t="s">
        <v>4055</v>
      </c>
      <c r="D96" s="7"/>
      <c r="E96" s="2"/>
      <c r="F96" s="2">
        <f>SUBTOTAL(109,A_1_01_11[VALOR PARCIAL])</f>
      </c>
    </row>
    <row r="98" ht="30" customHeight="1" spans="1:6" x14ac:dyDescent="0.25">
      <c r="A98" s="5" t="s">
        <v>4095</v>
      </c>
      <c r="B98" s="5"/>
      <c r="C98" s="5"/>
      <c r="D98" s="5"/>
      <c r="E98" s="5"/>
      <c r="F98" s="5"/>
    </row>
    <row r="99" ht="42" customHeight="1" spans="1:6" x14ac:dyDescent="0.25">
      <c r="A99" s="6" t="s">
        <v>4096</v>
      </c>
      <c r="B99" s="6"/>
      <c r="C99" s="6"/>
      <c r="D99" s="6"/>
      <c r="E99" s="6"/>
      <c r="F99" s="6"/>
    </row>
    <row r="100" spans="1:6" x14ac:dyDescent="0.25">
      <c r="A100" t="s">
        <v>4044</v>
      </c>
      <c r="B100" t="s">
        <v>4045</v>
      </c>
      <c r="C100" t="s">
        <v>5</v>
      </c>
      <c r="D100" t="s">
        <v>4046</v>
      </c>
      <c r="E100" t="s">
        <v>4047</v>
      </c>
      <c r="F100" t="s">
        <v>4048</v>
      </c>
    </row>
    <row r="101" spans="1:6" x14ac:dyDescent="0.25">
      <c r="A101" t="s">
        <v>4049</v>
      </c>
      <c r="B101" t="s">
        <v>4050</v>
      </c>
      <c r="C101" t="s">
        <v>4051</v>
      </c>
      <c r="D101" s="7">
        <v>0.35</v>
      </c>
      <c r="E101" s="2">
        <v>9037.33</v>
      </c>
      <c r="F101" s="2">
        <v>3163.07</v>
      </c>
    </row>
    <row r="102" spans="1:6" x14ac:dyDescent="0.25">
      <c r="A102" t="s">
        <v>4052</v>
      </c>
      <c r="B102" t="s">
        <v>4053</v>
      </c>
      <c r="C102" t="s">
        <v>4054</v>
      </c>
      <c r="D102" s="7">
        <v>5</v>
      </c>
      <c r="E102" s="2">
        <v>3163.07</v>
      </c>
      <c r="F102" s="2">
        <v>158.15</v>
      </c>
    </row>
    <row r="103" spans="1:6" x14ac:dyDescent="0.25">
      <c r="A103" t="s">
        <v>4055</v>
      </c>
      <c r="D103" s="7"/>
      <c r="E103" s="2"/>
      <c r="F103" s="2">
        <f>SUBTOTAL(109,A_1_01_12[VALOR PARCIAL])</f>
      </c>
    </row>
    <row r="105" ht="30" customHeight="1" spans="1:6" x14ac:dyDescent="0.25">
      <c r="A105" s="5" t="s">
        <v>4097</v>
      </c>
      <c r="B105" s="5"/>
      <c r="C105" s="5"/>
      <c r="D105" s="5"/>
      <c r="E105" s="5"/>
      <c r="F105" s="5"/>
    </row>
    <row r="106" ht="42" customHeight="1" spans="1:6" x14ac:dyDescent="0.25">
      <c r="A106" s="6" t="s">
        <v>4098</v>
      </c>
      <c r="B106" s="6"/>
      <c r="C106" s="6"/>
      <c r="D106" s="6"/>
      <c r="E106" s="6"/>
      <c r="F106" s="6"/>
    </row>
    <row r="107" spans="1:6" x14ac:dyDescent="0.25">
      <c r="A107" t="s">
        <v>4044</v>
      </c>
      <c r="B107" t="s">
        <v>4045</v>
      </c>
      <c r="C107" t="s">
        <v>5</v>
      </c>
      <c r="D107" t="s">
        <v>4046</v>
      </c>
      <c r="E107" t="s">
        <v>4047</v>
      </c>
      <c r="F107" t="s">
        <v>4048</v>
      </c>
    </row>
    <row r="108" spans="1:6" x14ac:dyDescent="0.25">
      <c r="A108" t="s">
        <v>4049</v>
      </c>
      <c r="B108" t="s">
        <v>4050</v>
      </c>
      <c r="C108" t="s">
        <v>4051</v>
      </c>
      <c r="D108" s="7">
        <v>0.14</v>
      </c>
      <c r="E108" s="2">
        <v>9037.33</v>
      </c>
      <c r="F108" s="2">
        <v>1265.23</v>
      </c>
    </row>
    <row r="109" spans="1:6" x14ac:dyDescent="0.25">
      <c r="A109" t="s">
        <v>4049</v>
      </c>
      <c r="B109" t="s">
        <v>4073</v>
      </c>
      <c r="C109" t="s">
        <v>4051</v>
      </c>
      <c r="D109" s="7">
        <v>0.14</v>
      </c>
      <c r="E109" s="2">
        <v>15517.89</v>
      </c>
      <c r="F109" s="2">
        <v>2172.5</v>
      </c>
    </row>
    <row r="110" spans="1:6" x14ac:dyDescent="0.25">
      <c r="A110" t="s">
        <v>4052</v>
      </c>
      <c r="B110" t="s">
        <v>4092</v>
      </c>
      <c r="C110" t="s">
        <v>287</v>
      </c>
      <c r="D110" s="7">
        <v>0.13</v>
      </c>
      <c r="E110" s="2">
        <v>97476</v>
      </c>
      <c r="F110" s="2">
        <v>12671.88</v>
      </c>
    </row>
    <row r="111" spans="1:6" x14ac:dyDescent="0.25">
      <c r="A111" t="s">
        <v>4052</v>
      </c>
      <c r="B111" t="s">
        <v>4053</v>
      </c>
      <c r="C111" t="s">
        <v>4054</v>
      </c>
      <c r="D111" s="7">
        <v>5</v>
      </c>
      <c r="E111" s="2">
        <v>3437.73</v>
      </c>
      <c r="F111" s="2">
        <v>171.89</v>
      </c>
    </row>
    <row r="112" spans="1:6" x14ac:dyDescent="0.25">
      <c r="A112" t="s">
        <v>4055</v>
      </c>
      <c r="D112" s="7"/>
      <c r="E112" s="2"/>
      <c r="F112" s="2">
        <f>SUBTOTAL(109,A_1_01_13[VALOR PARCIAL])</f>
      </c>
    </row>
    <row r="114" ht="30" customHeight="1" spans="1:6" x14ac:dyDescent="0.25">
      <c r="A114" s="5" t="s">
        <v>4099</v>
      </c>
      <c r="B114" s="5"/>
      <c r="C114" s="5"/>
      <c r="D114" s="5"/>
      <c r="E114" s="5"/>
      <c r="F114" s="5"/>
    </row>
    <row r="115" ht="42" customHeight="1" spans="1:6" x14ac:dyDescent="0.25">
      <c r="A115" s="6" t="s">
        <v>4100</v>
      </c>
      <c r="B115" s="6"/>
      <c r="C115" s="6"/>
      <c r="D115" s="6"/>
      <c r="E115" s="6"/>
      <c r="F115" s="6"/>
    </row>
    <row r="116" spans="1:6" x14ac:dyDescent="0.25">
      <c r="A116" t="s">
        <v>4044</v>
      </c>
      <c r="B116" t="s">
        <v>4045</v>
      </c>
      <c r="C116" t="s">
        <v>5</v>
      </c>
      <c r="D116" t="s">
        <v>4046</v>
      </c>
      <c r="E116" t="s">
        <v>4047</v>
      </c>
      <c r="F116" t="s">
        <v>4048</v>
      </c>
    </row>
    <row r="117" spans="1:6" x14ac:dyDescent="0.25">
      <c r="A117" t="s">
        <v>4049</v>
      </c>
      <c r="B117" t="s">
        <v>4050</v>
      </c>
      <c r="C117" t="s">
        <v>4051</v>
      </c>
      <c r="D117" s="7">
        <v>0.09</v>
      </c>
      <c r="E117" s="2">
        <v>9037.33</v>
      </c>
      <c r="F117" s="2">
        <v>813.36</v>
      </c>
    </row>
    <row r="118" spans="1:6" x14ac:dyDescent="0.25">
      <c r="A118" t="s">
        <v>4049</v>
      </c>
      <c r="B118" t="s">
        <v>4073</v>
      </c>
      <c r="C118" t="s">
        <v>4051</v>
      </c>
      <c r="D118" s="7">
        <v>0.09</v>
      </c>
      <c r="E118" s="2">
        <v>15517.89</v>
      </c>
      <c r="F118" s="2">
        <v>1396.61</v>
      </c>
    </row>
    <row r="119" spans="1:6" x14ac:dyDescent="0.25">
      <c r="A119" t="s">
        <v>4052</v>
      </c>
      <c r="B119" t="s">
        <v>4092</v>
      </c>
      <c r="C119" t="s">
        <v>287</v>
      </c>
      <c r="D119" s="7">
        <v>0.09</v>
      </c>
      <c r="E119" s="2">
        <v>97476</v>
      </c>
      <c r="F119" s="2">
        <v>8772.84</v>
      </c>
    </row>
    <row r="120" spans="1:6" x14ac:dyDescent="0.25">
      <c r="A120" t="s">
        <v>4052</v>
      </c>
      <c r="B120" t="s">
        <v>4053</v>
      </c>
      <c r="C120" t="s">
        <v>4054</v>
      </c>
      <c r="D120" s="7">
        <v>5</v>
      </c>
      <c r="E120" s="2">
        <v>2209.97</v>
      </c>
      <c r="F120" s="2">
        <v>110.5</v>
      </c>
    </row>
    <row r="121" spans="1:6" x14ac:dyDescent="0.25">
      <c r="A121" t="s">
        <v>4055</v>
      </c>
      <c r="D121" s="7"/>
      <c r="E121" s="2"/>
      <c r="F121" s="2">
        <f>SUBTOTAL(109,A_1_01_14[VALOR PARCIAL])</f>
      </c>
    </row>
    <row r="123" ht="30" customHeight="1" spans="1:6" x14ac:dyDescent="0.25">
      <c r="A123" s="5" t="s">
        <v>4101</v>
      </c>
      <c r="B123" s="5"/>
      <c r="C123" s="5"/>
      <c r="D123" s="5"/>
      <c r="E123" s="5"/>
      <c r="F123" s="5"/>
    </row>
    <row r="124" ht="42" customHeight="1" spans="1:6" x14ac:dyDescent="0.25">
      <c r="A124" s="6" t="s">
        <v>4102</v>
      </c>
      <c r="B124" s="6"/>
      <c r="C124" s="6"/>
      <c r="D124" s="6"/>
      <c r="E124" s="6"/>
      <c r="F124" s="6"/>
    </row>
    <row r="125" spans="1:6" x14ac:dyDescent="0.25">
      <c r="A125" t="s">
        <v>4044</v>
      </c>
      <c r="B125" t="s">
        <v>4045</v>
      </c>
      <c r="C125" t="s">
        <v>5</v>
      </c>
      <c r="D125" t="s">
        <v>4046</v>
      </c>
      <c r="E125" t="s">
        <v>4047</v>
      </c>
      <c r="F125" t="s">
        <v>4048</v>
      </c>
    </row>
    <row r="126" spans="1:6" x14ac:dyDescent="0.25">
      <c r="A126" t="s">
        <v>4049</v>
      </c>
      <c r="B126" t="s">
        <v>4050</v>
      </c>
      <c r="C126" t="s">
        <v>4051</v>
      </c>
      <c r="D126" s="7">
        <v>1.3</v>
      </c>
      <c r="E126" s="2">
        <v>9037.33</v>
      </c>
      <c r="F126" s="2">
        <v>11748.53</v>
      </c>
    </row>
    <row r="127" spans="1:6" x14ac:dyDescent="0.25">
      <c r="A127" t="s">
        <v>4052</v>
      </c>
      <c r="B127" t="s">
        <v>4053</v>
      </c>
      <c r="C127" t="s">
        <v>4054</v>
      </c>
      <c r="D127" s="7">
        <v>5</v>
      </c>
      <c r="E127" s="2">
        <v>11748.53</v>
      </c>
      <c r="F127" s="2">
        <v>587.43</v>
      </c>
    </row>
    <row r="128" spans="1:6" x14ac:dyDescent="0.25">
      <c r="A128" t="s">
        <v>4055</v>
      </c>
      <c r="D128" s="7"/>
      <c r="E128" s="2"/>
      <c r="F128" s="2">
        <f>SUBTOTAL(109,A_1_01_15[VALOR PARCIAL])</f>
      </c>
    </row>
    <row r="130" ht="30" customHeight="1" spans="1:6" x14ac:dyDescent="0.25">
      <c r="A130" s="5" t="s">
        <v>4103</v>
      </c>
      <c r="B130" s="5"/>
      <c r="C130" s="5"/>
      <c r="D130" s="5"/>
      <c r="E130" s="5"/>
      <c r="F130" s="5"/>
    </row>
    <row r="131" ht="42" customHeight="1" spans="1:6" x14ac:dyDescent="0.25">
      <c r="A131" s="6" t="s">
        <v>4104</v>
      </c>
      <c r="B131" s="6"/>
      <c r="C131" s="6"/>
      <c r="D131" s="6"/>
      <c r="E131" s="6"/>
      <c r="F131" s="6"/>
    </row>
    <row r="132" spans="1:6" x14ac:dyDescent="0.25">
      <c r="A132" t="s">
        <v>4044</v>
      </c>
      <c r="B132" t="s">
        <v>4045</v>
      </c>
      <c r="C132" t="s">
        <v>5</v>
      </c>
      <c r="D132" t="s">
        <v>4046</v>
      </c>
      <c r="E132" t="s">
        <v>4047</v>
      </c>
      <c r="F132" t="s">
        <v>4048</v>
      </c>
    </row>
    <row r="133" spans="1:6" x14ac:dyDescent="0.25">
      <c r="A133" t="s">
        <v>4049</v>
      </c>
      <c r="B133" t="s">
        <v>4050</v>
      </c>
      <c r="C133" t="s">
        <v>4051</v>
      </c>
      <c r="D133" s="7">
        <v>0.43</v>
      </c>
      <c r="E133" s="2">
        <v>9037.33</v>
      </c>
      <c r="F133" s="2">
        <v>3886.05</v>
      </c>
    </row>
    <row r="134" spans="1:6" x14ac:dyDescent="0.25">
      <c r="A134" t="s">
        <v>4049</v>
      </c>
      <c r="B134" t="s">
        <v>4073</v>
      </c>
      <c r="C134" t="s">
        <v>4051</v>
      </c>
      <c r="D134" s="7">
        <v>0.43</v>
      </c>
      <c r="E134" s="2">
        <v>15517.89</v>
      </c>
      <c r="F134" s="2">
        <v>6672.69</v>
      </c>
    </row>
    <row r="135" spans="1:6" x14ac:dyDescent="0.25">
      <c r="A135" t="s">
        <v>4052</v>
      </c>
      <c r="B135" t="s">
        <v>4105</v>
      </c>
      <c r="C135" t="s">
        <v>4106</v>
      </c>
      <c r="D135" s="7">
        <v>0.15</v>
      </c>
      <c r="E135" s="2">
        <v>25125</v>
      </c>
      <c r="F135" s="2">
        <v>3768.75</v>
      </c>
    </row>
    <row r="136" spans="1:6" x14ac:dyDescent="0.25">
      <c r="A136" t="s">
        <v>4052</v>
      </c>
      <c r="B136" t="s">
        <v>4053</v>
      </c>
      <c r="C136" t="s">
        <v>4054</v>
      </c>
      <c r="D136" s="7">
        <v>0.5</v>
      </c>
      <c r="E136" s="2">
        <v>10558.74</v>
      </c>
      <c r="F136" s="2">
        <v>52.79</v>
      </c>
    </row>
    <row r="137" spans="1:6" x14ac:dyDescent="0.25">
      <c r="A137" t="s">
        <v>4055</v>
      </c>
      <c r="D137" s="7"/>
      <c r="E137" s="2"/>
      <c r="F137" s="2">
        <f>SUBTOTAL(109,A_1_01_16[VALOR PARCIAL])</f>
      </c>
    </row>
    <row r="139" ht="30" customHeight="1" spans="1:6" x14ac:dyDescent="0.25">
      <c r="A139" s="5" t="s">
        <v>4107</v>
      </c>
      <c r="B139" s="5"/>
      <c r="C139" s="5"/>
      <c r="D139" s="5"/>
      <c r="E139" s="5"/>
      <c r="F139" s="5"/>
    </row>
    <row r="140" ht="42" customHeight="1" spans="1:6" x14ac:dyDescent="0.25">
      <c r="A140" s="6" t="s">
        <v>4108</v>
      </c>
      <c r="B140" s="6"/>
      <c r="C140" s="6"/>
      <c r="D140" s="6"/>
      <c r="E140" s="6"/>
      <c r="F140" s="6"/>
    </row>
    <row r="141" spans="1:6" x14ac:dyDescent="0.25">
      <c r="A141" t="s">
        <v>4044</v>
      </c>
      <c r="B141" t="s">
        <v>4045</v>
      </c>
      <c r="C141" t="s">
        <v>5</v>
      </c>
      <c r="D141" t="s">
        <v>4046</v>
      </c>
      <c r="E141" t="s">
        <v>4047</v>
      </c>
      <c r="F141" t="s">
        <v>4048</v>
      </c>
    </row>
    <row r="142" spans="1:6" x14ac:dyDescent="0.25">
      <c r="A142" t="s">
        <v>4049</v>
      </c>
      <c r="B142" t="s">
        <v>4050</v>
      </c>
      <c r="C142" t="s">
        <v>4051</v>
      </c>
      <c r="D142" s="7">
        <v>0.15</v>
      </c>
      <c r="E142" s="2">
        <v>9037.33</v>
      </c>
      <c r="F142" s="2">
        <v>1355.6</v>
      </c>
    </row>
    <row r="143" spans="1:6" x14ac:dyDescent="0.25">
      <c r="A143" t="s">
        <v>4052</v>
      </c>
      <c r="B143" t="s">
        <v>4105</v>
      </c>
      <c r="C143" t="s">
        <v>4106</v>
      </c>
      <c r="D143" s="7">
        <v>0.05</v>
      </c>
      <c r="E143" s="2">
        <v>25125</v>
      </c>
      <c r="F143" s="2">
        <v>1256.25</v>
      </c>
    </row>
    <row r="144" spans="1:6" x14ac:dyDescent="0.25">
      <c r="A144" t="s">
        <v>4052</v>
      </c>
      <c r="B144" t="s">
        <v>4053</v>
      </c>
      <c r="C144" t="s">
        <v>4054</v>
      </c>
      <c r="D144" s="7">
        <v>5</v>
      </c>
      <c r="E144" s="2">
        <v>1355.6</v>
      </c>
      <c r="F144" s="2">
        <v>67.78</v>
      </c>
    </row>
    <row r="145" spans="1:6" x14ac:dyDescent="0.25">
      <c r="A145" t="s">
        <v>4055</v>
      </c>
      <c r="D145" s="7"/>
      <c r="E145" s="2"/>
      <c r="F145" s="2">
        <f>SUBTOTAL(109,A_1_01_17[VALOR PARCIAL])</f>
      </c>
    </row>
    <row r="147" ht="30" customHeight="1" spans="1:6" x14ac:dyDescent="0.25">
      <c r="A147" s="5" t="s">
        <v>4109</v>
      </c>
      <c r="B147" s="5"/>
      <c r="C147" s="5"/>
      <c r="D147" s="5"/>
      <c r="E147" s="5"/>
      <c r="F147" s="5"/>
    </row>
    <row r="148" ht="42" customHeight="1" spans="1:6" x14ac:dyDescent="0.25">
      <c r="A148" s="6" t="s">
        <v>4110</v>
      </c>
      <c r="B148" s="6"/>
      <c r="C148" s="6"/>
      <c r="D148" s="6"/>
      <c r="E148" s="6"/>
      <c r="F148" s="6"/>
    </row>
    <row r="149" spans="1:6" x14ac:dyDescent="0.25">
      <c r="A149" t="s">
        <v>4044</v>
      </c>
      <c r="B149" t="s">
        <v>4045</v>
      </c>
      <c r="C149" t="s">
        <v>5</v>
      </c>
      <c r="D149" t="s">
        <v>4046</v>
      </c>
      <c r="E149" t="s">
        <v>4047</v>
      </c>
      <c r="F149" t="s">
        <v>4048</v>
      </c>
    </row>
    <row r="150" spans="1:6" x14ac:dyDescent="0.25">
      <c r="A150" t="s">
        <v>4049</v>
      </c>
      <c r="B150" t="s">
        <v>4050</v>
      </c>
      <c r="C150" t="s">
        <v>4051</v>
      </c>
      <c r="D150" s="7">
        <v>1.7</v>
      </c>
      <c r="E150" s="2">
        <v>9037.33</v>
      </c>
      <c r="F150" s="2">
        <v>15363.46</v>
      </c>
    </row>
    <row r="151" spans="1:6" x14ac:dyDescent="0.25">
      <c r="A151" t="s">
        <v>4049</v>
      </c>
      <c r="B151" t="s">
        <v>4073</v>
      </c>
      <c r="C151" t="s">
        <v>4051</v>
      </c>
      <c r="D151" s="7">
        <v>1.7</v>
      </c>
      <c r="E151" s="2">
        <v>15517.89</v>
      </c>
      <c r="F151" s="2">
        <v>26380.41</v>
      </c>
    </row>
    <row r="152" spans="1:6" x14ac:dyDescent="0.25">
      <c r="A152" t="s">
        <v>4052</v>
      </c>
      <c r="B152" t="s">
        <v>4092</v>
      </c>
      <c r="C152" t="s">
        <v>287</v>
      </c>
      <c r="D152" s="7">
        <v>1.5</v>
      </c>
      <c r="E152" s="2">
        <v>97476</v>
      </c>
      <c r="F152" s="2">
        <v>146214</v>
      </c>
    </row>
    <row r="153" spans="1:6" x14ac:dyDescent="0.25">
      <c r="A153" t="s">
        <v>4052</v>
      </c>
      <c r="B153" t="s">
        <v>4053</v>
      </c>
      <c r="C153" t="s">
        <v>4054</v>
      </c>
      <c r="D153" s="7">
        <v>5</v>
      </c>
      <c r="E153" s="2">
        <v>41743.87</v>
      </c>
      <c r="F153" s="2">
        <v>2087.19</v>
      </c>
    </row>
    <row r="154" spans="1:6" x14ac:dyDescent="0.25">
      <c r="A154" t="s">
        <v>4055</v>
      </c>
      <c r="D154" s="7"/>
      <c r="E154" s="2"/>
      <c r="F154" s="2">
        <f>SUBTOTAL(109,A_1_01_18[VALOR PARCIAL])</f>
      </c>
    </row>
    <row r="156" ht="30" customHeight="1" spans="1:6" x14ac:dyDescent="0.25">
      <c r="A156" s="5" t="s">
        <v>4111</v>
      </c>
      <c r="B156" s="5"/>
      <c r="C156" s="5"/>
      <c r="D156" s="5"/>
      <c r="E156" s="5"/>
      <c r="F156" s="5"/>
    </row>
    <row r="157" ht="42" customHeight="1" spans="1:6" x14ac:dyDescent="0.25">
      <c r="A157" s="6" t="s">
        <v>4112</v>
      </c>
      <c r="B157" s="6"/>
      <c r="C157" s="6"/>
      <c r="D157" s="6"/>
      <c r="E157" s="6"/>
      <c r="F157" s="6"/>
    </row>
    <row r="158" spans="1:6" x14ac:dyDescent="0.25">
      <c r="A158" t="s">
        <v>4044</v>
      </c>
      <c r="B158" t="s">
        <v>4045</v>
      </c>
      <c r="C158" t="s">
        <v>5</v>
      </c>
      <c r="D158" t="s">
        <v>4046</v>
      </c>
      <c r="E158" t="s">
        <v>4047</v>
      </c>
      <c r="F158" t="s">
        <v>4048</v>
      </c>
    </row>
    <row r="159" spans="1:6" x14ac:dyDescent="0.25">
      <c r="A159" t="s">
        <v>4049</v>
      </c>
      <c r="B159" t="s">
        <v>4050</v>
      </c>
      <c r="C159" t="s">
        <v>4051</v>
      </c>
      <c r="D159" s="7">
        <v>3</v>
      </c>
      <c r="E159" s="2">
        <v>9037.33</v>
      </c>
      <c r="F159" s="2">
        <v>27111.99</v>
      </c>
    </row>
    <row r="160" spans="1:6" x14ac:dyDescent="0.25">
      <c r="A160" t="s">
        <v>4052</v>
      </c>
      <c r="B160" t="s">
        <v>4092</v>
      </c>
      <c r="C160" t="s">
        <v>287</v>
      </c>
      <c r="D160" s="7">
        <v>1.25</v>
      </c>
      <c r="E160" s="2">
        <v>97476</v>
      </c>
      <c r="F160" s="2">
        <v>121845</v>
      </c>
    </row>
    <row r="161" spans="1:6" x14ac:dyDescent="0.25">
      <c r="A161" t="s">
        <v>4052</v>
      </c>
      <c r="B161" t="s">
        <v>4113</v>
      </c>
      <c r="C161" t="s">
        <v>4106</v>
      </c>
      <c r="D161" s="7">
        <v>1</v>
      </c>
      <c r="E161" s="2">
        <v>43805.88</v>
      </c>
      <c r="F161" s="2">
        <v>43805.88</v>
      </c>
    </row>
    <row r="162" spans="1:6" x14ac:dyDescent="0.25">
      <c r="A162" t="s">
        <v>4052</v>
      </c>
      <c r="B162" t="s">
        <v>4053</v>
      </c>
      <c r="C162" t="s">
        <v>4054</v>
      </c>
      <c r="D162" s="7">
        <v>5</v>
      </c>
      <c r="E162" s="2">
        <v>27111.99</v>
      </c>
      <c r="F162" s="2">
        <v>1355.6</v>
      </c>
    </row>
    <row r="163" spans="1:6" x14ac:dyDescent="0.25">
      <c r="A163" t="s">
        <v>4055</v>
      </c>
      <c r="D163" s="7"/>
      <c r="E163" s="2"/>
      <c r="F163" s="2">
        <f>SUBTOTAL(109,A_1_01_19[VALOR PARCIAL])</f>
      </c>
    </row>
    <row r="165" ht="30" customHeight="1" spans="1:6" x14ac:dyDescent="0.25">
      <c r="A165" s="5" t="s">
        <v>4114</v>
      </c>
      <c r="B165" s="5"/>
      <c r="C165" s="5"/>
      <c r="D165" s="5"/>
      <c r="E165" s="5"/>
      <c r="F165" s="5"/>
    </row>
    <row r="166" ht="42" customHeight="1" spans="1:6" x14ac:dyDescent="0.25">
      <c r="A166" s="6" t="s">
        <v>4115</v>
      </c>
      <c r="B166" s="6"/>
      <c r="C166" s="6"/>
      <c r="D166" s="6"/>
      <c r="E166" s="6"/>
      <c r="F166" s="6"/>
    </row>
    <row r="167" spans="1:6" x14ac:dyDescent="0.25">
      <c r="A167" t="s">
        <v>4044</v>
      </c>
      <c r="B167" t="s">
        <v>4045</v>
      </c>
      <c r="C167" t="s">
        <v>5</v>
      </c>
      <c r="D167" t="s">
        <v>4046</v>
      </c>
      <c r="E167" t="s">
        <v>4047</v>
      </c>
      <c r="F167" t="s">
        <v>4048</v>
      </c>
    </row>
    <row r="168" spans="1:6" x14ac:dyDescent="0.25">
      <c r="A168" t="s">
        <v>4049</v>
      </c>
      <c r="B168" t="s">
        <v>4050</v>
      </c>
      <c r="C168" t="s">
        <v>4051</v>
      </c>
      <c r="D168" s="7">
        <v>0.55</v>
      </c>
      <c r="E168" s="2">
        <v>9037.33</v>
      </c>
      <c r="F168" s="2">
        <v>4970.53</v>
      </c>
    </row>
    <row r="169" spans="1:6" x14ac:dyDescent="0.25">
      <c r="A169" t="s">
        <v>4052</v>
      </c>
      <c r="B169" t="s">
        <v>4053</v>
      </c>
      <c r="C169" t="s">
        <v>4054</v>
      </c>
      <c r="D169" s="7">
        <v>3.7</v>
      </c>
      <c r="E169" s="2">
        <v>4970.53</v>
      </c>
      <c r="F169" s="2">
        <v>183.91</v>
      </c>
    </row>
    <row r="170" spans="1:6" x14ac:dyDescent="0.25">
      <c r="A170" t="s">
        <v>4055</v>
      </c>
      <c r="D170" s="7"/>
      <c r="E170" s="2"/>
      <c r="F170" s="2">
        <f>SUBTOTAL(109,A_1_01_20[VALOR PARCIAL])</f>
      </c>
    </row>
    <row r="172" ht="30" customHeight="1" spans="1:6" x14ac:dyDescent="0.25">
      <c r="A172" s="5" t="s">
        <v>4116</v>
      </c>
      <c r="B172" s="5"/>
      <c r="C172" s="5"/>
      <c r="D172" s="5"/>
      <c r="E172" s="5"/>
      <c r="F172" s="5"/>
    </row>
    <row r="173" ht="42" customHeight="1" spans="1:6" x14ac:dyDescent="0.25">
      <c r="A173" s="6" t="s">
        <v>4117</v>
      </c>
      <c r="B173" s="6"/>
      <c r="C173" s="6"/>
      <c r="D173" s="6"/>
      <c r="E173" s="6"/>
      <c r="F173" s="6"/>
    </row>
    <row r="174" spans="1:6" x14ac:dyDescent="0.25">
      <c r="A174" t="s">
        <v>4044</v>
      </c>
      <c r="B174" t="s">
        <v>4045</v>
      </c>
      <c r="C174" t="s">
        <v>5</v>
      </c>
      <c r="D174" t="s">
        <v>4046</v>
      </c>
      <c r="E174" t="s">
        <v>4047</v>
      </c>
      <c r="F174" t="s">
        <v>4048</v>
      </c>
    </row>
    <row r="175" spans="1:6" x14ac:dyDescent="0.25">
      <c r="A175" t="s">
        <v>4049</v>
      </c>
      <c r="B175" t="s">
        <v>4050</v>
      </c>
      <c r="C175" t="s">
        <v>4051</v>
      </c>
      <c r="D175" s="7">
        <v>0.5</v>
      </c>
      <c r="E175" s="2">
        <v>9037.33</v>
      </c>
      <c r="F175" s="2">
        <v>4518.66</v>
      </c>
    </row>
    <row r="176" spans="1:6" x14ac:dyDescent="0.25">
      <c r="A176" t="s">
        <v>4049</v>
      </c>
      <c r="B176" t="s">
        <v>4073</v>
      </c>
      <c r="C176" t="s">
        <v>4051</v>
      </c>
      <c r="D176" s="7">
        <v>0.25</v>
      </c>
      <c r="E176" s="2">
        <v>15517.89</v>
      </c>
      <c r="F176" s="2">
        <v>3879.47</v>
      </c>
    </row>
    <row r="177" spans="1:6" x14ac:dyDescent="0.25">
      <c r="A177" t="s">
        <v>4052</v>
      </c>
      <c r="B177" t="s">
        <v>4092</v>
      </c>
      <c r="C177" t="s">
        <v>287</v>
      </c>
      <c r="D177" s="7">
        <v>0.17</v>
      </c>
      <c r="E177" s="2">
        <v>97476</v>
      </c>
      <c r="F177" s="2">
        <v>16570.92</v>
      </c>
    </row>
    <row r="178" spans="1:6" x14ac:dyDescent="0.25">
      <c r="A178" t="s">
        <v>4052</v>
      </c>
      <c r="B178" t="s">
        <v>4118</v>
      </c>
      <c r="C178" t="s">
        <v>287</v>
      </c>
      <c r="D178" s="7">
        <v>0.03</v>
      </c>
      <c r="E178" s="2">
        <v>107433.33</v>
      </c>
      <c r="F178" s="2">
        <v>3223</v>
      </c>
    </row>
    <row r="179" spans="1:6" x14ac:dyDescent="0.25">
      <c r="A179" t="s">
        <v>4052</v>
      </c>
      <c r="B179" t="s">
        <v>4053</v>
      </c>
      <c r="C179" t="s">
        <v>4054</v>
      </c>
      <c r="D179" s="7">
        <v>5</v>
      </c>
      <c r="E179" s="2">
        <v>8398.13</v>
      </c>
      <c r="F179" s="2">
        <v>419.91</v>
      </c>
    </row>
    <row r="180" spans="1:6" x14ac:dyDescent="0.25">
      <c r="A180" t="s">
        <v>4055</v>
      </c>
      <c r="D180" s="7"/>
      <c r="E180" s="2"/>
      <c r="F180" s="2">
        <f>SUBTOTAL(109,A_1_01_21[VALOR PARCIAL])</f>
      </c>
    </row>
    <row r="182" ht="30" customHeight="1" spans="1:6" x14ac:dyDescent="0.25">
      <c r="A182" s="5" t="s">
        <v>4119</v>
      </c>
      <c r="B182" s="5"/>
      <c r="C182" s="5"/>
      <c r="D182" s="5"/>
      <c r="E182" s="5"/>
      <c r="F182" s="5"/>
    </row>
    <row r="183" ht="42" customHeight="1" spans="1:6" x14ac:dyDescent="0.25">
      <c r="A183" s="6" t="s">
        <v>4120</v>
      </c>
      <c r="B183" s="6"/>
      <c r="C183" s="6"/>
      <c r="D183" s="6"/>
      <c r="E183" s="6"/>
      <c r="F183" s="6"/>
    </row>
    <row r="184" spans="1:6" x14ac:dyDescent="0.25">
      <c r="A184" t="s">
        <v>4044</v>
      </c>
      <c r="B184" t="s">
        <v>4045</v>
      </c>
      <c r="C184" t="s">
        <v>5</v>
      </c>
      <c r="D184" t="s">
        <v>4046</v>
      </c>
      <c r="E184" t="s">
        <v>4047</v>
      </c>
      <c r="F184" t="s">
        <v>4048</v>
      </c>
    </row>
    <row r="185" spans="1:6" x14ac:dyDescent="0.25">
      <c r="A185" t="s">
        <v>4049</v>
      </c>
      <c r="B185" t="s">
        <v>4050</v>
      </c>
      <c r="C185" t="s">
        <v>4051</v>
      </c>
      <c r="D185" s="7">
        <v>0.55</v>
      </c>
      <c r="E185" s="2">
        <v>9037.33</v>
      </c>
      <c r="F185" s="2">
        <v>4970.53</v>
      </c>
    </row>
    <row r="186" spans="1:6" x14ac:dyDescent="0.25">
      <c r="A186" t="s">
        <v>4052</v>
      </c>
      <c r="B186" t="s">
        <v>4092</v>
      </c>
      <c r="C186" t="s">
        <v>287</v>
      </c>
      <c r="D186" s="7">
        <v>0.14</v>
      </c>
      <c r="E186" s="2">
        <v>97476</v>
      </c>
      <c r="F186" s="2">
        <v>13646.64</v>
      </c>
    </row>
    <row r="187" spans="1:6" x14ac:dyDescent="0.25">
      <c r="A187" t="s">
        <v>4052</v>
      </c>
      <c r="B187" t="s">
        <v>4053</v>
      </c>
      <c r="C187" t="s">
        <v>4054</v>
      </c>
      <c r="D187" s="7">
        <v>3.7</v>
      </c>
      <c r="E187" s="2">
        <v>4970.53</v>
      </c>
      <c r="F187" s="2">
        <v>183.91</v>
      </c>
    </row>
    <row r="188" spans="1:6" x14ac:dyDescent="0.25">
      <c r="A188" t="s">
        <v>4055</v>
      </c>
      <c r="D188" s="7"/>
      <c r="E188" s="2"/>
      <c r="F188" s="2">
        <f>SUBTOTAL(109,A_1_01_22[VALOR PARCIAL])</f>
      </c>
    </row>
    <row r="190" ht="30" customHeight="1" spans="1:6" x14ac:dyDescent="0.25">
      <c r="A190" s="5" t="s">
        <v>4121</v>
      </c>
      <c r="B190" s="5"/>
      <c r="C190" s="5"/>
      <c r="D190" s="5"/>
      <c r="E190" s="5"/>
      <c r="F190" s="5"/>
    </row>
    <row r="191" ht="42" customHeight="1" spans="1:6" x14ac:dyDescent="0.25">
      <c r="A191" s="6" t="s">
        <v>4122</v>
      </c>
      <c r="B191" s="6"/>
      <c r="C191" s="6"/>
      <c r="D191" s="6"/>
      <c r="E191" s="6"/>
      <c r="F191" s="6"/>
    </row>
    <row r="192" spans="1:6" x14ac:dyDescent="0.25">
      <c r="A192" t="s">
        <v>4044</v>
      </c>
      <c r="B192" t="s">
        <v>4045</v>
      </c>
      <c r="C192" t="s">
        <v>5</v>
      </c>
      <c r="D192" t="s">
        <v>4046</v>
      </c>
      <c r="E192" t="s">
        <v>4047</v>
      </c>
      <c r="F192" t="s">
        <v>4048</v>
      </c>
    </row>
    <row r="193" spans="1:6" x14ac:dyDescent="0.25">
      <c r="A193" t="s">
        <v>4049</v>
      </c>
      <c r="B193" t="s">
        <v>4050</v>
      </c>
      <c r="C193" t="s">
        <v>4051</v>
      </c>
      <c r="D193" s="7">
        <v>2.1</v>
      </c>
      <c r="E193" s="2">
        <v>9037.33</v>
      </c>
      <c r="F193" s="2">
        <v>18978.39</v>
      </c>
    </row>
    <row r="194" spans="1:6" x14ac:dyDescent="0.25">
      <c r="A194" t="s">
        <v>4049</v>
      </c>
      <c r="B194" t="s">
        <v>4073</v>
      </c>
      <c r="C194" t="s">
        <v>4051</v>
      </c>
      <c r="D194" s="7">
        <v>0.5</v>
      </c>
      <c r="E194" s="2">
        <v>15517.89</v>
      </c>
      <c r="F194" s="2">
        <v>7758.94</v>
      </c>
    </row>
    <row r="195" spans="1:6" x14ac:dyDescent="0.25">
      <c r="A195" t="s">
        <v>4052</v>
      </c>
      <c r="B195" t="s">
        <v>4123</v>
      </c>
      <c r="C195" t="s">
        <v>287</v>
      </c>
      <c r="D195" s="7">
        <v>0.05</v>
      </c>
      <c r="E195" s="2">
        <v>62400</v>
      </c>
      <c r="F195" s="2">
        <v>3120</v>
      </c>
    </row>
    <row r="196" spans="1:6" x14ac:dyDescent="0.25">
      <c r="A196" t="s">
        <v>4052</v>
      </c>
      <c r="B196" t="s">
        <v>4124</v>
      </c>
      <c r="C196" t="s">
        <v>287</v>
      </c>
      <c r="D196" s="7">
        <v>0.05</v>
      </c>
      <c r="E196" s="2">
        <v>13993</v>
      </c>
      <c r="F196" s="2">
        <v>699.65</v>
      </c>
    </row>
    <row r="197" spans="1:6" x14ac:dyDescent="0.25">
      <c r="A197" t="s">
        <v>4052</v>
      </c>
      <c r="B197" t="s">
        <v>4105</v>
      </c>
      <c r="C197" t="s">
        <v>4106</v>
      </c>
      <c r="D197" s="7">
        <v>0.2</v>
      </c>
      <c r="E197" s="2">
        <v>25125</v>
      </c>
      <c r="F197" s="2">
        <v>5025</v>
      </c>
    </row>
    <row r="198" spans="1:6" x14ac:dyDescent="0.25">
      <c r="A198" t="s">
        <v>4052</v>
      </c>
      <c r="B198" t="s">
        <v>4053</v>
      </c>
      <c r="C198" t="s">
        <v>4054</v>
      </c>
      <c r="D198" s="7">
        <v>5</v>
      </c>
      <c r="E198" s="2">
        <v>26737.33</v>
      </c>
      <c r="F198" s="2">
        <v>1336.87</v>
      </c>
    </row>
    <row r="199" spans="1:6" x14ac:dyDescent="0.25">
      <c r="A199" t="s">
        <v>4055</v>
      </c>
      <c r="D199" s="7"/>
      <c r="E199" s="2"/>
      <c r="F199" s="2">
        <f>SUBTOTAL(109,A_1_01_23[VALOR PARCIAL])</f>
      </c>
    </row>
    <row r="201" ht="30" customHeight="1" spans="1:6" x14ac:dyDescent="0.25">
      <c r="A201" s="5" t="s">
        <v>4125</v>
      </c>
      <c r="B201" s="5"/>
      <c r="C201" s="5"/>
      <c r="D201" s="5"/>
      <c r="E201" s="5"/>
      <c r="F201" s="5"/>
    </row>
    <row r="202" ht="42" customHeight="1" spans="1:6" x14ac:dyDescent="0.25">
      <c r="A202" s="6" t="s">
        <v>4126</v>
      </c>
      <c r="B202" s="6"/>
      <c r="C202" s="6"/>
      <c r="D202" s="6"/>
      <c r="E202" s="6"/>
      <c r="F202" s="6"/>
    </row>
    <row r="203" spans="1:6" x14ac:dyDescent="0.25">
      <c r="A203" t="s">
        <v>4044</v>
      </c>
      <c r="B203" t="s">
        <v>4045</v>
      </c>
      <c r="C203" t="s">
        <v>5</v>
      </c>
      <c r="D203" t="s">
        <v>4046</v>
      </c>
      <c r="E203" t="s">
        <v>4047</v>
      </c>
      <c r="F203" t="s">
        <v>4048</v>
      </c>
    </row>
    <row r="204" spans="1:6" x14ac:dyDescent="0.25">
      <c r="A204" t="s">
        <v>4049</v>
      </c>
      <c r="B204" t="s">
        <v>4050</v>
      </c>
      <c r="C204" t="s">
        <v>4051</v>
      </c>
      <c r="D204" s="7">
        <v>0.78</v>
      </c>
      <c r="E204" s="2">
        <v>9037.33</v>
      </c>
      <c r="F204" s="2">
        <v>7049.12</v>
      </c>
    </row>
    <row r="205" spans="1:6" x14ac:dyDescent="0.25">
      <c r="A205" t="s">
        <v>4052</v>
      </c>
      <c r="B205" t="s">
        <v>4053</v>
      </c>
      <c r="C205" t="s">
        <v>4054</v>
      </c>
      <c r="D205" s="7">
        <v>2.5</v>
      </c>
      <c r="E205" s="2">
        <v>7049.12</v>
      </c>
      <c r="F205" s="2">
        <v>176.23</v>
      </c>
    </row>
    <row r="206" spans="1:6" x14ac:dyDescent="0.25">
      <c r="A206" t="s">
        <v>4055</v>
      </c>
      <c r="D206" s="7"/>
      <c r="E206" s="2"/>
      <c r="F206" s="2">
        <f>SUBTOTAL(109,A_1_01_24[VALOR PARCIAL])</f>
      </c>
    </row>
    <row r="208" ht="30" customHeight="1" spans="1:6" x14ac:dyDescent="0.25">
      <c r="A208" s="5" t="s">
        <v>4127</v>
      </c>
      <c r="B208" s="5"/>
      <c r="C208" s="5"/>
      <c r="D208" s="5"/>
      <c r="E208" s="5"/>
      <c r="F208" s="5"/>
    </row>
    <row r="209" ht="42" customHeight="1" spans="1:6" x14ac:dyDescent="0.25">
      <c r="A209" s="6" t="s">
        <v>4128</v>
      </c>
      <c r="B209" s="6"/>
      <c r="C209" s="6"/>
      <c r="D209" s="6"/>
      <c r="E209" s="6"/>
      <c r="F209" s="6"/>
    </row>
    <row r="210" spans="1:6" x14ac:dyDescent="0.25">
      <c r="A210" t="s">
        <v>4044</v>
      </c>
      <c r="B210" t="s">
        <v>4045</v>
      </c>
      <c r="C210" t="s">
        <v>5</v>
      </c>
      <c r="D210" t="s">
        <v>4046</v>
      </c>
      <c r="E210" t="s">
        <v>4047</v>
      </c>
      <c r="F210" t="s">
        <v>4048</v>
      </c>
    </row>
    <row r="211" spans="1:6" x14ac:dyDescent="0.25">
      <c r="A211" t="s">
        <v>4049</v>
      </c>
      <c r="B211" t="s">
        <v>4050</v>
      </c>
      <c r="C211" t="s">
        <v>4051</v>
      </c>
      <c r="D211" s="7">
        <v>0.96</v>
      </c>
      <c r="E211" s="2">
        <v>9037.33</v>
      </c>
      <c r="F211" s="2">
        <v>8675.84</v>
      </c>
    </row>
    <row r="212" spans="1:6" x14ac:dyDescent="0.25">
      <c r="A212" t="s">
        <v>4052</v>
      </c>
      <c r="B212" t="s">
        <v>4092</v>
      </c>
      <c r="C212" t="s">
        <v>287</v>
      </c>
      <c r="D212" s="7">
        <v>0.23</v>
      </c>
      <c r="E212" s="2">
        <v>97476</v>
      </c>
      <c r="F212" s="2">
        <v>22419.48</v>
      </c>
    </row>
    <row r="213" spans="1:6" x14ac:dyDescent="0.25">
      <c r="A213" t="s">
        <v>4052</v>
      </c>
      <c r="B213" t="s">
        <v>4053</v>
      </c>
      <c r="C213" t="s">
        <v>4054</v>
      </c>
      <c r="D213" s="7">
        <v>5</v>
      </c>
      <c r="E213" s="2">
        <v>8675.84</v>
      </c>
      <c r="F213" s="2">
        <v>433.79</v>
      </c>
    </row>
    <row r="214" spans="1:6" x14ac:dyDescent="0.25">
      <c r="A214" t="s">
        <v>4055</v>
      </c>
      <c r="D214" s="7"/>
      <c r="E214" s="2"/>
      <c r="F214" s="2">
        <f>SUBTOTAL(109,A_1_01_25[VALOR PARCIAL])</f>
      </c>
    </row>
    <row r="216" ht="30" customHeight="1" spans="1:6" x14ac:dyDescent="0.25">
      <c r="A216" s="5" t="s">
        <v>4129</v>
      </c>
      <c r="B216" s="5"/>
      <c r="C216" s="5"/>
      <c r="D216" s="5"/>
      <c r="E216" s="5"/>
      <c r="F216" s="5"/>
    </row>
    <row r="217" ht="42" customHeight="1" spans="1:6" x14ac:dyDescent="0.25">
      <c r="A217" s="6" t="s">
        <v>4130</v>
      </c>
      <c r="B217" s="6"/>
      <c r="C217" s="6"/>
      <c r="D217" s="6"/>
      <c r="E217" s="6"/>
      <c r="F217" s="6"/>
    </row>
    <row r="218" spans="1:6" x14ac:dyDescent="0.25">
      <c r="A218" t="s">
        <v>4044</v>
      </c>
      <c r="B218" t="s">
        <v>4045</v>
      </c>
      <c r="C218" t="s">
        <v>5</v>
      </c>
      <c r="D218" t="s">
        <v>4046</v>
      </c>
      <c r="E218" t="s">
        <v>4047</v>
      </c>
      <c r="F218" t="s">
        <v>4048</v>
      </c>
    </row>
    <row r="219" spans="1:6" x14ac:dyDescent="0.25">
      <c r="A219" t="s">
        <v>4049</v>
      </c>
      <c r="B219" t="s">
        <v>4050</v>
      </c>
      <c r="C219" t="s">
        <v>4051</v>
      </c>
      <c r="D219" s="7">
        <v>0.2</v>
      </c>
      <c r="E219" s="2">
        <v>9037.33</v>
      </c>
      <c r="F219" s="2">
        <v>1807.47</v>
      </c>
    </row>
    <row r="220" spans="1:6" x14ac:dyDescent="0.25">
      <c r="A220" t="s">
        <v>4052</v>
      </c>
      <c r="B220" t="s">
        <v>4053</v>
      </c>
      <c r="C220" t="s">
        <v>4054</v>
      </c>
      <c r="D220" s="7">
        <v>1</v>
      </c>
      <c r="E220" s="2">
        <v>1807.47</v>
      </c>
      <c r="F220" s="2">
        <v>18.07</v>
      </c>
    </row>
    <row r="221" spans="1:6" x14ac:dyDescent="0.25">
      <c r="A221" t="s">
        <v>4055</v>
      </c>
      <c r="D221" s="7"/>
      <c r="E221" s="2"/>
      <c r="F221" s="2">
        <f>SUBTOTAL(109,A_1_01_26[VALOR PARCIAL])</f>
      </c>
    </row>
    <row r="223" ht="30" customHeight="1" spans="1:6" x14ac:dyDescent="0.25">
      <c r="A223" s="5" t="s">
        <v>4131</v>
      </c>
      <c r="B223" s="5"/>
      <c r="C223" s="5"/>
      <c r="D223" s="5"/>
      <c r="E223" s="5"/>
      <c r="F223" s="5"/>
    </row>
    <row r="224" ht="42" customHeight="1" spans="1:6" x14ac:dyDescent="0.25">
      <c r="A224" s="6" t="s">
        <v>4132</v>
      </c>
      <c r="B224" s="6"/>
      <c r="C224" s="6"/>
      <c r="D224" s="6"/>
      <c r="E224" s="6"/>
      <c r="F224" s="6"/>
    </row>
    <row r="225" spans="1:6" x14ac:dyDescent="0.25">
      <c r="A225" t="s">
        <v>4044</v>
      </c>
      <c r="B225" t="s">
        <v>4045</v>
      </c>
      <c r="C225" t="s">
        <v>5</v>
      </c>
      <c r="D225" t="s">
        <v>4046</v>
      </c>
      <c r="E225" t="s">
        <v>4047</v>
      </c>
      <c r="F225" t="s">
        <v>4048</v>
      </c>
    </row>
    <row r="226" spans="1:6" x14ac:dyDescent="0.25">
      <c r="A226" t="s">
        <v>4049</v>
      </c>
      <c r="B226" t="s">
        <v>4050</v>
      </c>
      <c r="C226" t="s">
        <v>4051</v>
      </c>
      <c r="D226" s="7">
        <v>3.85</v>
      </c>
      <c r="E226" s="2">
        <v>9037.33</v>
      </c>
      <c r="F226" s="2">
        <v>34793.72</v>
      </c>
    </row>
    <row r="227" spans="1:6" x14ac:dyDescent="0.25">
      <c r="A227" t="s">
        <v>4052</v>
      </c>
      <c r="B227" t="s">
        <v>4053</v>
      </c>
      <c r="C227" t="s">
        <v>4054</v>
      </c>
      <c r="D227" s="7">
        <v>4</v>
      </c>
      <c r="E227" s="2">
        <v>34793.72</v>
      </c>
      <c r="F227" s="2">
        <v>1391.75</v>
      </c>
    </row>
    <row r="228" spans="1:6" x14ac:dyDescent="0.25">
      <c r="A228" t="s">
        <v>4055</v>
      </c>
      <c r="D228" s="7"/>
      <c r="E228" s="2"/>
      <c r="F228" s="2">
        <f>SUBTOTAL(109,A_1_01_27[VALOR PARCIAL])</f>
      </c>
    </row>
    <row r="230" ht="30" customHeight="1" spans="1:6" x14ac:dyDescent="0.25">
      <c r="A230" s="5" t="s">
        <v>4133</v>
      </c>
      <c r="B230" s="5"/>
      <c r="C230" s="5"/>
      <c r="D230" s="5"/>
      <c r="E230" s="5"/>
      <c r="F230" s="5"/>
    </row>
    <row r="231" ht="42" customHeight="1" spans="1:6" x14ac:dyDescent="0.25">
      <c r="A231" s="6" t="s">
        <v>4134</v>
      </c>
      <c r="B231" s="6"/>
      <c r="C231" s="6"/>
      <c r="D231" s="6"/>
      <c r="E231" s="6"/>
      <c r="F231" s="6"/>
    </row>
    <row r="232" spans="1:6" x14ac:dyDescent="0.25">
      <c r="A232" t="s">
        <v>4044</v>
      </c>
      <c r="B232" t="s">
        <v>4045</v>
      </c>
      <c r="C232" t="s">
        <v>5</v>
      </c>
      <c r="D232" t="s">
        <v>4046</v>
      </c>
      <c r="E232" t="s">
        <v>4047</v>
      </c>
      <c r="F232" t="s">
        <v>4048</v>
      </c>
    </row>
    <row r="233" spans="1:6" x14ac:dyDescent="0.25">
      <c r="A233" t="s">
        <v>4049</v>
      </c>
      <c r="B233" t="s">
        <v>4050</v>
      </c>
      <c r="C233" t="s">
        <v>4051</v>
      </c>
      <c r="D233" s="7">
        <v>2.7</v>
      </c>
      <c r="E233" s="2">
        <v>9037.33</v>
      </c>
      <c r="F233" s="2">
        <v>24400.79</v>
      </c>
    </row>
    <row r="234" spans="1:6" x14ac:dyDescent="0.25">
      <c r="A234" t="s">
        <v>4052</v>
      </c>
      <c r="B234" t="s">
        <v>4053</v>
      </c>
      <c r="C234" t="s">
        <v>4054</v>
      </c>
      <c r="D234" s="7">
        <v>3.5</v>
      </c>
      <c r="E234" s="2">
        <v>24400.79</v>
      </c>
      <c r="F234" s="2">
        <v>854.03</v>
      </c>
    </row>
    <row r="235" spans="1:6" x14ac:dyDescent="0.25">
      <c r="A235" t="s">
        <v>4055</v>
      </c>
      <c r="D235" s="7"/>
      <c r="E235" s="2"/>
      <c r="F235" s="2">
        <f>SUBTOTAL(109,A_1_01_28[VALOR PARCIAL])</f>
      </c>
    </row>
    <row r="237" ht="30" customHeight="1" spans="1:6" x14ac:dyDescent="0.25">
      <c r="A237" s="5" t="s">
        <v>4135</v>
      </c>
      <c r="B237" s="5"/>
      <c r="C237" s="5"/>
      <c r="D237" s="5"/>
      <c r="E237" s="5"/>
      <c r="F237" s="5"/>
    </row>
    <row r="238" ht="42" customHeight="1" spans="1:6" x14ac:dyDescent="0.25">
      <c r="A238" s="6" t="s">
        <v>4136</v>
      </c>
      <c r="B238" s="6"/>
      <c r="C238" s="6"/>
      <c r="D238" s="6"/>
      <c r="E238" s="6"/>
      <c r="F238" s="6"/>
    </row>
    <row r="239" spans="1:6" x14ac:dyDescent="0.25">
      <c r="A239" t="s">
        <v>4044</v>
      </c>
      <c r="B239" t="s">
        <v>4045</v>
      </c>
      <c r="C239" t="s">
        <v>5</v>
      </c>
      <c r="D239" t="s">
        <v>4046</v>
      </c>
      <c r="E239" t="s">
        <v>4047</v>
      </c>
      <c r="F239" t="s">
        <v>4048</v>
      </c>
    </row>
    <row r="240" spans="1:6" x14ac:dyDescent="0.25">
      <c r="A240" t="s">
        <v>4049</v>
      </c>
      <c r="B240" t="s">
        <v>4050</v>
      </c>
      <c r="C240" t="s">
        <v>4051</v>
      </c>
      <c r="D240" s="7">
        <v>0.25</v>
      </c>
      <c r="E240" s="2">
        <v>9037.33</v>
      </c>
      <c r="F240" s="2">
        <v>2259.33</v>
      </c>
    </row>
    <row r="241" spans="1:6" x14ac:dyDescent="0.25">
      <c r="A241" t="s">
        <v>4052</v>
      </c>
      <c r="B241" t="s">
        <v>4053</v>
      </c>
      <c r="C241" t="s">
        <v>4054</v>
      </c>
      <c r="D241" s="7">
        <v>5</v>
      </c>
      <c r="E241" s="2">
        <v>2259.33</v>
      </c>
      <c r="F241" s="2">
        <v>112.97</v>
      </c>
    </row>
    <row r="242" spans="1:6" x14ac:dyDescent="0.25">
      <c r="A242" t="s">
        <v>4055</v>
      </c>
      <c r="D242" s="7"/>
      <c r="E242" s="2"/>
      <c r="F242" s="2">
        <f>SUBTOTAL(109,A_1_01_29[VALOR PARCIAL])</f>
      </c>
    </row>
    <row r="244" ht="30" customHeight="1" spans="1:6" x14ac:dyDescent="0.25">
      <c r="A244" s="5" t="s">
        <v>4137</v>
      </c>
      <c r="B244" s="5"/>
      <c r="C244" s="5"/>
      <c r="D244" s="5"/>
      <c r="E244" s="5"/>
      <c r="F244" s="5"/>
    </row>
    <row r="245" ht="42" customHeight="1" spans="1:6" x14ac:dyDescent="0.25">
      <c r="A245" s="6" t="s">
        <v>4138</v>
      </c>
      <c r="B245" s="6"/>
      <c r="C245" s="6"/>
      <c r="D245" s="6"/>
      <c r="E245" s="6"/>
      <c r="F245" s="6"/>
    </row>
    <row r="246" spans="1:6" x14ac:dyDescent="0.25">
      <c r="A246" t="s">
        <v>4044</v>
      </c>
      <c r="B246" t="s">
        <v>4045</v>
      </c>
      <c r="C246" t="s">
        <v>5</v>
      </c>
      <c r="D246" t="s">
        <v>4046</v>
      </c>
      <c r="E246" t="s">
        <v>4047</v>
      </c>
      <c r="F246" t="s">
        <v>4048</v>
      </c>
    </row>
    <row r="247" spans="1:6" x14ac:dyDescent="0.25">
      <c r="A247" t="s">
        <v>4049</v>
      </c>
      <c r="B247" t="s">
        <v>4050</v>
      </c>
      <c r="C247" t="s">
        <v>4051</v>
      </c>
      <c r="D247" s="7">
        <v>1</v>
      </c>
      <c r="E247" s="2">
        <v>9037.33</v>
      </c>
      <c r="F247" s="2">
        <v>9037.33</v>
      </c>
    </row>
    <row r="248" spans="1:6" x14ac:dyDescent="0.25">
      <c r="A248" t="s">
        <v>4049</v>
      </c>
      <c r="B248" t="s">
        <v>4073</v>
      </c>
      <c r="C248" t="s">
        <v>4051</v>
      </c>
      <c r="D248" s="7">
        <v>0.5</v>
      </c>
      <c r="E248" s="2">
        <v>15517.89</v>
      </c>
      <c r="F248" s="2">
        <v>7758.94</v>
      </c>
    </row>
    <row r="249" spans="1:6" x14ac:dyDescent="0.25">
      <c r="A249" t="s">
        <v>4052</v>
      </c>
      <c r="B249" t="s">
        <v>4092</v>
      </c>
      <c r="C249" t="s">
        <v>287</v>
      </c>
      <c r="D249" s="7">
        <v>0.5</v>
      </c>
      <c r="E249" s="2">
        <v>97476</v>
      </c>
      <c r="F249" s="2">
        <v>48738</v>
      </c>
    </row>
    <row r="250" spans="1:6" x14ac:dyDescent="0.25">
      <c r="A250" t="s">
        <v>4052</v>
      </c>
      <c r="B250" t="s">
        <v>4053</v>
      </c>
      <c r="C250" t="s">
        <v>4054</v>
      </c>
      <c r="D250" s="7">
        <v>5</v>
      </c>
      <c r="E250" s="2">
        <v>16796.27</v>
      </c>
      <c r="F250" s="2">
        <v>839.81</v>
      </c>
    </row>
    <row r="251" spans="1:6" x14ac:dyDescent="0.25">
      <c r="A251" t="s">
        <v>4055</v>
      </c>
      <c r="D251" s="7"/>
      <c r="E251" s="2"/>
      <c r="F251" s="2">
        <f>SUBTOTAL(109,A_1_01_30[VALOR PARCIAL])</f>
      </c>
    </row>
    <row r="253" ht="30" customHeight="1" spans="1:6" x14ac:dyDescent="0.25">
      <c r="A253" s="5" t="s">
        <v>4139</v>
      </c>
      <c r="B253" s="5"/>
      <c r="C253" s="5"/>
      <c r="D253" s="5"/>
      <c r="E253" s="5"/>
      <c r="F253" s="5"/>
    </row>
    <row r="254" ht="42" customHeight="1" spans="1:6" x14ac:dyDescent="0.25">
      <c r="A254" s="6" t="s">
        <v>4140</v>
      </c>
      <c r="B254" s="6"/>
      <c r="C254" s="6"/>
      <c r="D254" s="6"/>
      <c r="E254" s="6"/>
      <c r="F254" s="6"/>
    </row>
    <row r="255" spans="1:6" x14ac:dyDescent="0.25">
      <c r="A255" t="s">
        <v>4044</v>
      </c>
      <c r="B255" t="s">
        <v>4045</v>
      </c>
      <c r="C255" t="s">
        <v>5</v>
      </c>
      <c r="D255" t="s">
        <v>4046</v>
      </c>
      <c r="E255" t="s">
        <v>4047</v>
      </c>
      <c r="F255" t="s">
        <v>4048</v>
      </c>
    </row>
    <row r="256" spans="1:6" x14ac:dyDescent="0.25">
      <c r="A256" t="s">
        <v>4049</v>
      </c>
      <c r="B256" t="s">
        <v>4050</v>
      </c>
      <c r="C256" t="s">
        <v>4051</v>
      </c>
      <c r="D256" s="7">
        <v>0.8</v>
      </c>
      <c r="E256" s="2">
        <v>9037.33</v>
      </c>
      <c r="F256" s="2">
        <v>7229.86</v>
      </c>
    </row>
    <row r="257" spans="1:6" x14ac:dyDescent="0.25">
      <c r="A257" t="s">
        <v>4049</v>
      </c>
      <c r="B257" t="s">
        <v>4073</v>
      </c>
      <c r="C257" t="s">
        <v>4051</v>
      </c>
      <c r="D257" s="7">
        <v>0.1</v>
      </c>
      <c r="E257" s="2">
        <v>15517.89</v>
      </c>
      <c r="F257" s="2">
        <v>1551.79</v>
      </c>
    </row>
    <row r="258" spans="1:6" x14ac:dyDescent="0.25">
      <c r="A258" t="s">
        <v>4052</v>
      </c>
      <c r="B258" t="s">
        <v>4092</v>
      </c>
      <c r="C258" t="s">
        <v>287</v>
      </c>
      <c r="D258" s="7">
        <v>0.22</v>
      </c>
      <c r="E258" s="2">
        <v>97476</v>
      </c>
      <c r="F258" s="2">
        <v>21444.72</v>
      </c>
    </row>
    <row r="259" spans="1:6" x14ac:dyDescent="0.25">
      <c r="A259" t="s">
        <v>4052</v>
      </c>
      <c r="B259" t="s">
        <v>4053</v>
      </c>
      <c r="C259" t="s">
        <v>4054</v>
      </c>
      <c r="D259" s="7">
        <v>4</v>
      </c>
      <c r="E259" s="2">
        <v>8781.65</v>
      </c>
      <c r="F259" s="2">
        <v>351.27</v>
      </c>
    </row>
    <row r="260" spans="1:6" x14ac:dyDescent="0.25">
      <c r="A260" t="s">
        <v>4055</v>
      </c>
      <c r="D260" s="7"/>
      <c r="E260" s="2"/>
      <c r="F260" s="2">
        <f>SUBTOTAL(109,A_1_01_31[VALOR PARCIAL])</f>
      </c>
    </row>
    <row r="262" ht="30" customHeight="1" spans="1:6" x14ac:dyDescent="0.25">
      <c r="A262" s="5" t="s">
        <v>4141</v>
      </c>
      <c r="B262" s="5"/>
      <c r="C262" s="5"/>
      <c r="D262" s="5"/>
      <c r="E262" s="5"/>
      <c r="F262" s="5"/>
    </row>
    <row r="263" ht="42" customHeight="1" spans="1:6" x14ac:dyDescent="0.25">
      <c r="A263" s="6" t="s">
        <v>4142</v>
      </c>
      <c r="B263" s="6"/>
      <c r="C263" s="6"/>
      <c r="D263" s="6"/>
      <c r="E263" s="6"/>
      <c r="F263" s="6"/>
    </row>
    <row r="264" spans="1:6" x14ac:dyDescent="0.25">
      <c r="A264" t="s">
        <v>4044</v>
      </c>
      <c r="B264" t="s">
        <v>4045</v>
      </c>
      <c r="C264" t="s">
        <v>5</v>
      </c>
      <c r="D264" t="s">
        <v>4046</v>
      </c>
      <c r="E264" t="s">
        <v>4047</v>
      </c>
      <c r="F264" t="s">
        <v>4048</v>
      </c>
    </row>
    <row r="265" spans="1:6" x14ac:dyDescent="0.25">
      <c r="A265" t="s">
        <v>4049</v>
      </c>
      <c r="B265" t="s">
        <v>4050</v>
      </c>
      <c r="C265" t="s">
        <v>4051</v>
      </c>
      <c r="D265" s="7">
        <v>0.46</v>
      </c>
      <c r="E265" s="2">
        <v>9037.33</v>
      </c>
      <c r="F265" s="2">
        <v>4157.17</v>
      </c>
    </row>
    <row r="266" spans="1:6" x14ac:dyDescent="0.25">
      <c r="A266" t="s">
        <v>4049</v>
      </c>
      <c r="B266" t="s">
        <v>4073</v>
      </c>
      <c r="C266" t="s">
        <v>4051</v>
      </c>
      <c r="D266" s="7">
        <v>0.46</v>
      </c>
      <c r="E266" s="2">
        <v>15517.89</v>
      </c>
      <c r="F266" s="2">
        <v>7138.23</v>
      </c>
    </row>
    <row r="267" spans="1:6" x14ac:dyDescent="0.25">
      <c r="A267" t="s">
        <v>4052</v>
      </c>
      <c r="B267" t="s">
        <v>4053</v>
      </c>
      <c r="C267" t="s">
        <v>4054</v>
      </c>
      <c r="D267" s="7">
        <v>5</v>
      </c>
      <c r="E267" s="2">
        <v>11295.4</v>
      </c>
      <c r="F267" s="2">
        <v>564.77</v>
      </c>
    </row>
    <row r="268" spans="1:6" x14ac:dyDescent="0.25">
      <c r="A268" t="s">
        <v>4055</v>
      </c>
      <c r="D268" s="7"/>
      <c r="E268" s="2"/>
      <c r="F268" s="2">
        <f>SUBTOTAL(109,A_1_01_32[VALOR PARCIAL])</f>
      </c>
    </row>
    <row r="270" ht="30" customHeight="1" spans="1:6" x14ac:dyDescent="0.25">
      <c r="A270" s="5" t="s">
        <v>4143</v>
      </c>
      <c r="B270" s="5"/>
      <c r="C270" s="5"/>
      <c r="D270" s="5"/>
      <c r="E270" s="5"/>
      <c r="F270" s="5"/>
    </row>
    <row r="271" ht="42" customHeight="1" spans="1:6" x14ac:dyDescent="0.25">
      <c r="A271" s="6" t="s">
        <v>4144</v>
      </c>
      <c r="B271" s="6"/>
      <c r="C271" s="6"/>
      <c r="D271" s="6"/>
      <c r="E271" s="6"/>
      <c r="F271" s="6"/>
    </row>
    <row r="272" spans="1:6" x14ac:dyDescent="0.25">
      <c r="A272" t="s">
        <v>4044</v>
      </c>
      <c r="B272" t="s">
        <v>4045</v>
      </c>
      <c r="C272" t="s">
        <v>5</v>
      </c>
      <c r="D272" t="s">
        <v>4046</v>
      </c>
      <c r="E272" t="s">
        <v>4047</v>
      </c>
      <c r="F272" t="s">
        <v>4048</v>
      </c>
    </row>
    <row r="273" spans="1:6" x14ac:dyDescent="0.25">
      <c r="A273" t="s">
        <v>4049</v>
      </c>
      <c r="B273" t="s">
        <v>4050</v>
      </c>
      <c r="C273" t="s">
        <v>4051</v>
      </c>
      <c r="D273" s="7">
        <v>0.4</v>
      </c>
      <c r="E273" s="2">
        <v>9037.33</v>
      </c>
      <c r="F273" s="2">
        <v>3614.93</v>
      </c>
    </row>
    <row r="274" spans="1:6" x14ac:dyDescent="0.25">
      <c r="A274" t="s">
        <v>4049</v>
      </c>
      <c r="B274" t="s">
        <v>4073</v>
      </c>
      <c r="C274" t="s">
        <v>4051</v>
      </c>
      <c r="D274" s="7">
        <v>0.4</v>
      </c>
      <c r="E274" s="2">
        <v>15517.89</v>
      </c>
      <c r="F274" s="2">
        <v>6207.16</v>
      </c>
    </row>
    <row r="275" spans="1:6" x14ac:dyDescent="0.25">
      <c r="A275" t="s">
        <v>4052</v>
      </c>
      <c r="B275" t="s">
        <v>4053</v>
      </c>
      <c r="C275" t="s">
        <v>4054</v>
      </c>
      <c r="D275" s="7">
        <v>5</v>
      </c>
      <c r="E275" s="2">
        <v>9822.09</v>
      </c>
      <c r="F275" s="2">
        <v>491.1</v>
      </c>
    </row>
    <row r="276" spans="1:6" x14ac:dyDescent="0.25">
      <c r="A276" t="s">
        <v>4055</v>
      </c>
      <c r="D276" s="7"/>
      <c r="E276" s="2"/>
      <c r="F276" s="2">
        <f>SUBTOTAL(109,A_1_01_33[VALOR PARCIAL])</f>
      </c>
    </row>
    <row r="278" ht="30" customHeight="1" spans="1:6" x14ac:dyDescent="0.25">
      <c r="A278" s="5" t="s">
        <v>4145</v>
      </c>
      <c r="B278" s="5"/>
      <c r="C278" s="5"/>
      <c r="D278" s="5"/>
      <c r="E278" s="5"/>
      <c r="F278" s="5"/>
    </row>
    <row r="279" ht="42" customHeight="1" spans="1:6" x14ac:dyDescent="0.25">
      <c r="A279" s="6" t="s">
        <v>4146</v>
      </c>
      <c r="B279" s="6"/>
      <c r="C279" s="6"/>
      <c r="D279" s="6"/>
      <c r="E279" s="6"/>
      <c r="F279" s="6"/>
    </row>
    <row r="280" spans="1:6" x14ac:dyDescent="0.25">
      <c r="A280" t="s">
        <v>4044</v>
      </c>
      <c r="B280" t="s">
        <v>4045</v>
      </c>
      <c r="C280" t="s">
        <v>5</v>
      </c>
      <c r="D280" t="s">
        <v>4046</v>
      </c>
      <c r="E280" t="s">
        <v>4047</v>
      </c>
      <c r="F280" t="s">
        <v>4048</v>
      </c>
    </row>
    <row r="281" spans="1:6" x14ac:dyDescent="0.25">
      <c r="A281" t="s">
        <v>4049</v>
      </c>
      <c r="B281" t="s">
        <v>4050</v>
      </c>
      <c r="C281" t="s">
        <v>4051</v>
      </c>
      <c r="D281" s="7">
        <v>0.5</v>
      </c>
      <c r="E281" s="2">
        <v>9037.33</v>
      </c>
      <c r="F281" s="2">
        <v>4518.66</v>
      </c>
    </row>
    <row r="282" spans="1:6" x14ac:dyDescent="0.25">
      <c r="A282" t="s">
        <v>4052</v>
      </c>
      <c r="B282" t="s">
        <v>4053</v>
      </c>
      <c r="C282" t="s">
        <v>4054</v>
      </c>
      <c r="D282" s="7">
        <v>2</v>
      </c>
      <c r="E282" s="2">
        <v>4518.66</v>
      </c>
      <c r="F282" s="2">
        <v>90.37</v>
      </c>
    </row>
    <row r="283" spans="1:6" x14ac:dyDescent="0.25">
      <c r="A283" t="s">
        <v>4055</v>
      </c>
      <c r="D283" s="7"/>
      <c r="E283" s="2"/>
      <c r="F283" s="2">
        <f>SUBTOTAL(109,A_1_01_34[VALOR PARCIAL])</f>
      </c>
    </row>
    <row r="285" ht="30" customHeight="1" spans="1:6" x14ac:dyDescent="0.25">
      <c r="A285" s="5" t="s">
        <v>4147</v>
      </c>
      <c r="B285" s="5"/>
      <c r="C285" s="5"/>
      <c r="D285" s="5"/>
      <c r="E285" s="5"/>
      <c r="F285" s="5"/>
    </row>
    <row r="286" ht="42" customHeight="1" spans="1:6" x14ac:dyDescent="0.25">
      <c r="A286" s="6" t="s">
        <v>4148</v>
      </c>
      <c r="B286" s="6"/>
      <c r="C286" s="6"/>
      <c r="D286" s="6"/>
      <c r="E286" s="6"/>
      <c r="F286" s="6"/>
    </row>
    <row r="287" spans="1:6" x14ac:dyDescent="0.25">
      <c r="A287" t="s">
        <v>4044</v>
      </c>
      <c r="B287" t="s">
        <v>4045</v>
      </c>
      <c r="C287" t="s">
        <v>5</v>
      </c>
      <c r="D287" t="s">
        <v>4046</v>
      </c>
      <c r="E287" t="s">
        <v>4047</v>
      </c>
      <c r="F287" t="s">
        <v>4048</v>
      </c>
    </row>
    <row r="288" spans="1:6" x14ac:dyDescent="0.25">
      <c r="A288" t="s">
        <v>4049</v>
      </c>
      <c r="B288" t="s">
        <v>4050</v>
      </c>
      <c r="C288" t="s">
        <v>4051</v>
      </c>
      <c r="D288" s="7">
        <v>0.55</v>
      </c>
      <c r="E288" s="2">
        <v>9037.33</v>
      </c>
      <c r="F288" s="2">
        <v>4970.53</v>
      </c>
    </row>
    <row r="289" spans="1:6" x14ac:dyDescent="0.25">
      <c r="A289" t="s">
        <v>4052</v>
      </c>
      <c r="B289" t="s">
        <v>4053</v>
      </c>
      <c r="C289" t="s">
        <v>4054</v>
      </c>
      <c r="D289" s="7">
        <v>2</v>
      </c>
      <c r="E289" s="2">
        <v>4970.53</v>
      </c>
      <c r="F289" s="2">
        <v>99.41</v>
      </c>
    </row>
    <row r="290" spans="1:6" x14ac:dyDescent="0.25">
      <c r="A290" t="s">
        <v>4055</v>
      </c>
      <c r="D290" s="7"/>
      <c r="E290" s="2"/>
      <c r="F290" s="2">
        <f>SUBTOTAL(109,A_1_01_35[VALOR PARCIAL])</f>
      </c>
    </row>
    <row r="292" ht="30" customHeight="1" spans="1:6" x14ac:dyDescent="0.25">
      <c r="A292" s="5" t="s">
        <v>4149</v>
      </c>
      <c r="B292" s="5"/>
      <c r="C292" s="5"/>
      <c r="D292" s="5"/>
      <c r="E292" s="5"/>
      <c r="F292" s="5"/>
    </row>
    <row r="293" ht="42" customHeight="1" spans="1:6" x14ac:dyDescent="0.25">
      <c r="A293" s="6" t="s">
        <v>4136</v>
      </c>
      <c r="B293" s="6"/>
      <c r="C293" s="6"/>
      <c r="D293" s="6"/>
      <c r="E293" s="6"/>
      <c r="F293" s="6"/>
    </row>
    <row r="294" spans="1:6" x14ac:dyDescent="0.25">
      <c r="A294" t="s">
        <v>4044</v>
      </c>
      <c r="B294" t="s">
        <v>4045</v>
      </c>
      <c r="C294" t="s">
        <v>5</v>
      </c>
      <c r="D294" t="s">
        <v>4046</v>
      </c>
      <c r="E294" t="s">
        <v>4047</v>
      </c>
      <c r="F294" t="s">
        <v>4048</v>
      </c>
    </row>
    <row r="295" spans="1:6" x14ac:dyDescent="0.25">
      <c r="A295" t="s">
        <v>4049</v>
      </c>
      <c r="B295" t="s">
        <v>4050</v>
      </c>
      <c r="C295" t="s">
        <v>4051</v>
      </c>
      <c r="D295" s="7">
        <v>0.25</v>
      </c>
      <c r="E295" s="2">
        <v>9037.33</v>
      </c>
      <c r="F295" s="2">
        <v>2259.33</v>
      </c>
    </row>
    <row r="296" spans="1:6" x14ac:dyDescent="0.25">
      <c r="A296" t="s">
        <v>4052</v>
      </c>
      <c r="B296" t="s">
        <v>4053</v>
      </c>
      <c r="C296" t="s">
        <v>4054</v>
      </c>
      <c r="D296" s="7">
        <v>5</v>
      </c>
      <c r="E296" s="2">
        <v>2259.33</v>
      </c>
      <c r="F296" s="2">
        <v>112.97</v>
      </c>
    </row>
    <row r="297" spans="1:6" x14ac:dyDescent="0.25">
      <c r="A297" t="s">
        <v>4055</v>
      </c>
      <c r="D297" s="7"/>
      <c r="E297" s="2"/>
      <c r="F297" s="2">
        <f>SUBTOTAL(109,A_1_01_36[VALOR PARCIAL])</f>
      </c>
    </row>
    <row r="299" ht="30" customHeight="1" spans="1:6" x14ac:dyDescent="0.25">
      <c r="A299" s="5" t="s">
        <v>4150</v>
      </c>
      <c r="B299" s="5"/>
      <c r="C299" s="5"/>
      <c r="D299" s="5"/>
      <c r="E299" s="5"/>
      <c r="F299" s="5"/>
    </row>
    <row r="300" ht="42" customHeight="1" spans="1:6" x14ac:dyDescent="0.25">
      <c r="A300" s="6" t="s">
        <v>4151</v>
      </c>
      <c r="B300" s="6"/>
      <c r="C300" s="6"/>
      <c r="D300" s="6"/>
      <c r="E300" s="6"/>
      <c r="F300" s="6"/>
    </row>
    <row r="301" spans="1:6" x14ac:dyDescent="0.25">
      <c r="A301" t="s">
        <v>4044</v>
      </c>
      <c r="B301" t="s">
        <v>4045</v>
      </c>
      <c r="C301" t="s">
        <v>5</v>
      </c>
      <c r="D301" t="s">
        <v>4046</v>
      </c>
      <c r="E301" t="s">
        <v>4047</v>
      </c>
      <c r="F301" t="s">
        <v>4048</v>
      </c>
    </row>
    <row r="302" spans="1:6" x14ac:dyDescent="0.25">
      <c r="A302" t="s">
        <v>4049</v>
      </c>
      <c r="B302" t="s">
        <v>4050</v>
      </c>
      <c r="C302" t="s">
        <v>4051</v>
      </c>
      <c r="D302" s="7">
        <v>0.37</v>
      </c>
      <c r="E302" s="2">
        <v>9037.33</v>
      </c>
      <c r="F302" s="2">
        <v>3343.81</v>
      </c>
    </row>
    <row r="303" spans="1:6" x14ac:dyDescent="0.25">
      <c r="A303" t="s">
        <v>4052</v>
      </c>
      <c r="B303" t="s">
        <v>4053</v>
      </c>
      <c r="C303" t="s">
        <v>4054</v>
      </c>
      <c r="D303" s="7">
        <v>3</v>
      </c>
      <c r="E303" s="2">
        <v>3343.81</v>
      </c>
      <c r="F303" s="2">
        <v>100.31</v>
      </c>
    </row>
    <row r="304" spans="1:6" x14ac:dyDescent="0.25">
      <c r="A304" t="s">
        <v>4055</v>
      </c>
      <c r="D304" s="7"/>
      <c r="E304" s="2"/>
      <c r="F304" s="2">
        <f>SUBTOTAL(109,A_1_01_37[VALOR PARCIAL])</f>
      </c>
    </row>
    <row r="306" ht="30" customHeight="1" spans="1:6" x14ac:dyDescent="0.25">
      <c r="A306" s="5" t="s">
        <v>4152</v>
      </c>
      <c r="B306" s="5"/>
      <c r="C306" s="5"/>
      <c r="D306" s="5"/>
      <c r="E306" s="5"/>
      <c r="F306" s="5"/>
    </row>
    <row r="307" ht="42" customHeight="1" spans="1:6" x14ac:dyDescent="0.25">
      <c r="A307" s="6" t="s">
        <v>4153</v>
      </c>
      <c r="B307" s="6"/>
      <c r="C307" s="6"/>
      <c r="D307" s="6"/>
      <c r="E307" s="6"/>
      <c r="F307" s="6"/>
    </row>
    <row r="308" spans="1:6" x14ac:dyDescent="0.25">
      <c r="A308" t="s">
        <v>4044</v>
      </c>
      <c r="B308" t="s">
        <v>4045</v>
      </c>
      <c r="C308" t="s">
        <v>5</v>
      </c>
      <c r="D308" t="s">
        <v>4046</v>
      </c>
      <c r="E308" t="s">
        <v>4047</v>
      </c>
      <c r="F308" t="s">
        <v>4048</v>
      </c>
    </row>
    <row r="309" spans="1:6" x14ac:dyDescent="0.25">
      <c r="A309" t="s">
        <v>4049</v>
      </c>
      <c r="B309" t="s">
        <v>4050</v>
      </c>
      <c r="C309" t="s">
        <v>4051</v>
      </c>
      <c r="D309" s="7">
        <v>1</v>
      </c>
      <c r="E309" s="2">
        <v>9037.33</v>
      </c>
      <c r="F309" s="2">
        <v>9037.33</v>
      </c>
    </row>
    <row r="310" spans="1:6" x14ac:dyDescent="0.25">
      <c r="A310" t="s">
        <v>4049</v>
      </c>
      <c r="B310" t="s">
        <v>4073</v>
      </c>
      <c r="C310" t="s">
        <v>4051</v>
      </c>
      <c r="D310" s="7">
        <v>0.5</v>
      </c>
      <c r="E310" s="2">
        <v>15517.89</v>
      </c>
      <c r="F310" s="2">
        <v>7758.94</v>
      </c>
    </row>
    <row r="311" spans="1:6" x14ac:dyDescent="0.25">
      <c r="A311" t="s">
        <v>4052</v>
      </c>
      <c r="B311" t="s">
        <v>4092</v>
      </c>
      <c r="C311" t="s">
        <v>287</v>
      </c>
      <c r="D311" s="7">
        <v>0.3</v>
      </c>
      <c r="E311" s="2">
        <v>97476</v>
      </c>
      <c r="F311" s="2">
        <v>29242.8</v>
      </c>
    </row>
    <row r="312" spans="1:6" x14ac:dyDescent="0.25">
      <c r="A312" t="s">
        <v>4052</v>
      </c>
      <c r="B312" t="s">
        <v>4053</v>
      </c>
      <c r="C312" t="s">
        <v>4054</v>
      </c>
      <c r="D312" s="7">
        <v>5</v>
      </c>
      <c r="E312" s="2">
        <v>16796.27</v>
      </c>
      <c r="F312" s="2">
        <v>839.81</v>
      </c>
    </row>
    <row r="313" spans="1:6" x14ac:dyDescent="0.25">
      <c r="A313" t="s">
        <v>4055</v>
      </c>
      <c r="D313" s="7"/>
      <c r="E313" s="2"/>
      <c r="F313" s="2">
        <f>SUBTOTAL(109,A_1_01_38[VALOR PARCIAL])</f>
      </c>
    </row>
    <row r="315" ht="30" customHeight="1" spans="1:6" x14ac:dyDescent="0.25">
      <c r="A315" s="5" t="s">
        <v>4154</v>
      </c>
      <c r="B315" s="5"/>
      <c r="C315" s="5"/>
      <c r="D315" s="5"/>
      <c r="E315" s="5"/>
      <c r="F315" s="5"/>
    </row>
    <row r="316" ht="42" customHeight="1" spans="1:6" x14ac:dyDescent="0.25">
      <c r="A316" s="6" t="s">
        <v>4155</v>
      </c>
      <c r="B316" s="6"/>
      <c r="C316" s="6"/>
      <c r="D316" s="6"/>
      <c r="E316" s="6"/>
      <c r="F316" s="6"/>
    </row>
    <row r="317" spans="1:6" x14ac:dyDescent="0.25">
      <c r="A317" t="s">
        <v>4044</v>
      </c>
      <c r="B317" t="s">
        <v>4045</v>
      </c>
      <c r="C317" t="s">
        <v>5</v>
      </c>
      <c r="D317" t="s">
        <v>4046</v>
      </c>
      <c r="E317" t="s">
        <v>4047</v>
      </c>
      <c r="F317" t="s">
        <v>4048</v>
      </c>
    </row>
    <row r="318" spans="1:6" x14ac:dyDescent="0.25">
      <c r="A318" t="s">
        <v>4049</v>
      </c>
      <c r="B318" t="s">
        <v>4050</v>
      </c>
      <c r="C318" t="s">
        <v>4051</v>
      </c>
      <c r="D318" s="7">
        <v>0.8</v>
      </c>
      <c r="E318" s="2">
        <v>9037.33</v>
      </c>
      <c r="F318" s="2">
        <v>7229.86</v>
      </c>
    </row>
    <row r="319" spans="1:6" x14ac:dyDescent="0.25">
      <c r="A319" t="s">
        <v>4049</v>
      </c>
      <c r="B319" t="s">
        <v>4073</v>
      </c>
      <c r="C319" t="s">
        <v>4051</v>
      </c>
      <c r="D319" s="7">
        <v>0.05</v>
      </c>
      <c r="E319" s="2">
        <v>15517.89</v>
      </c>
      <c r="F319" s="2">
        <v>775.89</v>
      </c>
    </row>
    <row r="320" spans="1:6" x14ac:dyDescent="0.25">
      <c r="A320" t="s">
        <v>4052</v>
      </c>
      <c r="B320" t="s">
        <v>4092</v>
      </c>
      <c r="C320" t="s">
        <v>287</v>
      </c>
      <c r="D320" s="7">
        <v>0.19</v>
      </c>
      <c r="E320" s="2">
        <v>97476</v>
      </c>
      <c r="F320" s="2">
        <v>18520.44</v>
      </c>
    </row>
    <row r="321" spans="1:6" x14ac:dyDescent="0.25">
      <c r="A321" t="s">
        <v>4052</v>
      </c>
      <c r="B321" t="s">
        <v>4053</v>
      </c>
      <c r="C321" t="s">
        <v>4054</v>
      </c>
      <c r="D321" s="7">
        <v>2</v>
      </c>
      <c r="E321" s="2">
        <v>8005.75</v>
      </c>
      <c r="F321" s="2">
        <v>160.12</v>
      </c>
    </row>
    <row r="322" spans="1:6" x14ac:dyDescent="0.25">
      <c r="A322" t="s">
        <v>4055</v>
      </c>
      <c r="D322" s="7"/>
      <c r="E322" s="2"/>
      <c r="F322" s="2">
        <f>SUBTOTAL(109,A_1_01_39[VALOR PARCIAL])</f>
      </c>
    </row>
    <row r="324" ht="30" customHeight="1" spans="1:6" x14ac:dyDescent="0.25">
      <c r="A324" s="5" t="s">
        <v>4156</v>
      </c>
      <c r="B324" s="5"/>
      <c r="C324" s="5"/>
      <c r="D324" s="5"/>
      <c r="E324" s="5"/>
      <c r="F324" s="5"/>
    </row>
    <row r="325" ht="42" customHeight="1" spans="1:6" x14ac:dyDescent="0.25">
      <c r="A325" s="6" t="s">
        <v>4157</v>
      </c>
      <c r="B325" s="6"/>
      <c r="C325" s="6"/>
      <c r="D325" s="6"/>
      <c r="E325" s="6"/>
      <c r="F325" s="6"/>
    </row>
    <row r="326" spans="1:6" x14ac:dyDescent="0.25">
      <c r="A326" t="s">
        <v>4044</v>
      </c>
      <c r="B326" t="s">
        <v>4045</v>
      </c>
      <c r="C326" t="s">
        <v>5</v>
      </c>
      <c r="D326" t="s">
        <v>4046</v>
      </c>
      <c r="E326" t="s">
        <v>4047</v>
      </c>
      <c r="F326" t="s">
        <v>4048</v>
      </c>
    </row>
    <row r="327" spans="1:6" x14ac:dyDescent="0.25">
      <c r="A327" t="s">
        <v>4049</v>
      </c>
      <c r="B327" t="s">
        <v>4050</v>
      </c>
      <c r="C327" t="s">
        <v>4051</v>
      </c>
      <c r="D327" s="7">
        <v>1</v>
      </c>
      <c r="E327" s="2">
        <v>9037.33</v>
      </c>
      <c r="F327" s="2">
        <v>9037.33</v>
      </c>
    </row>
    <row r="328" spans="1:6" x14ac:dyDescent="0.25">
      <c r="A328" t="s">
        <v>4049</v>
      </c>
      <c r="B328" t="s">
        <v>4073</v>
      </c>
      <c r="C328" t="s">
        <v>4051</v>
      </c>
      <c r="D328" s="7">
        <v>0.05</v>
      </c>
      <c r="E328" s="2">
        <v>15517.89</v>
      </c>
      <c r="F328" s="2">
        <v>775.89</v>
      </c>
    </row>
    <row r="329" spans="1:6" x14ac:dyDescent="0.25">
      <c r="A329" t="s">
        <v>4052</v>
      </c>
      <c r="B329" t="s">
        <v>4092</v>
      </c>
      <c r="C329" t="s">
        <v>287</v>
      </c>
      <c r="D329" s="7">
        <v>0.35</v>
      </c>
      <c r="E329" s="2">
        <v>97476</v>
      </c>
      <c r="F329" s="2">
        <v>34116.6</v>
      </c>
    </row>
    <row r="330" spans="1:6" x14ac:dyDescent="0.25">
      <c r="A330" t="s">
        <v>4052</v>
      </c>
      <c r="B330" t="s">
        <v>4053</v>
      </c>
      <c r="C330" t="s">
        <v>4054</v>
      </c>
      <c r="D330" s="7">
        <v>2.2</v>
      </c>
      <c r="E330" s="2">
        <v>9813.22</v>
      </c>
      <c r="F330" s="2">
        <v>215.89</v>
      </c>
    </row>
    <row r="331" spans="1:6" x14ac:dyDescent="0.25">
      <c r="A331" t="s">
        <v>4055</v>
      </c>
      <c r="D331" s="7"/>
      <c r="E331" s="2"/>
      <c r="F331" s="2">
        <f>SUBTOTAL(109,A_1_01_40[VALOR PARCIAL])</f>
      </c>
    </row>
    <row r="333" ht="30" customHeight="1" spans="1:6" x14ac:dyDescent="0.25">
      <c r="A333" s="5" t="s">
        <v>4158</v>
      </c>
      <c r="B333" s="5"/>
      <c r="C333" s="5"/>
      <c r="D333" s="5"/>
      <c r="E333" s="5"/>
      <c r="F333" s="5"/>
    </row>
    <row r="334" ht="42" customHeight="1" spans="1:6" x14ac:dyDescent="0.25">
      <c r="A334" s="6" t="s">
        <v>4159</v>
      </c>
      <c r="B334" s="6"/>
      <c r="C334" s="6"/>
      <c r="D334" s="6"/>
      <c r="E334" s="6"/>
      <c r="F334" s="6"/>
    </row>
    <row r="335" spans="1:6" x14ac:dyDescent="0.25">
      <c r="A335" t="s">
        <v>4044</v>
      </c>
      <c r="B335" t="s">
        <v>4045</v>
      </c>
      <c r="C335" t="s">
        <v>5</v>
      </c>
      <c r="D335" t="s">
        <v>4046</v>
      </c>
      <c r="E335" t="s">
        <v>4047</v>
      </c>
      <c r="F335" t="s">
        <v>4048</v>
      </c>
    </row>
    <row r="336" spans="1:6" x14ac:dyDescent="0.25">
      <c r="A336" t="s">
        <v>4049</v>
      </c>
      <c r="B336" t="s">
        <v>4050</v>
      </c>
      <c r="C336" t="s">
        <v>4051</v>
      </c>
      <c r="D336" s="7">
        <v>0.4</v>
      </c>
      <c r="E336" s="2">
        <v>9037.33</v>
      </c>
      <c r="F336" s="2">
        <v>3614.93</v>
      </c>
    </row>
    <row r="337" spans="1:6" x14ac:dyDescent="0.25">
      <c r="A337" t="s">
        <v>4049</v>
      </c>
      <c r="B337" t="s">
        <v>4073</v>
      </c>
      <c r="C337" t="s">
        <v>4051</v>
      </c>
      <c r="D337" s="7">
        <v>0.2</v>
      </c>
      <c r="E337" s="2">
        <v>15517.89</v>
      </c>
      <c r="F337" s="2">
        <v>3103.58</v>
      </c>
    </row>
    <row r="338" spans="1:6" x14ac:dyDescent="0.25">
      <c r="A338" t="s">
        <v>4052</v>
      </c>
      <c r="B338" t="s">
        <v>4092</v>
      </c>
      <c r="C338" t="s">
        <v>287</v>
      </c>
      <c r="D338" s="7">
        <v>0.3</v>
      </c>
      <c r="E338" s="2">
        <v>97476</v>
      </c>
      <c r="F338" s="2">
        <v>29242.8</v>
      </c>
    </row>
    <row r="339" spans="1:6" x14ac:dyDescent="0.25">
      <c r="A339" t="s">
        <v>4052</v>
      </c>
      <c r="B339" t="s">
        <v>4053</v>
      </c>
      <c r="C339" t="s">
        <v>4054</v>
      </c>
      <c r="D339" s="7">
        <v>5</v>
      </c>
      <c r="E339" s="2">
        <v>6718.51</v>
      </c>
      <c r="F339" s="2">
        <v>335.93</v>
      </c>
    </row>
    <row r="340" spans="1:6" x14ac:dyDescent="0.25">
      <c r="A340" t="s">
        <v>4055</v>
      </c>
      <c r="D340" s="7"/>
      <c r="E340" s="2"/>
      <c r="F340" s="2">
        <f>SUBTOTAL(109,A_1_01_41[VALOR PARCIAL])</f>
      </c>
    </row>
    <row r="342" ht="30" customHeight="1" spans="1:6" x14ac:dyDescent="0.25">
      <c r="A342" s="5" t="s">
        <v>4160</v>
      </c>
      <c r="B342" s="5"/>
      <c r="C342" s="5"/>
      <c r="D342" s="5"/>
      <c r="E342" s="5"/>
      <c r="F342" s="5"/>
    </row>
    <row r="343" ht="42" customHeight="1" spans="1:6" x14ac:dyDescent="0.25">
      <c r="A343" s="6" t="s">
        <v>4161</v>
      </c>
      <c r="B343" s="6"/>
      <c r="C343" s="6"/>
      <c r="D343" s="6"/>
      <c r="E343" s="6"/>
      <c r="F343" s="6"/>
    </row>
    <row r="344" spans="1:6" x14ac:dyDescent="0.25">
      <c r="A344" t="s">
        <v>4044</v>
      </c>
      <c r="B344" t="s">
        <v>4045</v>
      </c>
      <c r="C344" t="s">
        <v>5</v>
      </c>
      <c r="D344" t="s">
        <v>4046</v>
      </c>
      <c r="E344" t="s">
        <v>4047</v>
      </c>
      <c r="F344" t="s">
        <v>4048</v>
      </c>
    </row>
    <row r="345" spans="1:6" x14ac:dyDescent="0.25">
      <c r="A345" t="s">
        <v>4049</v>
      </c>
      <c r="B345" t="s">
        <v>4050</v>
      </c>
      <c r="C345" t="s">
        <v>4051</v>
      </c>
      <c r="D345" s="7">
        <v>0.3</v>
      </c>
      <c r="E345" s="2">
        <v>9037.33</v>
      </c>
      <c r="F345" s="2">
        <v>2711.2</v>
      </c>
    </row>
    <row r="346" spans="1:6" x14ac:dyDescent="0.25">
      <c r="A346" t="s">
        <v>4049</v>
      </c>
      <c r="B346" t="s">
        <v>4073</v>
      </c>
      <c r="C346" t="s">
        <v>4051</v>
      </c>
      <c r="D346" s="7">
        <v>0.05</v>
      </c>
      <c r="E346" s="2">
        <v>15517.89</v>
      </c>
      <c r="F346" s="2">
        <v>775.89</v>
      </c>
    </row>
    <row r="347" spans="1:6" x14ac:dyDescent="0.25">
      <c r="A347" t="s">
        <v>4052</v>
      </c>
      <c r="B347" t="s">
        <v>4092</v>
      </c>
      <c r="C347" t="s">
        <v>287</v>
      </c>
      <c r="D347" s="7">
        <v>0.02</v>
      </c>
      <c r="E347" s="2">
        <v>97476</v>
      </c>
      <c r="F347" s="2">
        <v>1949.52</v>
      </c>
    </row>
    <row r="348" spans="1:6" x14ac:dyDescent="0.25">
      <c r="A348" t="s">
        <v>4052</v>
      </c>
      <c r="B348" t="s">
        <v>4053</v>
      </c>
      <c r="C348" t="s">
        <v>4054</v>
      </c>
      <c r="D348" s="7">
        <v>5</v>
      </c>
      <c r="E348" s="2">
        <v>3487.09</v>
      </c>
      <c r="F348" s="2">
        <v>174.35</v>
      </c>
    </row>
    <row r="349" spans="1:6" x14ac:dyDescent="0.25">
      <c r="A349" t="s">
        <v>4055</v>
      </c>
      <c r="D349" s="7"/>
      <c r="E349" s="2"/>
      <c r="F349" s="2">
        <f>SUBTOTAL(109,A_1_01_42[VALOR PARCIAL])</f>
      </c>
    </row>
    <row r="351" ht="30" customHeight="1" spans="1:6" x14ac:dyDescent="0.25">
      <c r="A351" s="5" t="s">
        <v>4162</v>
      </c>
      <c r="B351" s="5"/>
      <c r="C351" s="5"/>
      <c r="D351" s="5"/>
      <c r="E351" s="5"/>
      <c r="F351" s="5"/>
    </row>
    <row r="352" ht="42" customHeight="1" spans="1:6" x14ac:dyDescent="0.25">
      <c r="A352" s="6" t="s">
        <v>4163</v>
      </c>
      <c r="B352" s="6"/>
      <c r="C352" s="6"/>
      <c r="D352" s="6"/>
      <c r="E352" s="6"/>
      <c r="F352" s="6"/>
    </row>
    <row r="353" spans="1:6" x14ac:dyDescent="0.25">
      <c r="A353" t="s">
        <v>4044</v>
      </c>
      <c r="B353" t="s">
        <v>4045</v>
      </c>
      <c r="C353" t="s">
        <v>5</v>
      </c>
      <c r="D353" t="s">
        <v>4046</v>
      </c>
      <c r="E353" t="s">
        <v>4047</v>
      </c>
      <c r="F353" t="s">
        <v>4048</v>
      </c>
    </row>
    <row r="354" spans="1:6" x14ac:dyDescent="0.25">
      <c r="A354" t="s">
        <v>4049</v>
      </c>
      <c r="B354" t="s">
        <v>4050</v>
      </c>
      <c r="C354" t="s">
        <v>4051</v>
      </c>
      <c r="D354" s="7">
        <v>1.2</v>
      </c>
      <c r="E354" s="2">
        <v>9037.33</v>
      </c>
      <c r="F354" s="2">
        <v>10844.8</v>
      </c>
    </row>
    <row r="355" spans="1:6" x14ac:dyDescent="0.25">
      <c r="A355" t="s">
        <v>4049</v>
      </c>
      <c r="B355" t="s">
        <v>4073</v>
      </c>
      <c r="C355" t="s">
        <v>4051</v>
      </c>
      <c r="D355" s="7">
        <v>0.2</v>
      </c>
      <c r="E355" s="2">
        <v>15517.89</v>
      </c>
      <c r="F355" s="2">
        <v>3103.58</v>
      </c>
    </row>
    <row r="356" spans="1:6" x14ac:dyDescent="0.25">
      <c r="A356" t="s">
        <v>4052</v>
      </c>
      <c r="B356" t="s">
        <v>4092</v>
      </c>
      <c r="C356" t="s">
        <v>287</v>
      </c>
      <c r="D356" s="7">
        <v>0.02</v>
      </c>
      <c r="E356" s="2">
        <v>97476</v>
      </c>
      <c r="F356" s="2">
        <v>1462.14</v>
      </c>
    </row>
    <row r="357" spans="1:6" x14ac:dyDescent="0.25">
      <c r="A357" t="s">
        <v>4052</v>
      </c>
      <c r="B357" t="s">
        <v>4053</v>
      </c>
      <c r="C357" t="s">
        <v>4054</v>
      </c>
      <c r="D357" s="7">
        <v>5</v>
      </c>
      <c r="E357" s="2">
        <v>13948.38</v>
      </c>
      <c r="F357" s="2">
        <v>697.42</v>
      </c>
    </row>
    <row r="358" spans="1:6" x14ac:dyDescent="0.25">
      <c r="A358" t="s">
        <v>4055</v>
      </c>
      <c r="D358" s="7"/>
      <c r="E358" s="2"/>
      <c r="F358" s="2">
        <f>SUBTOTAL(109,A_1_01_43[VALOR PARCIAL])</f>
      </c>
    </row>
    <row r="360" ht="30" customHeight="1" spans="1:6" x14ac:dyDescent="0.25">
      <c r="A360" s="5" t="s">
        <v>4164</v>
      </c>
      <c r="B360" s="5"/>
      <c r="C360" s="5"/>
      <c r="D360" s="5"/>
      <c r="E360" s="5"/>
      <c r="F360" s="5"/>
    </row>
    <row r="361" ht="42" customHeight="1" spans="1:6" x14ac:dyDescent="0.25">
      <c r="A361" s="6" t="s">
        <v>4165</v>
      </c>
      <c r="B361" s="6"/>
      <c r="C361" s="6"/>
      <c r="D361" s="6"/>
      <c r="E361" s="6"/>
      <c r="F361" s="6"/>
    </row>
    <row r="362" spans="1:6" x14ac:dyDescent="0.25">
      <c r="A362" t="s">
        <v>4044</v>
      </c>
      <c r="B362" t="s">
        <v>4045</v>
      </c>
      <c r="C362" t="s">
        <v>5</v>
      </c>
      <c r="D362" t="s">
        <v>4046</v>
      </c>
      <c r="E362" t="s">
        <v>4047</v>
      </c>
      <c r="F362" t="s">
        <v>4048</v>
      </c>
    </row>
    <row r="363" spans="1:6" x14ac:dyDescent="0.25">
      <c r="A363" t="s">
        <v>4049</v>
      </c>
      <c r="B363" t="s">
        <v>4050</v>
      </c>
      <c r="C363" t="s">
        <v>4051</v>
      </c>
      <c r="D363" s="7">
        <v>0.25</v>
      </c>
      <c r="E363" s="2">
        <v>9037.33</v>
      </c>
      <c r="F363" s="2">
        <v>2259.33</v>
      </c>
    </row>
    <row r="364" spans="1:6" x14ac:dyDescent="0.25">
      <c r="A364" t="s">
        <v>4049</v>
      </c>
      <c r="B364" t="s">
        <v>4073</v>
      </c>
      <c r="C364" t="s">
        <v>4051</v>
      </c>
      <c r="D364" s="7">
        <v>0.1</v>
      </c>
      <c r="E364" s="2">
        <v>15517.89</v>
      </c>
      <c r="F364" s="2">
        <v>1551.79</v>
      </c>
    </row>
    <row r="365" spans="1:6" x14ac:dyDescent="0.25">
      <c r="A365" t="s">
        <v>4052</v>
      </c>
      <c r="B365" t="s">
        <v>4092</v>
      </c>
      <c r="C365" t="s">
        <v>287</v>
      </c>
      <c r="D365" s="7">
        <v>0.02</v>
      </c>
      <c r="E365" s="2">
        <v>97476</v>
      </c>
      <c r="F365" s="2">
        <v>1949.52</v>
      </c>
    </row>
    <row r="366" spans="1:6" x14ac:dyDescent="0.25">
      <c r="A366" t="s">
        <v>4052</v>
      </c>
      <c r="B366" t="s">
        <v>4053</v>
      </c>
      <c r="C366" t="s">
        <v>4054</v>
      </c>
      <c r="D366" s="7">
        <v>5</v>
      </c>
      <c r="E366" s="2">
        <v>3811.12</v>
      </c>
      <c r="F366" s="2">
        <v>190.56</v>
      </c>
    </row>
    <row r="367" spans="1:6" x14ac:dyDescent="0.25">
      <c r="A367" t="s">
        <v>4055</v>
      </c>
      <c r="D367" s="7"/>
      <c r="E367" s="2"/>
      <c r="F367" s="2">
        <f>SUBTOTAL(109,A_1_01_44[VALOR PARCIAL])</f>
      </c>
    </row>
    <row r="369" ht="30" customHeight="1" spans="1:6" x14ac:dyDescent="0.25">
      <c r="A369" s="5" t="s">
        <v>4166</v>
      </c>
      <c r="B369" s="5"/>
      <c r="C369" s="5"/>
      <c r="D369" s="5"/>
      <c r="E369" s="5"/>
      <c r="F369" s="5"/>
    </row>
    <row r="370" ht="42" customHeight="1" spans="1:6" x14ac:dyDescent="0.25">
      <c r="A370" s="6" t="s">
        <v>4167</v>
      </c>
      <c r="B370" s="6"/>
      <c r="C370" s="6"/>
      <c r="D370" s="6"/>
      <c r="E370" s="6"/>
      <c r="F370" s="6"/>
    </row>
    <row r="371" spans="1:6" x14ac:dyDescent="0.25">
      <c r="A371" t="s">
        <v>4044</v>
      </c>
      <c r="B371" t="s">
        <v>4045</v>
      </c>
      <c r="C371" t="s">
        <v>5</v>
      </c>
      <c r="D371" t="s">
        <v>4046</v>
      </c>
      <c r="E371" t="s">
        <v>4047</v>
      </c>
      <c r="F371" t="s">
        <v>4048</v>
      </c>
    </row>
    <row r="372" spans="1:6" x14ac:dyDescent="0.25">
      <c r="A372" t="s">
        <v>4049</v>
      </c>
      <c r="B372" t="s">
        <v>4050</v>
      </c>
      <c r="C372" t="s">
        <v>4051</v>
      </c>
      <c r="D372" s="7">
        <v>0.35</v>
      </c>
      <c r="E372" s="2">
        <v>9037.33</v>
      </c>
      <c r="F372" s="2">
        <v>3163.07</v>
      </c>
    </row>
    <row r="373" spans="1:6" x14ac:dyDescent="0.25">
      <c r="A373" t="s">
        <v>4049</v>
      </c>
      <c r="B373" t="s">
        <v>4073</v>
      </c>
      <c r="C373" t="s">
        <v>4051</v>
      </c>
      <c r="D373" s="7">
        <v>0.1</v>
      </c>
      <c r="E373" s="2">
        <v>15517.89</v>
      </c>
      <c r="F373" s="2">
        <v>1551.79</v>
      </c>
    </row>
    <row r="374" spans="1:6" x14ac:dyDescent="0.25">
      <c r="A374" t="s">
        <v>4052</v>
      </c>
      <c r="B374" t="s">
        <v>4092</v>
      </c>
      <c r="C374" t="s">
        <v>287</v>
      </c>
      <c r="D374" s="7">
        <v>0.04</v>
      </c>
      <c r="E374" s="2">
        <v>97476</v>
      </c>
      <c r="F374" s="2">
        <v>3899.04</v>
      </c>
    </row>
    <row r="375" spans="1:6" x14ac:dyDescent="0.25">
      <c r="A375" t="s">
        <v>4052</v>
      </c>
      <c r="B375" t="s">
        <v>4053</v>
      </c>
      <c r="C375" t="s">
        <v>4054</v>
      </c>
      <c r="D375" s="7">
        <v>5</v>
      </c>
      <c r="E375" s="2">
        <v>4714.86</v>
      </c>
      <c r="F375" s="2">
        <v>235.74</v>
      </c>
    </row>
    <row r="376" spans="1:6" x14ac:dyDescent="0.25">
      <c r="A376" t="s">
        <v>4055</v>
      </c>
      <c r="D376" s="7"/>
      <c r="E376" s="2"/>
      <c r="F376" s="2">
        <f>SUBTOTAL(109,A_1_01_45[VALOR PARCIAL])</f>
      </c>
    </row>
    <row r="378" ht="30" customHeight="1" spans="1:6" x14ac:dyDescent="0.25">
      <c r="A378" s="5" t="s">
        <v>4168</v>
      </c>
      <c r="B378" s="5"/>
      <c r="C378" s="5"/>
      <c r="D378" s="5"/>
      <c r="E378" s="5"/>
      <c r="F378" s="5"/>
    </row>
    <row r="379" ht="42" customHeight="1" spans="1:6" x14ac:dyDescent="0.25">
      <c r="A379" s="6" t="s">
        <v>4169</v>
      </c>
      <c r="B379" s="6"/>
      <c r="C379" s="6"/>
      <c r="D379" s="6"/>
      <c r="E379" s="6"/>
      <c r="F379" s="6"/>
    </row>
    <row r="380" spans="1:6" x14ac:dyDescent="0.25">
      <c r="A380" t="s">
        <v>4044</v>
      </c>
      <c r="B380" t="s">
        <v>4045</v>
      </c>
      <c r="C380" t="s">
        <v>5</v>
      </c>
      <c r="D380" t="s">
        <v>4046</v>
      </c>
      <c r="E380" t="s">
        <v>4047</v>
      </c>
      <c r="F380" t="s">
        <v>4048</v>
      </c>
    </row>
    <row r="381" spans="1:6" x14ac:dyDescent="0.25">
      <c r="A381" t="s">
        <v>4062</v>
      </c>
      <c r="B381" t="s">
        <v>3544</v>
      </c>
      <c r="C381" t="s">
        <v>3545</v>
      </c>
      <c r="D381" s="7">
        <v>0.2</v>
      </c>
      <c r="E381" s="2">
        <v>1325</v>
      </c>
      <c r="F381" s="2">
        <v>265</v>
      </c>
    </row>
    <row r="382" spans="1:6" x14ac:dyDescent="0.25">
      <c r="A382" t="s">
        <v>4062</v>
      </c>
      <c r="B382" t="s">
        <v>4170</v>
      </c>
      <c r="C382" t="s">
        <v>4171</v>
      </c>
      <c r="D382" s="7">
        <v>1</v>
      </c>
      <c r="E382" s="2">
        <v>2631.13</v>
      </c>
      <c r="F382" s="2">
        <v>2631.13</v>
      </c>
    </row>
    <row r="383" spans="1:6" x14ac:dyDescent="0.25">
      <c r="A383" t="s">
        <v>4049</v>
      </c>
      <c r="B383" t="s">
        <v>4050</v>
      </c>
      <c r="C383" t="s">
        <v>4051</v>
      </c>
      <c r="D383" s="7">
        <v>0.2</v>
      </c>
      <c r="E383" s="2">
        <v>9037.33</v>
      </c>
      <c r="F383" s="2">
        <v>1807.47</v>
      </c>
    </row>
    <row r="384" spans="1:6" x14ac:dyDescent="0.25">
      <c r="A384" t="s">
        <v>4049</v>
      </c>
      <c r="B384" t="s">
        <v>4073</v>
      </c>
      <c r="C384" t="s">
        <v>4051</v>
      </c>
      <c r="D384" s="7">
        <v>0.2</v>
      </c>
      <c r="E384" s="2">
        <v>15517.89</v>
      </c>
      <c r="F384" s="2">
        <v>3103.58</v>
      </c>
    </row>
    <row r="385" spans="1:6" x14ac:dyDescent="0.25">
      <c r="A385" t="s">
        <v>4052</v>
      </c>
      <c r="B385" t="s">
        <v>4053</v>
      </c>
      <c r="C385" t="s">
        <v>4054</v>
      </c>
      <c r="D385" s="7">
        <v>5</v>
      </c>
      <c r="E385" s="2">
        <v>4911.05</v>
      </c>
      <c r="F385" s="2">
        <v>245.55</v>
      </c>
    </row>
    <row r="386" spans="1:6" x14ac:dyDescent="0.25">
      <c r="A386" t="s">
        <v>4055</v>
      </c>
      <c r="D386" s="7"/>
      <c r="E386" s="2"/>
      <c r="F386" s="2">
        <f>SUBTOTAL(109,A_1_01_46[VALOR PARCIAL])</f>
      </c>
    </row>
    <row r="388" ht="30" customHeight="1" spans="1:6" x14ac:dyDescent="0.25">
      <c r="A388" s="5" t="s">
        <v>4172</v>
      </c>
      <c r="B388" s="5"/>
      <c r="C388" s="5"/>
      <c r="D388" s="5"/>
      <c r="E388" s="5"/>
      <c r="F388" s="5"/>
    </row>
    <row r="389" ht="42" customHeight="1" spans="1:6" x14ac:dyDescent="0.25">
      <c r="A389" s="6" t="s">
        <v>4173</v>
      </c>
      <c r="B389" s="6"/>
      <c r="C389" s="6"/>
      <c r="D389" s="6"/>
      <c r="E389" s="6"/>
      <c r="F389" s="6"/>
    </row>
    <row r="390" spans="1:6" x14ac:dyDescent="0.25">
      <c r="A390" t="s">
        <v>4044</v>
      </c>
      <c r="B390" t="s">
        <v>4045</v>
      </c>
      <c r="C390" t="s">
        <v>5</v>
      </c>
      <c r="D390" t="s">
        <v>4046</v>
      </c>
      <c r="E390" t="s">
        <v>4047</v>
      </c>
      <c r="F390" t="s">
        <v>4048</v>
      </c>
    </row>
    <row r="391" spans="1:6" x14ac:dyDescent="0.25">
      <c r="A391" t="s">
        <v>4049</v>
      </c>
      <c r="B391" t="s">
        <v>4050</v>
      </c>
      <c r="C391" t="s">
        <v>4051</v>
      </c>
      <c r="D391" s="7">
        <v>0.38</v>
      </c>
      <c r="E391" s="2">
        <v>9037.33</v>
      </c>
      <c r="F391" s="2">
        <v>3434.19</v>
      </c>
    </row>
    <row r="392" spans="1:6" x14ac:dyDescent="0.25">
      <c r="A392" t="s">
        <v>4052</v>
      </c>
      <c r="B392" t="s">
        <v>4053</v>
      </c>
      <c r="C392" t="s">
        <v>4054</v>
      </c>
      <c r="D392" s="7">
        <v>4.5</v>
      </c>
      <c r="E392" s="2">
        <v>3434.19</v>
      </c>
      <c r="F392" s="2">
        <v>154.54</v>
      </c>
    </row>
    <row r="393" spans="1:6" x14ac:dyDescent="0.25">
      <c r="A393" t="s">
        <v>4055</v>
      </c>
      <c r="D393" s="7"/>
      <c r="E393" s="2"/>
      <c r="F393" s="2">
        <f>SUBTOTAL(109,A_1_01_47[VALOR PARCIAL])</f>
      </c>
    </row>
    <row r="395" ht="30" customHeight="1" spans="1:6" x14ac:dyDescent="0.25">
      <c r="A395" s="5" t="s">
        <v>4174</v>
      </c>
      <c r="B395" s="5"/>
      <c r="C395" s="5"/>
      <c r="D395" s="5"/>
      <c r="E395" s="5"/>
      <c r="F395" s="5"/>
    </row>
    <row r="396" ht="42" customHeight="1" spans="1:6" x14ac:dyDescent="0.25">
      <c r="A396" s="6" t="s">
        <v>4175</v>
      </c>
      <c r="B396" s="6"/>
      <c r="C396" s="6"/>
      <c r="D396" s="6"/>
      <c r="E396" s="6"/>
      <c r="F396" s="6"/>
    </row>
    <row r="397" spans="1:6" x14ac:dyDescent="0.25">
      <c r="A397" t="s">
        <v>4044</v>
      </c>
      <c r="B397" t="s">
        <v>4045</v>
      </c>
      <c r="C397" t="s">
        <v>5</v>
      </c>
      <c r="D397" t="s">
        <v>4046</v>
      </c>
      <c r="E397" t="s">
        <v>4047</v>
      </c>
      <c r="F397" t="s">
        <v>4048</v>
      </c>
    </row>
    <row r="398" spans="1:6" x14ac:dyDescent="0.25">
      <c r="A398" t="s">
        <v>4049</v>
      </c>
      <c r="B398" t="s">
        <v>4176</v>
      </c>
      <c r="C398" t="s">
        <v>4177</v>
      </c>
      <c r="D398" s="7">
        <v>0.1</v>
      </c>
      <c r="E398" s="2">
        <v>72300.17</v>
      </c>
      <c r="F398" s="2">
        <v>7230.02</v>
      </c>
    </row>
    <row r="399" spans="1:6" x14ac:dyDescent="0.25">
      <c r="A399" t="s">
        <v>4052</v>
      </c>
      <c r="B399" t="s">
        <v>4053</v>
      </c>
      <c r="C399" t="s">
        <v>4054</v>
      </c>
      <c r="D399" s="7">
        <v>5</v>
      </c>
      <c r="E399" s="2">
        <v>7230.02</v>
      </c>
      <c r="F399" s="2">
        <v>361.5</v>
      </c>
    </row>
    <row r="400" spans="1:6" x14ac:dyDescent="0.25">
      <c r="A400" t="s">
        <v>4055</v>
      </c>
      <c r="D400" s="7"/>
      <c r="E400" s="2"/>
      <c r="F400" s="2">
        <f>SUBTOTAL(109,A_1_01_48[VALOR PARCIAL])</f>
      </c>
    </row>
    <row r="402" ht="30" customHeight="1" spans="1:6" x14ac:dyDescent="0.25">
      <c r="A402" s="5" t="s">
        <v>4178</v>
      </c>
      <c r="B402" s="5"/>
      <c r="C402" s="5"/>
      <c r="D402" s="5"/>
      <c r="E402" s="5"/>
      <c r="F402" s="5"/>
    </row>
    <row r="403" ht="42" customHeight="1" spans="1:6" x14ac:dyDescent="0.25">
      <c r="A403" s="6" t="s">
        <v>4179</v>
      </c>
      <c r="B403" s="6"/>
      <c r="C403" s="6"/>
      <c r="D403" s="6"/>
      <c r="E403" s="6"/>
      <c r="F403" s="6"/>
    </row>
    <row r="404" spans="1:6" x14ac:dyDescent="0.25">
      <c r="A404" t="s">
        <v>4044</v>
      </c>
      <c r="B404" t="s">
        <v>4045</v>
      </c>
      <c r="C404" t="s">
        <v>5</v>
      </c>
      <c r="D404" t="s">
        <v>4046</v>
      </c>
      <c r="E404" t="s">
        <v>4047</v>
      </c>
      <c r="F404" t="s">
        <v>4048</v>
      </c>
    </row>
    <row r="405" spans="1:6" x14ac:dyDescent="0.25">
      <c r="A405" t="s">
        <v>4049</v>
      </c>
      <c r="B405" t="s">
        <v>4050</v>
      </c>
      <c r="C405" t="s">
        <v>4051</v>
      </c>
      <c r="D405" s="7">
        <v>0.1</v>
      </c>
      <c r="E405" s="2">
        <v>9037.33</v>
      </c>
      <c r="F405" s="2">
        <v>903.73</v>
      </c>
    </row>
    <row r="406" spans="1:6" x14ac:dyDescent="0.25">
      <c r="A406" t="s">
        <v>4049</v>
      </c>
      <c r="B406" t="s">
        <v>4073</v>
      </c>
      <c r="C406" t="s">
        <v>4051</v>
      </c>
      <c r="D406" s="7">
        <v>0.1</v>
      </c>
      <c r="E406" s="2">
        <v>15517.89</v>
      </c>
      <c r="F406" s="2">
        <v>1551.79</v>
      </c>
    </row>
    <row r="407" spans="1:6" x14ac:dyDescent="0.25">
      <c r="A407" t="s">
        <v>4052</v>
      </c>
      <c r="B407" t="s">
        <v>4105</v>
      </c>
      <c r="C407" t="s">
        <v>4106</v>
      </c>
      <c r="D407" s="7">
        <v>0.1</v>
      </c>
      <c r="E407" s="2">
        <v>25125</v>
      </c>
      <c r="F407" s="2">
        <v>2512.5</v>
      </c>
    </row>
    <row r="408" spans="1:6" x14ac:dyDescent="0.25">
      <c r="A408" t="s">
        <v>4052</v>
      </c>
      <c r="B408" t="s">
        <v>4053</v>
      </c>
      <c r="C408" t="s">
        <v>4054</v>
      </c>
      <c r="D408" s="7">
        <v>2</v>
      </c>
      <c r="E408" s="2">
        <v>2455.52</v>
      </c>
      <c r="F408" s="2">
        <v>49.11</v>
      </c>
    </row>
    <row r="409" spans="1:6" x14ac:dyDescent="0.25">
      <c r="A409" t="s">
        <v>4055</v>
      </c>
      <c r="D409" s="7"/>
      <c r="E409" s="2"/>
      <c r="F409" s="2">
        <f>SUBTOTAL(109,A_1_01_49[VALOR PARCIAL])</f>
      </c>
    </row>
    <row r="411" ht="30" customHeight="1" spans="1:6" x14ac:dyDescent="0.25">
      <c r="A411" s="5" t="s">
        <v>4180</v>
      </c>
      <c r="B411" s="5"/>
      <c r="C411" s="5"/>
      <c r="D411" s="5"/>
      <c r="E411" s="5"/>
      <c r="F411" s="5"/>
    </row>
    <row r="412" ht="42" customHeight="1" spans="1:6" x14ac:dyDescent="0.25">
      <c r="A412" s="6" t="s">
        <v>4181</v>
      </c>
      <c r="B412" s="6"/>
      <c r="C412" s="6"/>
      <c r="D412" s="6"/>
      <c r="E412" s="6"/>
      <c r="F412" s="6"/>
    </row>
    <row r="413" spans="1:6" x14ac:dyDescent="0.25">
      <c r="A413" t="s">
        <v>4044</v>
      </c>
      <c r="B413" t="s">
        <v>4045</v>
      </c>
      <c r="C413" t="s">
        <v>5</v>
      </c>
      <c r="D413" t="s">
        <v>4046</v>
      </c>
      <c r="E413" t="s">
        <v>4047</v>
      </c>
      <c r="F413" t="s">
        <v>4048</v>
      </c>
    </row>
    <row r="414" spans="1:6" x14ac:dyDescent="0.25">
      <c r="A414" t="s">
        <v>4049</v>
      </c>
      <c r="B414" t="s">
        <v>4182</v>
      </c>
      <c r="C414" t="s">
        <v>4051</v>
      </c>
      <c r="D414" s="7">
        <v>0.2</v>
      </c>
      <c r="E414" s="2">
        <v>10845.1</v>
      </c>
      <c r="F414" s="2">
        <v>2169.02</v>
      </c>
    </row>
    <row r="415" spans="1:6" x14ac:dyDescent="0.25">
      <c r="A415" t="s">
        <v>4049</v>
      </c>
      <c r="B415" t="s">
        <v>4183</v>
      </c>
      <c r="C415" t="s">
        <v>4051</v>
      </c>
      <c r="D415" s="7">
        <v>0.05</v>
      </c>
      <c r="E415" s="2">
        <v>18621.17</v>
      </c>
      <c r="F415" s="2">
        <v>931.06</v>
      </c>
    </row>
    <row r="416" spans="1:6" x14ac:dyDescent="0.25">
      <c r="A416" t="s">
        <v>4052</v>
      </c>
      <c r="B416" t="s">
        <v>4105</v>
      </c>
      <c r="C416" t="s">
        <v>4106</v>
      </c>
      <c r="D416" s="7">
        <v>0.1</v>
      </c>
      <c r="E416" s="2">
        <v>25125</v>
      </c>
      <c r="F416" s="2">
        <v>2512.5</v>
      </c>
    </row>
    <row r="417" spans="1:6" x14ac:dyDescent="0.25">
      <c r="A417" t="s">
        <v>4052</v>
      </c>
      <c r="B417" t="s">
        <v>4053</v>
      </c>
      <c r="C417" t="s">
        <v>4054</v>
      </c>
      <c r="D417" s="7">
        <v>2</v>
      </c>
      <c r="E417" s="2">
        <v>3100.08</v>
      </c>
      <c r="F417" s="2">
        <v>62</v>
      </c>
    </row>
    <row r="418" spans="1:6" x14ac:dyDescent="0.25">
      <c r="A418" t="s">
        <v>4055</v>
      </c>
      <c r="D418" s="7"/>
      <c r="E418" s="2"/>
      <c r="F418" s="2">
        <f>SUBTOTAL(109,A_1_01_50[VALOR PARCIAL])</f>
      </c>
    </row>
    <row r="420" ht="30" customHeight="1" spans="1:6" x14ac:dyDescent="0.25">
      <c r="A420" s="5" t="s">
        <v>4184</v>
      </c>
      <c r="B420" s="5"/>
      <c r="C420" s="5"/>
      <c r="D420" s="5"/>
      <c r="E420" s="5"/>
      <c r="F420" s="5"/>
    </row>
    <row r="421" ht="42" customHeight="1" spans="1:6" x14ac:dyDescent="0.25">
      <c r="A421" s="6" t="s">
        <v>4185</v>
      </c>
      <c r="B421" s="6"/>
      <c r="C421" s="6"/>
      <c r="D421" s="6"/>
      <c r="E421" s="6"/>
      <c r="F421" s="6"/>
    </row>
    <row r="422" spans="1:6" x14ac:dyDescent="0.25">
      <c r="A422" t="s">
        <v>4044</v>
      </c>
      <c r="B422" t="s">
        <v>4045</v>
      </c>
      <c r="C422" t="s">
        <v>5</v>
      </c>
      <c r="D422" t="s">
        <v>4046</v>
      </c>
      <c r="E422" t="s">
        <v>4047</v>
      </c>
      <c r="F422" t="s">
        <v>4048</v>
      </c>
    </row>
    <row r="423" spans="1:6" x14ac:dyDescent="0.25">
      <c r="A423" t="s">
        <v>4049</v>
      </c>
      <c r="B423" t="s">
        <v>4050</v>
      </c>
      <c r="C423" t="s">
        <v>4051</v>
      </c>
      <c r="D423" s="7">
        <v>0.25</v>
      </c>
      <c r="E423" s="2">
        <v>9037.33</v>
      </c>
      <c r="F423" s="2">
        <v>2259.33</v>
      </c>
    </row>
    <row r="424" spans="1:6" x14ac:dyDescent="0.25">
      <c r="A424" t="s">
        <v>4052</v>
      </c>
      <c r="B424" t="s">
        <v>4105</v>
      </c>
      <c r="C424" t="s">
        <v>4106</v>
      </c>
      <c r="D424" s="7">
        <v>0.1</v>
      </c>
      <c r="E424" s="2">
        <v>25125</v>
      </c>
      <c r="F424" s="2">
        <v>2512.5</v>
      </c>
    </row>
    <row r="425" spans="1:6" x14ac:dyDescent="0.25">
      <c r="A425" t="s">
        <v>4052</v>
      </c>
      <c r="B425" t="s">
        <v>4053</v>
      </c>
      <c r="C425" t="s">
        <v>4054</v>
      </c>
      <c r="D425" s="7">
        <v>2</v>
      </c>
      <c r="E425" s="2">
        <v>2259.33</v>
      </c>
      <c r="F425" s="2">
        <v>45.19</v>
      </c>
    </row>
    <row r="426" spans="1:6" x14ac:dyDescent="0.25">
      <c r="A426" t="s">
        <v>4055</v>
      </c>
      <c r="D426" s="7"/>
      <c r="E426" s="2"/>
      <c r="F426" s="2">
        <f>SUBTOTAL(109,A_1_01_51[VALOR PARCIAL])</f>
      </c>
    </row>
    <row r="428" ht="30" customHeight="1" spans="1:6" x14ac:dyDescent="0.25">
      <c r="A428" s="5" t="s">
        <v>4186</v>
      </c>
      <c r="B428" s="5"/>
      <c r="C428" s="5"/>
      <c r="D428" s="5"/>
      <c r="E428" s="5"/>
      <c r="F428" s="5"/>
    </row>
    <row r="429" ht="42" customHeight="1" spans="1:6" x14ac:dyDescent="0.25">
      <c r="A429" s="6" t="s">
        <v>4187</v>
      </c>
      <c r="B429" s="6"/>
      <c r="C429" s="6"/>
      <c r="D429" s="6"/>
      <c r="E429" s="6"/>
      <c r="F429" s="6"/>
    </row>
    <row r="430" spans="1:6" x14ac:dyDescent="0.25">
      <c r="A430" t="s">
        <v>4044</v>
      </c>
      <c r="B430" t="s">
        <v>4045</v>
      </c>
      <c r="C430" t="s">
        <v>5</v>
      </c>
      <c r="D430" t="s">
        <v>4046</v>
      </c>
      <c r="E430" t="s">
        <v>4047</v>
      </c>
      <c r="F430" t="s">
        <v>4048</v>
      </c>
    </row>
    <row r="431" spans="1:6" x14ac:dyDescent="0.25">
      <c r="A431" t="s">
        <v>4049</v>
      </c>
      <c r="B431" t="s">
        <v>4050</v>
      </c>
      <c r="C431" t="s">
        <v>4051</v>
      </c>
      <c r="D431" s="7">
        <v>0.35</v>
      </c>
      <c r="E431" s="2">
        <v>9037.33</v>
      </c>
      <c r="F431" s="2">
        <v>3163.07</v>
      </c>
    </row>
    <row r="432" spans="1:6" x14ac:dyDescent="0.25">
      <c r="A432" t="s">
        <v>4052</v>
      </c>
      <c r="B432" t="s">
        <v>4105</v>
      </c>
      <c r="C432" t="s">
        <v>4106</v>
      </c>
      <c r="D432" s="7">
        <v>0.06</v>
      </c>
      <c r="E432" s="2">
        <v>25125</v>
      </c>
      <c r="F432" s="2">
        <v>1507.5</v>
      </c>
    </row>
    <row r="433" spans="1:6" x14ac:dyDescent="0.25">
      <c r="A433" t="s">
        <v>4052</v>
      </c>
      <c r="B433" t="s">
        <v>4053</v>
      </c>
      <c r="C433" t="s">
        <v>4054</v>
      </c>
      <c r="D433" s="7">
        <v>2</v>
      </c>
      <c r="E433" s="2">
        <v>3163.07</v>
      </c>
      <c r="F433" s="2">
        <v>63.26</v>
      </c>
    </row>
    <row r="434" spans="1:6" x14ac:dyDescent="0.25">
      <c r="A434" t="s">
        <v>4055</v>
      </c>
      <c r="D434" s="7"/>
      <c r="E434" s="2"/>
      <c r="F434" s="2">
        <f>SUBTOTAL(109,A_1_01_52[VALOR PARCIAL])</f>
      </c>
    </row>
    <row r="436" ht="30" customHeight="1" spans="1:6" x14ac:dyDescent="0.25">
      <c r="A436" s="5" t="s">
        <v>4188</v>
      </c>
      <c r="B436" s="5"/>
      <c r="C436" s="5"/>
      <c r="D436" s="5"/>
      <c r="E436" s="5"/>
      <c r="F436" s="5"/>
    </row>
    <row r="437" ht="42" customHeight="1" spans="1:6" x14ac:dyDescent="0.25">
      <c r="A437" s="6" t="s">
        <v>4189</v>
      </c>
      <c r="B437" s="6"/>
      <c r="C437" s="6"/>
      <c r="D437" s="6"/>
      <c r="E437" s="6"/>
      <c r="F437" s="6"/>
    </row>
    <row r="438" spans="1:6" x14ac:dyDescent="0.25">
      <c r="A438" t="s">
        <v>4044</v>
      </c>
      <c r="B438" t="s">
        <v>4045</v>
      </c>
      <c r="C438" t="s">
        <v>5</v>
      </c>
      <c r="D438" t="s">
        <v>4046</v>
      </c>
      <c r="E438" t="s">
        <v>4047</v>
      </c>
      <c r="F438" t="s">
        <v>4048</v>
      </c>
    </row>
    <row r="439" spans="1:6" x14ac:dyDescent="0.25">
      <c r="A439" t="s">
        <v>4049</v>
      </c>
      <c r="B439" t="s">
        <v>4050</v>
      </c>
      <c r="C439" t="s">
        <v>4051</v>
      </c>
      <c r="D439" s="7">
        <v>1</v>
      </c>
      <c r="E439" s="2">
        <v>9037.33</v>
      </c>
      <c r="F439" s="2">
        <v>9037.33</v>
      </c>
    </row>
    <row r="440" spans="1:6" x14ac:dyDescent="0.25">
      <c r="A440" t="s">
        <v>4049</v>
      </c>
      <c r="B440" t="s">
        <v>4073</v>
      </c>
      <c r="C440" t="s">
        <v>4051</v>
      </c>
      <c r="D440" s="7">
        <v>1</v>
      </c>
      <c r="E440" s="2">
        <v>15517.89</v>
      </c>
      <c r="F440" s="2">
        <v>15517.89</v>
      </c>
    </row>
    <row r="441" spans="1:6" x14ac:dyDescent="0.25">
      <c r="A441" t="s">
        <v>4052</v>
      </c>
      <c r="B441" t="s">
        <v>4105</v>
      </c>
      <c r="C441" t="s">
        <v>4106</v>
      </c>
      <c r="D441" s="7">
        <v>0.1</v>
      </c>
      <c r="E441" s="2">
        <v>25125</v>
      </c>
      <c r="F441" s="2">
        <v>2512.5</v>
      </c>
    </row>
    <row r="442" spans="1:6" x14ac:dyDescent="0.25">
      <c r="A442" t="s">
        <v>4052</v>
      </c>
      <c r="B442" t="s">
        <v>4053</v>
      </c>
      <c r="C442" t="s">
        <v>4054</v>
      </c>
      <c r="D442" s="7">
        <v>5</v>
      </c>
      <c r="E442" s="2">
        <v>24555.22</v>
      </c>
      <c r="F442" s="2">
        <v>1227.76</v>
      </c>
    </row>
    <row r="443" spans="1:6" x14ac:dyDescent="0.25">
      <c r="A443" t="s">
        <v>4055</v>
      </c>
      <c r="D443" s="7"/>
      <c r="E443" s="2"/>
      <c r="F443" s="2">
        <f>SUBTOTAL(109,A_1_01_53[VALOR PARCIAL])</f>
      </c>
    </row>
    <row r="445" ht="30" customHeight="1" spans="1:6" x14ac:dyDescent="0.25">
      <c r="A445" s="5" t="s">
        <v>4190</v>
      </c>
      <c r="B445" s="5"/>
      <c r="C445" s="5"/>
      <c r="D445" s="5"/>
      <c r="E445" s="5"/>
      <c r="F445" s="5"/>
    </row>
    <row r="446" ht="42" customHeight="1" spans="1:6" x14ac:dyDescent="0.25">
      <c r="A446" s="6" t="s">
        <v>4191</v>
      </c>
      <c r="B446" s="6"/>
      <c r="C446" s="6"/>
      <c r="D446" s="6"/>
      <c r="E446" s="6"/>
      <c r="F446" s="6"/>
    </row>
    <row r="447" spans="1:6" x14ac:dyDescent="0.25">
      <c r="A447" t="s">
        <v>4044</v>
      </c>
      <c r="B447" t="s">
        <v>4045</v>
      </c>
      <c r="C447" t="s">
        <v>5</v>
      </c>
      <c r="D447" t="s">
        <v>4046</v>
      </c>
      <c r="E447" t="s">
        <v>4047</v>
      </c>
      <c r="F447" t="s">
        <v>4048</v>
      </c>
    </row>
    <row r="448" spans="1:6" x14ac:dyDescent="0.25">
      <c r="A448" t="s">
        <v>4049</v>
      </c>
      <c r="B448" t="s">
        <v>4050</v>
      </c>
      <c r="C448" t="s">
        <v>4051</v>
      </c>
      <c r="D448" s="7">
        <v>0.3</v>
      </c>
      <c r="E448" s="2">
        <v>9037.33</v>
      </c>
      <c r="F448" s="2">
        <v>2711.2</v>
      </c>
    </row>
    <row r="449" spans="1:6" x14ac:dyDescent="0.25">
      <c r="A449" t="s">
        <v>4049</v>
      </c>
      <c r="B449" t="s">
        <v>4073</v>
      </c>
      <c r="C449" t="s">
        <v>4051</v>
      </c>
      <c r="D449" s="7">
        <v>0.3</v>
      </c>
      <c r="E449" s="2">
        <v>15517.89</v>
      </c>
      <c r="F449" s="2">
        <v>4655.37</v>
      </c>
    </row>
    <row r="450" spans="1:6" x14ac:dyDescent="0.25">
      <c r="A450" t="s">
        <v>4052</v>
      </c>
      <c r="B450" t="s">
        <v>4105</v>
      </c>
      <c r="C450" t="s">
        <v>4106</v>
      </c>
      <c r="D450" s="7">
        <v>0.08</v>
      </c>
      <c r="E450" s="2">
        <v>25125</v>
      </c>
      <c r="F450" s="2">
        <v>2010</v>
      </c>
    </row>
    <row r="451" spans="1:6" x14ac:dyDescent="0.25">
      <c r="A451" t="s">
        <v>4052</v>
      </c>
      <c r="B451" t="s">
        <v>4053</v>
      </c>
      <c r="C451" t="s">
        <v>4054</v>
      </c>
      <c r="D451" s="7">
        <v>2</v>
      </c>
      <c r="E451" s="2">
        <v>7366.57</v>
      </c>
      <c r="F451" s="2">
        <v>147.33</v>
      </c>
    </row>
    <row r="452" spans="1:6" x14ac:dyDescent="0.25">
      <c r="A452" t="s">
        <v>4055</v>
      </c>
      <c r="D452" s="7"/>
      <c r="E452" s="2"/>
      <c r="F452" s="2">
        <f>SUBTOTAL(109,A_1_01_54[VALOR PARCIAL])</f>
      </c>
    </row>
    <row r="454" ht="30" customHeight="1" spans="1:6" x14ac:dyDescent="0.25">
      <c r="A454" s="5" t="s">
        <v>4192</v>
      </c>
      <c r="B454" s="5"/>
      <c r="C454" s="5"/>
      <c r="D454" s="5"/>
      <c r="E454" s="5"/>
      <c r="F454" s="5"/>
    </row>
    <row r="455" ht="42" customHeight="1" spans="1:6" x14ac:dyDescent="0.25">
      <c r="A455" s="6" t="s">
        <v>4193</v>
      </c>
      <c r="B455" s="6"/>
      <c r="C455" s="6"/>
      <c r="D455" s="6"/>
      <c r="E455" s="6"/>
      <c r="F455" s="6"/>
    </row>
    <row r="456" spans="1:6" x14ac:dyDescent="0.25">
      <c r="A456" t="s">
        <v>4044</v>
      </c>
      <c r="B456" t="s">
        <v>4045</v>
      </c>
      <c r="C456" t="s">
        <v>5</v>
      </c>
      <c r="D456" t="s">
        <v>4046</v>
      </c>
      <c r="E456" t="s">
        <v>4047</v>
      </c>
      <c r="F456" t="s">
        <v>4048</v>
      </c>
    </row>
    <row r="457" spans="1:6" x14ac:dyDescent="0.25">
      <c r="A457" t="s">
        <v>4049</v>
      </c>
      <c r="B457" t="s">
        <v>4050</v>
      </c>
      <c r="C457" t="s">
        <v>4051</v>
      </c>
      <c r="D457" s="7">
        <v>0.3</v>
      </c>
      <c r="E457" s="2">
        <v>9037.33</v>
      </c>
      <c r="F457" s="2">
        <v>2711.2</v>
      </c>
    </row>
    <row r="458" spans="1:6" x14ac:dyDescent="0.25">
      <c r="A458" t="s">
        <v>4049</v>
      </c>
      <c r="B458" t="s">
        <v>4073</v>
      </c>
      <c r="C458" t="s">
        <v>4051</v>
      </c>
      <c r="D458" s="7">
        <v>0.15</v>
      </c>
      <c r="E458" s="2">
        <v>15517.89</v>
      </c>
      <c r="F458" s="2">
        <v>2327.68</v>
      </c>
    </row>
    <row r="459" spans="1:6" x14ac:dyDescent="0.25">
      <c r="A459" t="s">
        <v>4052</v>
      </c>
      <c r="B459" t="s">
        <v>4105</v>
      </c>
      <c r="C459" t="s">
        <v>4106</v>
      </c>
      <c r="D459" s="7">
        <v>0.08</v>
      </c>
      <c r="E459" s="2">
        <v>25125</v>
      </c>
      <c r="F459" s="2">
        <v>2010</v>
      </c>
    </row>
    <row r="460" spans="1:6" x14ac:dyDescent="0.25">
      <c r="A460" t="s">
        <v>4052</v>
      </c>
      <c r="B460" t="s">
        <v>4053</v>
      </c>
      <c r="C460" t="s">
        <v>4054</v>
      </c>
      <c r="D460" s="7">
        <v>2</v>
      </c>
      <c r="E460" s="2">
        <v>5038.88</v>
      </c>
      <c r="F460" s="2">
        <v>100.78</v>
      </c>
    </row>
    <row r="461" spans="1:6" x14ac:dyDescent="0.25">
      <c r="A461" t="s">
        <v>4055</v>
      </c>
      <c r="D461" s="7"/>
      <c r="E461" s="2"/>
      <c r="F461" s="2">
        <f>SUBTOTAL(109,A_1_01_55[VALOR PARCIAL])</f>
      </c>
    </row>
    <row r="463" ht="30" customHeight="1" spans="1:6" x14ac:dyDescent="0.25">
      <c r="A463" s="5" t="s">
        <v>4194</v>
      </c>
      <c r="B463" s="5"/>
      <c r="C463" s="5"/>
      <c r="D463" s="5"/>
      <c r="E463" s="5"/>
      <c r="F463" s="5"/>
    </row>
    <row r="464" ht="42" customHeight="1" spans="1:6" x14ac:dyDescent="0.25">
      <c r="A464" s="6" t="s">
        <v>4195</v>
      </c>
      <c r="B464" s="6"/>
      <c r="C464" s="6"/>
      <c r="D464" s="6"/>
      <c r="E464" s="6"/>
      <c r="F464" s="6"/>
    </row>
    <row r="465" spans="1:6" x14ac:dyDescent="0.25">
      <c r="A465" t="s">
        <v>4044</v>
      </c>
      <c r="B465" t="s">
        <v>4045</v>
      </c>
      <c r="C465" t="s">
        <v>5</v>
      </c>
      <c r="D465" t="s">
        <v>4046</v>
      </c>
      <c r="E465" t="s">
        <v>4047</v>
      </c>
      <c r="F465" t="s">
        <v>4048</v>
      </c>
    </row>
    <row r="466" spans="1:6" x14ac:dyDescent="0.25">
      <c r="A466" t="s">
        <v>4049</v>
      </c>
      <c r="B466" t="s">
        <v>4182</v>
      </c>
      <c r="C466" t="s">
        <v>4051</v>
      </c>
      <c r="D466" s="7">
        <v>0.5</v>
      </c>
      <c r="E466" s="2">
        <v>10845.1</v>
      </c>
      <c r="F466" s="2">
        <v>5422.55</v>
      </c>
    </row>
    <row r="467" spans="1:6" x14ac:dyDescent="0.25">
      <c r="A467" t="s">
        <v>4049</v>
      </c>
      <c r="B467" t="s">
        <v>4183</v>
      </c>
      <c r="C467" t="s">
        <v>4051</v>
      </c>
      <c r="D467" s="7">
        <v>0.3</v>
      </c>
      <c r="E467" s="2">
        <v>18621.17</v>
      </c>
      <c r="F467" s="2">
        <v>5586.35</v>
      </c>
    </row>
    <row r="468" spans="1:6" x14ac:dyDescent="0.25">
      <c r="A468" t="s">
        <v>4052</v>
      </c>
      <c r="B468" t="s">
        <v>4105</v>
      </c>
      <c r="C468" t="s">
        <v>4106</v>
      </c>
      <c r="D468" s="7">
        <v>0.1</v>
      </c>
      <c r="E468" s="2">
        <v>25125</v>
      </c>
      <c r="F468" s="2">
        <v>2512.5</v>
      </c>
    </row>
    <row r="469" spans="1:6" x14ac:dyDescent="0.25">
      <c r="A469" t="s">
        <v>4052</v>
      </c>
      <c r="B469" t="s">
        <v>4053</v>
      </c>
      <c r="C469" t="s">
        <v>4054</v>
      </c>
      <c r="D469" s="7">
        <v>2</v>
      </c>
      <c r="E469" s="2">
        <v>11008.9</v>
      </c>
      <c r="F469" s="2">
        <v>220.18</v>
      </c>
    </row>
    <row r="470" spans="1:6" x14ac:dyDescent="0.25">
      <c r="A470" t="s">
        <v>4055</v>
      </c>
      <c r="D470" s="7"/>
      <c r="E470" s="2"/>
      <c r="F470" s="2">
        <f>SUBTOTAL(109,A_1_01_56[VALOR PARCIAL])</f>
      </c>
    </row>
    <row r="472" ht="30" customHeight="1" spans="1:6" x14ac:dyDescent="0.25">
      <c r="A472" s="5" t="s">
        <v>4196</v>
      </c>
      <c r="B472" s="5"/>
      <c r="C472" s="5"/>
      <c r="D472" s="5"/>
      <c r="E472" s="5"/>
      <c r="F472" s="5"/>
    </row>
    <row r="473" ht="42" customHeight="1" spans="1:6" x14ac:dyDescent="0.25">
      <c r="A473" s="6" t="s">
        <v>4197</v>
      </c>
      <c r="B473" s="6"/>
      <c r="C473" s="6"/>
      <c r="D473" s="6"/>
      <c r="E473" s="6"/>
      <c r="F473" s="6"/>
    </row>
    <row r="474" spans="1:6" x14ac:dyDescent="0.25">
      <c r="A474" t="s">
        <v>4044</v>
      </c>
      <c r="B474" t="s">
        <v>4045</v>
      </c>
      <c r="C474" t="s">
        <v>5</v>
      </c>
      <c r="D474" t="s">
        <v>4046</v>
      </c>
      <c r="E474" t="s">
        <v>4047</v>
      </c>
      <c r="F474" t="s">
        <v>4048</v>
      </c>
    </row>
    <row r="475" spans="1:6" x14ac:dyDescent="0.25">
      <c r="A475" t="s">
        <v>4049</v>
      </c>
      <c r="B475" t="s">
        <v>4050</v>
      </c>
      <c r="C475" t="s">
        <v>4051</v>
      </c>
      <c r="D475" s="7">
        <v>0.48</v>
      </c>
      <c r="E475" s="2">
        <v>9037.33</v>
      </c>
      <c r="F475" s="2">
        <v>4337.92</v>
      </c>
    </row>
    <row r="476" spans="1:6" x14ac:dyDescent="0.25">
      <c r="A476" t="s">
        <v>4052</v>
      </c>
      <c r="B476" t="s">
        <v>4053</v>
      </c>
      <c r="C476" t="s">
        <v>4054</v>
      </c>
      <c r="D476" s="7">
        <v>6</v>
      </c>
      <c r="E476" s="2">
        <v>4337.92</v>
      </c>
      <c r="F476" s="2">
        <v>260.28</v>
      </c>
    </row>
    <row r="477" spans="1:6" x14ac:dyDescent="0.25">
      <c r="A477" t="s">
        <v>4055</v>
      </c>
      <c r="D477" s="7"/>
      <c r="E477" s="2"/>
      <c r="F477" s="2">
        <f>SUBTOTAL(109,A_1_01_57[VALOR PARCIAL])</f>
      </c>
    </row>
    <row r="479" ht="30" customHeight="1" spans="1:6" x14ac:dyDescent="0.25">
      <c r="A479" s="5" t="s">
        <v>4198</v>
      </c>
      <c r="B479" s="5"/>
      <c r="C479" s="5"/>
      <c r="D479" s="5"/>
      <c r="E479" s="5"/>
      <c r="F479" s="5"/>
    </row>
    <row r="480" ht="42" customHeight="1" spans="1:6" x14ac:dyDescent="0.25">
      <c r="A480" s="6" t="s">
        <v>4199</v>
      </c>
      <c r="B480" s="6"/>
      <c r="C480" s="6"/>
      <c r="D480" s="6"/>
      <c r="E480" s="6"/>
      <c r="F480" s="6"/>
    </row>
    <row r="481" spans="1:6" x14ac:dyDescent="0.25">
      <c r="A481" t="s">
        <v>4044</v>
      </c>
      <c r="B481" t="s">
        <v>4045</v>
      </c>
      <c r="C481" t="s">
        <v>5</v>
      </c>
      <c r="D481" t="s">
        <v>4046</v>
      </c>
      <c r="E481" t="s">
        <v>4047</v>
      </c>
      <c r="F481" t="s">
        <v>4048</v>
      </c>
    </row>
    <row r="482" spans="1:6" x14ac:dyDescent="0.25">
      <c r="A482" t="s">
        <v>4049</v>
      </c>
      <c r="B482" t="s">
        <v>4050</v>
      </c>
      <c r="C482" t="s">
        <v>4051</v>
      </c>
      <c r="D482" s="7">
        <v>0.2</v>
      </c>
      <c r="E482" s="2">
        <v>9037.33</v>
      </c>
      <c r="F482" s="2">
        <v>1807.47</v>
      </c>
    </row>
    <row r="483" spans="1:6" x14ac:dyDescent="0.25">
      <c r="A483" t="s">
        <v>4049</v>
      </c>
      <c r="B483" t="s">
        <v>4073</v>
      </c>
      <c r="C483" t="s">
        <v>4051</v>
      </c>
      <c r="D483" s="7">
        <v>0.1</v>
      </c>
      <c r="E483" s="2">
        <v>15517.89</v>
      </c>
      <c r="F483" s="2">
        <v>1551.79</v>
      </c>
    </row>
    <row r="484" spans="1:6" x14ac:dyDescent="0.25">
      <c r="A484" t="s">
        <v>4052</v>
      </c>
      <c r="B484" t="s">
        <v>4105</v>
      </c>
      <c r="C484" t="s">
        <v>4106</v>
      </c>
      <c r="D484" s="7">
        <v>0.1</v>
      </c>
      <c r="E484" s="2">
        <v>25125</v>
      </c>
      <c r="F484" s="2">
        <v>2512.5</v>
      </c>
    </row>
    <row r="485" spans="1:6" x14ac:dyDescent="0.25">
      <c r="A485" t="s">
        <v>4052</v>
      </c>
      <c r="B485" t="s">
        <v>4053</v>
      </c>
      <c r="C485" t="s">
        <v>4054</v>
      </c>
      <c r="D485" s="7">
        <v>2</v>
      </c>
      <c r="E485" s="2">
        <v>3359.26</v>
      </c>
      <c r="F485" s="2">
        <v>67.19</v>
      </c>
    </row>
    <row r="486" spans="1:6" x14ac:dyDescent="0.25">
      <c r="A486" t="s">
        <v>4055</v>
      </c>
      <c r="D486" s="7"/>
      <c r="E486" s="2"/>
      <c r="F486" s="2">
        <f>SUBTOTAL(109,A_1_01_58[VALOR PARCIAL])</f>
      </c>
    </row>
    <row r="488" ht="30" customHeight="1" spans="1:6" x14ac:dyDescent="0.25">
      <c r="A488" s="5" t="s">
        <v>4200</v>
      </c>
      <c r="B488" s="5"/>
      <c r="C488" s="5"/>
      <c r="D488" s="5"/>
      <c r="E488" s="5"/>
      <c r="F488" s="5"/>
    </row>
    <row r="489" ht="42" customHeight="1" spans="1:6" x14ac:dyDescent="0.25">
      <c r="A489" s="6" t="s">
        <v>4201</v>
      </c>
      <c r="B489" s="6"/>
      <c r="C489" s="6"/>
      <c r="D489" s="6"/>
      <c r="E489" s="6"/>
      <c r="F489" s="6"/>
    </row>
    <row r="490" spans="1:6" x14ac:dyDescent="0.25">
      <c r="A490" t="s">
        <v>4044</v>
      </c>
      <c r="B490" t="s">
        <v>4045</v>
      </c>
      <c r="C490" t="s">
        <v>5</v>
      </c>
      <c r="D490" t="s">
        <v>4046</v>
      </c>
      <c r="E490" t="s">
        <v>4047</v>
      </c>
      <c r="F490" t="s">
        <v>4048</v>
      </c>
    </row>
    <row r="491" spans="1:6" x14ac:dyDescent="0.25">
      <c r="A491" t="s">
        <v>4049</v>
      </c>
      <c r="B491" t="s">
        <v>4050</v>
      </c>
      <c r="C491" t="s">
        <v>4051</v>
      </c>
      <c r="D491" s="7">
        <v>0.35</v>
      </c>
      <c r="E491" s="2">
        <v>9037.33</v>
      </c>
      <c r="F491" s="2">
        <v>3163.07</v>
      </c>
    </row>
    <row r="492" spans="1:6" x14ac:dyDescent="0.25">
      <c r="A492" t="s">
        <v>4049</v>
      </c>
      <c r="B492" t="s">
        <v>4073</v>
      </c>
      <c r="C492" t="s">
        <v>4051</v>
      </c>
      <c r="D492" s="7">
        <v>0.15</v>
      </c>
      <c r="E492" s="2">
        <v>15517.89</v>
      </c>
      <c r="F492" s="2">
        <v>2327.68</v>
      </c>
    </row>
    <row r="493" spans="1:6" x14ac:dyDescent="0.25">
      <c r="A493" t="s">
        <v>4052</v>
      </c>
      <c r="B493" t="s">
        <v>4105</v>
      </c>
      <c r="C493" t="s">
        <v>4106</v>
      </c>
      <c r="D493" s="7">
        <v>0.1</v>
      </c>
      <c r="E493" s="2">
        <v>25125</v>
      </c>
      <c r="F493" s="2">
        <v>2512.5</v>
      </c>
    </row>
    <row r="494" spans="1:6" x14ac:dyDescent="0.25">
      <c r="A494" t="s">
        <v>4052</v>
      </c>
      <c r="B494" t="s">
        <v>4053</v>
      </c>
      <c r="C494" t="s">
        <v>4054</v>
      </c>
      <c r="D494" s="7">
        <v>2</v>
      </c>
      <c r="E494" s="2">
        <v>5490.75</v>
      </c>
      <c r="F494" s="2">
        <v>109.81</v>
      </c>
    </row>
    <row r="495" spans="1:6" x14ac:dyDescent="0.25">
      <c r="A495" t="s">
        <v>4055</v>
      </c>
      <c r="D495" s="7"/>
      <c r="E495" s="2"/>
      <c r="F495" s="2">
        <f>SUBTOTAL(109,A_1_01_59[VALOR PARCIAL])</f>
      </c>
    </row>
    <row r="497" ht="30" customHeight="1" spans="1:6" x14ac:dyDescent="0.25">
      <c r="A497" s="5" t="s">
        <v>4202</v>
      </c>
      <c r="B497" s="5"/>
      <c r="C497" s="5"/>
      <c r="D497" s="5"/>
      <c r="E497" s="5"/>
      <c r="F497" s="5"/>
    </row>
    <row r="498" ht="42" customHeight="1" spans="1:6" x14ac:dyDescent="0.25">
      <c r="A498" s="6" t="s">
        <v>4203</v>
      </c>
      <c r="B498" s="6"/>
      <c r="C498" s="6"/>
      <c r="D498" s="6"/>
      <c r="E498" s="6"/>
      <c r="F498" s="6"/>
    </row>
    <row r="499" spans="1:6" x14ac:dyDescent="0.25">
      <c r="A499" t="s">
        <v>4044</v>
      </c>
      <c r="B499" t="s">
        <v>4045</v>
      </c>
      <c r="C499" t="s">
        <v>5</v>
      </c>
      <c r="D499" t="s">
        <v>4046</v>
      </c>
      <c r="E499" t="s">
        <v>4047</v>
      </c>
      <c r="F499" t="s">
        <v>4048</v>
      </c>
    </row>
    <row r="500" spans="1:6" x14ac:dyDescent="0.25">
      <c r="A500" t="s">
        <v>4049</v>
      </c>
      <c r="B500" t="s">
        <v>4050</v>
      </c>
      <c r="C500" t="s">
        <v>4051</v>
      </c>
      <c r="D500" s="7">
        <v>0.4</v>
      </c>
      <c r="E500" s="2">
        <v>9037.33</v>
      </c>
      <c r="F500" s="2">
        <v>3614.93</v>
      </c>
    </row>
    <row r="501" spans="1:6" x14ac:dyDescent="0.25">
      <c r="A501" t="s">
        <v>4049</v>
      </c>
      <c r="B501" t="s">
        <v>4073</v>
      </c>
      <c r="C501" t="s">
        <v>4051</v>
      </c>
      <c r="D501" s="7">
        <v>0.2</v>
      </c>
      <c r="E501" s="2">
        <v>15517.89</v>
      </c>
      <c r="F501" s="2">
        <v>3103.58</v>
      </c>
    </row>
    <row r="502" spans="1:6" x14ac:dyDescent="0.25">
      <c r="A502" t="s">
        <v>4052</v>
      </c>
      <c r="B502" t="s">
        <v>4105</v>
      </c>
      <c r="C502" t="s">
        <v>4106</v>
      </c>
      <c r="D502" s="7">
        <v>0.25</v>
      </c>
      <c r="E502" s="2">
        <v>25125</v>
      </c>
      <c r="F502" s="2">
        <v>6281.25</v>
      </c>
    </row>
    <row r="503" spans="1:6" x14ac:dyDescent="0.25">
      <c r="A503" t="s">
        <v>4052</v>
      </c>
      <c r="B503" t="s">
        <v>4053</v>
      </c>
      <c r="C503" t="s">
        <v>4054</v>
      </c>
      <c r="D503" s="7">
        <v>2</v>
      </c>
      <c r="E503" s="2">
        <v>6718.51</v>
      </c>
      <c r="F503" s="2">
        <v>134.37</v>
      </c>
    </row>
    <row r="504" spans="1:6" x14ac:dyDescent="0.25">
      <c r="A504" t="s">
        <v>4055</v>
      </c>
      <c r="D504" s="7"/>
      <c r="E504" s="2"/>
      <c r="F504" s="2">
        <f>SUBTOTAL(109,A_1_01_60[VALOR PARCIAL])</f>
      </c>
    </row>
    <row r="506" ht="30" customHeight="1" spans="1:6" x14ac:dyDescent="0.25">
      <c r="A506" s="5" t="s">
        <v>4204</v>
      </c>
      <c r="B506" s="5"/>
      <c r="C506" s="5"/>
      <c r="D506" s="5"/>
      <c r="E506" s="5"/>
      <c r="F506" s="5"/>
    </row>
    <row r="507" ht="42" customHeight="1" spans="1:6" x14ac:dyDescent="0.25">
      <c r="A507" s="6" t="s">
        <v>4205</v>
      </c>
      <c r="B507" s="6"/>
      <c r="C507" s="6"/>
      <c r="D507" s="6"/>
      <c r="E507" s="6"/>
      <c r="F507" s="6"/>
    </row>
    <row r="508" spans="1:6" x14ac:dyDescent="0.25">
      <c r="A508" t="s">
        <v>4044</v>
      </c>
      <c r="B508" t="s">
        <v>4045</v>
      </c>
      <c r="C508" t="s">
        <v>5</v>
      </c>
      <c r="D508" t="s">
        <v>4046</v>
      </c>
      <c r="E508" t="s">
        <v>4047</v>
      </c>
      <c r="F508" t="s">
        <v>4048</v>
      </c>
    </row>
    <row r="509" spans="1:6" x14ac:dyDescent="0.25">
      <c r="A509" t="s">
        <v>4049</v>
      </c>
      <c r="B509" t="s">
        <v>4050</v>
      </c>
      <c r="C509" t="s">
        <v>4051</v>
      </c>
      <c r="D509" s="7">
        <v>0.1</v>
      </c>
      <c r="E509" s="2">
        <v>9037.33</v>
      </c>
      <c r="F509" s="2">
        <v>903.73</v>
      </c>
    </row>
    <row r="510" spans="1:6" x14ac:dyDescent="0.25">
      <c r="A510" t="s">
        <v>4049</v>
      </c>
      <c r="B510" t="s">
        <v>4182</v>
      </c>
      <c r="C510" t="s">
        <v>4051</v>
      </c>
      <c r="D510" s="7">
        <v>0</v>
      </c>
      <c r="E510" s="2">
        <v>10845.1</v>
      </c>
      <c r="F510" s="2">
        <v>43.38</v>
      </c>
    </row>
    <row r="511" spans="1:6" x14ac:dyDescent="0.25">
      <c r="A511" t="s">
        <v>4049</v>
      </c>
      <c r="B511" t="s">
        <v>4183</v>
      </c>
      <c r="C511" t="s">
        <v>4051</v>
      </c>
      <c r="D511" s="7">
        <v>0</v>
      </c>
      <c r="E511" s="2">
        <v>18621.17</v>
      </c>
      <c r="F511" s="2">
        <v>74.48</v>
      </c>
    </row>
    <row r="512" spans="1:6" x14ac:dyDescent="0.25">
      <c r="A512" t="s">
        <v>4052</v>
      </c>
      <c r="B512" t="s">
        <v>4206</v>
      </c>
      <c r="C512" t="s">
        <v>4106</v>
      </c>
      <c r="D512" s="7">
        <v>0.01</v>
      </c>
      <c r="E512" s="2">
        <v>34243</v>
      </c>
      <c r="F512" s="2">
        <v>342.43</v>
      </c>
    </row>
    <row r="513" spans="1:6" x14ac:dyDescent="0.25">
      <c r="A513" t="s">
        <v>4052</v>
      </c>
      <c r="B513" t="s">
        <v>4105</v>
      </c>
      <c r="C513" t="s">
        <v>4106</v>
      </c>
      <c r="D513" s="7">
        <v>0.08</v>
      </c>
      <c r="E513" s="2">
        <v>25125</v>
      </c>
      <c r="F513" s="2">
        <v>2010</v>
      </c>
    </row>
    <row r="514" spans="1:6" x14ac:dyDescent="0.25">
      <c r="A514" t="s">
        <v>4052</v>
      </c>
      <c r="B514" t="s">
        <v>4053</v>
      </c>
      <c r="C514" t="s">
        <v>4054</v>
      </c>
      <c r="D514" s="7">
        <v>2</v>
      </c>
      <c r="E514" s="2">
        <v>1021.59</v>
      </c>
      <c r="F514" s="2">
        <v>20.43</v>
      </c>
    </row>
    <row r="515" spans="1:6" x14ac:dyDescent="0.25">
      <c r="A515" t="s">
        <v>4055</v>
      </c>
      <c r="D515" s="7"/>
      <c r="E515" s="2"/>
      <c r="F515" s="2">
        <f>SUBTOTAL(109,A_1_01_61[VALOR PARCIAL])</f>
      </c>
    </row>
    <row r="517" ht="30" customHeight="1" spans="1:6" x14ac:dyDescent="0.25">
      <c r="A517" s="5" t="s">
        <v>4207</v>
      </c>
      <c r="B517" s="5"/>
      <c r="C517" s="5"/>
      <c r="D517" s="5"/>
      <c r="E517" s="5"/>
      <c r="F517" s="5"/>
    </row>
    <row r="518" ht="42" customHeight="1" spans="1:6" x14ac:dyDescent="0.25">
      <c r="A518" s="6" t="s">
        <v>4208</v>
      </c>
      <c r="B518" s="6"/>
      <c r="C518" s="6"/>
      <c r="D518" s="6"/>
      <c r="E518" s="6"/>
      <c r="F518" s="6"/>
    </row>
    <row r="519" spans="1:6" x14ac:dyDescent="0.25">
      <c r="A519" t="s">
        <v>4044</v>
      </c>
      <c r="B519" t="s">
        <v>4045</v>
      </c>
      <c r="C519" t="s">
        <v>5</v>
      </c>
      <c r="D519" t="s">
        <v>4046</v>
      </c>
      <c r="E519" t="s">
        <v>4047</v>
      </c>
      <c r="F519" t="s">
        <v>4048</v>
      </c>
    </row>
    <row r="520" spans="1:6" x14ac:dyDescent="0.25">
      <c r="A520" t="s">
        <v>4049</v>
      </c>
      <c r="B520" t="s">
        <v>4050</v>
      </c>
      <c r="C520" t="s">
        <v>4051</v>
      </c>
      <c r="D520" s="7">
        <v>0.4</v>
      </c>
      <c r="E520" s="2">
        <v>9037.33</v>
      </c>
      <c r="F520" s="2">
        <v>3614.93</v>
      </c>
    </row>
    <row r="521" spans="1:6" x14ac:dyDescent="0.25">
      <c r="A521" t="s">
        <v>4052</v>
      </c>
      <c r="B521" t="s">
        <v>4053</v>
      </c>
      <c r="C521" t="s">
        <v>4054</v>
      </c>
      <c r="D521" s="7">
        <v>2</v>
      </c>
      <c r="E521" s="2">
        <v>3614.93</v>
      </c>
      <c r="F521" s="2">
        <v>72.3</v>
      </c>
    </row>
    <row r="522" spans="1:6" x14ac:dyDescent="0.25">
      <c r="A522" t="s">
        <v>4055</v>
      </c>
      <c r="D522" s="7"/>
      <c r="E522" s="2"/>
      <c r="F522" s="2">
        <f>SUBTOTAL(109,A_1_01_62[VALOR PARCIAL])</f>
      </c>
    </row>
    <row r="524" ht="30" customHeight="1" spans="1:6" x14ac:dyDescent="0.25">
      <c r="A524" s="5" t="s">
        <v>4209</v>
      </c>
      <c r="B524" s="5"/>
      <c r="C524" s="5"/>
      <c r="D524" s="5"/>
      <c r="E524" s="5"/>
      <c r="F524" s="5"/>
    </row>
    <row r="525" ht="42" customHeight="1" spans="1:6" x14ac:dyDescent="0.25">
      <c r="A525" s="6" t="s">
        <v>4144</v>
      </c>
      <c r="B525" s="6"/>
      <c r="C525" s="6"/>
      <c r="D525" s="6"/>
      <c r="E525" s="6"/>
      <c r="F525" s="6"/>
    </row>
    <row r="526" spans="1:6" x14ac:dyDescent="0.25">
      <c r="A526" t="s">
        <v>4044</v>
      </c>
      <c r="B526" t="s">
        <v>4045</v>
      </c>
      <c r="C526" t="s">
        <v>5</v>
      </c>
      <c r="D526" t="s">
        <v>4046</v>
      </c>
      <c r="E526" t="s">
        <v>4047</v>
      </c>
      <c r="F526" t="s">
        <v>4048</v>
      </c>
    </row>
    <row r="527" spans="1:6" x14ac:dyDescent="0.25">
      <c r="A527" t="s">
        <v>4049</v>
      </c>
      <c r="B527" t="s">
        <v>4050</v>
      </c>
      <c r="C527" t="s">
        <v>4051</v>
      </c>
      <c r="D527" s="7">
        <v>0.4</v>
      </c>
      <c r="E527" s="2">
        <v>9037.33</v>
      </c>
      <c r="F527" s="2">
        <v>3614.93</v>
      </c>
    </row>
    <row r="528" spans="1:6" x14ac:dyDescent="0.25">
      <c r="A528" t="s">
        <v>4049</v>
      </c>
      <c r="B528" t="s">
        <v>4073</v>
      </c>
      <c r="C528" t="s">
        <v>4051</v>
      </c>
      <c r="D528" s="7">
        <v>0.4</v>
      </c>
      <c r="E528" s="2">
        <v>15517.89</v>
      </c>
      <c r="F528" s="2">
        <v>6207.16</v>
      </c>
    </row>
    <row r="529" spans="1:6" x14ac:dyDescent="0.25">
      <c r="A529" t="s">
        <v>4052</v>
      </c>
      <c r="B529" t="s">
        <v>4053</v>
      </c>
      <c r="C529" t="s">
        <v>4054</v>
      </c>
      <c r="D529" s="7">
        <v>5</v>
      </c>
      <c r="E529" s="2">
        <v>9822.09</v>
      </c>
      <c r="F529" s="2">
        <v>491.1</v>
      </c>
    </row>
    <row r="530" spans="1:6" x14ac:dyDescent="0.25">
      <c r="A530" t="s">
        <v>4055</v>
      </c>
      <c r="D530" s="7"/>
      <c r="E530" s="2"/>
      <c r="F530" s="2">
        <f>SUBTOTAL(109,A_1_01_63[VALOR PARCIAL])</f>
      </c>
    </row>
    <row r="532" ht="30" customHeight="1" spans="1:6" x14ac:dyDescent="0.25">
      <c r="A532" s="5" t="s">
        <v>4210</v>
      </c>
      <c r="B532" s="5"/>
      <c r="C532" s="5"/>
      <c r="D532" s="5"/>
      <c r="E532" s="5"/>
      <c r="F532" s="5"/>
    </row>
    <row r="533" ht="42" customHeight="1" spans="1:6" x14ac:dyDescent="0.25">
      <c r="A533" s="6" t="s">
        <v>4211</v>
      </c>
      <c r="B533" s="6"/>
      <c r="C533" s="6"/>
      <c r="D533" s="6"/>
      <c r="E533" s="6"/>
      <c r="F533" s="6"/>
    </row>
    <row r="534" spans="1:6" x14ac:dyDescent="0.25">
      <c r="A534" t="s">
        <v>4044</v>
      </c>
      <c r="B534" t="s">
        <v>4045</v>
      </c>
      <c r="C534" t="s">
        <v>5</v>
      </c>
      <c r="D534" t="s">
        <v>4046</v>
      </c>
      <c r="E534" t="s">
        <v>4047</v>
      </c>
      <c r="F534" t="s">
        <v>4048</v>
      </c>
    </row>
    <row r="535" spans="1:6" x14ac:dyDescent="0.25">
      <c r="A535" t="s">
        <v>4049</v>
      </c>
      <c r="B535" t="s">
        <v>4050</v>
      </c>
      <c r="C535" t="s">
        <v>4051</v>
      </c>
      <c r="D535" s="7">
        <v>1.15</v>
      </c>
      <c r="E535" s="2">
        <v>9037.33</v>
      </c>
      <c r="F535" s="2">
        <v>10392.93</v>
      </c>
    </row>
    <row r="536" spans="1:6" x14ac:dyDescent="0.25">
      <c r="A536" t="s">
        <v>4052</v>
      </c>
      <c r="B536" t="s">
        <v>4053</v>
      </c>
      <c r="C536" t="s">
        <v>4054</v>
      </c>
      <c r="D536" s="7">
        <v>5</v>
      </c>
      <c r="E536" s="2">
        <v>10392.93</v>
      </c>
      <c r="F536" s="2">
        <v>519.65</v>
      </c>
    </row>
    <row r="537" spans="1:6" x14ac:dyDescent="0.25">
      <c r="A537" t="s">
        <v>4055</v>
      </c>
      <c r="D537" s="7"/>
      <c r="E537" s="2"/>
      <c r="F537" s="2">
        <f>SUBTOTAL(109,A_1_01_64[VALOR PARCIAL])</f>
      </c>
    </row>
    <row r="539" ht="30" customHeight="1" spans="1:6" x14ac:dyDescent="0.25">
      <c r="A539" s="5" t="s">
        <v>4212</v>
      </c>
      <c r="B539" s="5"/>
      <c r="C539" s="5"/>
      <c r="D539" s="5"/>
      <c r="E539" s="5"/>
      <c r="F539" s="5"/>
    </row>
    <row r="540" ht="42" customHeight="1" spans="1:6" x14ac:dyDescent="0.25">
      <c r="A540" s="6" t="s">
        <v>4213</v>
      </c>
      <c r="B540" s="6"/>
      <c r="C540" s="6"/>
      <c r="D540" s="6"/>
      <c r="E540" s="6"/>
      <c r="F540" s="6"/>
    </row>
    <row r="541" spans="1:6" x14ac:dyDescent="0.25">
      <c r="A541" t="s">
        <v>4044</v>
      </c>
      <c r="B541" t="s">
        <v>4045</v>
      </c>
      <c r="C541" t="s">
        <v>5</v>
      </c>
      <c r="D541" t="s">
        <v>4046</v>
      </c>
      <c r="E541" t="s">
        <v>4047</v>
      </c>
      <c r="F541" t="s">
        <v>4048</v>
      </c>
    </row>
    <row r="542" spans="1:6" x14ac:dyDescent="0.25">
      <c r="A542" t="s">
        <v>4049</v>
      </c>
      <c r="B542" t="s">
        <v>4050</v>
      </c>
      <c r="C542" t="s">
        <v>4051</v>
      </c>
      <c r="D542" s="7">
        <v>0.25</v>
      </c>
      <c r="E542" s="2">
        <v>9037.33</v>
      </c>
      <c r="F542" s="2">
        <v>2259.33</v>
      </c>
    </row>
    <row r="543" spans="1:6" x14ac:dyDescent="0.25">
      <c r="A543" t="s">
        <v>4052</v>
      </c>
      <c r="B543" t="s">
        <v>4053</v>
      </c>
      <c r="C543" t="s">
        <v>4054</v>
      </c>
      <c r="D543" s="7">
        <v>2</v>
      </c>
      <c r="E543" s="2">
        <v>2259.33</v>
      </c>
      <c r="F543" s="2">
        <v>45.19</v>
      </c>
    </row>
    <row r="544" spans="1:6" x14ac:dyDescent="0.25">
      <c r="A544" t="s">
        <v>4055</v>
      </c>
      <c r="D544" s="7"/>
      <c r="E544" s="2"/>
      <c r="F544" s="2">
        <f>SUBTOTAL(109,A_1_01_65[VALOR PARCIAL])</f>
      </c>
    </row>
    <row r="546" ht="30" customHeight="1" spans="1:6" x14ac:dyDescent="0.25">
      <c r="A546" s="5" t="s">
        <v>4214</v>
      </c>
      <c r="B546" s="5"/>
      <c r="C546" s="5"/>
      <c r="D546" s="5"/>
      <c r="E546" s="5"/>
      <c r="F546" s="5"/>
    </row>
    <row r="547" ht="42" customHeight="1" spans="1:6" x14ac:dyDescent="0.25">
      <c r="A547" s="6" t="s">
        <v>4215</v>
      </c>
      <c r="B547" s="6"/>
      <c r="C547" s="6"/>
      <c r="D547" s="6"/>
      <c r="E547" s="6"/>
      <c r="F547" s="6"/>
    </row>
    <row r="548" spans="1:6" x14ac:dyDescent="0.25">
      <c r="A548" t="s">
        <v>4044</v>
      </c>
      <c r="B548" t="s">
        <v>4045</v>
      </c>
      <c r="C548" t="s">
        <v>5</v>
      </c>
      <c r="D548" t="s">
        <v>4046</v>
      </c>
      <c r="E548" t="s">
        <v>4047</v>
      </c>
      <c r="F548" t="s">
        <v>4048</v>
      </c>
    </row>
    <row r="549" spans="1:6" x14ac:dyDescent="0.25">
      <c r="A549" t="s">
        <v>4062</v>
      </c>
      <c r="B549" t="s">
        <v>4216</v>
      </c>
      <c r="C549" t="s">
        <v>247</v>
      </c>
      <c r="D549" s="7">
        <v>1</v>
      </c>
      <c r="E549" s="2">
        <v>92000</v>
      </c>
      <c r="F549" s="2">
        <v>92000</v>
      </c>
    </row>
    <row r="550" spans="1:6" x14ac:dyDescent="0.25">
      <c r="A550" t="s">
        <v>4055</v>
      </c>
      <c r="D550" s="7"/>
      <c r="E550" s="2"/>
      <c r="F550" s="2">
        <f>SUBTOTAL(109,A_1_01_66[VALOR PARCIAL])</f>
      </c>
    </row>
    <row r="552" ht="30" customHeight="1" spans="1:6" x14ac:dyDescent="0.25">
      <c r="A552" s="5" t="s">
        <v>4217</v>
      </c>
      <c r="B552" s="5"/>
      <c r="C552" s="5"/>
      <c r="D552" s="5"/>
      <c r="E552" s="5"/>
      <c r="F552" s="5"/>
    </row>
    <row r="553" ht="42" customHeight="1" spans="1:6" x14ac:dyDescent="0.25">
      <c r="A553" s="6" t="s">
        <v>4218</v>
      </c>
      <c r="B553" s="6"/>
      <c r="C553" s="6"/>
      <c r="D553" s="6"/>
      <c r="E553" s="6"/>
      <c r="F553" s="6"/>
    </row>
    <row r="554" spans="1:6" x14ac:dyDescent="0.25">
      <c r="A554" t="s">
        <v>4044</v>
      </c>
      <c r="B554" t="s">
        <v>4045</v>
      </c>
      <c r="C554" t="s">
        <v>5</v>
      </c>
      <c r="D554" t="s">
        <v>4046</v>
      </c>
      <c r="E554" t="s">
        <v>4047</v>
      </c>
      <c r="F554" t="s">
        <v>4048</v>
      </c>
    </row>
    <row r="555" spans="1:6" x14ac:dyDescent="0.25">
      <c r="A555" t="s">
        <v>4062</v>
      </c>
      <c r="B555" t="s">
        <v>4219</v>
      </c>
      <c r="C555" t="s">
        <v>247</v>
      </c>
      <c r="D555" s="7">
        <v>1</v>
      </c>
      <c r="E555" s="2">
        <v>103500</v>
      </c>
      <c r="F555" s="2">
        <v>103500</v>
      </c>
    </row>
    <row r="556" spans="1:6" x14ac:dyDescent="0.25">
      <c r="A556" t="s">
        <v>4055</v>
      </c>
      <c r="D556" s="7"/>
      <c r="E556" s="2"/>
      <c r="F556" s="2">
        <f>SUBTOTAL(109,A_1_01_67[VALOR PARCIAL])</f>
      </c>
    </row>
    <row r="558" ht="30" customHeight="1" spans="1:6" x14ac:dyDescent="0.25">
      <c r="A558" s="5" t="s">
        <v>4220</v>
      </c>
      <c r="B558" s="5"/>
      <c r="C558" s="5"/>
      <c r="D558" s="5"/>
      <c r="E558" s="5"/>
      <c r="F558" s="5"/>
    </row>
    <row r="559" ht="42" customHeight="1" spans="1:6" x14ac:dyDescent="0.25">
      <c r="A559" s="6" t="s">
        <v>4221</v>
      </c>
      <c r="B559" s="6"/>
      <c r="C559" s="6"/>
      <c r="D559" s="6"/>
      <c r="E559" s="6"/>
      <c r="F559" s="6"/>
    </row>
    <row r="560" spans="1:6" x14ac:dyDescent="0.25">
      <c r="A560" t="s">
        <v>4044</v>
      </c>
      <c r="B560" t="s">
        <v>4045</v>
      </c>
      <c r="C560" t="s">
        <v>5</v>
      </c>
      <c r="D560" t="s">
        <v>4046</v>
      </c>
      <c r="E560" t="s">
        <v>4047</v>
      </c>
      <c r="F560" t="s">
        <v>4048</v>
      </c>
    </row>
    <row r="561" spans="1:6" x14ac:dyDescent="0.25">
      <c r="A561" t="s">
        <v>4062</v>
      </c>
      <c r="B561" t="s">
        <v>4222</v>
      </c>
      <c r="C561" t="s">
        <v>42</v>
      </c>
      <c r="D561" s="7">
        <v>0.26</v>
      </c>
      <c r="E561" s="2">
        <v>1803.55</v>
      </c>
      <c r="F561" s="2">
        <v>468.92</v>
      </c>
    </row>
    <row r="562" spans="1:6" x14ac:dyDescent="0.25">
      <c r="A562" t="s">
        <v>4062</v>
      </c>
      <c r="B562" t="s">
        <v>4072</v>
      </c>
      <c r="C562" t="s">
        <v>4066</v>
      </c>
      <c r="D562" s="7">
        <v>0.02</v>
      </c>
      <c r="E562" s="2">
        <v>3150</v>
      </c>
      <c r="F562" s="2">
        <v>63</v>
      </c>
    </row>
    <row r="563" spans="1:6" x14ac:dyDescent="0.25">
      <c r="A563" t="s">
        <v>4049</v>
      </c>
      <c r="B563" t="s">
        <v>4050</v>
      </c>
      <c r="C563" t="s">
        <v>4051</v>
      </c>
      <c r="D563" s="7">
        <v>0.14</v>
      </c>
      <c r="E563" s="2">
        <v>9037.33</v>
      </c>
      <c r="F563" s="2">
        <v>1265.23</v>
      </c>
    </row>
    <row r="564" spans="1:6" x14ac:dyDescent="0.25">
      <c r="A564" t="s">
        <v>4049</v>
      </c>
      <c r="B564" t="s">
        <v>4223</v>
      </c>
      <c r="C564" t="s">
        <v>4051</v>
      </c>
      <c r="D564" s="7">
        <v>0.02</v>
      </c>
      <c r="E564" s="2">
        <v>52807.59</v>
      </c>
      <c r="F564" s="2">
        <v>792.11</v>
      </c>
    </row>
    <row r="565" spans="1:6" x14ac:dyDescent="0.25">
      <c r="A565" t="s">
        <v>4049</v>
      </c>
      <c r="B565" t="s">
        <v>4073</v>
      </c>
      <c r="C565" t="s">
        <v>4051</v>
      </c>
      <c r="D565" s="7">
        <v>0.14</v>
      </c>
      <c r="E565" s="2">
        <v>15517.89</v>
      </c>
      <c r="F565" s="2">
        <v>2172.5</v>
      </c>
    </row>
    <row r="566" spans="1:6" x14ac:dyDescent="0.25">
      <c r="A566" t="s">
        <v>4052</v>
      </c>
      <c r="B566" t="s">
        <v>4053</v>
      </c>
      <c r="C566" t="s">
        <v>4054</v>
      </c>
      <c r="D566" s="7">
        <v>1.6</v>
      </c>
      <c r="E566" s="2">
        <v>4229.84</v>
      </c>
      <c r="F566" s="2">
        <v>67.68</v>
      </c>
    </row>
    <row r="567" spans="1:6" x14ac:dyDescent="0.25">
      <c r="A567" t="s">
        <v>4055</v>
      </c>
      <c r="D567" s="7"/>
      <c r="E567" s="2"/>
      <c r="F567" s="2">
        <f>SUBTOTAL(109,A_1_01_68[VALOR PARCIAL])</f>
      </c>
    </row>
    <row r="569" ht="30" customHeight="1" spans="1:6" x14ac:dyDescent="0.25">
      <c r="A569" s="5" t="s">
        <v>4224</v>
      </c>
      <c r="B569" s="5"/>
      <c r="C569" s="5"/>
      <c r="D569" s="5"/>
      <c r="E569" s="5"/>
      <c r="F569" s="5"/>
    </row>
    <row r="570" ht="42" customHeight="1" spans="1:6" x14ac:dyDescent="0.25">
      <c r="A570" s="6" t="s">
        <v>4225</v>
      </c>
      <c r="B570" s="6"/>
      <c r="C570" s="6"/>
      <c r="D570" s="6"/>
      <c r="E570" s="6"/>
      <c r="F570" s="6"/>
    </row>
    <row r="571" spans="1:6" x14ac:dyDescent="0.25">
      <c r="A571" t="s">
        <v>4044</v>
      </c>
      <c r="B571" t="s">
        <v>4045</v>
      </c>
      <c r="C571" t="s">
        <v>5</v>
      </c>
      <c r="D571" t="s">
        <v>4046</v>
      </c>
      <c r="E571" t="s">
        <v>4047</v>
      </c>
      <c r="F571" t="s">
        <v>4048</v>
      </c>
    </row>
    <row r="572" spans="1:6" x14ac:dyDescent="0.25">
      <c r="A572" t="s">
        <v>4062</v>
      </c>
      <c r="B572" t="s">
        <v>4222</v>
      </c>
      <c r="C572" t="s">
        <v>42</v>
      </c>
      <c r="D572" s="7">
        <v>0.03</v>
      </c>
      <c r="E572" s="2">
        <v>1803.55</v>
      </c>
      <c r="F572" s="2">
        <v>54.11</v>
      </c>
    </row>
    <row r="573" spans="1:6" x14ac:dyDescent="0.25">
      <c r="A573" t="s">
        <v>4062</v>
      </c>
      <c r="B573" t="s">
        <v>4072</v>
      </c>
      <c r="C573" t="s">
        <v>4066</v>
      </c>
      <c r="D573" s="7">
        <v>0.01</v>
      </c>
      <c r="E573" s="2">
        <v>3150</v>
      </c>
      <c r="F573" s="2">
        <v>31.5</v>
      </c>
    </row>
    <row r="574" spans="1:6" x14ac:dyDescent="0.25">
      <c r="A574" t="s">
        <v>4049</v>
      </c>
      <c r="B574" t="s">
        <v>4176</v>
      </c>
      <c r="C574" t="s">
        <v>4177</v>
      </c>
      <c r="D574" s="7">
        <v>0.03</v>
      </c>
      <c r="E574" s="2">
        <v>72300.17</v>
      </c>
      <c r="F574" s="2">
        <v>2169.01</v>
      </c>
    </row>
    <row r="575" spans="1:6" x14ac:dyDescent="0.25">
      <c r="A575" t="s">
        <v>4049</v>
      </c>
      <c r="B575" t="s">
        <v>4223</v>
      </c>
      <c r="C575" t="s">
        <v>4051</v>
      </c>
      <c r="D575" s="7">
        <v>0.02</v>
      </c>
      <c r="E575" s="2">
        <v>52807.59</v>
      </c>
      <c r="F575" s="2">
        <v>792.11</v>
      </c>
    </row>
    <row r="576" spans="1:6" x14ac:dyDescent="0.25">
      <c r="A576" t="s">
        <v>4049</v>
      </c>
      <c r="B576" t="s">
        <v>4073</v>
      </c>
      <c r="C576" t="s">
        <v>4051</v>
      </c>
      <c r="D576" s="7">
        <v>0.02</v>
      </c>
      <c r="E576" s="2">
        <v>15517.89</v>
      </c>
      <c r="F576" s="2">
        <v>232.77</v>
      </c>
    </row>
    <row r="577" spans="1:6" x14ac:dyDescent="0.25">
      <c r="A577" t="s">
        <v>4052</v>
      </c>
      <c r="B577" t="s">
        <v>4053</v>
      </c>
      <c r="C577" t="s">
        <v>4054</v>
      </c>
      <c r="D577" s="7">
        <v>3.7</v>
      </c>
      <c r="E577" s="2">
        <v>3193.89</v>
      </c>
      <c r="F577" s="2">
        <v>118.17</v>
      </c>
    </row>
    <row r="578" spans="1:6" x14ac:dyDescent="0.25">
      <c r="A578" t="s">
        <v>4055</v>
      </c>
      <c r="D578" s="7"/>
      <c r="E578" s="2"/>
      <c r="F578" s="2">
        <f>SUBTOTAL(109,A_1_01_69[VALOR PARCIAL])</f>
      </c>
    </row>
    <row r="580" ht="30" customHeight="1" spans="1:6" x14ac:dyDescent="0.25">
      <c r="A580" s="5" t="s">
        <v>4226</v>
      </c>
      <c r="B580" s="5"/>
      <c r="C580" s="5"/>
      <c r="D580" s="5"/>
      <c r="E580" s="5"/>
      <c r="F580" s="5"/>
    </row>
    <row r="581" ht="42" customHeight="1" spans="1:6" x14ac:dyDescent="0.25">
      <c r="A581" s="6" t="s">
        <v>4227</v>
      </c>
      <c r="B581" s="6"/>
      <c r="C581" s="6"/>
      <c r="D581" s="6"/>
      <c r="E581" s="6"/>
      <c r="F581" s="6"/>
    </row>
    <row r="582" spans="1:6" x14ac:dyDescent="0.25">
      <c r="A582" t="s">
        <v>4044</v>
      </c>
      <c r="B582" t="s">
        <v>4045</v>
      </c>
      <c r="C582" t="s">
        <v>5</v>
      </c>
      <c r="D582" t="s">
        <v>4046</v>
      </c>
      <c r="E582" t="s">
        <v>4047</v>
      </c>
      <c r="F582" t="s">
        <v>4048</v>
      </c>
    </row>
    <row r="583" spans="1:6" x14ac:dyDescent="0.25">
      <c r="A583" t="s">
        <v>4062</v>
      </c>
      <c r="B583" t="s">
        <v>4228</v>
      </c>
      <c r="C583" t="s">
        <v>63</v>
      </c>
      <c r="D583" s="7">
        <v>4</v>
      </c>
      <c r="E583" s="2">
        <v>9712</v>
      </c>
      <c r="F583" s="2">
        <v>38848</v>
      </c>
    </row>
    <row r="584" spans="1:6" x14ac:dyDescent="0.25">
      <c r="A584" t="s">
        <v>4062</v>
      </c>
      <c r="B584" t="s">
        <v>4229</v>
      </c>
      <c r="C584" t="s">
        <v>63</v>
      </c>
      <c r="D584" s="7">
        <v>5</v>
      </c>
      <c r="E584" s="2">
        <v>16467</v>
      </c>
      <c r="F584" s="2">
        <v>82335</v>
      </c>
    </row>
    <row r="585" spans="1:6" x14ac:dyDescent="0.25">
      <c r="A585" t="s">
        <v>4062</v>
      </c>
      <c r="B585" t="s">
        <v>4230</v>
      </c>
      <c r="C585" t="s">
        <v>42</v>
      </c>
      <c r="D585" s="7">
        <v>35</v>
      </c>
      <c r="E585" s="2">
        <v>2654</v>
      </c>
      <c r="F585" s="2">
        <v>92890</v>
      </c>
    </row>
    <row r="586" spans="1:6" x14ac:dyDescent="0.25">
      <c r="A586" t="s">
        <v>4062</v>
      </c>
      <c r="B586" t="s">
        <v>4231</v>
      </c>
      <c r="C586" t="s">
        <v>42</v>
      </c>
      <c r="D586" s="7">
        <v>130</v>
      </c>
      <c r="E586" s="2">
        <v>5405</v>
      </c>
      <c r="F586" s="2">
        <v>702650</v>
      </c>
    </row>
    <row r="587" spans="1:6" x14ac:dyDescent="0.25">
      <c r="A587" t="s">
        <v>4062</v>
      </c>
      <c r="B587" t="s">
        <v>4232</v>
      </c>
      <c r="C587" t="s">
        <v>42</v>
      </c>
      <c r="D587" s="7">
        <v>65</v>
      </c>
      <c r="E587" s="2">
        <v>6026</v>
      </c>
      <c r="F587" s="2">
        <v>391690</v>
      </c>
    </row>
    <row r="588" spans="1:6" x14ac:dyDescent="0.25">
      <c r="A588" t="s">
        <v>4062</v>
      </c>
      <c r="B588" t="s">
        <v>4233</v>
      </c>
      <c r="C588" t="s">
        <v>63</v>
      </c>
      <c r="D588" s="7">
        <v>1</v>
      </c>
      <c r="E588" s="2">
        <v>33950</v>
      </c>
      <c r="F588" s="2">
        <v>33950</v>
      </c>
    </row>
    <row r="589" spans="1:6" x14ac:dyDescent="0.25">
      <c r="A589" t="s">
        <v>4062</v>
      </c>
      <c r="B589" t="s">
        <v>4234</v>
      </c>
      <c r="C589" t="s">
        <v>42</v>
      </c>
      <c r="D589" s="7">
        <v>5</v>
      </c>
      <c r="E589" s="2">
        <v>5365</v>
      </c>
      <c r="F589" s="2">
        <v>26825</v>
      </c>
    </row>
    <row r="590" spans="1:6" x14ac:dyDescent="0.25">
      <c r="A590" t="s">
        <v>4049</v>
      </c>
      <c r="B590" t="s">
        <v>4235</v>
      </c>
      <c r="C590" t="s">
        <v>4236</v>
      </c>
      <c r="D590" s="7">
        <v>20</v>
      </c>
      <c r="E590" s="2">
        <v>27010.74</v>
      </c>
      <c r="F590" s="2">
        <v>540214.8</v>
      </c>
    </row>
    <row r="591" spans="1:6" x14ac:dyDescent="0.25">
      <c r="A591" t="s">
        <v>4052</v>
      </c>
      <c r="B591" t="s">
        <v>4053</v>
      </c>
      <c r="C591" t="s">
        <v>4054</v>
      </c>
      <c r="D591" s="7">
        <v>35</v>
      </c>
      <c r="E591" s="2">
        <v>540214.8</v>
      </c>
      <c r="F591" s="2">
        <v>189075.18</v>
      </c>
    </row>
    <row r="592" spans="1:6" x14ac:dyDescent="0.25">
      <c r="A592" t="s">
        <v>4055</v>
      </c>
      <c r="D592" s="7"/>
      <c r="E592" s="2"/>
      <c r="F592" s="2">
        <f>SUBTOTAL(109,A_1_01_70[VALOR PARCIAL])</f>
      </c>
    </row>
    <row r="594" ht="30" customHeight="1" spans="1:6" x14ac:dyDescent="0.25">
      <c r="A594" s="5" t="s">
        <v>4237</v>
      </c>
      <c r="B594" s="5"/>
      <c r="C594" s="5"/>
      <c r="D594" s="5"/>
      <c r="E594" s="5"/>
      <c r="F594" s="5"/>
    </row>
    <row r="595" ht="42" customHeight="1" spans="1:6" x14ac:dyDescent="0.25">
      <c r="A595" s="6" t="s">
        <v>4238</v>
      </c>
      <c r="B595" s="6"/>
      <c r="C595" s="6"/>
      <c r="D595" s="6"/>
      <c r="E595" s="6"/>
      <c r="F595" s="6"/>
    </row>
    <row r="596" spans="1:6" x14ac:dyDescent="0.25">
      <c r="A596" t="s">
        <v>4044</v>
      </c>
      <c r="B596" t="s">
        <v>4045</v>
      </c>
      <c r="C596" t="s">
        <v>5</v>
      </c>
      <c r="D596" t="s">
        <v>4046</v>
      </c>
      <c r="E596" t="s">
        <v>4047</v>
      </c>
      <c r="F596" t="s">
        <v>4048</v>
      </c>
    </row>
    <row r="597" spans="1:6" x14ac:dyDescent="0.25">
      <c r="A597" t="s">
        <v>4049</v>
      </c>
      <c r="B597" t="s">
        <v>4050</v>
      </c>
      <c r="C597" t="s">
        <v>4051</v>
      </c>
      <c r="D597" s="7">
        <v>0.17</v>
      </c>
      <c r="E597" s="2">
        <v>9037.33</v>
      </c>
      <c r="F597" s="2">
        <v>1536.35</v>
      </c>
    </row>
    <row r="598" spans="1:6" x14ac:dyDescent="0.25">
      <c r="A598" t="s">
        <v>4052</v>
      </c>
      <c r="B598" t="s">
        <v>4053</v>
      </c>
      <c r="C598" t="s">
        <v>4054</v>
      </c>
      <c r="D598" s="7">
        <v>4</v>
      </c>
      <c r="E598" s="2">
        <v>1536.35</v>
      </c>
      <c r="F598" s="2">
        <v>61.45</v>
      </c>
    </row>
    <row r="599" spans="1:6" x14ac:dyDescent="0.25">
      <c r="A599" t="s">
        <v>4055</v>
      </c>
      <c r="D599" s="7"/>
      <c r="E599" s="2"/>
      <c r="F599" s="2">
        <f>SUBTOTAL(109,A_1_01_71[VALOR PARCIAL])</f>
      </c>
    </row>
    <row r="601" ht="30" customHeight="1" spans="1:6" x14ac:dyDescent="0.25">
      <c r="A601" s="5" t="s">
        <v>4239</v>
      </c>
      <c r="B601" s="5"/>
      <c r="C601" s="5"/>
      <c r="D601" s="5"/>
      <c r="E601" s="5"/>
      <c r="F601" s="5"/>
    </row>
    <row r="602" ht="42" customHeight="1" spans="1:6" x14ac:dyDescent="0.25">
      <c r="A602" s="6" t="s">
        <v>4240</v>
      </c>
      <c r="B602" s="6"/>
      <c r="C602" s="6"/>
      <c r="D602" s="6"/>
      <c r="E602" s="6"/>
      <c r="F602" s="6"/>
    </row>
    <row r="603" spans="1:6" x14ac:dyDescent="0.25">
      <c r="A603" t="s">
        <v>4044</v>
      </c>
      <c r="B603" t="s">
        <v>4045</v>
      </c>
      <c r="C603" t="s">
        <v>5</v>
      </c>
      <c r="D603" t="s">
        <v>4046</v>
      </c>
      <c r="E603" t="s">
        <v>4047</v>
      </c>
      <c r="F603" t="s">
        <v>4048</v>
      </c>
    </row>
    <row r="604" spans="1:6" x14ac:dyDescent="0.25">
      <c r="A604" t="s">
        <v>4049</v>
      </c>
      <c r="B604" t="s">
        <v>4241</v>
      </c>
      <c r="C604" t="s">
        <v>4051</v>
      </c>
      <c r="D604" s="7">
        <v>0.08</v>
      </c>
      <c r="E604" s="2">
        <v>9941.22</v>
      </c>
      <c r="F604" s="2">
        <v>795.3</v>
      </c>
    </row>
    <row r="605" spans="1:6" x14ac:dyDescent="0.25">
      <c r="A605" t="s">
        <v>4049</v>
      </c>
      <c r="B605" t="s">
        <v>4242</v>
      </c>
      <c r="C605" t="s">
        <v>4051</v>
      </c>
      <c r="D605" s="7">
        <v>0.08</v>
      </c>
      <c r="E605" s="2">
        <v>17069.53</v>
      </c>
      <c r="F605" s="2">
        <v>1365.56</v>
      </c>
    </row>
    <row r="606" spans="1:6" x14ac:dyDescent="0.25">
      <c r="A606" t="s">
        <v>4052</v>
      </c>
      <c r="B606" t="s">
        <v>4053</v>
      </c>
      <c r="C606" t="s">
        <v>4054</v>
      </c>
      <c r="D606" s="7">
        <v>5</v>
      </c>
      <c r="E606" s="2">
        <v>2160.86</v>
      </c>
      <c r="F606" s="2">
        <v>108.04</v>
      </c>
    </row>
    <row r="607" spans="1:6" x14ac:dyDescent="0.25">
      <c r="A607" t="s">
        <v>4055</v>
      </c>
      <c r="D607" s="7"/>
      <c r="E607" s="2"/>
      <c r="F607" s="2">
        <f>SUBTOTAL(109,A_1_01_72[VALOR PARCIAL])</f>
      </c>
    </row>
    <row r="609" ht="30" customHeight="1" spans="1:6" x14ac:dyDescent="0.25">
      <c r="A609" s="5" t="s">
        <v>4243</v>
      </c>
      <c r="B609" s="5"/>
      <c r="C609" s="5"/>
      <c r="D609" s="5"/>
      <c r="E609" s="5"/>
      <c r="F609" s="5"/>
    </row>
    <row r="610" ht="42" customHeight="1" spans="1:6" x14ac:dyDescent="0.25">
      <c r="A610" s="6" t="s">
        <v>4244</v>
      </c>
      <c r="B610" s="6"/>
      <c r="C610" s="6"/>
      <c r="D610" s="6"/>
      <c r="E610" s="6"/>
      <c r="F610" s="6"/>
    </row>
    <row r="611" spans="1:6" x14ac:dyDescent="0.25">
      <c r="A611" t="s">
        <v>4044</v>
      </c>
      <c r="B611" t="s">
        <v>4045</v>
      </c>
      <c r="C611" t="s">
        <v>5</v>
      </c>
      <c r="D611" t="s">
        <v>4046</v>
      </c>
      <c r="E611" t="s">
        <v>4047</v>
      </c>
      <c r="F611" t="s">
        <v>4048</v>
      </c>
    </row>
    <row r="612" spans="1:6" x14ac:dyDescent="0.25">
      <c r="A612" t="s">
        <v>4049</v>
      </c>
      <c r="B612" t="s">
        <v>4050</v>
      </c>
      <c r="C612" t="s">
        <v>4051</v>
      </c>
      <c r="D612" s="7">
        <v>0.5</v>
      </c>
      <c r="E612" s="2">
        <v>9037.33</v>
      </c>
      <c r="F612" s="2">
        <v>4518.66</v>
      </c>
    </row>
    <row r="613" spans="1:6" x14ac:dyDescent="0.25">
      <c r="A613" t="s">
        <v>4052</v>
      </c>
      <c r="B613" t="s">
        <v>4053</v>
      </c>
      <c r="C613" t="s">
        <v>4054</v>
      </c>
      <c r="D613" s="7">
        <v>3</v>
      </c>
      <c r="E613" s="2">
        <v>4518.66</v>
      </c>
      <c r="F613" s="2">
        <v>135.56</v>
      </c>
    </row>
    <row r="614" spans="1:6" x14ac:dyDescent="0.25">
      <c r="A614" t="s">
        <v>4055</v>
      </c>
      <c r="D614" s="7"/>
      <c r="E614" s="2"/>
      <c r="F614" s="2">
        <f>SUBTOTAL(109,A_1_01_73[VALOR PARCIAL])</f>
      </c>
    </row>
    <row r="616" ht="30" customHeight="1" spans="1:6" x14ac:dyDescent="0.25">
      <c r="A616" s="5" t="s">
        <v>4245</v>
      </c>
      <c r="B616" s="5"/>
      <c r="C616" s="5"/>
      <c r="D616" s="5"/>
      <c r="E616" s="5"/>
      <c r="F616" s="5"/>
    </row>
    <row r="617" ht="42" customHeight="1" spans="1:6" x14ac:dyDescent="0.25">
      <c r="A617" s="6" t="s">
        <v>4246</v>
      </c>
      <c r="B617" s="6"/>
      <c r="C617" s="6"/>
      <c r="D617" s="6"/>
      <c r="E617" s="6"/>
      <c r="F617" s="6"/>
    </row>
    <row r="618" spans="1:6" x14ac:dyDescent="0.25">
      <c r="A618" t="s">
        <v>4044</v>
      </c>
      <c r="B618" t="s">
        <v>4045</v>
      </c>
      <c r="C618" t="s">
        <v>5</v>
      </c>
      <c r="D618" t="s">
        <v>4046</v>
      </c>
      <c r="E618" t="s">
        <v>4047</v>
      </c>
      <c r="F618" t="s">
        <v>4048</v>
      </c>
    </row>
    <row r="619" spans="1:6" x14ac:dyDescent="0.25">
      <c r="A619" t="s">
        <v>4049</v>
      </c>
      <c r="B619" t="s">
        <v>4050</v>
      </c>
      <c r="C619" t="s">
        <v>4051</v>
      </c>
      <c r="D619" s="7">
        <v>1.5</v>
      </c>
      <c r="E619" s="2">
        <v>9037.33</v>
      </c>
      <c r="F619" s="2">
        <v>13555.99</v>
      </c>
    </row>
    <row r="620" spans="1:6" x14ac:dyDescent="0.25">
      <c r="A620" t="s">
        <v>4052</v>
      </c>
      <c r="B620" t="s">
        <v>4118</v>
      </c>
      <c r="C620" t="s">
        <v>287</v>
      </c>
      <c r="D620" s="7">
        <v>0.03</v>
      </c>
      <c r="E620" s="2">
        <v>107433.33</v>
      </c>
      <c r="F620" s="2">
        <v>3223</v>
      </c>
    </row>
    <row r="621" spans="1:6" x14ac:dyDescent="0.25">
      <c r="A621" t="s">
        <v>4052</v>
      </c>
      <c r="B621" t="s">
        <v>4053</v>
      </c>
      <c r="C621" t="s">
        <v>4054</v>
      </c>
      <c r="D621" s="7">
        <v>5</v>
      </c>
      <c r="E621" s="2">
        <v>13555.99</v>
      </c>
      <c r="F621" s="2">
        <v>677.8</v>
      </c>
    </row>
    <row r="622" spans="1:6" x14ac:dyDescent="0.25">
      <c r="A622" t="s">
        <v>4055</v>
      </c>
      <c r="D622" s="7"/>
      <c r="E622" s="2"/>
      <c r="F622" s="2">
        <f>SUBTOTAL(109,A_1_01_74[VALOR PARCIAL])</f>
      </c>
    </row>
    <row r="624" ht="30" customHeight="1" spans="1:6" x14ac:dyDescent="0.25">
      <c r="A624" s="5" t="s">
        <v>4247</v>
      </c>
      <c r="B624" s="5"/>
      <c r="C624" s="5"/>
      <c r="D624" s="5"/>
      <c r="E624" s="5"/>
      <c r="F624" s="5"/>
    </row>
    <row r="625" ht="42" customHeight="1" spans="1:6" x14ac:dyDescent="0.25">
      <c r="A625" s="6" t="s">
        <v>4248</v>
      </c>
      <c r="B625" s="6"/>
      <c r="C625" s="6"/>
      <c r="D625" s="6"/>
      <c r="E625" s="6"/>
      <c r="F625" s="6"/>
    </row>
    <row r="626" spans="1:6" x14ac:dyDescent="0.25">
      <c r="A626" t="s">
        <v>4044</v>
      </c>
      <c r="B626" t="s">
        <v>4045</v>
      </c>
      <c r="C626" t="s">
        <v>5</v>
      </c>
      <c r="D626" t="s">
        <v>4046</v>
      </c>
      <c r="E626" t="s">
        <v>4047</v>
      </c>
      <c r="F626" t="s">
        <v>4048</v>
      </c>
    </row>
    <row r="627" spans="1:6" x14ac:dyDescent="0.25">
      <c r="A627" t="s">
        <v>4049</v>
      </c>
      <c r="B627" t="s">
        <v>4050</v>
      </c>
      <c r="C627" t="s">
        <v>4051</v>
      </c>
      <c r="D627" s="7">
        <v>0.8</v>
      </c>
      <c r="E627" s="2">
        <v>9037.33</v>
      </c>
      <c r="F627" s="2">
        <v>7229.86</v>
      </c>
    </row>
    <row r="628" spans="1:6" x14ac:dyDescent="0.25">
      <c r="A628" t="s">
        <v>4052</v>
      </c>
      <c r="B628" t="s">
        <v>4053</v>
      </c>
      <c r="C628" t="s">
        <v>4054</v>
      </c>
      <c r="D628" s="7">
        <v>8</v>
      </c>
      <c r="E628" s="2">
        <v>7229.86</v>
      </c>
      <c r="F628" s="2">
        <v>578.39</v>
      </c>
    </row>
    <row r="629" spans="1:6" x14ac:dyDescent="0.25">
      <c r="A629" t="s">
        <v>4055</v>
      </c>
      <c r="D629" s="7"/>
      <c r="E629" s="2"/>
      <c r="F629" s="2">
        <f>SUBTOTAL(109,A_1_01_75[VALOR PARCIAL])</f>
      </c>
    </row>
    <row r="631" ht="30" customHeight="1" spans="1:6" x14ac:dyDescent="0.25">
      <c r="A631" s="5" t="s">
        <v>4249</v>
      </c>
      <c r="B631" s="5"/>
      <c r="C631" s="5"/>
      <c r="D631" s="5"/>
      <c r="E631" s="5"/>
      <c r="F631" s="5"/>
    </row>
    <row r="632" ht="42" customHeight="1" spans="1:6" x14ac:dyDescent="0.25">
      <c r="A632" s="6" t="s">
        <v>4250</v>
      </c>
      <c r="B632" s="6"/>
      <c r="C632" s="6"/>
      <c r="D632" s="6"/>
      <c r="E632" s="6"/>
      <c r="F632" s="6"/>
    </row>
    <row r="633" spans="1:6" x14ac:dyDescent="0.25">
      <c r="A633" t="s">
        <v>4044</v>
      </c>
      <c r="B633" t="s">
        <v>4045</v>
      </c>
      <c r="C633" t="s">
        <v>5</v>
      </c>
      <c r="D633" t="s">
        <v>4046</v>
      </c>
      <c r="E633" t="s">
        <v>4047</v>
      </c>
      <c r="F633" t="s">
        <v>4048</v>
      </c>
    </row>
    <row r="634" spans="1:6" x14ac:dyDescent="0.25">
      <c r="A634" t="s">
        <v>4049</v>
      </c>
      <c r="B634" t="s">
        <v>4050</v>
      </c>
      <c r="C634" t="s">
        <v>4051</v>
      </c>
      <c r="D634" s="7">
        <v>1</v>
      </c>
      <c r="E634" s="2">
        <v>9037.33</v>
      </c>
      <c r="F634" s="2">
        <v>9037.33</v>
      </c>
    </row>
    <row r="635" spans="1:6" x14ac:dyDescent="0.25">
      <c r="A635" t="s">
        <v>4052</v>
      </c>
      <c r="B635" t="s">
        <v>4251</v>
      </c>
      <c r="C635" t="s">
        <v>287</v>
      </c>
      <c r="D635" s="7">
        <v>1</v>
      </c>
      <c r="E635" s="2">
        <v>48758.93</v>
      </c>
      <c r="F635" s="2">
        <v>48758.93</v>
      </c>
    </row>
    <row r="636" spans="1:6" x14ac:dyDescent="0.25">
      <c r="A636" t="s">
        <v>4055</v>
      </c>
      <c r="D636" s="7"/>
      <c r="E636" s="2"/>
      <c r="F636" s="2">
        <f>SUBTOTAL(109,A_1_01_76[VALOR PARCIAL])</f>
      </c>
    </row>
    <row r="638" ht="30" customHeight="1" spans="1:6" x14ac:dyDescent="0.25">
      <c r="A638" s="5" t="s">
        <v>4252</v>
      </c>
      <c r="B638" s="5"/>
      <c r="C638" s="5"/>
      <c r="D638" s="5"/>
      <c r="E638" s="5"/>
      <c r="F638" s="5"/>
    </row>
    <row r="639" ht="42" customHeight="1" spans="1:6" x14ac:dyDescent="0.25">
      <c r="A639" s="6" t="s">
        <v>4253</v>
      </c>
      <c r="B639" s="6"/>
      <c r="C639" s="6"/>
      <c r="D639" s="6"/>
      <c r="E639" s="6"/>
      <c r="F639" s="6"/>
    </row>
    <row r="640" spans="1:6" x14ac:dyDescent="0.25">
      <c r="A640" t="s">
        <v>4044</v>
      </c>
      <c r="B640" t="s">
        <v>4045</v>
      </c>
      <c r="C640" t="s">
        <v>5</v>
      </c>
      <c r="D640" t="s">
        <v>4046</v>
      </c>
      <c r="E640" t="s">
        <v>4047</v>
      </c>
      <c r="F640" t="s">
        <v>4048</v>
      </c>
    </row>
    <row r="641" spans="1:6" x14ac:dyDescent="0.25">
      <c r="A641" t="s">
        <v>4049</v>
      </c>
      <c r="B641" t="s">
        <v>4050</v>
      </c>
      <c r="C641" t="s">
        <v>4051</v>
      </c>
      <c r="D641" s="7">
        <v>1</v>
      </c>
      <c r="E641" s="2">
        <v>9037.33</v>
      </c>
      <c r="F641" s="2">
        <v>9037.33</v>
      </c>
    </row>
    <row r="642" spans="1:6" x14ac:dyDescent="0.25">
      <c r="A642" t="s">
        <v>4052</v>
      </c>
      <c r="B642" t="s">
        <v>4254</v>
      </c>
      <c r="C642" t="s">
        <v>287</v>
      </c>
      <c r="D642" s="7">
        <v>1</v>
      </c>
      <c r="E642" s="2">
        <v>54539.62</v>
      </c>
      <c r="F642" s="2">
        <v>54539.62</v>
      </c>
    </row>
    <row r="643" spans="1:6" x14ac:dyDescent="0.25">
      <c r="A643" t="s">
        <v>4055</v>
      </c>
      <c r="D643" s="7"/>
      <c r="E643" s="2"/>
      <c r="F643" s="2">
        <f>SUBTOTAL(109,A_1_01_77[VALOR PARCIAL])</f>
      </c>
    </row>
  </sheetData>
  <mergeCells count="154">
    <mergeCell ref="A4:F4"/>
    <mergeCell ref="A5:F5"/>
    <mergeCell ref="A11:F11"/>
    <mergeCell ref="A12:F12"/>
    <mergeCell ref="A17:F17"/>
    <mergeCell ref="A18:F18"/>
    <mergeCell ref="A28:F28"/>
    <mergeCell ref="A29:F29"/>
    <mergeCell ref="A39:F39"/>
    <mergeCell ref="A40:F40"/>
    <mergeCell ref="A48:F48"/>
    <mergeCell ref="A49:F49"/>
    <mergeCell ref="A59:F59"/>
    <mergeCell ref="A60:F60"/>
    <mergeCell ref="A69:F69"/>
    <mergeCell ref="A70:F70"/>
    <mergeCell ref="A76:F76"/>
    <mergeCell ref="A77:F77"/>
    <mergeCell ref="A83:F83"/>
    <mergeCell ref="A84:F84"/>
    <mergeCell ref="A91:F91"/>
    <mergeCell ref="A92:F92"/>
    <mergeCell ref="A98:F98"/>
    <mergeCell ref="A99:F99"/>
    <mergeCell ref="A105:F105"/>
    <mergeCell ref="A106:F106"/>
    <mergeCell ref="A114:F114"/>
    <mergeCell ref="A115:F115"/>
    <mergeCell ref="A123:F123"/>
    <mergeCell ref="A124:F124"/>
    <mergeCell ref="A130:F130"/>
    <mergeCell ref="A131:F131"/>
    <mergeCell ref="A139:F139"/>
    <mergeCell ref="A140:F140"/>
    <mergeCell ref="A147:F147"/>
    <mergeCell ref="A148:F148"/>
    <mergeCell ref="A156:F156"/>
    <mergeCell ref="A157:F157"/>
    <mergeCell ref="A165:F165"/>
    <mergeCell ref="A166:F166"/>
    <mergeCell ref="A172:F172"/>
    <mergeCell ref="A173:F173"/>
    <mergeCell ref="A182:F182"/>
    <mergeCell ref="A183:F183"/>
    <mergeCell ref="A190:F190"/>
    <mergeCell ref="A191:F191"/>
    <mergeCell ref="A201:F201"/>
    <mergeCell ref="A202:F202"/>
    <mergeCell ref="A208:F208"/>
    <mergeCell ref="A209:F209"/>
    <mergeCell ref="A216:F216"/>
    <mergeCell ref="A217:F217"/>
    <mergeCell ref="A223:F223"/>
    <mergeCell ref="A224:F224"/>
    <mergeCell ref="A230:F230"/>
    <mergeCell ref="A231:F231"/>
    <mergeCell ref="A237:F237"/>
    <mergeCell ref="A238:F238"/>
    <mergeCell ref="A244:F244"/>
    <mergeCell ref="A245:F245"/>
    <mergeCell ref="A253:F253"/>
    <mergeCell ref="A254:F254"/>
    <mergeCell ref="A262:F262"/>
    <mergeCell ref="A263:F263"/>
    <mergeCell ref="A270:F270"/>
    <mergeCell ref="A271:F271"/>
    <mergeCell ref="A278:F278"/>
    <mergeCell ref="A279:F279"/>
    <mergeCell ref="A285:F285"/>
    <mergeCell ref="A286:F286"/>
    <mergeCell ref="A292:F292"/>
    <mergeCell ref="A293:F293"/>
    <mergeCell ref="A299:F299"/>
    <mergeCell ref="A300:F300"/>
    <mergeCell ref="A306:F306"/>
    <mergeCell ref="A307:F307"/>
    <mergeCell ref="A315:F315"/>
    <mergeCell ref="A316:F316"/>
    <mergeCell ref="A324:F324"/>
    <mergeCell ref="A325:F325"/>
    <mergeCell ref="A333:F333"/>
    <mergeCell ref="A334:F334"/>
    <mergeCell ref="A342:F342"/>
    <mergeCell ref="A343:F343"/>
    <mergeCell ref="A351:F351"/>
    <mergeCell ref="A352:F352"/>
    <mergeCell ref="A360:F360"/>
    <mergeCell ref="A361:F361"/>
    <mergeCell ref="A369:F369"/>
    <mergeCell ref="A370:F370"/>
    <mergeCell ref="A378:F378"/>
    <mergeCell ref="A379:F379"/>
    <mergeCell ref="A388:F388"/>
    <mergeCell ref="A389:F389"/>
    <mergeCell ref="A395:F395"/>
    <mergeCell ref="A396:F396"/>
    <mergeCell ref="A402:F402"/>
    <mergeCell ref="A403:F403"/>
    <mergeCell ref="A411:F411"/>
    <mergeCell ref="A412:F412"/>
    <mergeCell ref="A420:F420"/>
    <mergeCell ref="A421:F421"/>
    <mergeCell ref="A428:F428"/>
    <mergeCell ref="A429:F429"/>
    <mergeCell ref="A436:F436"/>
    <mergeCell ref="A437:F437"/>
    <mergeCell ref="A445:F445"/>
    <mergeCell ref="A446:F446"/>
    <mergeCell ref="A454:F454"/>
    <mergeCell ref="A455:F455"/>
    <mergeCell ref="A463:F463"/>
    <mergeCell ref="A464:F464"/>
    <mergeCell ref="A472:F472"/>
    <mergeCell ref="A473:F473"/>
    <mergeCell ref="A479:F479"/>
    <mergeCell ref="A480:F480"/>
    <mergeCell ref="A488:F488"/>
    <mergeCell ref="A489:F489"/>
    <mergeCell ref="A497:F497"/>
    <mergeCell ref="A498:F498"/>
    <mergeCell ref="A506:F506"/>
    <mergeCell ref="A507:F507"/>
    <mergeCell ref="A517:F517"/>
    <mergeCell ref="A518:F518"/>
    <mergeCell ref="A524:F524"/>
    <mergeCell ref="A525:F525"/>
    <mergeCell ref="A532:F532"/>
    <mergeCell ref="A533:F533"/>
    <mergeCell ref="A539:F539"/>
    <mergeCell ref="A540:F540"/>
    <mergeCell ref="A546:F546"/>
    <mergeCell ref="A547:F547"/>
    <mergeCell ref="A552:F552"/>
    <mergeCell ref="A553:F553"/>
    <mergeCell ref="A558:F558"/>
    <mergeCell ref="A559:F559"/>
    <mergeCell ref="A569:F569"/>
    <mergeCell ref="A570:F570"/>
    <mergeCell ref="A580:F580"/>
    <mergeCell ref="A581:F581"/>
    <mergeCell ref="A594:F594"/>
    <mergeCell ref="A595:F595"/>
    <mergeCell ref="A601:F601"/>
    <mergeCell ref="A602:F602"/>
    <mergeCell ref="A609:F609"/>
    <mergeCell ref="A610:F610"/>
    <mergeCell ref="A616:F616"/>
    <mergeCell ref="A617:F617"/>
    <mergeCell ref="A624:F624"/>
    <mergeCell ref="A625:F625"/>
    <mergeCell ref="A631:F631"/>
    <mergeCell ref="A632:F632"/>
    <mergeCell ref="A638:F638"/>
    <mergeCell ref="A639:F639"/>
  </mergeCells>
  <pageMargins left="0.7" right="0.7" top="0.75" bottom="0.75" header="0.3" footer="0.3"/>
  <pageSetup orientation="portrait" horizontalDpi="4294967295" verticalDpi="4294967295" scale="100" fitToWidth="1" fitToHeight="1"/>
  <tableParts count="7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4255</v>
      </c>
    </row>
    <row r="2" spans="1:1" x14ac:dyDescent="0.25">
      <c r="A2" s="4" t="s">
        <v>4256</v>
      </c>
    </row>
    <row r="4" ht="30" customHeight="1" spans="1:6" x14ac:dyDescent="0.25">
      <c r="A4" s="5" t="s">
        <v>4257</v>
      </c>
      <c r="B4" s="5"/>
      <c r="C4" s="5"/>
      <c r="D4" s="5"/>
      <c r="E4" s="5"/>
      <c r="F4" s="5"/>
    </row>
    <row r="5" ht="42" customHeight="1" spans="1:6" x14ac:dyDescent="0.25">
      <c r="A5" s="6" t="s">
        <v>4258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4004</v>
      </c>
      <c r="C7" t="s">
        <v>34</v>
      </c>
      <c r="D7" s="7">
        <v>0.05</v>
      </c>
      <c r="E7" s="2">
        <v>426702.51</v>
      </c>
      <c r="F7" s="2">
        <v>21335.13</v>
      </c>
    </row>
    <row r="8" spans="1:6" x14ac:dyDescent="0.25">
      <c r="A8" t="s">
        <v>4049</v>
      </c>
      <c r="B8" t="s">
        <v>4050</v>
      </c>
      <c r="C8" t="s">
        <v>4051</v>
      </c>
      <c r="D8" s="7">
        <v>0.35</v>
      </c>
      <c r="E8" s="2">
        <v>9037.33</v>
      </c>
      <c r="F8" s="2">
        <v>3163.07</v>
      </c>
    </row>
    <row r="9" spans="1:6" x14ac:dyDescent="0.25">
      <c r="A9" t="s">
        <v>4049</v>
      </c>
      <c r="B9" t="s">
        <v>4073</v>
      </c>
      <c r="C9" t="s">
        <v>4051</v>
      </c>
      <c r="D9" s="7">
        <v>0.35</v>
      </c>
      <c r="E9" s="2">
        <v>15517.89</v>
      </c>
      <c r="F9" s="2">
        <v>5431.26</v>
      </c>
    </row>
    <row r="10" spans="1:6" x14ac:dyDescent="0.25">
      <c r="A10" t="s">
        <v>4052</v>
      </c>
      <c r="B10" t="s">
        <v>4053</v>
      </c>
      <c r="C10" t="s">
        <v>4054</v>
      </c>
      <c r="D10" s="7">
        <v>0.01</v>
      </c>
      <c r="E10" s="2">
        <v>8594.33</v>
      </c>
      <c r="F10" s="2">
        <v>0.86</v>
      </c>
    </row>
    <row r="11" spans="1:6" x14ac:dyDescent="0.25">
      <c r="A11" t="s">
        <v>4055</v>
      </c>
      <c r="D11" s="7"/>
      <c r="E11" s="2"/>
      <c r="F11" s="2">
        <f>SUBTOTAL(109,A_1_02_01[VALOR PARCIAL])</f>
      </c>
    </row>
    <row r="13" ht="30" customHeight="1" spans="1:6" x14ac:dyDescent="0.25">
      <c r="A13" s="5" t="s">
        <v>4259</v>
      </c>
      <c r="B13" s="5"/>
      <c r="C13" s="5"/>
      <c r="D13" s="5"/>
      <c r="E13" s="5"/>
      <c r="F13" s="5"/>
    </row>
    <row r="14" ht="42" customHeight="1" spans="1:6" x14ac:dyDescent="0.25">
      <c r="A14" s="6" t="s">
        <v>4260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3975</v>
      </c>
      <c r="C16" t="s">
        <v>34</v>
      </c>
      <c r="D16" s="7">
        <v>0.18</v>
      </c>
      <c r="E16" s="2">
        <v>586929.15</v>
      </c>
      <c r="F16" s="2">
        <v>105647.25</v>
      </c>
    </row>
    <row r="17" spans="1:6" x14ac:dyDescent="0.25">
      <c r="A17" t="s">
        <v>4062</v>
      </c>
      <c r="B17" t="s">
        <v>4261</v>
      </c>
      <c r="C17" t="s">
        <v>231</v>
      </c>
      <c r="D17" s="7">
        <v>6.83</v>
      </c>
      <c r="E17" s="2">
        <v>2982</v>
      </c>
      <c r="F17" s="2">
        <v>20367.06</v>
      </c>
    </row>
    <row r="18" spans="1:6" x14ac:dyDescent="0.25">
      <c r="A18" t="s">
        <v>4062</v>
      </c>
      <c r="B18" t="s">
        <v>4262</v>
      </c>
      <c r="C18" t="s">
        <v>63</v>
      </c>
      <c r="D18" s="7">
        <v>244</v>
      </c>
      <c r="E18" s="2">
        <v>415</v>
      </c>
      <c r="F18" s="2">
        <v>101260</v>
      </c>
    </row>
    <row r="19" spans="1:6" x14ac:dyDescent="0.25">
      <c r="A19" t="s">
        <v>4062</v>
      </c>
      <c r="B19" t="s">
        <v>4263</v>
      </c>
      <c r="C19" t="s">
        <v>63</v>
      </c>
      <c r="D19" s="7">
        <v>1</v>
      </c>
      <c r="E19" s="2">
        <v>266509.88</v>
      </c>
      <c r="F19" s="2">
        <v>266509.88</v>
      </c>
    </row>
    <row r="20" spans="1:6" x14ac:dyDescent="0.25">
      <c r="A20" t="s">
        <v>4062</v>
      </c>
      <c r="B20" t="s">
        <v>4264</v>
      </c>
      <c r="C20" t="s">
        <v>21</v>
      </c>
      <c r="D20" s="7">
        <v>0.18</v>
      </c>
      <c r="E20" s="2">
        <v>29930.32</v>
      </c>
      <c r="F20" s="2">
        <v>5387.46</v>
      </c>
    </row>
    <row r="21" spans="1:6" x14ac:dyDescent="0.25">
      <c r="A21" t="s">
        <v>4062</v>
      </c>
      <c r="B21" t="s">
        <v>4265</v>
      </c>
      <c r="C21" t="s">
        <v>34</v>
      </c>
      <c r="D21" s="7">
        <v>0.2</v>
      </c>
      <c r="E21" s="2">
        <v>35700</v>
      </c>
      <c r="F21" s="2">
        <v>7140</v>
      </c>
    </row>
    <row r="22" spans="1:6" x14ac:dyDescent="0.25">
      <c r="A22" t="s">
        <v>4049</v>
      </c>
      <c r="B22" t="s">
        <v>4050</v>
      </c>
      <c r="C22" t="s">
        <v>4051</v>
      </c>
      <c r="D22" s="7">
        <v>3.5</v>
      </c>
      <c r="E22" s="2">
        <v>9037.33</v>
      </c>
      <c r="F22" s="2">
        <v>31630.65</v>
      </c>
    </row>
    <row r="23" spans="1:6" x14ac:dyDescent="0.25">
      <c r="A23" t="s">
        <v>4049</v>
      </c>
      <c r="B23" t="s">
        <v>4073</v>
      </c>
      <c r="C23" t="s">
        <v>4051</v>
      </c>
      <c r="D23" s="7">
        <v>3.5</v>
      </c>
      <c r="E23" s="2">
        <v>15517.89</v>
      </c>
      <c r="F23" s="2">
        <v>54312.61</v>
      </c>
    </row>
    <row r="24" spans="1:6" x14ac:dyDescent="0.25">
      <c r="A24" t="s">
        <v>4052</v>
      </c>
      <c r="B24" t="s">
        <v>4053</v>
      </c>
      <c r="C24" t="s">
        <v>4054</v>
      </c>
      <c r="D24" s="7">
        <v>1</v>
      </c>
      <c r="E24" s="2">
        <v>85943.26</v>
      </c>
      <c r="F24" s="2">
        <v>859.43</v>
      </c>
    </row>
    <row r="25" spans="1:6" x14ac:dyDescent="0.25">
      <c r="A25" t="s">
        <v>4055</v>
      </c>
      <c r="D25" s="7"/>
      <c r="E25" s="2"/>
      <c r="F25" s="2">
        <f>SUBTOTAL(109,A_1_02_02[VALOR PARCIAL])</f>
      </c>
    </row>
    <row r="27" ht="30" customHeight="1" spans="1:6" x14ac:dyDescent="0.25">
      <c r="A27" s="5" t="s">
        <v>4266</v>
      </c>
      <c r="B27" s="5"/>
      <c r="C27" s="5"/>
      <c r="D27" s="5"/>
      <c r="E27" s="5"/>
      <c r="F27" s="5"/>
    </row>
    <row r="28" ht="42" customHeight="1" spans="1:6" x14ac:dyDescent="0.25">
      <c r="A28" s="6" t="s">
        <v>4267</v>
      </c>
      <c r="B28" s="6"/>
      <c r="C28" s="6"/>
      <c r="D28" s="6"/>
      <c r="E28" s="6"/>
      <c r="F28" s="6"/>
    </row>
    <row r="29" spans="1:6" x14ac:dyDescent="0.25">
      <c r="A29" t="s">
        <v>4044</v>
      </c>
      <c r="B29" t="s">
        <v>4045</v>
      </c>
      <c r="C29" t="s">
        <v>5</v>
      </c>
      <c r="D29" t="s">
        <v>4046</v>
      </c>
      <c r="E29" t="s">
        <v>4047</v>
      </c>
      <c r="F29" t="s">
        <v>4048</v>
      </c>
    </row>
    <row r="30" spans="1:6" x14ac:dyDescent="0.25">
      <c r="A30" t="s">
        <v>4062</v>
      </c>
      <c r="B30" t="s">
        <v>3975</v>
      </c>
      <c r="C30" t="s">
        <v>34</v>
      </c>
      <c r="D30" s="7">
        <v>0.14</v>
      </c>
      <c r="E30" s="2">
        <v>586929.15</v>
      </c>
      <c r="F30" s="2">
        <v>84517.8</v>
      </c>
    </row>
    <row r="31" spans="1:6" x14ac:dyDescent="0.25">
      <c r="A31" t="s">
        <v>4062</v>
      </c>
      <c r="B31" t="s">
        <v>4261</v>
      </c>
      <c r="C31" t="s">
        <v>231</v>
      </c>
      <c r="D31" s="7">
        <v>8.2</v>
      </c>
      <c r="E31" s="2">
        <v>2982</v>
      </c>
      <c r="F31" s="2">
        <v>24440.47</v>
      </c>
    </row>
    <row r="32" spans="1:6" x14ac:dyDescent="0.25">
      <c r="A32" t="s">
        <v>4062</v>
      </c>
      <c r="B32" t="s">
        <v>4262</v>
      </c>
      <c r="C32" t="s">
        <v>63</v>
      </c>
      <c r="D32" s="7">
        <v>292.8</v>
      </c>
      <c r="E32" s="2">
        <v>415</v>
      </c>
      <c r="F32" s="2">
        <v>121512</v>
      </c>
    </row>
    <row r="33" spans="1:6" x14ac:dyDescent="0.25">
      <c r="A33" t="s">
        <v>4062</v>
      </c>
      <c r="B33" t="s">
        <v>4268</v>
      </c>
      <c r="C33" t="s">
        <v>63</v>
      </c>
      <c r="D33" s="7">
        <v>1</v>
      </c>
      <c r="E33" s="2">
        <v>406210.81</v>
      </c>
      <c r="F33" s="2">
        <v>406210.81</v>
      </c>
    </row>
    <row r="34" spans="1:6" x14ac:dyDescent="0.25">
      <c r="A34" t="s">
        <v>4062</v>
      </c>
      <c r="B34" t="s">
        <v>4264</v>
      </c>
      <c r="C34" t="s">
        <v>21</v>
      </c>
      <c r="D34" s="7">
        <v>1.44</v>
      </c>
      <c r="E34" s="2">
        <v>29930.32</v>
      </c>
      <c r="F34" s="2">
        <v>43099.66</v>
      </c>
    </row>
    <row r="35" spans="1:6" x14ac:dyDescent="0.25">
      <c r="A35" t="s">
        <v>4062</v>
      </c>
      <c r="B35" t="s">
        <v>4265</v>
      </c>
      <c r="C35" t="s">
        <v>34</v>
      </c>
      <c r="D35" s="7">
        <v>0.24</v>
      </c>
      <c r="E35" s="2">
        <v>35700</v>
      </c>
      <c r="F35" s="2">
        <v>8568</v>
      </c>
    </row>
    <row r="36" spans="1:6" x14ac:dyDescent="0.25">
      <c r="A36" t="s">
        <v>4049</v>
      </c>
      <c r="B36" t="s">
        <v>4050</v>
      </c>
      <c r="C36" t="s">
        <v>4051</v>
      </c>
      <c r="D36" s="7">
        <v>4</v>
      </c>
      <c r="E36" s="2">
        <v>9037.33</v>
      </c>
      <c r="F36" s="2">
        <v>36149.32</v>
      </c>
    </row>
    <row r="37" spans="1:6" x14ac:dyDescent="0.25">
      <c r="A37" t="s">
        <v>4049</v>
      </c>
      <c r="B37" t="s">
        <v>4073</v>
      </c>
      <c r="C37" t="s">
        <v>4051</v>
      </c>
      <c r="D37" s="7">
        <v>4</v>
      </c>
      <c r="E37" s="2">
        <v>15517.89</v>
      </c>
      <c r="F37" s="2">
        <v>62071.56</v>
      </c>
    </row>
    <row r="38" spans="1:6" x14ac:dyDescent="0.25">
      <c r="A38" t="s">
        <v>4052</v>
      </c>
      <c r="B38" t="s">
        <v>4053</v>
      </c>
      <c r="C38" t="s">
        <v>4054</v>
      </c>
      <c r="D38" s="7">
        <v>1</v>
      </c>
      <c r="E38" s="2">
        <v>98220.88</v>
      </c>
      <c r="F38" s="2">
        <v>982.21</v>
      </c>
    </row>
    <row r="39" spans="1:6" x14ac:dyDescent="0.25">
      <c r="A39" t="s">
        <v>4055</v>
      </c>
      <c r="D39" s="7"/>
      <c r="E39" s="2"/>
      <c r="F39" s="2">
        <f>SUBTOTAL(109,A_1_02_03[VALOR PARCIAL])</f>
      </c>
    </row>
    <row r="41" ht="30" customHeight="1" spans="1:6" x14ac:dyDescent="0.25">
      <c r="A41" s="5" t="s">
        <v>4269</v>
      </c>
      <c r="B41" s="5"/>
      <c r="C41" s="5"/>
      <c r="D41" s="5"/>
      <c r="E41" s="5"/>
      <c r="F41" s="5"/>
    </row>
    <row r="42" ht="42" customHeight="1" spans="1:6" x14ac:dyDescent="0.25">
      <c r="A42" s="6" t="s">
        <v>4270</v>
      </c>
      <c r="B42" s="6"/>
      <c r="C42" s="6"/>
      <c r="D42" s="6"/>
      <c r="E42" s="6"/>
      <c r="F42" s="6"/>
    </row>
    <row r="43" spans="1:6" x14ac:dyDescent="0.25">
      <c r="A43" t="s">
        <v>4044</v>
      </c>
      <c r="B43" t="s">
        <v>4045</v>
      </c>
      <c r="C43" t="s">
        <v>5</v>
      </c>
      <c r="D43" t="s">
        <v>4046</v>
      </c>
      <c r="E43" t="s">
        <v>4047</v>
      </c>
      <c r="F43" t="s">
        <v>4048</v>
      </c>
    </row>
    <row r="44" spans="1:6" x14ac:dyDescent="0.25">
      <c r="A44" t="s">
        <v>4062</v>
      </c>
      <c r="B44" t="s">
        <v>3975</v>
      </c>
      <c r="C44" t="s">
        <v>34</v>
      </c>
      <c r="D44" s="7">
        <v>0.05</v>
      </c>
      <c r="E44" s="2">
        <v>586929.15</v>
      </c>
      <c r="F44" s="2">
        <v>31694.17</v>
      </c>
    </row>
    <row r="45" spans="1:6" x14ac:dyDescent="0.25">
      <c r="A45" t="s">
        <v>4062</v>
      </c>
      <c r="B45" t="s">
        <v>4261</v>
      </c>
      <c r="C45" t="s">
        <v>231</v>
      </c>
      <c r="D45" s="7">
        <v>0.9</v>
      </c>
      <c r="E45" s="2">
        <v>2982</v>
      </c>
      <c r="F45" s="2">
        <v>2683.8</v>
      </c>
    </row>
    <row r="46" spans="1:6" x14ac:dyDescent="0.25">
      <c r="A46" t="s">
        <v>4062</v>
      </c>
      <c r="B46" t="s">
        <v>4262</v>
      </c>
      <c r="C46" t="s">
        <v>63</v>
      </c>
      <c r="D46" s="7">
        <v>93</v>
      </c>
      <c r="E46" s="2">
        <v>415</v>
      </c>
      <c r="F46" s="2">
        <v>38595</v>
      </c>
    </row>
    <row r="47" spans="1:6" x14ac:dyDescent="0.25">
      <c r="A47" t="s">
        <v>4062</v>
      </c>
      <c r="B47" t="s">
        <v>4271</v>
      </c>
      <c r="C47" t="s">
        <v>63</v>
      </c>
      <c r="D47" s="7">
        <v>1</v>
      </c>
      <c r="E47" s="2">
        <v>152934.14</v>
      </c>
      <c r="F47" s="2">
        <v>152934.14</v>
      </c>
    </row>
    <row r="48" spans="1:6" x14ac:dyDescent="0.25">
      <c r="A48" t="s">
        <v>4062</v>
      </c>
      <c r="B48" t="s">
        <v>4264</v>
      </c>
      <c r="C48" t="s">
        <v>21</v>
      </c>
      <c r="D48" s="7">
        <v>0.36</v>
      </c>
      <c r="E48" s="2">
        <v>29930.32</v>
      </c>
      <c r="F48" s="2">
        <v>10774.92</v>
      </c>
    </row>
    <row r="49" spans="1:6" x14ac:dyDescent="0.25">
      <c r="A49" t="s">
        <v>4062</v>
      </c>
      <c r="B49" t="s">
        <v>4265</v>
      </c>
      <c r="C49" t="s">
        <v>34</v>
      </c>
      <c r="D49" s="7">
        <v>0.11</v>
      </c>
      <c r="E49" s="2">
        <v>35700</v>
      </c>
      <c r="F49" s="2">
        <v>3927</v>
      </c>
    </row>
    <row r="50" spans="1:6" x14ac:dyDescent="0.25">
      <c r="A50" t="s">
        <v>4049</v>
      </c>
      <c r="B50" t="s">
        <v>4050</v>
      </c>
      <c r="C50" t="s">
        <v>4051</v>
      </c>
      <c r="D50" s="7">
        <v>5.1</v>
      </c>
      <c r="E50" s="2">
        <v>9037.33</v>
      </c>
      <c r="F50" s="2">
        <v>46090.38</v>
      </c>
    </row>
    <row r="51" spans="1:6" x14ac:dyDescent="0.25">
      <c r="A51" t="s">
        <v>4049</v>
      </c>
      <c r="B51" t="s">
        <v>4073</v>
      </c>
      <c r="C51" t="s">
        <v>4051</v>
      </c>
      <c r="D51" s="7">
        <v>3.5</v>
      </c>
      <c r="E51" s="2">
        <v>15517.89</v>
      </c>
      <c r="F51" s="2">
        <v>54312.61</v>
      </c>
    </row>
    <row r="52" spans="1:6" x14ac:dyDescent="0.25">
      <c r="A52" t="s">
        <v>4052</v>
      </c>
      <c r="B52" t="s">
        <v>4053</v>
      </c>
      <c r="C52" t="s">
        <v>4054</v>
      </c>
      <c r="D52" s="7">
        <v>1</v>
      </c>
      <c r="E52" s="2">
        <v>100402.99</v>
      </c>
      <c r="F52" s="2">
        <v>1004.03</v>
      </c>
    </row>
    <row r="53" spans="1:6" x14ac:dyDescent="0.25">
      <c r="A53" t="s">
        <v>4055</v>
      </c>
      <c r="D53" s="7"/>
      <c r="E53" s="2"/>
      <c r="F53" s="2">
        <f>SUBTOTAL(109,A_1_02_04[VALOR PARCIAL])</f>
      </c>
    </row>
    <row r="55" ht="30" customHeight="1" spans="1:6" x14ac:dyDescent="0.25">
      <c r="A55" s="5" t="s">
        <v>4272</v>
      </c>
      <c r="B55" s="5"/>
      <c r="C55" s="5"/>
      <c r="D55" s="5"/>
      <c r="E55" s="5"/>
      <c r="F55" s="5"/>
    </row>
    <row r="56" ht="42" customHeight="1" spans="1:6" x14ac:dyDescent="0.25">
      <c r="A56" s="6" t="s">
        <v>4273</v>
      </c>
      <c r="B56" s="6"/>
      <c r="C56" s="6"/>
      <c r="D56" s="6"/>
      <c r="E56" s="6"/>
      <c r="F56" s="6"/>
    </row>
    <row r="57" spans="1:6" x14ac:dyDescent="0.25">
      <c r="A57" t="s">
        <v>4044</v>
      </c>
      <c r="B57" t="s">
        <v>4045</v>
      </c>
      <c r="C57" t="s">
        <v>5</v>
      </c>
      <c r="D57" t="s">
        <v>4046</v>
      </c>
      <c r="E57" t="s">
        <v>4047</v>
      </c>
      <c r="F57" t="s">
        <v>4048</v>
      </c>
    </row>
    <row r="58" spans="1:6" x14ac:dyDescent="0.25">
      <c r="A58" t="s">
        <v>4062</v>
      </c>
      <c r="B58" t="s">
        <v>3975</v>
      </c>
      <c r="C58" t="s">
        <v>34</v>
      </c>
      <c r="D58" s="7">
        <v>0.1</v>
      </c>
      <c r="E58" s="2">
        <v>586929.15</v>
      </c>
      <c r="F58" s="2">
        <v>56345.2</v>
      </c>
    </row>
    <row r="59" spans="1:6" x14ac:dyDescent="0.25">
      <c r="A59" t="s">
        <v>4062</v>
      </c>
      <c r="B59" t="s">
        <v>4261</v>
      </c>
      <c r="C59" t="s">
        <v>231</v>
      </c>
      <c r="D59" s="7">
        <v>4.57</v>
      </c>
      <c r="E59" s="2">
        <v>2982</v>
      </c>
      <c r="F59" s="2">
        <v>13627.74</v>
      </c>
    </row>
    <row r="60" spans="1:6" x14ac:dyDescent="0.25">
      <c r="A60" t="s">
        <v>4062</v>
      </c>
      <c r="B60" t="s">
        <v>4262</v>
      </c>
      <c r="C60" t="s">
        <v>63</v>
      </c>
      <c r="D60" s="7">
        <v>188.6</v>
      </c>
      <c r="E60" s="2">
        <v>415</v>
      </c>
      <c r="F60" s="2">
        <v>78269</v>
      </c>
    </row>
    <row r="61" spans="1:6" x14ac:dyDescent="0.25">
      <c r="A61" t="s">
        <v>4062</v>
      </c>
      <c r="B61" t="s">
        <v>4274</v>
      </c>
      <c r="C61" t="s">
        <v>63</v>
      </c>
      <c r="D61" s="7">
        <v>1</v>
      </c>
      <c r="E61" s="2">
        <v>215241.22</v>
      </c>
      <c r="F61" s="2">
        <v>215241.22</v>
      </c>
    </row>
    <row r="62" spans="1:6" x14ac:dyDescent="0.25">
      <c r="A62" t="s">
        <v>4062</v>
      </c>
      <c r="B62" t="s">
        <v>4264</v>
      </c>
      <c r="C62" t="s">
        <v>21</v>
      </c>
      <c r="D62" s="7">
        <v>0.64</v>
      </c>
      <c r="E62" s="2">
        <v>29930.32</v>
      </c>
      <c r="F62" s="2">
        <v>19155.4</v>
      </c>
    </row>
    <row r="63" spans="1:6" x14ac:dyDescent="0.25">
      <c r="A63" t="s">
        <v>4062</v>
      </c>
      <c r="B63" t="s">
        <v>4265</v>
      </c>
      <c r="C63" t="s">
        <v>34</v>
      </c>
      <c r="D63" s="7">
        <v>0.16</v>
      </c>
      <c r="E63" s="2">
        <v>35700</v>
      </c>
      <c r="F63" s="2">
        <v>5712</v>
      </c>
    </row>
    <row r="64" spans="1:6" x14ac:dyDescent="0.25">
      <c r="A64" t="s">
        <v>4049</v>
      </c>
      <c r="B64" t="s">
        <v>4050</v>
      </c>
      <c r="C64" t="s">
        <v>4051</v>
      </c>
      <c r="D64" s="7">
        <v>5.4</v>
      </c>
      <c r="E64" s="2">
        <v>9037.33</v>
      </c>
      <c r="F64" s="2">
        <v>48801.58</v>
      </c>
    </row>
    <row r="65" spans="1:6" x14ac:dyDescent="0.25">
      <c r="A65" t="s">
        <v>4049</v>
      </c>
      <c r="B65" t="s">
        <v>4073</v>
      </c>
      <c r="C65" t="s">
        <v>4051</v>
      </c>
      <c r="D65" s="7">
        <v>3.5</v>
      </c>
      <c r="E65" s="2">
        <v>15517.89</v>
      </c>
      <c r="F65" s="2">
        <v>54312.61</v>
      </c>
    </row>
    <row r="66" spans="1:6" x14ac:dyDescent="0.25">
      <c r="A66" t="s">
        <v>4052</v>
      </c>
      <c r="B66" t="s">
        <v>4053</v>
      </c>
      <c r="C66" t="s">
        <v>4054</v>
      </c>
      <c r="D66" s="7">
        <v>1</v>
      </c>
      <c r="E66" s="2">
        <v>103114.19</v>
      </c>
      <c r="F66" s="2">
        <v>1031.14</v>
      </c>
    </row>
    <row r="67" spans="1:6" x14ac:dyDescent="0.25">
      <c r="A67" t="s">
        <v>4055</v>
      </c>
      <c r="D67" s="7"/>
      <c r="E67" s="2"/>
      <c r="F67" s="2">
        <f>SUBTOTAL(109,A_1_02_05[VALOR PARCIAL])</f>
      </c>
    </row>
    <row r="69" ht="30" customHeight="1" spans="1:6" x14ac:dyDescent="0.25">
      <c r="A69" s="5" t="s">
        <v>4275</v>
      </c>
      <c r="B69" s="5"/>
      <c r="C69" s="5"/>
      <c r="D69" s="5"/>
      <c r="E69" s="5"/>
      <c r="F69" s="5"/>
    </row>
    <row r="70" ht="42" customHeight="1" spans="1:6" x14ac:dyDescent="0.25">
      <c r="A70" s="6" t="s">
        <v>4276</v>
      </c>
      <c r="B70" s="6"/>
      <c r="C70" s="6"/>
      <c r="D70" s="6"/>
      <c r="E70" s="6"/>
      <c r="F70" s="6"/>
    </row>
    <row r="71" spans="1:6" x14ac:dyDescent="0.25">
      <c r="A71" t="s">
        <v>4044</v>
      </c>
      <c r="B71" t="s">
        <v>4045</v>
      </c>
      <c r="C71" t="s">
        <v>5</v>
      </c>
      <c r="D71" t="s">
        <v>4046</v>
      </c>
      <c r="E71" t="s">
        <v>4047</v>
      </c>
      <c r="F71" t="s">
        <v>4048</v>
      </c>
    </row>
    <row r="72" spans="1:6" x14ac:dyDescent="0.25">
      <c r="A72" t="s">
        <v>4062</v>
      </c>
      <c r="B72" t="s">
        <v>4007</v>
      </c>
      <c r="C72" t="s">
        <v>34</v>
      </c>
      <c r="D72" s="7">
        <v>0.6</v>
      </c>
      <c r="E72" s="2">
        <v>378413.54</v>
      </c>
      <c r="F72" s="2">
        <v>227048.12</v>
      </c>
    </row>
    <row r="73" spans="1:6" x14ac:dyDescent="0.25">
      <c r="A73" t="s">
        <v>4062</v>
      </c>
      <c r="B73" t="s">
        <v>4277</v>
      </c>
      <c r="C73" t="s">
        <v>34</v>
      </c>
      <c r="D73" s="7">
        <v>0.4</v>
      </c>
      <c r="E73" s="2">
        <v>50575</v>
      </c>
      <c r="F73" s="2">
        <v>20230</v>
      </c>
    </row>
    <row r="74" spans="1:6" x14ac:dyDescent="0.25">
      <c r="A74" t="s">
        <v>4049</v>
      </c>
      <c r="B74" t="s">
        <v>4050</v>
      </c>
      <c r="C74" t="s">
        <v>4051</v>
      </c>
      <c r="D74" s="7">
        <v>6</v>
      </c>
      <c r="E74" s="2">
        <v>9037.33</v>
      </c>
      <c r="F74" s="2">
        <v>54223.98</v>
      </c>
    </row>
    <row r="75" spans="1:6" x14ac:dyDescent="0.25">
      <c r="A75" t="s">
        <v>4049</v>
      </c>
      <c r="B75" t="s">
        <v>4073</v>
      </c>
      <c r="C75" t="s">
        <v>4051</v>
      </c>
      <c r="D75" s="7">
        <v>2</v>
      </c>
      <c r="E75" s="2">
        <v>15517.89</v>
      </c>
      <c r="F75" s="2">
        <v>31035.78</v>
      </c>
    </row>
    <row r="76" spans="1:6" x14ac:dyDescent="0.25">
      <c r="A76" t="s">
        <v>4052</v>
      </c>
      <c r="B76" t="s">
        <v>4053</v>
      </c>
      <c r="C76" t="s">
        <v>4054</v>
      </c>
      <c r="D76" s="7">
        <v>3</v>
      </c>
      <c r="E76" s="2">
        <v>85259.76</v>
      </c>
      <c r="F76" s="2">
        <v>2557.79</v>
      </c>
    </row>
    <row r="77" spans="1:6" x14ac:dyDescent="0.25">
      <c r="A77" t="s">
        <v>4058</v>
      </c>
      <c r="B77" t="s">
        <v>4059</v>
      </c>
      <c r="C77" t="s">
        <v>3545</v>
      </c>
      <c r="D77" s="7">
        <v>1</v>
      </c>
      <c r="E77" s="2">
        <v>1325</v>
      </c>
      <c r="F77" s="2">
        <v>1325</v>
      </c>
    </row>
    <row r="78" spans="1:6" x14ac:dyDescent="0.25">
      <c r="A78" t="s">
        <v>4055</v>
      </c>
      <c r="D78" s="7"/>
      <c r="E78" s="2"/>
      <c r="F78" s="2">
        <f>SUBTOTAL(109,A_1_02_06[VALOR PARCIAL])</f>
      </c>
    </row>
    <row r="80" ht="30" customHeight="1" spans="1:6" x14ac:dyDescent="0.25">
      <c r="A80" s="5" t="s">
        <v>4278</v>
      </c>
      <c r="B80" s="5"/>
      <c r="C80" s="5"/>
      <c r="D80" s="5"/>
      <c r="E80" s="5"/>
      <c r="F80" s="5"/>
    </row>
    <row r="81" ht="42" customHeight="1" spans="1:6" x14ac:dyDescent="0.25">
      <c r="A81" s="6" t="s">
        <v>4279</v>
      </c>
      <c r="B81" s="6"/>
      <c r="C81" s="6"/>
      <c r="D81" s="6"/>
      <c r="E81" s="6"/>
      <c r="F81" s="6"/>
    </row>
    <row r="82" spans="1:6" x14ac:dyDescent="0.25">
      <c r="A82" t="s">
        <v>4044</v>
      </c>
      <c r="B82" t="s">
        <v>4045</v>
      </c>
      <c r="C82" t="s">
        <v>5</v>
      </c>
      <c r="D82" t="s">
        <v>4046</v>
      </c>
      <c r="E82" t="s">
        <v>4047</v>
      </c>
      <c r="F82" t="s">
        <v>4048</v>
      </c>
    </row>
    <row r="83" spans="1:6" x14ac:dyDescent="0.25">
      <c r="A83" t="s">
        <v>4062</v>
      </c>
      <c r="B83" t="s">
        <v>4004</v>
      </c>
      <c r="C83" t="s">
        <v>34</v>
      </c>
      <c r="D83" s="7">
        <v>0.6</v>
      </c>
      <c r="E83" s="2">
        <v>426702.51</v>
      </c>
      <c r="F83" s="2">
        <v>256021.51</v>
      </c>
    </row>
    <row r="84" spans="1:6" x14ac:dyDescent="0.25">
      <c r="A84" t="s">
        <v>4062</v>
      </c>
      <c r="B84" t="s">
        <v>4277</v>
      </c>
      <c r="C84" t="s">
        <v>34</v>
      </c>
      <c r="D84" s="7">
        <v>0.4</v>
      </c>
      <c r="E84" s="2">
        <v>50575</v>
      </c>
      <c r="F84" s="2">
        <v>20230</v>
      </c>
    </row>
    <row r="85" spans="1:6" x14ac:dyDescent="0.25">
      <c r="A85" t="s">
        <v>4049</v>
      </c>
      <c r="B85" t="s">
        <v>4050</v>
      </c>
      <c r="C85" t="s">
        <v>4051</v>
      </c>
      <c r="D85" s="7">
        <v>7.8</v>
      </c>
      <c r="E85" s="2">
        <v>9037.33</v>
      </c>
      <c r="F85" s="2">
        <v>70491.17</v>
      </c>
    </row>
    <row r="86" spans="1:6" x14ac:dyDescent="0.25">
      <c r="A86" t="s">
        <v>4049</v>
      </c>
      <c r="B86" t="s">
        <v>4073</v>
      </c>
      <c r="C86" t="s">
        <v>4051</v>
      </c>
      <c r="D86" s="7">
        <v>2.6</v>
      </c>
      <c r="E86" s="2">
        <v>15517.89</v>
      </c>
      <c r="F86" s="2">
        <v>40346.51</v>
      </c>
    </row>
    <row r="87" spans="1:6" x14ac:dyDescent="0.25">
      <c r="A87" t="s">
        <v>4052</v>
      </c>
      <c r="B87" t="s">
        <v>4053</v>
      </c>
      <c r="C87" t="s">
        <v>4054</v>
      </c>
      <c r="D87" s="7">
        <v>1</v>
      </c>
      <c r="E87" s="2">
        <v>110837.68</v>
      </c>
      <c r="F87" s="2">
        <v>1108.38</v>
      </c>
    </row>
    <row r="88" spans="1:6" x14ac:dyDescent="0.25">
      <c r="A88" t="s">
        <v>4058</v>
      </c>
      <c r="B88" t="s">
        <v>4059</v>
      </c>
      <c r="C88" t="s">
        <v>3545</v>
      </c>
      <c r="D88" s="7">
        <v>1</v>
      </c>
      <c r="E88" s="2">
        <v>1325</v>
      </c>
      <c r="F88" s="2">
        <v>1325</v>
      </c>
    </row>
    <row r="89" spans="1:6" x14ac:dyDescent="0.25">
      <c r="A89" t="s">
        <v>4055</v>
      </c>
      <c r="D89" s="7"/>
      <c r="E89" s="2"/>
      <c r="F89" s="2">
        <f>SUBTOTAL(109,A_1_02_07[VALOR PARCIAL])</f>
      </c>
    </row>
    <row r="91" ht="30" customHeight="1" spans="1:6" x14ac:dyDescent="0.25">
      <c r="A91" s="5" t="s">
        <v>4280</v>
      </c>
      <c r="B91" s="5"/>
      <c r="C91" s="5"/>
      <c r="D91" s="5"/>
      <c r="E91" s="5"/>
      <c r="F91" s="5"/>
    </row>
    <row r="92" ht="42" customHeight="1" spans="1:6" x14ac:dyDescent="0.25">
      <c r="A92" s="6" t="s">
        <v>4281</v>
      </c>
      <c r="B92" s="6"/>
      <c r="C92" s="6"/>
      <c r="D92" s="6"/>
      <c r="E92" s="6"/>
      <c r="F92" s="6"/>
    </row>
    <row r="93" spans="1:6" x14ac:dyDescent="0.25">
      <c r="A93" t="s">
        <v>4044</v>
      </c>
      <c r="B93" t="s">
        <v>4045</v>
      </c>
      <c r="C93" t="s">
        <v>5</v>
      </c>
      <c r="D93" t="s">
        <v>4046</v>
      </c>
      <c r="E93" t="s">
        <v>4047</v>
      </c>
      <c r="F93" t="s">
        <v>4048</v>
      </c>
    </row>
    <row r="94" spans="1:6" x14ac:dyDescent="0.25">
      <c r="A94" t="s">
        <v>4062</v>
      </c>
      <c r="B94" t="s">
        <v>4001</v>
      </c>
      <c r="C94" t="s">
        <v>34</v>
      </c>
      <c r="D94" s="7">
        <v>0.6</v>
      </c>
      <c r="E94" s="2">
        <v>450245.66</v>
      </c>
      <c r="F94" s="2">
        <v>270147.4</v>
      </c>
    </row>
    <row r="95" spans="1:6" x14ac:dyDescent="0.25">
      <c r="A95" t="s">
        <v>4062</v>
      </c>
      <c r="B95" t="s">
        <v>4277</v>
      </c>
      <c r="C95" t="s">
        <v>34</v>
      </c>
      <c r="D95" s="7">
        <v>0.4</v>
      </c>
      <c r="E95" s="2">
        <v>50575</v>
      </c>
      <c r="F95" s="2">
        <v>20230</v>
      </c>
    </row>
    <row r="96" spans="1:6" x14ac:dyDescent="0.25">
      <c r="A96" t="s">
        <v>4049</v>
      </c>
      <c r="B96" t="s">
        <v>4050</v>
      </c>
      <c r="C96" t="s">
        <v>4051</v>
      </c>
      <c r="D96" s="7">
        <v>7.8</v>
      </c>
      <c r="E96" s="2">
        <v>9037.33</v>
      </c>
      <c r="F96" s="2">
        <v>70491.17</v>
      </c>
    </row>
    <row r="97" spans="1:6" x14ac:dyDescent="0.25">
      <c r="A97" t="s">
        <v>4049</v>
      </c>
      <c r="B97" t="s">
        <v>4073</v>
      </c>
      <c r="C97" t="s">
        <v>4051</v>
      </c>
      <c r="D97" s="7">
        <v>2.6</v>
      </c>
      <c r="E97" s="2">
        <v>15517.89</v>
      </c>
      <c r="F97" s="2">
        <v>40346.51</v>
      </c>
    </row>
    <row r="98" spans="1:6" x14ac:dyDescent="0.25">
      <c r="A98" t="s">
        <v>4052</v>
      </c>
      <c r="B98" t="s">
        <v>4053</v>
      </c>
      <c r="C98" t="s">
        <v>4054</v>
      </c>
      <c r="D98" s="7">
        <v>3</v>
      </c>
      <c r="E98" s="2">
        <v>110837.68</v>
      </c>
      <c r="F98" s="2">
        <v>3325.13</v>
      </c>
    </row>
    <row r="99" spans="1:6" x14ac:dyDescent="0.25">
      <c r="A99" t="s">
        <v>4058</v>
      </c>
      <c r="B99" t="s">
        <v>4059</v>
      </c>
      <c r="C99" t="s">
        <v>3545</v>
      </c>
      <c r="D99" s="7">
        <v>1</v>
      </c>
      <c r="E99" s="2">
        <v>1325</v>
      </c>
      <c r="F99" s="2">
        <v>1325</v>
      </c>
    </row>
    <row r="100" spans="1:6" x14ac:dyDescent="0.25">
      <c r="A100" t="s">
        <v>4055</v>
      </c>
      <c r="D100" s="7"/>
      <c r="E100" s="2"/>
      <c r="F100" s="2">
        <f>SUBTOTAL(109,A_1_02_08[VALOR PARCIAL])</f>
      </c>
    </row>
    <row r="102" ht="30" customHeight="1" spans="1:6" x14ac:dyDescent="0.25">
      <c r="A102" s="5" t="s">
        <v>4282</v>
      </c>
      <c r="B102" s="5"/>
      <c r="C102" s="5"/>
      <c r="D102" s="5"/>
      <c r="E102" s="5"/>
      <c r="F102" s="5"/>
    </row>
    <row r="103" ht="42" customHeight="1" spans="1:6" x14ac:dyDescent="0.25">
      <c r="A103" s="6" t="s">
        <v>4283</v>
      </c>
      <c r="B103" s="6"/>
      <c r="C103" s="6"/>
      <c r="D103" s="6"/>
      <c r="E103" s="6"/>
      <c r="F103" s="6"/>
    </row>
    <row r="104" spans="1:6" x14ac:dyDescent="0.25">
      <c r="A104" t="s">
        <v>4044</v>
      </c>
      <c r="B104" t="s">
        <v>4045</v>
      </c>
      <c r="C104" t="s">
        <v>5</v>
      </c>
      <c r="D104" t="s">
        <v>4046</v>
      </c>
      <c r="E104" t="s">
        <v>4047</v>
      </c>
      <c r="F104" t="s">
        <v>4048</v>
      </c>
    </row>
    <row r="105" spans="1:6" x14ac:dyDescent="0.25">
      <c r="A105" t="s">
        <v>4062</v>
      </c>
      <c r="B105" t="s">
        <v>4012</v>
      </c>
      <c r="C105" t="s">
        <v>34</v>
      </c>
      <c r="D105" s="7">
        <v>0.6</v>
      </c>
      <c r="E105" s="2">
        <v>475506.98</v>
      </c>
      <c r="F105" s="2">
        <v>285304.19</v>
      </c>
    </row>
    <row r="106" spans="1:6" x14ac:dyDescent="0.25">
      <c r="A106" t="s">
        <v>4062</v>
      </c>
      <c r="B106" t="s">
        <v>4277</v>
      </c>
      <c r="C106" t="s">
        <v>34</v>
      </c>
      <c r="D106" s="7">
        <v>0.4</v>
      </c>
      <c r="E106" s="2">
        <v>50575</v>
      </c>
      <c r="F106" s="2">
        <v>20230</v>
      </c>
    </row>
    <row r="107" spans="1:6" x14ac:dyDescent="0.25">
      <c r="A107" t="s">
        <v>4049</v>
      </c>
      <c r="B107" t="s">
        <v>4050</v>
      </c>
      <c r="C107" t="s">
        <v>4051</v>
      </c>
      <c r="D107" s="7">
        <v>7.8</v>
      </c>
      <c r="E107" s="2">
        <v>9037.33</v>
      </c>
      <c r="F107" s="2">
        <v>70491.17</v>
      </c>
    </row>
    <row r="108" spans="1:6" x14ac:dyDescent="0.25">
      <c r="A108" t="s">
        <v>4049</v>
      </c>
      <c r="B108" t="s">
        <v>4073</v>
      </c>
      <c r="C108" t="s">
        <v>4051</v>
      </c>
      <c r="D108" s="7">
        <v>2.6</v>
      </c>
      <c r="E108" s="2">
        <v>15517.89</v>
      </c>
      <c r="F108" s="2">
        <v>40346.51</v>
      </c>
    </row>
    <row r="109" spans="1:6" x14ac:dyDescent="0.25">
      <c r="A109" t="s">
        <v>4052</v>
      </c>
      <c r="B109" t="s">
        <v>4053</v>
      </c>
      <c r="C109" t="s">
        <v>4054</v>
      </c>
      <c r="D109" s="7">
        <v>3</v>
      </c>
      <c r="E109" s="2">
        <v>110837.68</v>
      </c>
      <c r="F109" s="2">
        <v>3325.13</v>
      </c>
    </row>
    <row r="110" spans="1:6" x14ac:dyDescent="0.25">
      <c r="A110" t="s">
        <v>4058</v>
      </c>
      <c r="B110" t="s">
        <v>4059</v>
      </c>
      <c r="C110" t="s">
        <v>3545</v>
      </c>
      <c r="D110" s="7">
        <v>1</v>
      </c>
      <c r="E110" s="2">
        <v>1325</v>
      </c>
      <c r="F110" s="2">
        <v>1325</v>
      </c>
    </row>
    <row r="111" spans="1:6" x14ac:dyDescent="0.25">
      <c r="A111" t="s">
        <v>4055</v>
      </c>
      <c r="D111" s="7"/>
      <c r="E111" s="2"/>
      <c r="F111" s="2">
        <f>SUBTOTAL(109,A_1_02_09[VALOR PARCIAL])</f>
      </c>
    </row>
    <row r="113" ht="30" customHeight="1" spans="1:6" x14ac:dyDescent="0.25">
      <c r="A113" s="5" t="s">
        <v>4284</v>
      </c>
      <c r="B113" s="5"/>
      <c r="C113" s="5"/>
      <c r="D113" s="5"/>
      <c r="E113" s="5"/>
      <c r="F113" s="5"/>
    </row>
    <row r="114" ht="42" customHeight="1" spans="1:6" x14ac:dyDescent="0.25">
      <c r="A114" s="6" t="s">
        <v>4285</v>
      </c>
      <c r="B114" s="6"/>
      <c r="C114" s="6"/>
      <c r="D114" s="6"/>
      <c r="E114" s="6"/>
      <c r="F114" s="6"/>
    </row>
    <row r="115" spans="1:6" x14ac:dyDescent="0.25">
      <c r="A115" t="s">
        <v>4044</v>
      </c>
      <c r="B115" t="s">
        <v>4045</v>
      </c>
      <c r="C115" t="s">
        <v>5</v>
      </c>
      <c r="D115" t="s">
        <v>4046</v>
      </c>
      <c r="E115" t="s">
        <v>4047</v>
      </c>
      <c r="F115" t="s">
        <v>4048</v>
      </c>
    </row>
    <row r="116" spans="1:6" x14ac:dyDescent="0.25">
      <c r="A116" t="s">
        <v>4062</v>
      </c>
      <c r="B116" t="s">
        <v>4012</v>
      </c>
      <c r="C116" t="s">
        <v>34</v>
      </c>
      <c r="D116" s="7">
        <v>1.05</v>
      </c>
      <c r="E116" s="2">
        <v>475506.98</v>
      </c>
      <c r="F116" s="2">
        <v>499282.33</v>
      </c>
    </row>
    <row r="117" spans="1:6" x14ac:dyDescent="0.25">
      <c r="A117" t="s">
        <v>4049</v>
      </c>
      <c r="B117" t="s">
        <v>4286</v>
      </c>
      <c r="C117" t="s">
        <v>4106</v>
      </c>
      <c r="D117" s="7">
        <v>0.03</v>
      </c>
      <c r="E117" s="2">
        <v>73333.33</v>
      </c>
      <c r="F117" s="2">
        <v>2273.33</v>
      </c>
    </row>
    <row r="118" spans="1:6" x14ac:dyDescent="0.25">
      <c r="A118" t="s">
        <v>4049</v>
      </c>
      <c r="B118" t="s">
        <v>4050</v>
      </c>
      <c r="C118" t="s">
        <v>4051</v>
      </c>
      <c r="D118" s="7">
        <v>7.7</v>
      </c>
      <c r="E118" s="2">
        <v>9037.33</v>
      </c>
      <c r="F118" s="2">
        <v>69587.44</v>
      </c>
    </row>
    <row r="119" spans="1:6" x14ac:dyDescent="0.25">
      <c r="A119" t="s">
        <v>4049</v>
      </c>
      <c r="B119" t="s">
        <v>4073</v>
      </c>
      <c r="C119" t="s">
        <v>4051</v>
      </c>
      <c r="D119" s="7">
        <v>7.7</v>
      </c>
      <c r="E119" s="2">
        <v>15517.89</v>
      </c>
      <c r="F119" s="2">
        <v>119487.75</v>
      </c>
    </row>
    <row r="120" spans="1:6" x14ac:dyDescent="0.25">
      <c r="A120" t="s">
        <v>4052</v>
      </c>
      <c r="B120" t="s">
        <v>4053</v>
      </c>
      <c r="C120" t="s">
        <v>4054</v>
      </c>
      <c r="D120" s="7">
        <v>5</v>
      </c>
      <c r="E120" s="2">
        <v>189075.19</v>
      </c>
      <c r="F120" s="2">
        <v>9453.76</v>
      </c>
    </row>
    <row r="121" spans="1:6" x14ac:dyDescent="0.25">
      <c r="A121" t="s">
        <v>4055</v>
      </c>
      <c r="D121" s="7"/>
      <c r="E121" s="2"/>
      <c r="F121" s="2">
        <f>SUBTOTAL(109,A_1_02_10[VALOR PARCIAL])</f>
      </c>
    </row>
    <row r="123" ht="30" customHeight="1" spans="1:6" x14ac:dyDescent="0.25">
      <c r="A123" s="5" t="s">
        <v>4287</v>
      </c>
      <c r="B123" s="5"/>
      <c r="C123" s="5"/>
      <c r="D123" s="5"/>
      <c r="E123" s="5"/>
      <c r="F123" s="5"/>
    </row>
    <row r="124" ht="42" customHeight="1" spans="1:6" x14ac:dyDescent="0.25">
      <c r="A124" s="6" t="s">
        <v>4288</v>
      </c>
      <c r="B124" s="6"/>
      <c r="C124" s="6"/>
      <c r="D124" s="6"/>
      <c r="E124" s="6"/>
      <c r="F124" s="6"/>
    </row>
    <row r="125" spans="1:6" x14ac:dyDescent="0.25">
      <c r="A125" t="s">
        <v>4044</v>
      </c>
      <c r="B125" t="s">
        <v>4045</v>
      </c>
      <c r="C125" t="s">
        <v>5</v>
      </c>
      <c r="D125" t="s">
        <v>4046</v>
      </c>
      <c r="E125" t="s">
        <v>4047</v>
      </c>
      <c r="F125" t="s">
        <v>4048</v>
      </c>
    </row>
    <row r="126" spans="1:6" x14ac:dyDescent="0.25">
      <c r="A126" t="s">
        <v>4062</v>
      </c>
      <c r="B126" t="s">
        <v>4289</v>
      </c>
      <c r="C126" t="s">
        <v>63</v>
      </c>
      <c r="D126" s="7">
        <v>3.05</v>
      </c>
      <c r="E126" s="2">
        <v>5028.78</v>
      </c>
      <c r="F126" s="2">
        <v>15337.78</v>
      </c>
    </row>
    <row r="127" spans="1:6" x14ac:dyDescent="0.25">
      <c r="A127" t="s">
        <v>4062</v>
      </c>
      <c r="B127" t="s">
        <v>4012</v>
      </c>
      <c r="C127" t="s">
        <v>34</v>
      </c>
      <c r="D127" s="7">
        <v>1.05</v>
      </c>
      <c r="E127" s="2">
        <v>475506.98</v>
      </c>
      <c r="F127" s="2">
        <v>499282.33</v>
      </c>
    </row>
    <row r="128" spans="1:6" x14ac:dyDescent="0.25">
      <c r="A128" t="s">
        <v>4062</v>
      </c>
      <c r="B128" t="s">
        <v>4290</v>
      </c>
      <c r="C128" t="s">
        <v>42</v>
      </c>
      <c r="D128" s="7">
        <v>1.03</v>
      </c>
      <c r="E128" s="2">
        <v>4500</v>
      </c>
      <c r="F128" s="2">
        <v>4635</v>
      </c>
    </row>
    <row r="129" spans="1:6" x14ac:dyDescent="0.25">
      <c r="A129" t="s">
        <v>4062</v>
      </c>
      <c r="B129" t="s">
        <v>4065</v>
      </c>
      <c r="C129" t="s">
        <v>4066</v>
      </c>
      <c r="D129" s="7">
        <v>0.1</v>
      </c>
      <c r="E129" s="2">
        <v>3433</v>
      </c>
      <c r="F129" s="2">
        <v>343.3</v>
      </c>
    </row>
    <row r="130" spans="1:6" x14ac:dyDescent="0.25">
      <c r="A130" t="s">
        <v>4049</v>
      </c>
      <c r="B130" t="s">
        <v>4050</v>
      </c>
      <c r="C130" t="s">
        <v>4051</v>
      </c>
      <c r="D130" s="7">
        <v>7.77</v>
      </c>
      <c r="E130" s="2">
        <v>9037.33</v>
      </c>
      <c r="F130" s="2">
        <v>70220.05</v>
      </c>
    </row>
    <row r="131" spans="1:6" x14ac:dyDescent="0.25">
      <c r="A131" t="s">
        <v>4049</v>
      </c>
      <c r="B131" t="s">
        <v>4073</v>
      </c>
      <c r="C131" t="s">
        <v>4051</v>
      </c>
      <c r="D131" s="7">
        <v>7.77</v>
      </c>
      <c r="E131" s="2">
        <v>15517.89</v>
      </c>
      <c r="F131" s="2">
        <v>120574.01</v>
      </c>
    </row>
    <row r="132" spans="1:6" x14ac:dyDescent="0.25">
      <c r="A132" t="s">
        <v>4052</v>
      </c>
      <c r="B132" t="s">
        <v>4286</v>
      </c>
      <c r="C132" t="s">
        <v>4106</v>
      </c>
      <c r="D132" s="7">
        <v>0.03</v>
      </c>
      <c r="E132" s="2">
        <v>73333.33</v>
      </c>
      <c r="F132" s="2">
        <v>2273.33</v>
      </c>
    </row>
    <row r="133" spans="1:6" x14ac:dyDescent="0.25">
      <c r="A133" t="s">
        <v>4052</v>
      </c>
      <c r="B133" t="s">
        <v>4053</v>
      </c>
      <c r="C133" t="s">
        <v>4054</v>
      </c>
      <c r="D133" s="7">
        <v>0.05</v>
      </c>
      <c r="E133" s="2">
        <v>190794.06</v>
      </c>
      <c r="F133" s="2">
        <v>95.4</v>
      </c>
    </row>
    <row r="134" spans="1:6" x14ac:dyDescent="0.25">
      <c r="A134" t="s">
        <v>4055</v>
      </c>
      <c r="D134" s="7"/>
      <c r="E134" s="2"/>
      <c r="F134" s="2">
        <f>SUBTOTAL(109,A_1_02_11[VALOR PARCIAL])</f>
      </c>
    </row>
    <row r="136" ht="30" customHeight="1" spans="1:6" x14ac:dyDescent="0.25">
      <c r="A136" s="5" t="s">
        <v>4291</v>
      </c>
      <c r="B136" s="5"/>
      <c r="C136" s="5"/>
      <c r="D136" s="5"/>
      <c r="E136" s="5"/>
      <c r="F136" s="5"/>
    </row>
    <row r="137" ht="42" customHeight="1" spans="1:6" x14ac:dyDescent="0.25">
      <c r="A137" s="6" t="s">
        <v>4292</v>
      </c>
      <c r="B137" s="6"/>
      <c r="C137" s="6"/>
      <c r="D137" s="6"/>
      <c r="E137" s="6"/>
      <c r="F137" s="6"/>
    </row>
    <row r="138" spans="1:6" x14ac:dyDescent="0.25">
      <c r="A138" t="s">
        <v>4044</v>
      </c>
      <c r="B138" t="s">
        <v>4045</v>
      </c>
      <c r="C138" t="s">
        <v>5</v>
      </c>
      <c r="D138" t="s">
        <v>4046</v>
      </c>
      <c r="E138" t="s">
        <v>4047</v>
      </c>
      <c r="F138" t="s">
        <v>4048</v>
      </c>
    </row>
    <row r="139" spans="1:6" x14ac:dyDescent="0.25">
      <c r="A139" t="s">
        <v>4062</v>
      </c>
      <c r="B139" t="s">
        <v>4289</v>
      </c>
      <c r="C139" t="s">
        <v>63</v>
      </c>
      <c r="D139" s="7">
        <v>3.5</v>
      </c>
      <c r="E139" s="2">
        <v>5028.78</v>
      </c>
      <c r="F139" s="2">
        <v>17600.73</v>
      </c>
    </row>
    <row r="140" spans="1:6" x14ac:dyDescent="0.25">
      <c r="A140" t="s">
        <v>4062</v>
      </c>
      <c r="B140" t="s">
        <v>4293</v>
      </c>
      <c r="C140" t="s">
        <v>63</v>
      </c>
      <c r="D140" s="7">
        <v>1.03</v>
      </c>
      <c r="E140" s="2">
        <v>4718.97</v>
      </c>
      <c r="F140" s="2">
        <v>4860.54</v>
      </c>
    </row>
    <row r="141" spans="1:6" x14ac:dyDescent="0.25">
      <c r="A141" t="s">
        <v>4062</v>
      </c>
      <c r="B141" t="s">
        <v>4012</v>
      </c>
      <c r="C141" t="s">
        <v>34</v>
      </c>
      <c r="D141" s="7">
        <v>1.05</v>
      </c>
      <c r="E141" s="2">
        <v>475506.98</v>
      </c>
      <c r="F141" s="2">
        <v>499282.33</v>
      </c>
    </row>
    <row r="142" spans="1:6" x14ac:dyDescent="0.25">
      <c r="A142" t="s">
        <v>4062</v>
      </c>
      <c r="B142" t="s">
        <v>4065</v>
      </c>
      <c r="C142" t="s">
        <v>4066</v>
      </c>
      <c r="D142" s="7">
        <v>1.5</v>
      </c>
      <c r="E142" s="2">
        <v>3433</v>
      </c>
      <c r="F142" s="2">
        <v>5149.5</v>
      </c>
    </row>
    <row r="143" spans="1:6" x14ac:dyDescent="0.25">
      <c r="A143" t="s">
        <v>4049</v>
      </c>
      <c r="B143" t="s">
        <v>4050</v>
      </c>
      <c r="C143" t="s">
        <v>4051</v>
      </c>
      <c r="D143" s="7">
        <v>6.5</v>
      </c>
      <c r="E143" s="2">
        <v>9037.33</v>
      </c>
      <c r="F143" s="2">
        <v>58742.64</v>
      </c>
    </row>
    <row r="144" spans="1:6" x14ac:dyDescent="0.25">
      <c r="A144" t="s">
        <v>4049</v>
      </c>
      <c r="B144" t="s">
        <v>4073</v>
      </c>
      <c r="C144" t="s">
        <v>4051</v>
      </c>
      <c r="D144" s="7">
        <v>6.5</v>
      </c>
      <c r="E144" s="2">
        <v>15517.89</v>
      </c>
      <c r="F144" s="2">
        <v>100866.29</v>
      </c>
    </row>
    <row r="145" spans="1:6" x14ac:dyDescent="0.25">
      <c r="A145" t="s">
        <v>4052</v>
      </c>
      <c r="B145" t="s">
        <v>4286</v>
      </c>
      <c r="C145" t="s">
        <v>4106</v>
      </c>
      <c r="D145" s="7">
        <v>0.03</v>
      </c>
      <c r="E145" s="2">
        <v>73333.33</v>
      </c>
      <c r="F145" s="2">
        <v>2273.33</v>
      </c>
    </row>
    <row r="146" spans="1:6" x14ac:dyDescent="0.25">
      <c r="A146" t="s">
        <v>4052</v>
      </c>
      <c r="B146" t="s">
        <v>4053</v>
      </c>
      <c r="C146" t="s">
        <v>4054</v>
      </c>
      <c r="D146" s="7">
        <v>5</v>
      </c>
      <c r="E146" s="2">
        <v>159608.93</v>
      </c>
      <c r="F146" s="2">
        <v>7980.45</v>
      </c>
    </row>
    <row r="147" spans="1:6" x14ac:dyDescent="0.25">
      <c r="A147" t="s">
        <v>4058</v>
      </c>
      <c r="B147" t="s">
        <v>4059</v>
      </c>
      <c r="C147" t="s">
        <v>3545</v>
      </c>
      <c r="D147" s="7">
        <v>1</v>
      </c>
      <c r="E147" s="2">
        <v>1325</v>
      </c>
      <c r="F147" s="2">
        <v>1325</v>
      </c>
    </row>
    <row r="148" spans="1:6" x14ac:dyDescent="0.25">
      <c r="A148" t="s">
        <v>4055</v>
      </c>
      <c r="D148" s="7"/>
      <c r="E148" s="2"/>
      <c r="F148" s="2">
        <f>SUBTOTAL(109,A_1_02_12[VALOR PARCIAL])</f>
      </c>
    </row>
    <row r="150" ht="30" customHeight="1" spans="1:6" x14ac:dyDescent="0.25">
      <c r="A150" s="5" t="s">
        <v>4294</v>
      </c>
      <c r="B150" s="5"/>
      <c r="C150" s="5"/>
      <c r="D150" s="5"/>
      <c r="E150" s="5"/>
      <c r="F150" s="5"/>
    </row>
    <row r="151" ht="42" customHeight="1" spans="1:6" x14ac:dyDescent="0.25">
      <c r="A151" s="6" t="s">
        <v>4295</v>
      </c>
      <c r="B151" s="6"/>
      <c r="C151" s="6"/>
      <c r="D151" s="6"/>
      <c r="E151" s="6"/>
      <c r="F151" s="6"/>
    </row>
    <row r="152" spans="1:6" x14ac:dyDescent="0.25">
      <c r="A152" t="s">
        <v>4044</v>
      </c>
      <c r="B152" t="s">
        <v>4045</v>
      </c>
      <c r="C152" t="s">
        <v>5</v>
      </c>
      <c r="D152" t="s">
        <v>4046</v>
      </c>
      <c r="E152" t="s">
        <v>4047</v>
      </c>
      <c r="F152" t="s">
        <v>4048</v>
      </c>
    </row>
    <row r="153" spans="1:6" x14ac:dyDescent="0.25">
      <c r="A153" t="s">
        <v>4062</v>
      </c>
      <c r="B153" t="s">
        <v>4289</v>
      </c>
      <c r="C153" t="s">
        <v>63</v>
      </c>
      <c r="D153" s="7">
        <v>3.5</v>
      </c>
      <c r="E153" s="2">
        <v>5028.78</v>
      </c>
      <c r="F153" s="2">
        <v>17600.73</v>
      </c>
    </row>
    <row r="154" spans="1:6" x14ac:dyDescent="0.25">
      <c r="A154" t="s">
        <v>4062</v>
      </c>
      <c r="B154" t="s">
        <v>4293</v>
      </c>
      <c r="C154" t="s">
        <v>63</v>
      </c>
      <c r="D154" s="7">
        <v>1.3</v>
      </c>
      <c r="E154" s="2">
        <v>4718.97</v>
      </c>
      <c r="F154" s="2">
        <v>6134.66</v>
      </c>
    </row>
    <row r="155" spans="1:6" x14ac:dyDescent="0.25">
      <c r="A155" t="s">
        <v>4062</v>
      </c>
      <c r="B155" t="s">
        <v>4012</v>
      </c>
      <c r="C155" t="s">
        <v>34</v>
      </c>
      <c r="D155" s="7">
        <v>1.05</v>
      </c>
      <c r="E155" s="2">
        <v>475506.98</v>
      </c>
      <c r="F155" s="2">
        <v>499282.33</v>
      </c>
    </row>
    <row r="156" spans="1:6" x14ac:dyDescent="0.25">
      <c r="A156" t="s">
        <v>4062</v>
      </c>
      <c r="B156" t="s">
        <v>4065</v>
      </c>
      <c r="C156" t="s">
        <v>4066</v>
      </c>
      <c r="D156" s="7">
        <v>1</v>
      </c>
      <c r="E156" s="2">
        <v>3433</v>
      </c>
      <c r="F156" s="2">
        <v>3433</v>
      </c>
    </row>
    <row r="157" spans="1:6" x14ac:dyDescent="0.25">
      <c r="A157" t="s">
        <v>4049</v>
      </c>
      <c r="B157" t="s">
        <v>4050</v>
      </c>
      <c r="C157" t="s">
        <v>4051</v>
      </c>
      <c r="D157" s="7">
        <v>5.9</v>
      </c>
      <c r="E157" s="2">
        <v>9037.33</v>
      </c>
      <c r="F157" s="2">
        <v>53320.25</v>
      </c>
    </row>
    <row r="158" spans="1:6" x14ac:dyDescent="0.25">
      <c r="A158" t="s">
        <v>4049</v>
      </c>
      <c r="B158" t="s">
        <v>4073</v>
      </c>
      <c r="C158" t="s">
        <v>4051</v>
      </c>
      <c r="D158" s="7">
        <v>5.9</v>
      </c>
      <c r="E158" s="2">
        <v>15517.89</v>
      </c>
      <c r="F158" s="2">
        <v>91555.55</v>
      </c>
    </row>
    <row r="159" spans="1:6" x14ac:dyDescent="0.25">
      <c r="A159" t="s">
        <v>4052</v>
      </c>
      <c r="B159" t="s">
        <v>4286</v>
      </c>
      <c r="C159" t="s">
        <v>4106</v>
      </c>
      <c r="D159" s="7">
        <v>0.03</v>
      </c>
      <c r="E159" s="2">
        <v>73333.33</v>
      </c>
      <c r="F159" s="2">
        <v>2273.33</v>
      </c>
    </row>
    <row r="160" spans="1:6" x14ac:dyDescent="0.25">
      <c r="A160" t="s">
        <v>4052</v>
      </c>
      <c r="B160" t="s">
        <v>4053</v>
      </c>
      <c r="C160" t="s">
        <v>4054</v>
      </c>
      <c r="D160" s="7">
        <v>5</v>
      </c>
      <c r="E160" s="2">
        <v>144875.8</v>
      </c>
      <c r="F160" s="2">
        <v>7243.79</v>
      </c>
    </row>
    <row r="161" spans="1:6" x14ac:dyDescent="0.25">
      <c r="A161" t="s">
        <v>4058</v>
      </c>
      <c r="B161" t="s">
        <v>4059</v>
      </c>
      <c r="C161" t="s">
        <v>3545</v>
      </c>
      <c r="D161" s="7">
        <v>1</v>
      </c>
      <c r="E161" s="2">
        <v>1325</v>
      </c>
      <c r="F161" s="2">
        <v>1325</v>
      </c>
    </row>
    <row r="162" spans="1:6" x14ac:dyDescent="0.25">
      <c r="A162" t="s">
        <v>4055</v>
      </c>
      <c r="D162" s="7"/>
      <c r="E162" s="2"/>
      <c r="F162" s="2">
        <f>SUBTOTAL(109,A_1_02_13[VALOR PARCIAL])</f>
      </c>
    </row>
    <row r="164" ht="30" customHeight="1" spans="1:6" x14ac:dyDescent="0.25">
      <c r="A164" s="5" t="s">
        <v>4296</v>
      </c>
      <c r="B164" s="5"/>
      <c r="C164" s="5"/>
      <c r="D164" s="5"/>
      <c r="E164" s="5"/>
      <c r="F164" s="5"/>
    </row>
    <row r="165" ht="42" customHeight="1" spans="1:6" x14ac:dyDescent="0.25">
      <c r="A165" s="6" t="s">
        <v>4297</v>
      </c>
      <c r="B165" s="6"/>
      <c r="C165" s="6"/>
      <c r="D165" s="6"/>
      <c r="E165" s="6"/>
      <c r="F165" s="6"/>
    </row>
    <row r="166" spans="1:6" x14ac:dyDescent="0.25">
      <c r="A166" t="s">
        <v>4044</v>
      </c>
      <c r="B166" t="s">
        <v>4045</v>
      </c>
      <c r="C166" t="s">
        <v>5</v>
      </c>
      <c r="D166" t="s">
        <v>4046</v>
      </c>
      <c r="E166" t="s">
        <v>4047</v>
      </c>
      <c r="F166" t="s">
        <v>4048</v>
      </c>
    </row>
    <row r="167" spans="1:6" x14ac:dyDescent="0.25">
      <c r="A167" t="s">
        <v>4062</v>
      </c>
      <c r="B167" t="s">
        <v>4298</v>
      </c>
      <c r="C167" t="s">
        <v>42</v>
      </c>
      <c r="D167" s="7">
        <v>5</v>
      </c>
      <c r="E167" s="2">
        <v>6466.67</v>
      </c>
      <c r="F167" s="2">
        <v>32333.35</v>
      </c>
    </row>
    <row r="168" spans="1:6" x14ac:dyDescent="0.25">
      <c r="A168" t="s">
        <v>4062</v>
      </c>
      <c r="B168" t="s">
        <v>4299</v>
      </c>
      <c r="C168" t="s">
        <v>63</v>
      </c>
      <c r="D168" s="7">
        <v>0.4</v>
      </c>
      <c r="E168" s="2">
        <v>9284.05</v>
      </c>
      <c r="F168" s="2">
        <v>3713.62</v>
      </c>
    </row>
    <row r="169" spans="1:6" x14ac:dyDescent="0.25">
      <c r="A169" t="s">
        <v>4062</v>
      </c>
      <c r="B169" t="s">
        <v>4300</v>
      </c>
      <c r="C169" t="s">
        <v>63</v>
      </c>
      <c r="D169" s="7">
        <v>0.5</v>
      </c>
      <c r="E169" s="2">
        <v>107814</v>
      </c>
      <c r="F169" s="2">
        <v>53907</v>
      </c>
    </row>
    <row r="170" spans="1:6" x14ac:dyDescent="0.25">
      <c r="A170" t="s">
        <v>4062</v>
      </c>
      <c r="B170" t="s">
        <v>4277</v>
      </c>
      <c r="C170" t="s">
        <v>34</v>
      </c>
      <c r="D170" s="7">
        <v>1.2</v>
      </c>
      <c r="E170" s="2">
        <v>50575</v>
      </c>
      <c r="F170" s="2">
        <v>60690</v>
      </c>
    </row>
    <row r="171" spans="1:6" x14ac:dyDescent="0.25">
      <c r="A171" t="s">
        <v>4062</v>
      </c>
      <c r="B171" t="s">
        <v>4065</v>
      </c>
      <c r="C171" t="s">
        <v>4066</v>
      </c>
      <c r="D171" s="7">
        <v>0.3</v>
      </c>
      <c r="E171" s="2">
        <v>3433</v>
      </c>
      <c r="F171" s="2">
        <v>1029.9</v>
      </c>
    </row>
    <row r="172" spans="1:6" x14ac:dyDescent="0.25">
      <c r="A172" t="s">
        <v>4062</v>
      </c>
      <c r="B172" t="s">
        <v>4301</v>
      </c>
      <c r="C172" t="s">
        <v>231</v>
      </c>
      <c r="D172" s="7">
        <v>1.4</v>
      </c>
      <c r="E172" s="2">
        <v>4850</v>
      </c>
      <c r="F172" s="2">
        <v>6790</v>
      </c>
    </row>
    <row r="173" spans="1:6" x14ac:dyDescent="0.25">
      <c r="A173" t="s">
        <v>4049</v>
      </c>
      <c r="B173" t="s">
        <v>4050</v>
      </c>
      <c r="C173" t="s">
        <v>4051</v>
      </c>
      <c r="D173" s="7">
        <v>4.25</v>
      </c>
      <c r="E173" s="2">
        <v>9037.33</v>
      </c>
      <c r="F173" s="2">
        <v>38408.65</v>
      </c>
    </row>
    <row r="174" spans="1:6" x14ac:dyDescent="0.25">
      <c r="A174" t="s">
        <v>4049</v>
      </c>
      <c r="B174" t="s">
        <v>4073</v>
      </c>
      <c r="C174" t="s">
        <v>4051</v>
      </c>
      <c r="D174" s="7">
        <v>0.85</v>
      </c>
      <c r="E174" s="2">
        <v>15517.89</v>
      </c>
      <c r="F174" s="2">
        <v>13190.21</v>
      </c>
    </row>
    <row r="175" spans="1:6" x14ac:dyDescent="0.25">
      <c r="A175" t="s">
        <v>4052</v>
      </c>
      <c r="B175" t="s">
        <v>4053</v>
      </c>
      <c r="C175" t="s">
        <v>4054</v>
      </c>
      <c r="D175" s="7">
        <v>3</v>
      </c>
      <c r="E175" s="2">
        <v>51598.86</v>
      </c>
      <c r="F175" s="2">
        <v>1547.97</v>
      </c>
    </row>
    <row r="176" spans="1:6" x14ac:dyDescent="0.25">
      <c r="A176" t="s">
        <v>4055</v>
      </c>
      <c r="D176" s="7"/>
      <c r="E176" s="2"/>
      <c r="F176" s="2">
        <f>SUBTOTAL(109,A_1_02_14[VALOR PARCIAL])</f>
      </c>
    </row>
    <row r="178" ht="30" customHeight="1" spans="1:6" x14ac:dyDescent="0.25">
      <c r="A178" s="5" t="s">
        <v>4302</v>
      </c>
      <c r="B178" s="5"/>
      <c r="C178" s="5"/>
      <c r="D178" s="5"/>
      <c r="E178" s="5"/>
      <c r="F178" s="5"/>
    </row>
    <row r="179" ht="42" customHeight="1" spans="1:6" x14ac:dyDescent="0.25">
      <c r="A179" s="6" t="s">
        <v>4303</v>
      </c>
      <c r="B179" s="6"/>
      <c r="C179" s="6"/>
      <c r="D179" s="6"/>
      <c r="E179" s="6"/>
      <c r="F179" s="6"/>
    </row>
    <row r="180" spans="1:6" x14ac:dyDescent="0.25">
      <c r="A180" t="s">
        <v>4044</v>
      </c>
      <c r="B180" t="s">
        <v>4045</v>
      </c>
      <c r="C180" t="s">
        <v>5</v>
      </c>
      <c r="D180" t="s">
        <v>4046</v>
      </c>
      <c r="E180" t="s">
        <v>4047</v>
      </c>
      <c r="F180" t="s">
        <v>4048</v>
      </c>
    </row>
    <row r="181" spans="1:6" x14ac:dyDescent="0.25">
      <c r="A181" t="s">
        <v>4049</v>
      </c>
      <c r="B181" t="s">
        <v>4176</v>
      </c>
      <c r="C181" t="s">
        <v>4177</v>
      </c>
      <c r="D181" s="7">
        <v>0.01</v>
      </c>
      <c r="E181" s="2">
        <v>72300.17</v>
      </c>
      <c r="F181" s="2">
        <v>361.5</v>
      </c>
    </row>
    <row r="182" spans="1:6" x14ac:dyDescent="0.25">
      <c r="A182" t="s">
        <v>4049</v>
      </c>
      <c r="B182" t="s">
        <v>4304</v>
      </c>
      <c r="C182" t="s">
        <v>4177</v>
      </c>
      <c r="D182" s="7">
        <v>0.01</v>
      </c>
      <c r="E182" s="2">
        <v>50188.55</v>
      </c>
      <c r="F182" s="2">
        <v>250.94</v>
      </c>
    </row>
    <row r="183" spans="1:6" x14ac:dyDescent="0.25">
      <c r="A183" t="s">
        <v>4052</v>
      </c>
      <c r="B183" t="s">
        <v>4305</v>
      </c>
      <c r="C183" t="s">
        <v>287</v>
      </c>
      <c r="D183" s="7">
        <v>0.01</v>
      </c>
      <c r="E183" s="2">
        <v>166043.14</v>
      </c>
      <c r="F183" s="2">
        <v>1992.52</v>
      </c>
    </row>
    <row r="184" spans="1:6" x14ac:dyDescent="0.25">
      <c r="A184" t="s">
        <v>4052</v>
      </c>
      <c r="B184" t="s">
        <v>4306</v>
      </c>
      <c r="C184" t="s">
        <v>287</v>
      </c>
      <c r="D184" s="7">
        <v>0.08</v>
      </c>
      <c r="E184" s="2">
        <v>155433.33</v>
      </c>
      <c r="F184" s="2">
        <v>12434.67</v>
      </c>
    </row>
    <row r="185" spans="1:6" x14ac:dyDescent="0.25">
      <c r="A185" t="s">
        <v>4052</v>
      </c>
      <c r="B185" t="s">
        <v>4053</v>
      </c>
      <c r="C185" t="s">
        <v>4054</v>
      </c>
      <c r="D185" s="7">
        <v>5</v>
      </c>
      <c r="E185" s="2">
        <v>612.44</v>
      </c>
      <c r="F185" s="2">
        <v>30.62</v>
      </c>
    </row>
    <row r="186" spans="1:6" x14ac:dyDescent="0.25">
      <c r="A186" t="s">
        <v>4058</v>
      </c>
      <c r="B186" t="s">
        <v>4307</v>
      </c>
      <c r="C186" t="s">
        <v>34</v>
      </c>
      <c r="D186" s="7">
        <v>1</v>
      </c>
      <c r="E186" s="2">
        <v>1250</v>
      </c>
      <c r="F186" s="2">
        <v>1250</v>
      </c>
    </row>
    <row r="187" spans="1:6" x14ac:dyDescent="0.25">
      <c r="A187" t="s">
        <v>4055</v>
      </c>
      <c r="D187" s="7"/>
      <c r="E187" s="2"/>
      <c r="F187" s="2">
        <f>SUBTOTAL(109,A_1_02_15[VALOR PARCIAL])</f>
      </c>
    </row>
    <row r="189" ht="30" customHeight="1" spans="1:6" x14ac:dyDescent="0.25">
      <c r="A189" s="5" t="s">
        <v>4308</v>
      </c>
      <c r="B189" s="5"/>
      <c r="C189" s="5"/>
      <c r="D189" s="5"/>
      <c r="E189" s="5"/>
      <c r="F189" s="5"/>
    </row>
    <row r="190" ht="42" customHeight="1" spans="1:6" x14ac:dyDescent="0.25">
      <c r="A190" s="6" t="s">
        <v>4309</v>
      </c>
      <c r="B190" s="6"/>
      <c r="C190" s="6"/>
      <c r="D190" s="6"/>
      <c r="E190" s="6"/>
      <c r="F190" s="6"/>
    </row>
    <row r="191" spans="1:6" x14ac:dyDescent="0.25">
      <c r="A191" t="s">
        <v>4044</v>
      </c>
      <c r="B191" t="s">
        <v>4045</v>
      </c>
      <c r="C191" t="s">
        <v>5</v>
      </c>
      <c r="D191" t="s">
        <v>4046</v>
      </c>
      <c r="E191" t="s">
        <v>4047</v>
      </c>
      <c r="F191" t="s">
        <v>4048</v>
      </c>
    </row>
    <row r="192" spans="1:6" x14ac:dyDescent="0.25">
      <c r="A192" t="s">
        <v>4052</v>
      </c>
      <c r="B192" t="s">
        <v>4305</v>
      </c>
      <c r="C192" t="s">
        <v>287</v>
      </c>
      <c r="D192" s="7">
        <v>0.01</v>
      </c>
      <c r="E192" s="2">
        <v>166043.14</v>
      </c>
      <c r="F192" s="2">
        <v>1992.52</v>
      </c>
    </row>
    <row r="193" spans="1:6" x14ac:dyDescent="0.25">
      <c r="A193" t="s">
        <v>4052</v>
      </c>
      <c r="B193" t="s">
        <v>4306</v>
      </c>
      <c r="C193" t="s">
        <v>287</v>
      </c>
      <c r="D193" s="7">
        <v>0.01</v>
      </c>
      <c r="E193" s="2">
        <v>155433.33</v>
      </c>
      <c r="F193" s="2">
        <v>2020.63</v>
      </c>
    </row>
    <row r="194" spans="1:6" x14ac:dyDescent="0.25">
      <c r="A194" t="s">
        <v>4058</v>
      </c>
      <c r="B194" t="s">
        <v>4310</v>
      </c>
      <c r="C194" t="s">
        <v>3545</v>
      </c>
      <c r="D194" s="7">
        <v>6.25</v>
      </c>
      <c r="E194" s="2">
        <v>1350</v>
      </c>
      <c r="F194" s="2">
        <v>8437.5</v>
      </c>
    </row>
    <row r="195" spans="1:6" x14ac:dyDescent="0.25">
      <c r="A195" t="s">
        <v>4055</v>
      </c>
      <c r="D195" s="7"/>
      <c r="E195" s="2"/>
      <c r="F195" s="2">
        <f>SUBTOTAL(109,A_1_02_16[VALOR PARCIAL])</f>
      </c>
    </row>
    <row r="197" ht="30" customHeight="1" spans="1:6" x14ac:dyDescent="0.25">
      <c r="A197" s="5" t="s">
        <v>4311</v>
      </c>
      <c r="B197" s="5"/>
      <c r="C197" s="5"/>
      <c r="D197" s="5"/>
      <c r="E197" s="5"/>
      <c r="F197" s="5"/>
    </row>
    <row r="198" ht="42" customHeight="1" spans="1:6" x14ac:dyDescent="0.25">
      <c r="A198" s="6" t="s">
        <v>4312</v>
      </c>
      <c r="B198" s="6"/>
      <c r="C198" s="6"/>
      <c r="D198" s="6"/>
      <c r="E198" s="6"/>
      <c r="F198" s="6"/>
    </row>
    <row r="199" spans="1:6" x14ac:dyDescent="0.25">
      <c r="A199" t="s">
        <v>4044</v>
      </c>
      <c r="B199" t="s">
        <v>4045</v>
      </c>
      <c r="C199" t="s">
        <v>5</v>
      </c>
      <c r="D199" t="s">
        <v>4046</v>
      </c>
      <c r="E199" t="s">
        <v>4047</v>
      </c>
      <c r="F199" t="s">
        <v>4048</v>
      </c>
    </row>
    <row r="200" spans="1:6" x14ac:dyDescent="0.25">
      <c r="A200" t="s">
        <v>4049</v>
      </c>
      <c r="B200" t="s">
        <v>4176</v>
      </c>
      <c r="C200" t="s">
        <v>4177</v>
      </c>
      <c r="D200" s="7">
        <v>0.4</v>
      </c>
      <c r="E200" s="2">
        <v>72300.17</v>
      </c>
      <c r="F200" s="2">
        <v>28920.07</v>
      </c>
    </row>
    <row r="201" spans="1:6" x14ac:dyDescent="0.25">
      <c r="A201" t="s">
        <v>4049</v>
      </c>
      <c r="B201" t="s">
        <v>4313</v>
      </c>
      <c r="C201" t="s">
        <v>4177</v>
      </c>
      <c r="D201" s="7">
        <v>0.2</v>
      </c>
      <c r="E201" s="2">
        <v>124137.15</v>
      </c>
      <c r="F201" s="2">
        <v>24827.43</v>
      </c>
    </row>
    <row r="202" spans="1:6" x14ac:dyDescent="0.25">
      <c r="A202" t="s">
        <v>4052</v>
      </c>
      <c r="B202" t="s">
        <v>4053</v>
      </c>
      <c r="C202" t="s">
        <v>4054</v>
      </c>
      <c r="D202" s="7">
        <v>3.3</v>
      </c>
      <c r="E202" s="2">
        <v>53747.5</v>
      </c>
      <c r="F202" s="2">
        <v>1773.67</v>
      </c>
    </row>
    <row r="203" spans="1:6" x14ac:dyDescent="0.25">
      <c r="A203" t="s">
        <v>4058</v>
      </c>
      <c r="B203" t="s">
        <v>4314</v>
      </c>
      <c r="C203" t="s">
        <v>34</v>
      </c>
      <c r="D203" s="7">
        <v>0.17</v>
      </c>
      <c r="E203" s="2">
        <v>63714</v>
      </c>
      <c r="F203" s="2">
        <v>10621.12</v>
      </c>
    </row>
    <row r="204" spans="1:6" x14ac:dyDescent="0.25">
      <c r="A204" t="s">
        <v>4055</v>
      </c>
      <c r="D204" s="7"/>
      <c r="E204" s="2"/>
      <c r="F204" s="2">
        <f>SUBTOTAL(109,A_1_02_17[VALOR PARCIAL])</f>
      </c>
    </row>
    <row r="206" ht="30" customHeight="1" spans="1:6" x14ac:dyDescent="0.25">
      <c r="A206" s="5" t="s">
        <v>4315</v>
      </c>
      <c r="B206" s="5"/>
      <c r="C206" s="5"/>
      <c r="D206" s="5"/>
      <c r="E206" s="5"/>
      <c r="F206" s="5"/>
    </row>
    <row r="207" ht="42" customHeight="1" spans="1:6" x14ac:dyDescent="0.25">
      <c r="A207" s="6" t="s">
        <v>4316</v>
      </c>
      <c r="B207" s="6"/>
      <c r="C207" s="6"/>
      <c r="D207" s="6"/>
      <c r="E207" s="6"/>
      <c r="F207" s="6"/>
    </row>
    <row r="208" spans="1:6" x14ac:dyDescent="0.25">
      <c r="A208" t="s">
        <v>4044</v>
      </c>
      <c r="B208" t="s">
        <v>4045</v>
      </c>
      <c r="C208" t="s">
        <v>5</v>
      </c>
      <c r="D208" t="s">
        <v>4046</v>
      </c>
      <c r="E208" t="s">
        <v>4047</v>
      </c>
      <c r="F208" t="s">
        <v>4048</v>
      </c>
    </row>
    <row r="209" spans="1:6" x14ac:dyDescent="0.25">
      <c r="A209" t="s">
        <v>4049</v>
      </c>
      <c r="B209" t="s">
        <v>4176</v>
      </c>
      <c r="C209" t="s">
        <v>4177</v>
      </c>
      <c r="D209" s="7">
        <v>0.03</v>
      </c>
      <c r="E209" s="2">
        <v>72300.17</v>
      </c>
      <c r="F209" s="2">
        <v>1807.5</v>
      </c>
    </row>
    <row r="210" spans="1:6" x14ac:dyDescent="0.25">
      <c r="A210" t="s">
        <v>4049</v>
      </c>
      <c r="B210" t="s">
        <v>4304</v>
      </c>
      <c r="C210" t="s">
        <v>4177</v>
      </c>
      <c r="D210" s="7">
        <v>0.01</v>
      </c>
      <c r="E210" s="2">
        <v>50188.55</v>
      </c>
      <c r="F210" s="2">
        <v>627.36</v>
      </c>
    </row>
    <row r="211" spans="1:6" x14ac:dyDescent="0.25">
      <c r="A211" t="s">
        <v>4052</v>
      </c>
      <c r="B211" t="s">
        <v>4317</v>
      </c>
      <c r="C211" t="s">
        <v>287</v>
      </c>
      <c r="D211" s="7">
        <v>0.25</v>
      </c>
      <c r="E211" s="2">
        <v>280401.54</v>
      </c>
      <c r="F211" s="2">
        <v>70100.38</v>
      </c>
    </row>
    <row r="212" spans="1:6" x14ac:dyDescent="0.25">
      <c r="A212" t="s">
        <v>4052</v>
      </c>
      <c r="B212" t="s">
        <v>4306</v>
      </c>
      <c r="C212" t="s">
        <v>287</v>
      </c>
      <c r="D212" s="7">
        <v>0.25</v>
      </c>
      <c r="E212" s="2">
        <v>155433.33</v>
      </c>
      <c r="F212" s="2">
        <v>38858.33</v>
      </c>
    </row>
    <row r="213" spans="1:6" x14ac:dyDescent="0.25">
      <c r="A213" t="s">
        <v>4052</v>
      </c>
      <c r="B213" t="s">
        <v>4053</v>
      </c>
      <c r="C213" t="s">
        <v>4054</v>
      </c>
      <c r="D213" s="7">
        <v>1</v>
      </c>
      <c r="E213" s="2">
        <v>122014.69</v>
      </c>
      <c r="F213" s="2">
        <v>1220.15</v>
      </c>
    </row>
    <row r="214" spans="1:6" x14ac:dyDescent="0.25">
      <c r="A214" t="s">
        <v>4058</v>
      </c>
      <c r="B214" t="s">
        <v>4314</v>
      </c>
      <c r="C214" t="s">
        <v>34</v>
      </c>
      <c r="D214" s="7">
        <v>0.17</v>
      </c>
      <c r="E214" s="2">
        <v>63714</v>
      </c>
      <c r="F214" s="2">
        <v>10621.12</v>
      </c>
    </row>
    <row r="215" spans="1:6" x14ac:dyDescent="0.25">
      <c r="A215" t="s">
        <v>4055</v>
      </c>
      <c r="D215" s="7"/>
      <c r="E215" s="2"/>
      <c r="F215" s="2">
        <f>SUBTOTAL(109,A_1_02_18[VALOR PARCIAL])</f>
      </c>
    </row>
    <row r="217" ht="30" customHeight="1" spans="1:6" x14ac:dyDescent="0.25">
      <c r="A217" s="5" t="s">
        <v>4318</v>
      </c>
      <c r="B217" s="5"/>
      <c r="C217" s="5"/>
      <c r="D217" s="5"/>
      <c r="E217" s="5"/>
      <c r="F217" s="5"/>
    </row>
    <row r="218" ht="42" customHeight="1" spans="1:6" x14ac:dyDescent="0.25">
      <c r="A218" s="6" t="s">
        <v>4319</v>
      </c>
      <c r="B218" s="6"/>
      <c r="C218" s="6"/>
      <c r="D218" s="6"/>
      <c r="E218" s="6"/>
      <c r="F218" s="6"/>
    </row>
    <row r="219" spans="1:6" x14ac:dyDescent="0.25">
      <c r="A219" t="s">
        <v>4044</v>
      </c>
      <c r="B219" t="s">
        <v>4045</v>
      </c>
      <c r="C219" t="s">
        <v>5</v>
      </c>
      <c r="D219" t="s">
        <v>4046</v>
      </c>
      <c r="E219" t="s">
        <v>4047</v>
      </c>
      <c r="F219" t="s">
        <v>4048</v>
      </c>
    </row>
    <row r="220" spans="1:6" x14ac:dyDescent="0.25">
      <c r="A220" t="s">
        <v>4062</v>
      </c>
      <c r="B220" t="s">
        <v>4012</v>
      </c>
      <c r="C220" t="s">
        <v>34</v>
      </c>
      <c r="D220" s="7">
        <v>0.05</v>
      </c>
      <c r="E220" s="2">
        <v>475506.98</v>
      </c>
      <c r="F220" s="2">
        <v>23775.35</v>
      </c>
    </row>
    <row r="221" spans="1:6" x14ac:dyDescent="0.25">
      <c r="A221" t="s">
        <v>4062</v>
      </c>
      <c r="B221" t="s">
        <v>4320</v>
      </c>
      <c r="C221" t="s">
        <v>42</v>
      </c>
      <c r="D221" s="7">
        <v>0.06</v>
      </c>
      <c r="E221" s="2">
        <v>6222.23</v>
      </c>
      <c r="F221" s="2">
        <v>373.33</v>
      </c>
    </row>
    <row r="222" spans="1:6" x14ac:dyDescent="0.25">
      <c r="A222" t="s">
        <v>4062</v>
      </c>
      <c r="B222" t="s">
        <v>4321</v>
      </c>
      <c r="C222" t="s">
        <v>21</v>
      </c>
      <c r="D222" s="7">
        <v>1.1</v>
      </c>
      <c r="E222" s="2">
        <v>8777.33</v>
      </c>
      <c r="F222" s="2">
        <v>9655.06</v>
      </c>
    </row>
    <row r="223" spans="1:6" x14ac:dyDescent="0.25">
      <c r="A223" t="s">
        <v>4062</v>
      </c>
      <c r="B223" t="s">
        <v>4072</v>
      </c>
      <c r="C223" t="s">
        <v>4066</v>
      </c>
      <c r="D223" s="7">
        <v>0.02</v>
      </c>
      <c r="E223" s="2">
        <v>3150</v>
      </c>
      <c r="F223" s="2">
        <v>63</v>
      </c>
    </row>
    <row r="224" spans="1:6" x14ac:dyDescent="0.25">
      <c r="A224" t="s">
        <v>4062</v>
      </c>
      <c r="B224" t="s">
        <v>4322</v>
      </c>
      <c r="C224" t="s">
        <v>42</v>
      </c>
      <c r="D224" s="7">
        <v>0.05</v>
      </c>
      <c r="E224" s="2">
        <v>5304</v>
      </c>
      <c r="F224" s="2">
        <v>265.2</v>
      </c>
    </row>
    <row r="225" spans="1:6" x14ac:dyDescent="0.25">
      <c r="A225" t="s">
        <v>4049</v>
      </c>
      <c r="B225" t="s">
        <v>4050</v>
      </c>
      <c r="C225" t="s">
        <v>4051</v>
      </c>
      <c r="D225" s="7">
        <v>3.88</v>
      </c>
      <c r="E225" s="2">
        <v>9037.33</v>
      </c>
      <c r="F225" s="2">
        <v>35064.84</v>
      </c>
    </row>
    <row r="226" spans="1:6" x14ac:dyDescent="0.25">
      <c r="A226" t="s">
        <v>4049</v>
      </c>
      <c r="B226" t="s">
        <v>4073</v>
      </c>
      <c r="C226" t="s">
        <v>4051</v>
      </c>
      <c r="D226" s="7">
        <v>3.88</v>
      </c>
      <c r="E226" s="2">
        <v>15517.89</v>
      </c>
      <c r="F226" s="2">
        <v>60209.41</v>
      </c>
    </row>
    <row r="227" spans="1:6" x14ac:dyDescent="0.25">
      <c r="A227" t="s">
        <v>4049</v>
      </c>
      <c r="B227" t="s">
        <v>4059</v>
      </c>
      <c r="C227" t="s">
        <v>3545</v>
      </c>
      <c r="D227" s="7">
        <v>0.55</v>
      </c>
      <c r="E227" s="2">
        <v>1325</v>
      </c>
      <c r="F227" s="2">
        <v>728.75</v>
      </c>
    </row>
    <row r="228" spans="1:6" x14ac:dyDescent="0.25">
      <c r="A228" t="s">
        <v>4052</v>
      </c>
      <c r="B228" t="s">
        <v>4286</v>
      </c>
      <c r="C228" t="s">
        <v>4106</v>
      </c>
      <c r="D228" s="7">
        <v>0.02</v>
      </c>
      <c r="E228" s="2">
        <v>73333.33</v>
      </c>
      <c r="F228" s="2">
        <v>1466.67</v>
      </c>
    </row>
    <row r="229" spans="1:6" x14ac:dyDescent="0.25">
      <c r="A229" t="s">
        <v>4052</v>
      </c>
      <c r="B229" t="s">
        <v>4053</v>
      </c>
      <c r="C229" t="s">
        <v>4054</v>
      </c>
      <c r="D229" s="7">
        <v>1</v>
      </c>
      <c r="E229" s="2">
        <v>95274.25</v>
      </c>
      <c r="F229" s="2">
        <v>952.74</v>
      </c>
    </row>
    <row r="230" spans="1:6" x14ac:dyDescent="0.25">
      <c r="A230" t="s">
        <v>4055</v>
      </c>
      <c r="D230" s="7"/>
      <c r="E230" s="2"/>
      <c r="F230" s="2">
        <f>SUBTOTAL(109,A_1_02_19[VALOR PARCIAL])</f>
      </c>
    </row>
    <row r="232" ht="30" customHeight="1" spans="1:6" x14ac:dyDescent="0.25">
      <c r="A232" s="5" t="s">
        <v>4323</v>
      </c>
      <c r="B232" s="5"/>
      <c r="C232" s="5"/>
      <c r="D232" s="5"/>
      <c r="E232" s="5"/>
      <c r="F232" s="5"/>
    </row>
    <row r="233" ht="42" customHeight="1" spans="1:6" x14ac:dyDescent="0.25">
      <c r="A233" s="6" t="s">
        <v>4324</v>
      </c>
      <c r="B233" s="6"/>
      <c r="C233" s="6"/>
      <c r="D233" s="6"/>
      <c r="E233" s="6"/>
      <c r="F233" s="6"/>
    </row>
    <row r="234" spans="1:6" x14ac:dyDescent="0.25">
      <c r="A234" t="s">
        <v>4044</v>
      </c>
      <c r="B234" t="s">
        <v>4045</v>
      </c>
      <c r="C234" t="s">
        <v>5</v>
      </c>
      <c r="D234" t="s">
        <v>4046</v>
      </c>
      <c r="E234" t="s">
        <v>4047</v>
      </c>
      <c r="F234" t="s">
        <v>4048</v>
      </c>
    </row>
    <row r="235" spans="1:6" x14ac:dyDescent="0.25">
      <c r="A235" t="s">
        <v>4062</v>
      </c>
      <c r="B235" t="s">
        <v>4012</v>
      </c>
      <c r="C235" t="s">
        <v>34</v>
      </c>
      <c r="D235" s="7">
        <v>0.1</v>
      </c>
      <c r="E235" s="2">
        <v>475506.98</v>
      </c>
      <c r="F235" s="2">
        <v>47550.7</v>
      </c>
    </row>
    <row r="236" spans="1:6" x14ac:dyDescent="0.25">
      <c r="A236" t="s">
        <v>4062</v>
      </c>
      <c r="B236" t="s">
        <v>4325</v>
      </c>
      <c r="C236" t="s">
        <v>42</v>
      </c>
      <c r="D236" s="7">
        <v>0.4</v>
      </c>
      <c r="E236" s="2">
        <v>4947</v>
      </c>
      <c r="F236" s="2">
        <v>1978.8</v>
      </c>
    </row>
    <row r="237" spans="1:6" x14ac:dyDescent="0.25">
      <c r="A237" t="s">
        <v>4062</v>
      </c>
      <c r="B237" t="s">
        <v>4290</v>
      </c>
      <c r="C237" t="s">
        <v>42</v>
      </c>
      <c r="D237" s="7">
        <v>2</v>
      </c>
      <c r="E237" s="2">
        <v>4500</v>
      </c>
      <c r="F237" s="2">
        <v>9000</v>
      </c>
    </row>
    <row r="238" spans="1:6" x14ac:dyDescent="0.25">
      <c r="A238" t="s">
        <v>4062</v>
      </c>
      <c r="B238" t="s">
        <v>4065</v>
      </c>
      <c r="C238" t="s">
        <v>4066</v>
      </c>
      <c r="D238" s="7">
        <v>0.15</v>
      </c>
      <c r="E238" s="2">
        <v>3433</v>
      </c>
      <c r="F238" s="2">
        <v>514.95</v>
      </c>
    </row>
    <row r="239" spans="1:6" x14ac:dyDescent="0.25">
      <c r="A239" t="s">
        <v>4049</v>
      </c>
      <c r="B239" t="s">
        <v>4050</v>
      </c>
      <c r="C239" t="s">
        <v>4051</v>
      </c>
      <c r="D239" s="7">
        <v>1.5</v>
      </c>
      <c r="E239" s="2">
        <v>9037.33</v>
      </c>
      <c r="F239" s="2">
        <v>13555.99</v>
      </c>
    </row>
    <row r="240" spans="1:6" x14ac:dyDescent="0.25">
      <c r="A240" t="s">
        <v>4049</v>
      </c>
      <c r="B240" t="s">
        <v>4073</v>
      </c>
      <c r="C240" t="s">
        <v>4051</v>
      </c>
      <c r="D240" s="7">
        <v>0.5</v>
      </c>
      <c r="E240" s="2">
        <v>15517.89</v>
      </c>
      <c r="F240" s="2">
        <v>7758.94</v>
      </c>
    </row>
    <row r="241" spans="1:6" x14ac:dyDescent="0.25">
      <c r="A241" t="s">
        <v>4052</v>
      </c>
      <c r="B241" t="s">
        <v>4286</v>
      </c>
      <c r="C241" t="s">
        <v>4106</v>
      </c>
      <c r="D241" s="7">
        <v>0.02</v>
      </c>
      <c r="E241" s="2">
        <v>73333.33</v>
      </c>
      <c r="F241" s="2">
        <v>1466.67</v>
      </c>
    </row>
    <row r="242" spans="1:6" x14ac:dyDescent="0.25">
      <c r="A242" t="s">
        <v>4052</v>
      </c>
      <c r="B242" t="s">
        <v>4053</v>
      </c>
      <c r="C242" t="s">
        <v>4054</v>
      </c>
      <c r="D242" s="7">
        <v>1</v>
      </c>
      <c r="E242" s="2">
        <v>21314.93</v>
      </c>
      <c r="F242" s="2">
        <v>213.15</v>
      </c>
    </row>
    <row r="243" spans="1:6" x14ac:dyDescent="0.25">
      <c r="A243" t="s">
        <v>4058</v>
      </c>
      <c r="B243" t="s">
        <v>4059</v>
      </c>
      <c r="C243" t="s">
        <v>3545</v>
      </c>
      <c r="D243" s="7">
        <v>1</v>
      </c>
      <c r="E243" s="2">
        <v>1325</v>
      </c>
      <c r="F243" s="2">
        <v>1325</v>
      </c>
    </row>
    <row r="244" spans="1:6" x14ac:dyDescent="0.25">
      <c r="A244" t="s">
        <v>4055</v>
      </c>
      <c r="D244" s="7"/>
      <c r="E244" s="2"/>
      <c r="F244" s="2">
        <f>SUBTOTAL(109,A_1_02_20[VALOR PARCIAL])</f>
      </c>
    </row>
    <row r="246" ht="30" customHeight="1" spans="1:6" x14ac:dyDescent="0.25">
      <c r="A246" s="5" t="s">
        <v>4326</v>
      </c>
      <c r="B246" s="5"/>
      <c r="C246" s="5"/>
      <c r="D246" s="5"/>
      <c r="E246" s="5"/>
      <c r="F246" s="5"/>
    </row>
    <row r="247" ht="42" customHeight="1" spans="1:6" x14ac:dyDescent="0.25">
      <c r="A247" s="6" t="s">
        <v>4327</v>
      </c>
      <c r="B247" s="6"/>
      <c r="C247" s="6"/>
      <c r="D247" s="6"/>
      <c r="E247" s="6"/>
      <c r="F247" s="6"/>
    </row>
    <row r="248" spans="1:6" x14ac:dyDescent="0.25">
      <c r="A248" t="s">
        <v>4044</v>
      </c>
      <c r="B248" t="s">
        <v>4045</v>
      </c>
      <c r="C248" t="s">
        <v>5</v>
      </c>
      <c r="D248" t="s">
        <v>4046</v>
      </c>
      <c r="E248" t="s">
        <v>4047</v>
      </c>
      <c r="F248" t="s">
        <v>4048</v>
      </c>
    </row>
    <row r="249" spans="1:6" x14ac:dyDescent="0.25">
      <c r="A249" t="s">
        <v>4062</v>
      </c>
      <c r="B249" t="s">
        <v>4012</v>
      </c>
      <c r="C249" t="s">
        <v>34</v>
      </c>
      <c r="D249" s="7">
        <v>0.15</v>
      </c>
      <c r="E249" s="2">
        <v>475506.98</v>
      </c>
      <c r="F249" s="2">
        <v>71326.05</v>
      </c>
    </row>
    <row r="250" spans="1:6" x14ac:dyDescent="0.25">
      <c r="A250" t="s">
        <v>4062</v>
      </c>
      <c r="B250" t="s">
        <v>4325</v>
      </c>
      <c r="C250" t="s">
        <v>42</v>
      </c>
      <c r="D250" s="7">
        <v>0.4</v>
      </c>
      <c r="E250" s="2">
        <v>4947</v>
      </c>
      <c r="F250" s="2">
        <v>1978.8</v>
      </c>
    </row>
    <row r="251" spans="1:6" x14ac:dyDescent="0.25">
      <c r="A251" t="s">
        <v>4062</v>
      </c>
      <c r="B251" t="s">
        <v>4290</v>
      </c>
      <c r="C251" t="s">
        <v>42</v>
      </c>
      <c r="D251" s="7">
        <v>1</v>
      </c>
      <c r="E251" s="2">
        <v>4500</v>
      </c>
      <c r="F251" s="2">
        <v>4500</v>
      </c>
    </row>
    <row r="252" spans="1:6" x14ac:dyDescent="0.25">
      <c r="A252" t="s">
        <v>4062</v>
      </c>
      <c r="B252" t="s">
        <v>4065</v>
      </c>
      <c r="C252" t="s">
        <v>4066</v>
      </c>
      <c r="D252" s="7">
        <v>0.17</v>
      </c>
      <c r="E252" s="2">
        <v>3433</v>
      </c>
      <c r="F252" s="2">
        <v>583.61</v>
      </c>
    </row>
    <row r="253" spans="1:6" x14ac:dyDescent="0.25">
      <c r="A253" t="s">
        <v>4049</v>
      </c>
      <c r="B253" t="s">
        <v>4050</v>
      </c>
      <c r="C253" t="s">
        <v>4051</v>
      </c>
      <c r="D253" s="7">
        <v>1.65</v>
      </c>
      <c r="E253" s="2">
        <v>9037.33</v>
      </c>
      <c r="F253" s="2">
        <v>14911.59</v>
      </c>
    </row>
    <row r="254" spans="1:6" x14ac:dyDescent="0.25">
      <c r="A254" t="s">
        <v>4049</v>
      </c>
      <c r="B254" t="s">
        <v>4073</v>
      </c>
      <c r="C254" t="s">
        <v>4051</v>
      </c>
      <c r="D254" s="7">
        <v>0.55</v>
      </c>
      <c r="E254" s="2">
        <v>15517.89</v>
      </c>
      <c r="F254" s="2">
        <v>8534.84</v>
      </c>
    </row>
    <row r="255" spans="1:6" x14ac:dyDescent="0.25">
      <c r="A255" t="s">
        <v>4052</v>
      </c>
      <c r="B255" t="s">
        <v>4286</v>
      </c>
      <c r="C255" t="s">
        <v>4106</v>
      </c>
      <c r="D255" s="7">
        <v>0.02</v>
      </c>
      <c r="E255" s="2">
        <v>73333.33</v>
      </c>
      <c r="F255" s="2">
        <v>1466.67</v>
      </c>
    </row>
    <row r="256" spans="1:6" x14ac:dyDescent="0.25">
      <c r="A256" t="s">
        <v>4052</v>
      </c>
      <c r="B256" t="s">
        <v>4053</v>
      </c>
      <c r="C256" t="s">
        <v>4054</v>
      </c>
      <c r="D256" s="7">
        <v>5</v>
      </c>
      <c r="E256" s="2">
        <v>23446.43</v>
      </c>
      <c r="F256" s="2">
        <v>1172.32</v>
      </c>
    </row>
    <row r="257" spans="1:6" x14ac:dyDescent="0.25">
      <c r="A257" t="s">
        <v>4058</v>
      </c>
      <c r="B257" t="s">
        <v>4059</v>
      </c>
      <c r="C257" t="s">
        <v>3545</v>
      </c>
      <c r="D257" s="7">
        <v>1</v>
      </c>
      <c r="E257" s="2">
        <v>1325</v>
      </c>
      <c r="F257" s="2">
        <v>1325</v>
      </c>
    </row>
    <row r="258" spans="1:6" x14ac:dyDescent="0.25">
      <c r="A258" t="s">
        <v>4055</v>
      </c>
      <c r="D258" s="7"/>
      <c r="E258" s="2"/>
      <c r="F258" s="2">
        <f>SUBTOTAL(109,A_1_02_21[VALOR PARCIAL])</f>
      </c>
    </row>
    <row r="260" ht="30" customHeight="1" spans="1:6" x14ac:dyDescent="0.25">
      <c r="A260" s="5" t="s">
        <v>4328</v>
      </c>
      <c r="B260" s="5"/>
      <c r="C260" s="5"/>
      <c r="D260" s="5"/>
      <c r="E260" s="5"/>
      <c r="F260" s="5"/>
    </row>
    <row r="261" ht="42" customHeight="1" spans="1:6" x14ac:dyDescent="0.25">
      <c r="A261" s="6" t="s">
        <v>4329</v>
      </c>
      <c r="B261" s="6"/>
      <c r="C261" s="6"/>
      <c r="D261" s="6"/>
      <c r="E261" s="6"/>
      <c r="F261" s="6"/>
    </row>
    <row r="262" spans="1:6" x14ac:dyDescent="0.25">
      <c r="A262" t="s">
        <v>4044</v>
      </c>
      <c r="B262" t="s">
        <v>4045</v>
      </c>
      <c r="C262" t="s">
        <v>5</v>
      </c>
      <c r="D262" t="s">
        <v>4046</v>
      </c>
      <c r="E262" t="s">
        <v>4047</v>
      </c>
      <c r="F262" t="s">
        <v>4048</v>
      </c>
    </row>
    <row r="263" spans="1:6" x14ac:dyDescent="0.25">
      <c r="A263" t="s">
        <v>4062</v>
      </c>
      <c r="B263" t="s">
        <v>4012</v>
      </c>
      <c r="C263" t="s">
        <v>34</v>
      </c>
      <c r="D263" s="7">
        <v>0.2</v>
      </c>
      <c r="E263" s="2">
        <v>475506.98</v>
      </c>
      <c r="F263" s="2">
        <v>95101.4</v>
      </c>
    </row>
    <row r="264" spans="1:6" x14ac:dyDescent="0.25">
      <c r="A264" t="s">
        <v>4062</v>
      </c>
      <c r="B264" t="s">
        <v>4325</v>
      </c>
      <c r="C264" t="s">
        <v>42</v>
      </c>
      <c r="D264" s="7">
        <v>1</v>
      </c>
      <c r="E264" s="2">
        <v>4947</v>
      </c>
      <c r="F264" s="2">
        <v>4947</v>
      </c>
    </row>
    <row r="265" spans="1:6" x14ac:dyDescent="0.25">
      <c r="A265" t="s">
        <v>4062</v>
      </c>
      <c r="B265" t="s">
        <v>4290</v>
      </c>
      <c r="C265" t="s">
        <v>42</v>
      </c>
      <c r="D265" s="7">
        <v>1</v>
      </c>
      <c r="E265" s="2">
        <v>4500</v>
      </c>
      <c r="F265" s="2">
        <v>4500</v>
      </c>
    </row>
    <row r="266" spans="1:6" x14ac:dyDescent="0.25">
      <c r="A266" t="s">
        <v>4062</v>
      </c>
      <c r="B266" t="s">
        <v>4065</v>
      </c>
      <c r="C266" t="s">
        <v>4066</v>
      </c>
      <c r="D266" s="7">
        <v>0.17</v>
      </c>
      <c r="E266" s="2">
        <v>3433</v>
      </c>
      <c r="F266" s="2">
        <v>583.61</v>
      </c>
    </row>
    <row r="267" spans="1:6" x14ac:dyDescent="0.25">
      <c r="A267" t="s">
        <v>4049</v>
      </c>
      <c r="B267" t="s">
        <v>4050</v>
      </c>
      <c r="C267" t="s">
        <v>4051</v>
      </c>
      <c r="D267" s="7">
        <v>1.8</v>
      </c>
      <c r="E267" s="2">
        <v>9037.33</v>
      </c>
      <c r="F267" s="2">
        <v>16267.19</v>
      </c>
    </row>
    <row r="268" spans="1:6" x14ac:dyDescent="0.25">
      <c r="A268" t="s">
        <v>4049</v>
      </c>
      <c r="B268" t="s">
        <v>4073</v>
      </c>
      <c r="C268" t="s">
        <v>4051</v>
      </c>
      <c r="D268" s="7">
        <v>0.6</v>
      </c>
      <c r="E268" s="2">
        <v>15517.89</v>
      </c>
      <c r="F268" s="2">
        <v>9310.73</v>
      </c>
    </row>
    <row r="269" spans="1:6" x14ac:dyDescent="0.25">
      <c r="A269" t="s">
        <v>4052</v>
      </c>
      <c r="B269" t="s">
        <v>4286</v>
      </c>
      <c r="C269" t="s">
        <v>4106</v>
      </c>
      <c r="D269" s="7">
        <v>0.02</v>
      </c>
      <c r="E269" s="2">
        <v>73333.33</v>
      </c>
      <c r="F269" s="2">
        <v>1466.67</v>
      </c>
    </row>
    <row r="270" spans="1:6" x14ac:dyDescent="0.25">
      <c r="A270" t="s">
        <v>4052</v>
      </c>
      <c r="B270" t="s">
        <v>4053</v>
      </c>
      <c r="C270" t="s">
        <v>4054</v>
      </c>
      <c r="D270" s="7">
        <v>5</v>
      </c>
      <c r="E270" s="2">
        <v>25577.92</v>
      </c>
      <c r="F270" s="2">
        <v>1278.9</v>
      </c>
    </row>
    <row r="271" spans="1:6" x14ac:dyDescent="0.25">
      <c r="A271" t="s">
        <v>4058</v>
      </c>
      <c r="B271" t="s">
        <v>4059</v>
      </c>
      <c r="C271" t="s">
        <v>3545</v>
      </c>
      <c r="D271" s="7">
        <v>2.2</v>
      </c>
      <c r="E271" s="2">
        <v>1325</v>
      </c>
      <c r="F271" s="2">
        <v>2915</v>
      </c>
    </row>
    <row r="272" spans="1:6" x14ac:dyDescent="0.25">
      <c r="A272" t="s">
        <v>4055</v>
      </c>
      <c r="D272" s="7"/>
      <c r="E272" s="2"/>
      <c r="F272" s="2">
        <f>SUBTOTAL(109,A_1_02_22[VALOR PARCIAL])</f>
      </c>
    </row>
    <row r="274" ht="30" customHeight="1" spans="1:6" x14ac:dyDescent="0.25">
      <c r="A274" s="5" t="s">
        <v>4330</v>
      </c>
      <c r="B274" s="5"/>
      <c r="C274" s="5"/>
      <c r="D274" s="5"/>
      <c r="E274" s="5"/>
      <c r="F274" s="5"/>
    </row>
    <row r="275" ht="42" customHeight="1" spans="1:6" x14ac:dyDescent="0.25">
      <c r="A275" s="6" t="s">
        <v>4331</v>
      </c>
      <c r="B275" s="6"/>
      <c r="C275" s="6"/>
      <c r="D275" s="6"/>
      <c r="E275" s="6"/>
      <c r="F275" s="6"/>
    </row>
    <row r="276" spans="1:6" x14ac:dyDescent="0.25">
      <c r="A276" t="s">
        <v>4044</v>
      </c>
      <c r="B276" t="s">
        <v>4045</v>
      </c>
      <c r="C276" t="s">
        <v>5</v>
      </c>
      <c r="D276" t="s">
        <v>4046</v>
      </c>
      <c r="E276" t="s">
        <v>4047</v>
      </c>
      <c r="F276" t="s">
        <v>4048</v>
      </c>
    </row>
    <row r="277" spans="1:6" x14ac:dyDescent="0.25">
      <c r="A277" t="s">
        <v>4062</v>
      </c>
      <c r="B277" t="s">
        <v>4289</v>
      </c>
      <c r="C277" t="s">
        <v>63</v>
      </c>
      <c r="D277" s="7">
        <v>1</v>
      </c>
      <c r="E277" s="2">
        <v>5028.78</v>
      </c>
      <c r="F277" s="2">
        <v>5028.78</v>
      </c>
    </row>
    <row r="278" spans="1:6" x14ac:dyDescent="0.25">
      <c r="A278" t="s">
        <v>4062</v>
      </c>
      <c r="B278" t="s">
        <v>4012</v>
      </c>
      <c r="C278" t="s">
        <v>34</v>
      </c>
      <c r="D278" s="7">
        <v>0.6</v>
      </c>
      <c r="E278" s="2">
        <v>475506.98</v>
      </c>
      <c r="F278" s="2">
        <v>285304.19</v>
      </c>
    </row>
    <row r="279" spans="1:6" x14ac:dyDescent="0.25">
      <c r="A279" t="s">
        <v>4062</v>
      </c>
      <c r="B279" t="s">
        <v>4332</v>
      </c>
      <c r="C279" t="s">
        <v>4106</v>
      </c>
      <c r="D279" s="7">
        <v>16</v>
      </c>
      <c r="E279" s="2">
        <v>207.67</v>
      </c>
      <c r="F279" s="2">
        <v>3322.72</v>
      </c>
    </row>
    <row r="280" spans="1:6" x14ac:dyDescent="0.25">
      <c r="A280" t="s">
        <v>4062</v>
      </c>
      <c r="B280" t="s">
        <v>4290</v>
      </c>
      <c r="C280" t="s">
        <v>42</v>
      </c>
      <c r="D280" s="7">
        <v>6</v>
      </c>
      <c r="E280" s="2">
        <v>4500</v>
      </c>
      <c r="F280" s="2">
        <v>27000</v>
      </c>
    </row>
    <row r="281" spans="1:6" x14ac:dyDescent="0.25">
      <c r="A281" t="s">
        <v>4062</v>
      </c>
      <c r="B281" t="s">
        <v>4277</v>
      </c>
      <c r="C281" t="s">
        <v>34</v>
      </c>
      <c r="D281" s="7">
        <v>0.4</v>
      </c>
      <c r="E281" s="2">
        <v>50575</v>
      </c>
      <c r="F281" s="2">
        <v>20230</v>
      </c>
    </row>
    <row r="282" spans="1:6" x14ac:dyDescent="0.25">
      <c r="A282" t="s">
        <v>4062</v>
      </c>
      <c r="B282" t="s">
        <v>4065</v>
      </c>
      <c r="C282" t="s">
        <v>4066</v>
      </c>
      <c r="D282" s="7">
        <v>0.1</v>
      </c>
      <c r="E282" s="2">
        <v>3433</v>
      </c>
      <c r="F282" s="2">
        <v>343.3</v>
      </c>
    </row>
    <row r="283" spans="1:6" x14ac:dyDescent="0.25">
      <c r="A283" t="s">
        <v>4049</v>
      </c>
      <c r="B283" t="s">
        <v>4050</v>
      </c>
      <c r="C283" t="s">
        <v>4051</v>
      </c>
      <c r="D283" s="7">
        <v>7</v>
      </c>
      <c r="E283" s="2">
        <v>9037.33</v>
      </c>
      <c r="F283" s="2">
        <v>63261.31</v>
      </c>
    </row>
    <row r="284" spans="1:6" x14ac:dyDescent="0.25">
      <c r="A284" t="s">
        <v>4049</v>
      </c>
      <c r="B284" t="s">
        <v>4073</v>
      </c>
      <c r="C284" t="s">
        <v>4051</v>
      </c>
      <c r="D284" s="7">
        <v>7</v>
      </c>
      <c r="E284" s="2">
        <v>15517.89</v>
      </c>
      <c r="F284" s="2">
        <v>108625.23</v>
      </c>
    </row>
    <row r="285" spans="1:6" x14ac:dyDescent="0.25">
      <c r="A285" t="s">
        <v>4052</v>
      </c>
      <c r="B285" t="s">
        <v>4105</v>
      </c>
      <c r="C285" t="s">
        <v>4106</v>
      </c>
      <c r="D285" s="7">
        <v>2.8</v>
      </c>
      <c r="E285" s="2">
        <v>25125</v>
      </c>
      <c r="F285" s="2">
        <v>70350</v>
      </c>
    </row>
    <row r="286" spans="1:6" x14ac:dyDescent="0.25">
      <c r="A286" t="s">
        <v>4052</v>
      </c>
      <c r="B286" t="s">
        <v>4053</v>
      </c>
      <c r="C286" t="s">
        <v>4054</v>
      </c>
      <c r="D286" s="7">
        <v>5</v>
      </c>
      <c r="E286" s="2">
        <v>171886.54</v>
      </c>
      <c r="F286" s="2">
        <v>8594.33</v>
      </c>
    </row>
    <row r="287" spans="1:6" x14ac:dyDescent="0.25">
      <c r="A287" t="s">
        <v>4058</v>
      </c>
      <c r="B287" t="s">
        <v>4059</v>
      </c>
      <c r="C287" t="s">
        <v>3545</v>
      </c>
      <c r="D287" s="7">
        <v>1</v>
      </c>
      <c r="E287" s="2">
        <v>1325</v>
      </c>
      <c r="F287" s="2">
        <v>1325</v>
      </c>
    </row>
    <row r="288" spans="1:6" x14ac:dyDescent="0.25">
      <c r="A288" t="s">
        <v>4055</v>
      </c>
      <c r="D288" s="7"/>
      <c r="E288" s="2"/>
      <c r="F288" s="2">
        <f>SUBTOTAL(109,A_1_02_23[VALOR PARCIAL])</f>
      </c>
    </row>
    <row r="290" ht="30" customHeight="1" spans="1:6" x14ac:dyDescent="0.25">
      <c r="A290" s="5" t="s">
        <v>4333</v>
      </c>
      <c r="B290" s="5"/>
      <c r="C290" s="5"/>
      <c r="D290" s="5"/>
      <c r="E290" s="5"/>
      <c r="F290" s="5"/>
    </row>
    <row r="291" ht="42" customHeight="1" spans="1:6" x14ac:dyDescent="0.25">
      <c r="A291" s="6" t="s">
        <v>4334</v>
      </c>
      <c r="B291" s="6"/>
      <c r="C291" s="6"/>
      <c r="D291" s="6"/>
      <c r="E291" s="6"/>
      <c r="F291" s="6"/>
    </row>
    <row r="292" spans="1:6" x14ac:dyDescent="0.25">
      <c r="A292" t="s">
        <v>4044</v>
      </c>
      <c r="B292" t="s">
        <v>4045</v>
      </c>
      <c r="C292" t="s">
        <v>5</v>
      </c>
      <c r="D292" t="s">
        <v>4046</v>
      </c>
      <c r="E292" t="s">
        <v>4047</v>
      </c>
      <c r="F292" t="s">
        <v>4048</v>
      </c>
    </row>
    <row r="293" spans="1:6" x14ac:dyDescent="0.25">
      <c r="A293" t="s">
        <v>4062</v>
      </c>
      <c r="B293" t="s">
        <v>4289</v>
      </c>
      <c r="C293" t="s">
        <v>63</v>
      </c>
      <c r="D293" s="7">
        <v>0.2</v>
      </c>
      <c r="E293" s="2">
        <v>5028.78</v>
      </c>
      <c r="F293" s="2">
        <v>1005.76</v>
      </c>
    </row>
    <row r="294" spans="1:6" x14ac:dyDescent="0.25">
      <c r="A294" t="s">
        <v>4062</v>
      </c>
      <c r="B294" t="s">
        <v>4012</v>
      </c>
      <c r="C294" t="s">
        <v>34</v>
      </c>
      <c r="D294" s="7">
        <v>1.05</v>
      </c>
      <c r="E294" s="2">
        <v>475506.98</v>
      </c>
      <c r="F294" s="2">
        <v>499282.33</v>
      </c>
    </row>
    <row r="295" spans="1:6" x14ac:dyDescent="0.25">
      <c r="A295" t="s">
        <v>4062</v>
      </c>
      <c r="B295" t="s">
        <v>4332</v>
      </c>
      <c r="C295" t="s">
        <v>4106</v>
      </c>
      <c r="D295" s="7">
        <v>7.33</v>
      </c>
      <c r="E295" s="2">
        <v>207.67</v>
      </c>
      <c r="F295" s="2">
        <v>1522.22</v>
      </c>
    </row>
    <row r="296" spans="1:6" x14ac:dyDescent="0.25">
      <c r="A296" t="s">
        <v>4062</v>
      </c>
      <c r="B296" t="s">
        <v>4290</v>
      </c>
      <c r="C296" t="s">
        <v>42</v>
      </c>
      <c r="D296" s="7">
        <v>0.1</v>
      </c>
      <c r="E296" s="2">
        <v>4500</v>
      </c>
      <c r="F296" s="2">
        <v>450</v>
      </c>
    </row>
    <row r="297" spans="1:6" x14ac:dyDescent="0.25">
      <c r="A297" t="s">
        <v>4062</v>
      </c>
      <c r="B297" t="s">
        <v>4335</v>
      </c>
      <c r="C297" t="s">
        <v>231</v>
      </c>
      <c r="D297" s="7">
        <v>1.88</v>
      </c>
      <c r="E297" s="2">
        <v>15447</v>
      </c>
      <c r="F297" s="2">
        <v>29040.36</v>
      </c>
    </row>
    <row r="298" spans="1:6" x14ac:dyDescent="0.25">
      <c r="A298" t="s">
        <v>4062</v>
      </c>
      <c r="B298" t="s">
        <v>4065</v>
      </c>
      <c r="C298" t="s">
        <v>4066</v>
      </c>
      <c r="D298" s="7">
        <v>0.1</v>
      </c>
      <c r="E298" s="2">
        <v>3433</v>
      </c>
      <c r="F298" s="2">
        <v>343.3</v>
      </c>
    </row>
    <row r="299" spans="1:6" x14ac:dyDescent="0.25">
      <c r="A299" t="s">
        <v>4049</v>
      </c>
      <c r="B299" t="s">
        <v>4050</v>
      </c>
      <c r="C299" t="s">
        <v>4051</v>
      </c>
      <c r="D299" s="7">
        <v>18</v>
      </c>
      <c r="E299" s="2">
        <v>9037.33</v>
      </c>
      <c r="F299" s="2">
        <v>162671.94</v>
      </c>
    </row>
    <row r="300" spans="1:6" x14ac:dyDescent="0.25">
      <c r="A300" t="s">
        <v>4049</v>
      </c>
      <c r="B300" t="s">
        <v>4073</v>
      </c>
      <c r="C300" t="s">
        <v>4051</v>
      </c>
      <c r="D300" s="7">
        <v>6</v>
      </c>
      <c r="E300" s="2">
        <v>15517.89</v>
      </c>
      <c r="F300" s="2">
        <v>93107.34</v>
      </c>
    </row>
    <row r="301" spans="1:6" x14ac:dyDescent="0.25">
      <c r="A301" t="s">
        <v>4052</v>
      </c>
      <c r="B301" t="s">
        <v>4286</v>
      </c>
      <c r="C301" t="s">
        <v>4106</v>
      </c>
      <c r="D301" s="7">
        <v>0.03</v>
      </c>
      <c r="E301" s="2">
        <v>73333.33</v>
      </c>
      <c r="F301" s="2">
        <v>2200</v>
      </c>
    </row>
    <row r="302" spans="1:6" x14ac:dyDescent="0.25">
      <c r="A302" t="s">
        <v>4052</v>
      </c>
      <c r="B302" t="s">
        <v>4053</v>
      </c>
      <c r="C302" t="s">
        <v>4054</v>
      </c>
      <c r="D302" s="7">
        <v>5</v>
      </c>
      <c r="E302" s="2">
        <v>255779.28</v>
      </c>
      <c r="F302" s="2">
        <v>12788.96</v>
      </c>
    </row>
    <row r="303" spans="1:6" x14ac:dyDescent="0.25">
      <c r="A303" t="s">
        <v>4058</v>
      </c>
      <c r="B303" t="s">
        <v>4059</v>
      </c>
      <c r="C303" t="s">
        <v>3545</v>
      </c>
      <c r="D303" s="7">
        <v>11</v>
      </c>
      <c r="E303" s="2">
        <v>1325</v>
      </c>
      <c r="F303" s="2">
        <v>14575</v>
      </c>
    </row>
    <row r="304" spans="1:6" x14ac:dyDescent="0.25">
      <c r="A304" t="s">
        <v>4055</v>
      </c>
      <c r="D304" s="7"/>
      <c r="E304" s="2"/>
      <c r="F304" s="2">
        <f>SUBTOTAL(109,A_1_02_24[VALOR PARCIAL])</f>
      </c>
    </row>
    <row r="306" ht="30" customHeight="1" spans="1:6" x14ac:dyDescent="0.25">
      <c r="A306" s="5" t="s">
        <v>4336</v>
      </c>
      <c r="B306" s="5"/>
      <c r="C306" s="5"/>
      <c r="D306" s="5"/>
      <c r="E306" s="5"/>
      <c r="F306" s="5"/>
    </row>
    <row r="307" ht="42" customHeight="1" spans="1:6" x14ac:dyDescent="0.25">
      <c r="A307" s="6" t="s">
        <v>4337</v>
      </c>
      <c r="B307" s="6"/>
      <c r="C307" s="6"/>
      <c r="D307" s="6"/>
      <c r="E307" s="6"/>
      <c r="F307" s="6"/>
    </row>
    <row r="308" spans="1:6" x14ac:dyDescent="0.25">
      <c r="A308" t="s">
        <v>4044</v>
      </c>
      <c r="B308" t="s">
        <v>4045</v>
      </c>
      <c r="C308" t="s">
        <v>5</v>
      </c>
      <c r="D308" t="s">
        <v>4046</v>
      </c>
      <c r="E308" t="s">
        <v>4047</v>
      </c>
      <c r="F308" t="s">
        <v>4048</v>
      </c>
    </row>
    <row r="309" spans="1:6" x14ac:dyDescent="0.25">
      <c r="A309" t="s">
        <v>4062</v>
      </c>
      <c r="B309" t="s">
        <v>4289</v>
      </c>
      <c r="C309" t="s">
        <v>63</v>
      </c>
      <c r="D309" s="7">
        <v>0.2</v>
      </c>
      <c r="E309" s="2">
        <v>5028.78</v>
      </c>
      <c r="F309" s="2">
        <v>1005.76</v>
      </c>
    </row>
    <row r="310" spans="1:6" x14ac:dyDescent="0.25">
      <c r="A310" t="s">
        <v>4062</v>
      </c>
      <c r="B310" t="s">
        <v>4012</v>
      </c>
      <c r="C310" t="s">
        <v>34</v>
      </c>
      <c r="D310" s="7">
        <v>1.05</v>
      </c>
      <c r="E310" s="2">
        <v>475506.98</v>
      </c>
      <c r="F310" s="2">
        <v>499282.33</v>
      </c>
    </row>
    <row r="311" spans="1:6" x14ac:dyDescent="0.25">
      <c r="A311" t="s">
        <v>4062</v>
      </c>
      <c r="B311" t="s">
        <v>4332</v>
      </c>
      <c r="C311" t="s">
        <v>4106</v>
      </c>
      <c r="D311" s="7">
        <v>8</v>
      </c>
      <c r="E311" s="2">
        <v>207.67</v>
      </c>
      <c r="F311" s="2">
        <v>1661.36</v>
      </c>
    </row>
    <row r="312" spans="1:6" x14ac:dyDescent="0.25">
      <c r="A312" t="s">
        <v>4062</v>
      </c>
      <c r="B312" t="s">
        <v>4290</v>
      </c>
      <c r="C312" t="s">
        <v>42</v>
      </c>
      <c r="D312" s="7">
        <v>0.3</v>
      </c>
      <c r="E312" s="2">
        <v>4500</v>
      </c>
      <c r="F312" s="2">
        <v>1350</v>
      </c>
    </row>
    <row r="313" spans="1:6" x14ac:dyDescent="0.25">
      <c r="A313" t="s">
        <v>4062</v>
      </c>
      <c r="B313" t="s">
        <v>4335</v>
      </c>
      <c r="C313" t="s">
        <v>231</v>
      </c>
      <c r="D313" s="7">
        <v>2.8</v>
      </c>
      <c r="E313" s="2">
        <v>15447</v>
      </c>
      <c r="F313" s="2">
        <v>43251.6</v>
      </c>
    </row>
    <row r="314" spans="1:6" x14ac:dyDescent="0.25">
      <c r="A314" t="s">
        <v>4062</v>
      </c>
      <c r="B314" t="s">
        <v>4065</v>
      </c>
      <c r="C314" t="s">
        <v>4066</v>
      </c>
      <c r="D314" s="7">
        <v>0.3</v>
      </c>
      <c r="E314" s="2">
        <v>3433</v>
      </c>
      <c r="F314" s="2">
        <v>1029.9</v>
      </c>
    </row>
    <row r="315" spans="1:6" x14ac:dyDescent="0.25">
      <c r="A315" t="s">
        <v>4049</v>
      </c>
      <c r="B315" t="s">
        <v>4050</v>
      </c>
      <c r="C315" t="s">
        <v>4051</v>
      </c>
      <c r="D315" s="7">
        <v>18</v>
      </c>
      <c r="E315" s="2">
        <v>9037.33</v>
      </c>
      <c r="F315" s="2">
        <v>162671.94</v>
      </c>
    </row>
    <row r="316" spans="1:6" x14ac:dyDescent="0.25">
      <c r="A316" t="s">
        <v>4049</v>
      </c>
      <c r="B316" t="s">
        <v>4073</v>
      </c>
      <c r="C316" t="s">
        <v>4051</v>
      </c>
      <c r="D316" s="7">
        <v>6</v>
      </c>
      <c r="E316" s="2">
        <v>15517.89</v>
      </c>
      <c r="F316" s="2">
        <v>93107.34</v>
      </c>
    </row>
    <row r="317" spans="1:6" x14ac:dyDescent="0.25">
      <c r="A317" t="s">
        <v>4052</v>
      </c>
      <c r="B317" t="s">
        <v>4286</v>
      </c>
      <c r="C317" t="s">
        <v>4106</v>
      </c>
      <c r="D317" s="7">
        <v>0.04</v>
      </c>
      <c r="E317" s="2">
        <v>73333.33</v>
      </c>
      <c r="F317" s="2">
        <v>2933.33</v>
      </c>
    </row>
    <row r="318" spans="1:6" x14ac:dyDescent="0.25">
      <c r="A318" t="s">
        <v>4052</v>
      </c>
      <c r="B318" t="s">
        <v>4105</v>
      </c>
      <c r="C318" t="s">
        <v>4106</v>
      </c>
      <c r="D318" s="7">
        <v>1.8</v>
      </c>
      <c r="E318" s="2">
        <v>25125</v>
      </c>
      <c r="F318" s="2">
        <v>45225</v>
      </c>
    </row>
    <row r="319" spans="1:6" x14ac:dyDescent="0.25">
      <c r="A319" t="s">
        <v>4052</v>
      </c>
      <c r="B319" t="s">
        <v>4053</v>
      </c>
      <c r="C319" t="s">
        <v>4054</v>
      </c>
      <c r="D319" s="7">
        <v>0.01</v>
      </c>
      <c r="E319" s="2">
        <v>255779.28</v>
      </c>
      <c r="F319" s="2">
        <v>25.58</v>
      </c>
    </row>
    <row r="320" spans="1:6" x14ac:dyDescent="0.25">
      <c r="A320" t="s">
        <v>4058</v>
      </c>
      <c r="B320" t="s">
        <v>4059</v>
      </c>
      <c r="C320" t="s">
        <v>3545</v>
      </c>
      <c r="D320" s="7">
        <v>11</v>
      </c>
      <c r="E320" s="2">
        <v>1325</v>
      </c>
      <c r="F320" s="2">
        <v>14575</v>
      </c>
    </row>
    <row r="321" spans="1:6" x14ac:dyDescent="0.25">
      <c r="A321" t="s">
        <v>4055</v>
      </c>
      <c r="D321" s="7"/>
      <c r="E321" s="2"/>
      <c r="F321" s="2">
        <f>SUBTOTAL(109,A_1_02_25[VALOR PARCIAL])</f>
      </c>
    </row>
    <row r="323" ht="30" customHeight="1" spans="1:6" x14ac:dyDescent="0.25">
      <c r="A323" s="5" t="s">
        <v>4338</v>
      </c>
      <c r="B323" s="5"/>
      <c r="C323" s="5"/>
      <c r="D323" s="5"/>
      <c r="E323" s="5"/>
      <c r="F323" s="5"/>
    </row>
    <row r="324" ht="42" customHeight="1" spans="1:6" x14ac:dyDescent="0.25">
      <c r="A324" s="6" t="s">
        <v>4339</v>
      </c>
      <c r="B324" s="6"/>
      <c r="C324" s="6"/>
      <c r="D324" s="6"/>
      <c r="E324" s="6"/>
      <c r="F324" s="6"/>
    </row>
    <row r="325" spans="1:6" x14ac:dyDescent="0.25">
      <c r="A325" t="s">
        <v>4044</v>
      </c>
      <c r="B325" t="s">
        <v>4045</v>
      </c>
      <c r="C325" t="s">
        <v>5</v>
      </c>
      <c r="D325" t="s">
        <v>4046</v>
      </c>
      <c r="E325" t="s">
        <v>4047</v>
      </c>
      <c r="F325" t="s">
        <v>4048</v>
      </c>
    </row>
    <row r="326" spans="1:6" x14ac:dyDescent="0.25">
      <c r="A326" t="s">
        <v>4062</v>
      </c>
      <c r="B326" t="s">
        <v>4289</v>
      </c>
      <c r="C326" t="s">
        <v>63</v>
      </c>
      <c r="D326" s="7">
        <v>2.67</v>
      </c>
      <c r="E326" s="2">
        <v>5028.78</v>
      </c>
      <c r="F326" s="2">
        <v>13411.76</v>
      </c>
    </row>
    <row r="327" spans="1:6" x14ac:dyDescent="0.25">
      <c r="A327" t="s">
        <v>4062</v>
      </c>
      <c r="B327" t="s">
        <v>4012</v>
      </c>
      <c r="C327" t="s">
        <v>34</v>
      </c>
      <c r="D327" s="7">
        <v>1.05</v>
      </c>
      <c r="E327" s="2">
        <v>475506.98</v>
      </c>
      <c r="F327" s="2">
        <v>499282.33</v>
      </c>
    </row>
    <row r="328" spans="1:6" x14ac:dyDescent="0.25">
      <c r="A328" t="s">
        <v>4062</v>
      </c>
      <c r="B328" t="s">
        <v>4290</v>
      </c>
      <c r="C328" t="s">
        <v>42</v>
      </c>
      <c r="D328" s="7">
        <v>4</v>
      </c>
      <c r="E328" s="2">
        <v>4500</v>
      </c>
      <c r="F328" s="2">
        <v>18000</v>
      </c>
    </row>
    <row r="329" spans="1:6" x14ac:dyDescent="0.25">
      <c r="A329" t="s">
        <v>4062</v>
      </c>
      <c r="B329" t="s">
        <v>4065</v>
      </c>
      <c r="C329" t="s">
        <v>4066</v>
      </c>
      <c r="D329" s="7">
        <v>2</v>
      </c>
      <c r="E329" s="2">
        <v>3433</v>
      </c>
      <c r="F329" s="2">
        <v>6866</v>
      </c>
    </row>
    <row r="330" spans="1:6" x14ac:dyDescent="0.25">
      <c r="A330" t="s">
        <v>4049</v>
      </c>
      <c r="B330" t="s">
        <v>4050</v>
      </c>
      <c r="C330" t="s">
        <v>4051</v>
      </c>
      <c r="D330" s="7">
        <v>3</v>
      </c>
      <c r="E330" s="2">
        <v>9037.33</v>
      </c>
      <c r="F330" s="2">
        <v>27111.99</v>
      </c>
    </row>
    <row r="331" spans="1:6" x14ac:dyDescent="0.25">
      <c r="A331" t="s">
        <v>4049</v>
      </c>
      <c r="B331" t="s">
        <v>4073</v>
      </c>
      <c r="C331" t="s">
        <v>4051</v>
      </c>
      <c r="D331" s="7">
        <v>3</v>
      </c>
      <c r="E331" s="2">
        <v>15517.89</v>
      </c>
      <c r="F331" s="2">
        <v>46553.67</v>
      </c>
    </row>
    <row r="332" spans="1:6" x14ac:dyDescent="0.25">
      <c r="A332" t="s">
        <v>4052</v>
      </c>
      <c r="B332" t="s">
        <v>4053</v>
      </c>
      <c r="C332" t="s">
        <v>4054</v>
      </c>
      <c r="D332" s="7">
        <v>0.05</v>
      </c>
      <c r="E332" s="2">
        <v>73665.66</v>
      </c>
      <c r="F332" s="2">
        <v>36.83</v>
      </c>
    </row>
    <row r="333" spans="1:6" x14ac:dyDescent="0.25">
      <c r="A333" t="s">
        <v>4058</v>
      </c>
      <c r="B333" t="s">
        <v>4286</v>
      </c>
      <c r="C333" t="s">
        <v>4106</v>
      </c>
      <c r="D333" s="7">
        <v>0.05</v>
      </c>
      <c r="E333" s="2">
        <v>73333.33</v>
      </c>
      <c r="F333" s="2">
        <v>3666.67</v>
      </c>
    </row>
    <row r="334" spans="1:6" x14ac:dyDescent="0.25">
      <c r="A334" t="s">
        <v>4058</v>
      </c>
      <c r="B334" t="s">
        <v>4059</v>
      </c>
      <c r="C334" t="s">
        <v>3545</v>
      </c>
      <c r="D334" s="7">
        <v>11</v>
      </c>
      <c r="E334" s="2">
        <v>1325</v>
      </c>
      <c r="F334" s="2">
        <v>14575</v>
      </c>
    </row>
    <row r="335" spans="1:6" x14ac:dyDescent="0.25">
      <c r="A335" t="s">
        <v>4055</v>
      </c>
      <c r="D335" s="7"/>
      <c r="E335" s="2"/>
      <c r="F335" s="2">
        <f>SUBTOTAL(109,A_1_02_26[VALOR PARCIAL])</f>
      </c>
    </row>
    <row r="337" ht="30" customHeight="1" spans="1:6" x14ac:dyDescent="0.25">
      <c r="A337" s="5" t="s">
        <v>4340</v>
      </c>
      <c r="B337" s="5"/>
      <c r="C337" s="5"/>
      <c r="D337" s="5"/>
      <c r="E337" s="5"/>
      <c r="F337" s="5"/>
    </row>
    <row r="338" ht="42" customHeight="1" spans="1:6" x14ac:dyDescent="0.25">
      <c r="A338" s="6" t="s">
        <v>4341</v>
      </c>
      <c r="B338" s="6"/>
      <c r="C338" s="6"/>
      <c r="D338" s="6"/>
      <c r="E338" s="6"/>
      <c r="F338" s="6"/>
    </row>
    <row r="339" spans="1:6" x14ac:dyDescent="0.25">
      <c r="A339" t="s">
        <v>4044</v>
      </c>
      <c r="B339" t="s">
        <v>4045</v>
      </c>
      <c r="C339" t="s">
        <v>5</v>
      </c>
      <c r="D339" t="s">
        <v>4046</v>
      </c>
      <c r="E339" t="s">
        <v>4047</v>
      </c>
      <c r="F339" t="s">
        <v>4048</v>
      </c>
    </row>
    <row r="340" spans="1:6" x14ac:dyDescent="0.25">
      <c r="A340" t="s">
        <v>4062</v>
      </c>
      <c r="B340" t="s">
        <v>4076</v>
      </c>
      <c r="C340" t="s">
        <v>3963</v>
      </c>
      <c r="D340" s="7">
        <v>10</v>
      </c>
      <c r="E340" s="2">
        <v>21</v>
      </c>
      <c r="F340" s="2">
        <v>210</v>
      </c>
    </row>
    <row r="341" spans="1:6" x14ac:dyDescent="0.25">
      <c r="A341" t="s">
        <v>4049</v>
      </c>
      <c r="B341" t="s">
        <v>4050</v>
      </c>
      <c r="C341" t="s">
        <v>4051</v>
      </c>
      <c r="D341" s="7">
        <v>1.1</v>
      </c>
      <c r="E341" s="2">
        <v>9037.33</v>
      </c>
      <c r="F341" s="2">
        <v>9941.06</v>
      </c>
    </row>
    <row r="342" spans="1:6" x14ac:dyDescent="0.25">
      <c r="A342" t="s">
        <v>4052</v>
      </c>
      <c r="B342" t="s">
        <v>4342</v>
      </c>
      <c r="C342" t="s">
        <v>4106</v>
      </c>
      <c r="D342" s="7">
        <v>0.13</v>
      </c>
      <c r="E342" s="2">
        <v>66666.67</v>
      </c>
      <c r="F342" s="2">
        <v>8333.33</v>
      </c>
    </row>
    <row r="343" spans="1:6" x14ac:dyDescent="0.25">
      <c r="A343" t="s">
        <v>4052</v>
      </c>
      <c r="B343" t="s">
        <v>4053</v>
      </c>
      <c r="C343" t="s">
        <v>4054</v>
      </c>
      <c r="D343" s="7">
        <v>5</v>
      </c>
      <c r="E343" s="2">
        <v>9941.06</v>
      </c>
      <c r="F343" s="2">
        <v>497.05</v>
      </c>
    </row>
    <row r="344" spans="1:6" x14ac:dyDescent="0.25">
      <c r="A344" t="s">
        <v>4055</v>
      </c>
      <c r="D344" s="7"/>
      <c r="E344" s="2"/>
      <c r="F344" s="2">
        <f>SUBTOTAL(109,A_1_02_27[VALOR PARCIAL])</f>
      </c>
    </row>
    <row r="346" ht="30" customHeight="1" spans="1:6" x14ac:dyDescent="0.25">
      <c r="A346" s="5" t="s">
        <v>4343</v>
      </c>
      <c r="B346" s="5"/>
      <c r="C346" s="5"/>
      <c r="D346" s="5"/>
      <c r="E346" s="5"/>
      <c r="F346" s="5"/>
    </row>
    <row r="347" ht="42" customHeight="1" spans="1:6" x14ac:dyDescent="0.25">
      <c r="A347" s="6" t="s">
        <v>4344</v>
      </c>
      <c r="B347" s="6"/>
      <c r="C347" s="6"/>
      <c r="D347" s="6"/>
      <c r="E347" s="6"/>
      <c r="F347" s="6"/>
    </row>
    <row r="348" spans="1:6" x14ac:dyDescent="0.25">
      <c r="A348" t="s">
        <v>4044</v>
      </c>
      <c r="B348" t="s">
        <v>4045</v>
      </c>
      <c r="C348" t="s">
        <v>5</v>
      </c>
      <c r="D348" t="s">
        <v>4046</v>
      </c>
      <c r="E348" t="s">
        <v>4047</v>
      </c>
      <c r="F348" t="s">
        <v>4048</v>
      </c>
    </row>
    <row r="349" spans="1:6" x14ac:dyDescent="0.25">
      <c r="A349" t="s">
        <v>4062</v>
      </c>
      <c r="B349" t="s">
        <v>4015</v>
      </c>
      <c r="C349" t="s">
        <v>34</v>
      </c>
      <c r="D349" s="7">
        <v>0.05</v>
      </c>
      <c r="E349" s="2">
        <v>426702.51</v>
      </c>
      <c r="F349" s="2">
        <v>21335.13</v>
      </c>
    </row>
    <row r="350" spans="1:6" x14ac:dyDescent="0.25">
      <c r="A350" t="s">
        <v>4049</v>
      </c>
      <c r="B350" t="s">
        <v>4050</v>
      </c>
      <c r="C350" t="s">
        <v>4051</v>
      </c>
      <c r="D350" s="7">
        <v>0.3</v>
      </c>
      <c r="E350" s="2">
        <v>9037.33</v>
      </c>
      <c r="F350" s="2">
        <v>2711.2</v>
      </c>
    </row>
    <row r="351" spans="1:6" x14ac:dyDescent="0.25">
      <c r="A351" t="s">
        <v>4049</v>
      </c>
      <c r="B351" t="s">
        <v>4073</v>
      </c>
      <c r="C351" t="s">
        <v>4051</v>
      </c>
      <c r="D351" s="7">
        <v>0.3</v>
      </c>
      <c r="E351" s="2">
        <v>15517.89</v>
      </c>
      <c r="F351" s="2">
        <v>4655.37</v>
      </c>
    </row>
    <row r="352" spans="1:6" x14ac:dyDescent="0.25">
      <c r="A352" t="s">
        <v>4052</v>
      </c>
      <c r="B352" t="s">
        <v>4053</v>
      </c>
      <c r="C352" t="s">
        <v>4054</v>
      </c>
      <c r="D352" s="7">
        <v>0.2</v>
      </c>
      <c r="E352" s="2">
        <v>7366.57</v>
      </c>
      <c r="F352" s="2">
        <v>14.73</v>
      </c>
    </row>
    <row r="353" spans="1:6" x14ac:dyDescent="0.25">
      <c r="A353" t="s">
        <v>4055</v>
      </c>
      <c r="D353" s="7"/>
      <c r="E353" s="2"/>
      <c r="F353" s="2">
        <f>SUBTOTAL(109,A_1_02_28[VALOR PARCIAL])</f>
      </c>
    </row>
    <row r="355" ht="30" customHeight="1" spans="1:6" x14ac:dyDescent="0.25">
      <c r="A355" s="5" t="s">
        <v>4345</v>
      </c>
      <c r="B355" s="5"/>
      <c r="C355" s="5"/>
      <c r="D355" s="5"/>
      <c r="E355" s="5"/>
      <c r="F355" s="5"/>
    </row>
    <row r="356" ht="42" customHeight="1" spans="1:6" x14ac:dyDescent="0.25">
      <c r="A356" s="6" t="s">
        <v>4346</v>
      </c>
      <c r="B356" s="6"/>
      <c r="C356" s="6"/>
      <c r="D356" s="6"/>
      <c r="E356" s="6"/>
      <c r="F356" s="6"/>
    </row>
    <row r="357" spans="1:6" x14ac:dyDescent="0.25">
      <c r="A357" t="s">
        <v>4044</v>
      </c>
      <c r="B357" t="s">
        <v>4045</v>
      </c>
      <c r="C357" t="s">
        <v>5</v>
      </c>
      <c r="D357" t="s">
        <v>4046</v>
      </c>
      <c r="E357" t="s">
        <v>4047</v>
      </c>
      <c r="F357" t="s">
        <v>4048</v>
      </c>
    </row>
    <row r="358" spans="1:6" x14ac:dyDescent="0.25">
      <c r="A358" t="s">
        <v>4062</v>
      </c>
      <c r="B358" t="s">
        <v>4015</v>
      </c>
      <c r="C358" t="s">
        <v>34</v>
      </c>
      <c r="D358" s="7">
        <v>0.07</v>
      </c>
      <c r="E358" s="2">
        <v>426702.51</v>
      </c>
      <c r="F358" s="2">
        <v>29869.18</v>
      </c>
    </row>
    <row r="359" spans="1:6" x14ac:dyDescent="0.25">
      <c r="A359" t="s">
        <v>4049</v>
      </c>
      <c r="B359" t="s">
        <v>4050</v>
      </c>
      <c r="C359" t="s">
        <v>4051</v>
      </c>
      <c r="D359" s="7">
        <v>0.3</v>
      </c>
      <c r="E359" s="2">
        <v>9037.33</v>
      </c>
      <c r="F359" s="2">
        <v>2711.2</v>
      </c>
    </row>
    <row r="360" spans="1:6" x14ac:dyDescent="0.25">
      <c r="A360" t="s">
        <v>4049</v>
      </c>
      <c r="B360" t="s">
        <v>4073</v>
      </c>
      <c r="C360" t="s">
        <v>4051</v>
      </c>
      <c r="D360" s="7">
        <v>0.3</v>
      </c>
      <c r="E360" s="2">
        <v>15517.89</v>
      </c>
      <c r="F360" s="2">
        <v>4655.37</v>
      </c>
    </row>
    <row r="361" spans="1:6" x14ac:dyDescent="0.25">
      <c r="A361" t="s">
        <v>4052</v>
      </c>
      <c r="B361" t="s">
        <v>4053</v>
      </c>
      <c r="C361" t="s">
        <v>4054</v>
      </c>
      <c r="D361" s="7">
        <v>0.2</v>
      </c>
      <c r="E361" s="2">
        <v>7366.57</v>
      </c>
      <c r="F361" s="2">
        <v>14.73</v>
      </c>
    </row>
    <row r="362" spans="1:6" x14ac:dyDescent="0.25">
      <c r="A362" t="s">
        <v>4055</v>
      </c>
      <c r="D362" s="7"/>
      <c r="E362" s="2"/>
      <c r="F362" s="2">
        <f>SUBTOTAL(109,A_1_02_29[VALOR PARCIAL])</f>
      </c>
    </row>
    <row r="364" ht="30" customHeight="1" spans="1:6" x14ac:dyDescent="0.25">
      <c r="A364" s="5" t="s">
        <v>4347</v>
      </c>
      <c r="B364" s="5"/>
      <c r="C364" s="5"/>
      <c r="D364" s="5"/>
      <c r="E364" s="5"/>
      <c r="F364" s="5"/>
    </row>
    <row r="365" ht="42" customHeight="1" spans="1:6" x14ac:dyDescent="0.25">
      <c r="A365" s="6" t="s">
        <v>4348</v>
      </c>
      <c r="B365" s="6"/>
      <c r="C365" s="6"/>
      <c r="D365" s="6"/>
      <c r="E365" s="6"/>
      <c r="F365" s="6"/>
    </row>
    <row r="366" spans="1:6" x14ac:dyDescent="0.25">
      <c r="A366" t="s">
        <v>4044</v>
      </c>
      <c r="B366" t="s">
        <v>4045</v>
      </c>
      <c r="C366" t="s">
        <v>5</v>
      </c>
      <c r="D366" t="s">
        <v>4046</v>
      </c>
      <c r="E366" t="s">
        <v>4047</v>
      </c>
      <c r="F366" t="s">
        <v>4048</v>
      </c>
    </row>
    <row r="367" spans="1:6" x14ac:dyDescent="0.25">
      <c r="A367" t="s">
        <v>4062</v>
      </c>
      <c r="B367" t="s">
        <v>4349</v>
      </c>
      <c r="C367" t="s">
        <v>231</v>
      </c>
      <c r="D367" s="7">
        <v>1.05</v>
      </c>
      <c r="E367" s="2">
        <v>3849.42</v>
      </c>
      <c r="F367" s="2">
        <v>4041.89</v>
      </c>
    </row>
    <row r="368" spans="1:6" x14ac:dyDescent="0.25">
      <c r="A368" t="s">
        <v>4049</v>
      </c>
      <c r="B368" t="s">
        <v>4050</v>
      </c>
      <c r="C368" t="s">
        <v>4051</v>
      </c>
      <c r="D368" s="7">
        <v>0.03</v>
      </c>
      <c r="E368" s="2">
        <v>9037.33</v>
      </c>
      <c r="F368" s="2">
        <v>271.12</v>
      </c>
    </row>
    <row r="369" spans="1:6" x14ac:dyDescent="0.25">
      <c r="A369" t="s">
        <v>4049</v>
      </c>
      <c r="B369" t="s">
        <v>4073</v>
      </c>
      <c r="C369" t="s">
        <v>4051</v>
      </c>
      <c r="D369" s="7">
        <v>0.06</v>
      </c>
      <c r="E369" s="2">
        <v>15517.89</v>
      </c>
      <c r="F369" s="2">
        <v>931.07</v>
      </c>
    </row>
    <row r="370" spans="1:6" x14ac:dyDescent="0.25">
      <c r="A370" t="s">
        <v>4052</v>
      </c>
      <c r="B370" t="s">
        <v>4053</v>
      </c>
      <c r="C370" t="s">
        <v>4054</v>
      </c>
      <c r="D370" s="7">
        <v>77</v>
      </c>
      <c r="E370" s="2">
        <v>1202.19</v>
      </c>
      <c r="F370" s="2">
        <v>925.69</v>
      </c>
    </row>
    <row r="371" spans="1:6" x14ac:dyDescent="0.25">
      <c r="A371" t="s">
        <v>4055</v>
      </c>
      <c r="D371" s="7"/>
      <c r="E371" s="2"/>
      <c r="F371" s="2">
        <f>SUBTOTAL(109,A_1_02_30[VALOR PARCIAL])</f>
      </c>
    </row>
    <row r="373" ht="30" customHeight="1" spans="1:6" x14ac:dyDescent="0.25">
      <c r="A373" s="5" t="s">
        <v>4350</v>
      </c>
      <c r="B373" s="5"/>
      <c r="C373" s="5"/>
      <c r="D373" s="5"/>
      <c r="E373" s="5"/>
      <c r="F373" s="5"/>
    </row>
    <row r="374" ht="42" customHeight="1" spans="1:6" x14ac:dyDescent="0.25">
      <c r="A374" s="6" t="s">
        <v>4351</v>
      </c>
      <c r="B374" s="6"/>
      <c r="C374" s="6"/>
      <c r="D374" s="6"/>
      <c r="E374" s="6"/>
      <c r="F374" s="6"/>
    </row>
    <row r="375" spans="1:6" x14ac:dyDescent="0.25">
      <c r="A375" t="s">
        <v>4044</v>
      </c>
      <c r="B375" t="s">
        <v>4045</v>
      </c>
      <c r="C375" t="s">
        <v>5</v>
      </c>
      <c r="D375" t="s">
        <v>4046</v>
      </c>
      <c r="E375" t="s">
        <v>4047</v>
      </c>
      <c r="F375" t="s">
        <v>4048</v>
      </c>
    </row>
    <row r="376" spans="1:6" x14ac:dyDescent="0.25">
      <c r="A376" t="s">
        <v>4062</v>
      </c>
      <c r="B376" t="s">
        <v>4352</v>
      </c>
      <c r="C376" t="s">
        <v>42</v>
      </c>
      <c r="D376" s="7">
        <v>1.05</v>
      </c>
      <c r="E376" s="2">
        <v>31353</v>
      </c>
      <c r="F376" s="2">
        <v>32920.65</v>
      </c>
    </row>
    <row r="377" spans="1:6" x14ac:dyDescent="0.25">
      <c r="A377" t="s">
        <v>4062</v>
      </c>
      <c r="B377" t="s">
        <v>4353</v>
      </c>
      <c r="C377" t="s">
        <v>63</v>
      </c>
      <c r="D377" s="7">
        <v>0.17</v>
      </c>
      <c r="E377" s="2">
        <v>27711</v>
      </c>
      <c r="F377" s="2">
        <v>4710.87</v>
      </c>
    </row>
    <row r="378" spans="1:6" x14ac:dyDescent="0.25">
      <c r="A378" t="s">
        <v>4062</v>
      </c>
      <c r="B378" t="s">
        <v>4354</v>
      </c>
      <c r="C378" t="s">
        <v>4171</v>
      </c>
      <c r="D378" s="7">
        <v>1.5</v>
      </c>
      <c r="E378" s="2">
        <v>1148</v>
      </c>
      <c r="F378" s="2">
        <v>1722</v>
      </c>
    </row>
    <row r="379" spans="1:6" x14ac:dyDescent="0.25">
      <c r="A379" t="s">
        <v>4049</v>
      </c>
      <c r="B379" t="s">
        <v>4176</v>
      </c>
      <c r="C379" t="s">
        <v>4177</v>
      </c>
      <c r="D379" s="7">
        <v>0.05</v>
      </c>
      <c r="E379" s="2">
        <v>72300.17</v>
      </c>
      <c r="F379" s="2">
        <v>3759.61</v>
      </c>
    </row>
    <row r="380" spans="1:6" x14ac:dyDescent="0.25">
      <c r="A380" t="s">
        <v>4049</v>
      </c>
      <c r="B380" t="s">
        <v>4223</v>
      </c>
      <c r="C380" t="s">
        <v>4051</v>
      </c>
      <c r="D380" s="7">
        <v>0.01</v>
      </c>
      <c r="E380" s="2">
        <v>52807.59</v>
      </c>
      <c r="F380" s="2">
        <v>528.08</v>
      </c>
    </row>
    <row r="381" spans="1:6" x14ac:dyDescent="0.25">
      <c r="A381" t="s">
        <v>4049</v>
      </c>
      <c r="B381" t="s">
        <v>4313</v>
      </c>
      <c r="C381" t="s">
        <v>4177</v>
      </c>
      <c r="D381" s="7">
        <v>0.05</v>
      </c>
      <c r="E381" s="2">
        <v>124137.15</v>
      </c>
      <c r="F381" s="2">
        <v>6455.13</v>
      </c>
    </row>
    <row r="382" spans="1:6" x14ac:dyDescent="0.25">
      <c r="A382" t="s">
        <v>4052</v>
      </c>
      <c r="B382" t="s">
        <v>4053</v>
      </c>
      <c r="C382" t="s">
        <v>4054</v>
      </c>
      <c r="D382" s="7">
        <v>5</v>
      </c>
      <c r="E382" s="2">
        <v>10742.82</v>
      </c>
      <c r="F382" s="2">
        <v>537.14</v>
      </c>
    </row>
    <row r="383" spans="1:6" x14ac:dyDescent="0.25">
      <c r="A383" t="s">
        <v>4055</v>
      </c>
      <c r="D383" s="7"/>
      <c r="E383" s="2"/>
      <c r="F383" s="2">
        <f>SUBTOTAL(109,A_1_02_31[VALOR PARCIAL])</f>
      </c>
    </row>
    <row r="385" ht="30" customHeight="1" spans="1:6" x14ac:dyDescent="0.25">
      <c r="A385" s="5" t="s">
        <v>4355</v>
      </c>
      <c r="B385" s="5"/>
      <c r="C385" s="5"/>
      <c r="D385" s="5"/>
      <c r="E385" s="5"/>
      <c r="F385" s="5"/>
    </row>
    <row r="386" ht="42" customHeight="1" spans="1:6" x14ac:dyDescent="0.25">
      <c r="A386" s="6" t="s">
        <v>4356</v>
      </c>
      <c r="B386" s="6"/>
      <c r="C386" s="6"/>
      <c r="D386" s="6"/>
      <c r="E386" s="6"/>
      <c r="F386" s="6"/>
    </row>
    <row r="387" spans="1:6" x14ac:dyDescent="0.25">
      <c r="A387" t="s">
        <v>4044</v>
      </c>
      <c r="B387" t="s">
        <v>4045</v>
      </c>
      <c r="C387" t="s">
        <v>5</v>
      </c>
      <c r="D387" t="s">
        <v>4046</v>
      </c>
      <c r="E387" t="s">
        <v>4047</v>
      </c>
      <c r="F387" t="s">
        <v>4048</v>
      </c>
    </row>
    <row r="388" spans="1:6" x14ac:dyDescent="0.25">
      <c r="A388" t="s">
        <v>4062</v>
      </c>
      <c r="B388" t="s">
        <v>4357</v>
      </c>
      <c r="C388" t="s">
        <v>42</v>
      </c>
      <c r="D388" s="7">
        <v>1.03</v>
      </c>
      <c r="E388" s="2">
        <v>16806.55</v>
      </c>
      <c r="F388" s="2">
        <v>17310.75</v>
      </c>
    </row>
    <row r="389" spans="1:6" x14ac:dyDescent="0.25">
      <c r="A389" t="s">
        <v>4062</v>
      </c>
      <c r="B389" t="s">
        <v>4358</v>
      </c>
      <c r="C389" t="s">
        <v>4359</v>
      </c>
      <c r="D389" s="7">
        <v>0.17</v>
      </c>
      <c r="E389" s="2">
        <v>11434</v>
      </c>
      <c r="F389" s="2">
        <v>1906.05</v>
      </c>
    </row>
    <row r="390" spans="1:6" x14ac:dyDescent="0.25">
      <c r="A390" t="s">
        <v>4062</v>
      </c>
      <c r="B390" t="s">
        <v>4354</v>
      </c>
      <c r="C390" t="s">
        <v>4171</v>
      </c>
      <c r="D390" s="7">
        <v>1.1</v>
      </c>
      <c r="E390" s="2">
        <v>1148</v>
      </c>
      <c r="F390" s="2">
        <v>1262.8</v>
      </c>
    </row>
    <row r="391" spans="1:6" x14ac:dyDescent="0.25">
      <c r="A391" t="s">
        <v>4049</v>
      </c>
      <c r="B391" t="s">
        <v>4176</v>
      </c>
      <c r="C391" t="s">
        <v>4177</v>
      </c>
      <c r="D391" s="7">
        <v>0.04</v>
      </c>
      <c r="E391" s="2">
        <v>72300.17</v>
      </c>
      <c r="F391" s="2">
        <v>2530.51</v>
      </c>
    </row>
    <row r="392" spans="1:6" x14ac:dyDescent="0.25">
      <c r="A392" t="s">
        <v>4049</v>
      </c>
      <c r="B392" t="s">
        <v>4223</v>
      </c>
      <c r="C392" t="s">
        <v>4051</v>
      </c>
      <c r="D392" s="7">
        <v>0.01</v>
      </c>
      <c r="E392" s="2">
        <v>52807.59</v>
      </c>
      <c r="F392" s="2">
        <v>528.08</v>
      </c>
    </row>
    <row r="393" spans="1:6" x14ac:dyDescent="0.25">
      <c r="A393" t="s">
        <v>4049</v>
      </c>
      <c r="B393" t="s">
        <v>4313</v>
      </c>
      <c r="C393" t="s">
        <v>4177</v>
      </c>
      <c r="D393" s="7">
        <v>0.04</v>
      </c>
      <c r="E393" s="2">
        <v>124137.15</v>
      </c>
      <c r="F393" s="2">
        <v>4344.8</v>
      </c>
    </row>
    <row r="394" spans="1:6" x14ac:dyDescent="0.25">
      <c r="A394" t="s">
        <v>4052</v>
      </c>
      <c r="B394" t="s">
        <v>4053</v>
      </c>
      <c r="C394" t="s">
        <v>4054</v>
      </c>
      <c r="D394" s="7">
        <v>3.4</v>
      </c>
      <c r="E394" s="2">
        <v>7403.39</v>
      </c>
      <c r="F394" s="2">
        <v>251.72</v>
      </c>
    </row>
    <row r="395" spans="1:6" x14ac:dyDescent="0.25">
      <c r="A395" t="s">
        <v>4055</v>
      </c>
      <c r="D395" s="7"/>
      <c r="E395" s="2"/>
      <c r="F395" s="2">
        <f>SUBTOTAL(109,A_1_02_32[VALOR PARCIAL])</f>
      </c>
    </row>
    <row r="397" ht="30" customHeight="1" spans="1:6" x14ac:dyDescent="0.25">
      <c r="A397" s="5" t="s">
        <v>4360</v>
      </c>
      <c r="B397" s="5"/>
      <c r="C397" s="5"/>
      <c r="D397" s="5"/>
      <c r="E397" s="5"/>
      <c r="F397" s="5"/>
    </row>
    <row r="398" ht="42" customHeight="1" spans="1:6" x14ac:dyDescent="0.25">
      <c r="A398" s="6" t="s">
        <v>4361</v>
      </c>
      <c r="B398" s="6"/>
      <c r="C398" s="6"/>
      <c r="D398" s="6"/>
      <c r="E398" s="6"/>
      <c r="F398" s="6"/>
    </row>
    <row r="399" spans="1:6" x14ac:dyDescent="0.25">
      <c r="A399" t="s">
        <v>4044</v>
      </c>
      <c r="B399" t="s">
        <v>4045</v>
      </c>
      <c r="C399" t="s">
        <v>5</v>
      </c>
      <c r="D399" t="s">
        <v>4046</v>
      </c>
      <c r="E399" t="s">
        <v>4047</v>
      </c>
      <c r="F399" t="s">
        <v>4048</v>
      </c>
    </row>
    <row r="400" spans="1:6" x14ac:dyDescent="0.25">
      <c r="A400" t="s">
        <v>4062</v>
      </c>
      <c r="B400" t="s">
        <v>4362</v>
      </c>
      <c r="C400" t="s">
        <v>42</v>
      </c>
      <c r="D400" s="7">
        <v>1</v>
      </c>
      <c r="E400" s="2">
        <v>19040</v>
      </c>
      <c r="F400" s="2">
        <v>19040</v>
      </c>
    </row>
    <row r="401" spans="1:6" x14ac:dyDescent="0.25">
      <c r="A401" t="s">
        <v>4049</v>
      </c>
      <c r="B401" t="s">
        <v>4241</v>
      </c>
      <c r="C401" t="s">
        <v>4051</v>
      </c>
      <c r="D401" s="7">
        <v>0.2</v>
      </c>
      <c r="E401" s="2">
        <v>9941.22</v>
      </c>
      <c r="F401" s="2">
        <v>1988.24</v>
      </c>
    </row>
    <row r="402" spans="1:6" x14ac:dyDescent="0.25">
      <c r="A402" t="s">
        <v>4049</v>
      </c>
      <c r="B402" t="s">
        <v>4242</v>
      </c>
      <c r="C402" t="s">
        <v>4051</v>
      </c>
      <c r="D402" s="7">
        <v>0.2</v>
      </c>
      <c r="E402" s="2">
        <v>17069.53</v>
      </c>
      <c r="F402" s="2">
        <v>3413.91</v>
      </c>
    </row>
    <row r="403" spans="1:6" x14ac:dyDescent="0.25">
      <c r="A403" t="s">
        <v>4052</v>
      </c>
      <c r="B403" t="s">
        <v>4053</v>
      </c>
      <c r="C403" t="s">
        <v>4054</v>
      </c>
      <c r="D403" s="7">
        <v>3</v>
      </c>
      <c r="E403" s="2">
        <v>5402.15</v>
      </c>
      <c r="F403" s="2">
        <v>162.06</v>
      </c>
    </row>
    <row r="404" spans="1:6" x14ac:dyDescent="0.25">
      <c r="A404" t="s">
        <v>4055</v>
      </c>
      <c r="D404" s="7"/>
      <c r="E404" s="2"/>
      <c r="F404" s="2">
        <f>SUBTOTAL(109,A_1_02_33[VALOR PARCIAL])</f>
      </c>
    </row>
    <row r="406" ht="30" customHeight="1" spans="1:6" x14ac:dyDescent="0.25">
      <c r="A406" s="5" t="s">
        <v>4363</v>
      </c>
      <c r="B406" s="5"/>
      <c r="C406" s="5"/>
      <c r="D406" s="5"/>
      <c r="E406" s="5"/>
      <c r="F406" s="5"/>
    </row>
    <row r="407" ht="42" customHeight="1" spans="1:6" x14ac:dyDescent="0.25">
      <c r="A407" s="6" t="s">
        <v>4364</v>
      </c>
      <c r="B407" s="6"/>
      <c r="C407" s="6"/>
      <c r="D407" s="6"/>
      <c r="E407" s="6"/>
      <c r="F407" s="6"/>
    </row>
    <row r="408" spans="1:6" x14ac:dyDescent="0.25">
      <c r="A408" t="s">
        <v>4044</v>
      </c>
      <c r="B408" t="s">
        <v>4045</v>
      </c>
      <c r="C408" t="s">
        <v>5</v>
      </c>
      <c r="D408" t="s">
        <v>4046</v>
      </c>
      <c r="E408" t="s">
        <v>4047</v>
      </c>
      <c r="F408" t="s">
        <v>4048</v>
      </c>
    </row>
    <row r="409" spans="1:6" x14ac:dyDescent="0.25">
      <c r="A409" t="s">
        <v>4062</v>
      </c>
      <c r="B409" t="s">
        <v>4365</v>
      </c>
      <c r="C409" t="s">
        <v>42</v>
      </c>
      <c r="D409" s="7">
        <v>1</v>
      </c>
      <c r="E409" s="2">
        <v>37531</v>
      </c>
      <c r="F409" s="2">
        <v>37531</v>
      </c>
    </row>
    <row r="410" spans="1:6" x14ac:dyDescent="0.25">
      <c r="A410" t="s">
        <v>4049</v>
      </c>
      <c r="B410" t="s">
        <v>4241</v>
      </c>
      <c r="C410" t="s">
        <v>4051</v>
      </c>
      <c r="D410" s="7">
        <v>0.2</v>
      </c>
      <c r="E410" s="2">
        <v>9941.22</v>
      </c>
      <c r="F410" s="2">
        <v>1988.24</v>
      </c>
    </row>
    <row r="411" spans="1:6" x14ac:dyDescent="0.25">
      <c r="A411" t="s">
        <v>4049</v>
      </c>
      <c r="B411" t="s">
        <v>4242</v>
      </c>
      <c r="C411" t="s">
        <v>4051</v>
      </c>
      <c r="D411" s="7">
        <v>0.2</v>
      </c>
      <c r="E411" s="2">
        <v>17069.53</v>
      </c>
      <c r="F411" s="2">
        <v>3413.91</v>
      </c>
    </row>
    <row r="412" spans="1:6" x14ac:dyDescent="0.25">
      <c r="A412" t="s">
        <v>4052</v>
      </c>
      <c r="B412" t="s">
        <v>4053</v>
      </c>
      <c r="C412" t="s">
        <v>4054</v>
      </c>
      <c r="D412" s="7">
        <v>3</v>
      </c>
      <c r="E412" s="2">
        <v>5402.15</v>
      </c>
      <c r="F412" s="2">
        <v>162.06</v>
      </c>
    </row>
    <row r="413" spans="1:6" x14ac:dyDescent="0.25">
      <c r="A413" t="s">
        <v>4055</v>
      </c>
      <c r="D413" s="7"/>
      <c r="E413" s="2"/>
      <c r="F413" s="2">
        <f>SUBTOTAL(109,A_1_02_34[VALOR PARCIAL])</f>
      </c>
    </row>
    <row r="415" ht="30" customHeight="1" spans="1:6" x14ac:dyDescent="0.25">
      <c r="A415" s="5" t="s">
        <v>4366</v>
      </c>
      <c r="B415" s="5"/>
      <c r="C415" s="5"/>
      <c r="D415" s="5"/>
      <c r="E415" s="5"/>
      <c r="F415" s="5"/>
    </row>
    <row r="416" ht="42" customHeight="1" spans="1:6" x14ac:dyDescent="0.25">
      <c r="A416" s="6" t="s">
        <v>4367</v>
      </c>
      <c r="B416" s="6"/>
      <c r="C416" s="6"/>
      <c r="D416" s="6"/>
      <c r="E416" s="6"/>
      <c r="F416" s="6"/>
    </row>
    <row r="417" spans="1:6" x14ac:dyDescent="0.25">
      <c r="A417" t="s">
        <v>4044</v>
      </c>
      <c r="B417" t="s">
        <v>4045</v>
      </c>
      <c r="C417" t="s">
        <v>5</v>
      </c>
      <c r="D417" t="s">
        <v>4046</v>
      </c>
      <c r="E417" t="s">
        <v>4047</v>
      </c>
      <c r="F417" t="s">
        <v>4048</v>
      </c>
    </row>
    <row r="418" spans="1:6" x14ac:dyDescent="0.25">
      <c r="A418" t="s">
        <v>4062</v>
      </c>
      <c r="B418" t="s">
        <v>4368</v>
      </c>
      <c r="C418" t="s">
        <v>42</v>
      </c>
      <c r="D418" s="7">
        <v>1</v>
      </c>
      <c r="E418" s="2">
        <v>59480</v>
      </c>
      <c r="F418" s="2">
        <v>59480</v>
      </c>
    </row>
    <row r="419" spans="1:6" x14ac:dyDescent="0.25">
      <c r="A419" t="s">
        <v>4062</v>
      </c>
      <c r="B419" t="s">
        <v>4369</v>
      </c>
      <c r="C419" t="s">
        <v>34</v>
      </c>
      <c r="D419" s="7">
        <v>0.04</v>
      </c>
      <c r="E419" s="2">
        <v>89250</v>
      </c>
      <c r="F419" s="2">
        <v>3927</v>
      </c>
    </row>
    <row r="420" spans="1:6" x14ac:dyDescent="0.25">
      <c r="A420" t="s">
        <v>4049</v>
      </c>
      <c r="B420" t="s">
        <v>4241</v>
      </c>
      <c r="C420" t="s">
        <v>4051</v>
      </c>
      <c r="D420" s="7">
        <v>0.4</v>
      </c>
      <c r="E420" s="2">
        <v>9941.22</v>
      </c>
      <c r="F420" s="2">
        <v>3976.49</v>
      </c>
    </row>
    <row r="421" spans="1:6" x14ac:dyDescent="0.25">
      <c r="A421" t="s">
        <v>4049</v>
      </c>
      <c r="B421" t="s">
        <v>4242</v>
      </c>
      <c r="C421" t="s">
        <v>4051</v>
      </c>
      <c r="D421" s="7">
        <v>0.4</v>
      </c>
      <c r="E421" s="2">
        <v>17069.53</v>
      </c>
      <c r="F421" s="2">
        <v>6827.81</v>
      </c>
    </row>
    <row r="422" spans="1:6" x14ac:dyDescent="0.25">
      <c r="A422" t="s">
        <v>4052</v>
      </c>
      <c r="B422" t="s">
        <v>4053</v>
      </c>
      <c r="C422" t="s">
        <v>4054</v>
      </c>
      <c r="D422" s="7">
        <v>3</v>
      </c>
      <c r="E422" s="2">
        <v>10804.3</v>
      </c>
      <c r="F422" s="2">
        <v>324.13</v>
      </c>
    </row>
    <row r="423" spans="1:6" x14ac:dyDescent="0.25">
      <c r="A423" t="s">
        <v>4055</v>
      </c>
      <c r="D423" s="7"/>
      <c r="E423" s="2"/>
      <c r="F423" s="2">
        <f>SUBTOTAL(109,A_1_02_35[VALOR PARCIAL])</f>
      </c>
    </row>
    <row r="425" ht="30" customHeight="1" spans="1:6" x14ac:dyDescent="0.25">
      <c r="A425" s="5" t="s">
        <v>4370</v>
      </c>
      <c r="B425" s="5"/>
      <c r="C425" s="5"/>
      <c r="D425" s="5"/>
      <c r="E425" s="5"/>
      <c r="F425" s="5"/>
    </row>
    <row r="426" ht="42" customHeight="1" spans="1:6" x14ac:dyDescent="0.25">
      <c r="A426" s="6" t="s">
        <v>4371</v>
      </c>
      <c r="B426" s="6"/>
      <c r="C426" s="6"/>
      <c r="D426" s="6"/>
      <c r="E426" s="6"/>
      <c r="F426" s="6"/>
    </row>
    <row r="427" spans="1:6" x14ac:dyDescent="0.25">
      <c r="A427" t="s">
        <v>4044</v>
      </c>
      <c r="B427" t="s">
        <v>4045</v>
      </c>
      <c r="C427" t="s">
        <v>5</v>
      </c>
      <c r="D427" t="s">
        <v>4046</v>
      </c>
      <c r="E427" t="s">
        <v>4047</v>
      </c>
      <c r="F427" t="s">
        <v>4048</v>
      </c>
    </row>
    <row r="428" spans="1:6" x14ac:dyDescent="0.25">
      <c r="A428" t="s">
        <v>4062</v>
      </c>
      <c r="B428" t="s">
        <v>4368</v>
      </c>
      <c r="C428" t="s">
        <v>42</v>
      </c>
      <c r="D428" s="7">
        <v>1</v>
      </c>
      <c r="E428" s="2">
        <v>59480</v>
      </c>
      <c r="F428" s="2">
        <v>59480</v>
      </c>
    </row>
    <row r="429" spans="1:6" x14ac:dyDescent="0.25">
      <c r="A429" t="s">
        <v>4049</v>
      </c>
      <c r="B429" t="s">
        <v>4241</v>
      </c>
      <c r="C429" t="s">
        <v>4051</v>
      </c>
      <c r="D429" s="7">
        <v>0.4</v>
      </c>
      <c r="E429" s="2">
        <v>9941.22</v>
      </c>
      <c r="F429" s="2">
        <v>3976.49</v>
      </c>
    </row>
    <row r="430" spans="1:6" x14ac:dyDescent="0.25">
      <c r="A430" t="s">
        <v>4049</v>
      </c>
      <c r="B430" t="s">
        <v>4242</v>
      </c>
      <c r="C430" t="s">
        <v>4051</v>
      </c>
      <c r="D430" s="7">
        <v>0.4</v>
      </c>
      <c r="E430" s="2">
        <v>17069.53</v>
      </c>
      <c r="F430" s="2">
        <v>6827.81</v>
      </c>
    </row>
    <row r="431" spans="1:6" x14ac:dyDescent="0.25">
      <c r="A431" t="s">
        <v>4052</v>
      </c>
      <c r="B431" t="s">
        <v>4053</v>
      </c>
      <c r="C431" t="s">
        <v>4054</v>
      </c>
      <c r="D431" s="7">
        <v>3</v>
      </c>
      <c r="E431" s="2">
        <v>10804.3</v>
      </c>
      <c r="F431" s="2">
        <v>324.13</v>
      </c>
    </row>
    <row r="432" spans="1:6" x14ac:dyDescent="0.25">
      <c r="A432" t="s">
        <v>4055</v>
      </c>
      <c r="D432" s="7"/>
      <c r="E432" s="2"/>
      <c r="F432" s="2">
        <f>SUBTOTAL(109,A_1_02_36[VALOR PARCIAL])</f>
      </c>
    </row>
    <row r="434" ht="30" customHeight="1" spans="1:6" x14ac:dyDescent="0.25">
      <c r="A434" s="5" t="s">
        <v>4372</v>
      </c>
      <c r="B434" s="5"/>
      <c r="C434" s="5"/>
      <c r="D434" s="5"/>
      <c r="E434" s="5"/>
      <c r="F434" s="5"/>
    </row>
    <row r="435" ht="42" customHeight="1" spans="1:6" x14ac:dyDescent="0.25">
      <c r="A435" s="6" t="s">
        <v>4373</v>
      </c>
      <c r="B435" s="6"/>
      <c r="C435" s="6"/>
      <c r="D435" s="6"/>
      <c r="E435" s="6"/>
      <c r="F435" s="6"/>
    </row>
    <row r="436" spans="1:6" x14ac:dyDescent="0.25">
      <c r="A436" t="s">
        <v>4044</v>
      </c>
      <c r="B436" t="s">
        <v>4045</v>
      </c>
      <c r="C436" t="s">
        <v>5</v>
      </c>
      <c r="D436" t="s">
        <v>4046</v>
      </c>
      <c r="E436" t="s">
        <v>4047</v>
      </c>
      <c r="F436" t="s">
        <v>4048</v>
      </c>
    </row>
    <row r="437" spans="1:6" x14ac:dyDescent="0.25">
      <c r="A437" t="s">
        <v>4062</v>
      </c>
      <c r="B437" t="s">
        <v>4374</v>
      </c>
      <c r="C437" t="s">
        <v>42</v>
      </c>
      <c r="D437" s="7">
        <v>1.05</v>
      </c>
      <c r="E437" s="2">
        <v>11156</v>
      </c>
      <c r="F437" s="2">
        <v>11713.8</v>
      </c>
    </row>
    <row r="438" spans="1:6" x14ac:dyDescent="0.25">
      <c r="A438" t="s">
        <v>4062</v>
      </c>
      <c r="B438" t="s">
        <v>4375</v>
      </c>
      <c r="C438" t="s">
        <v>63</v>
      </c>
      <c r="D438" s="7">
        <v>0</v>
      </c>
      <c r="E438" s="2">
        <v>7657</v>
      </c>
      <c r="F438" s="2">
        <v>30.63</v>
      </c>
    </row>
    <row r="439" spans="1:6" x14ac:dyDescent="0.25">
      <c r="A439" t="s">
        <v>4062</v>
      </c>
      <c r="B439" t="s">
        <v>4376</v>
      </c>
      <c r="C439" t="s">
        <v>4377</v>
      </c>
      <c r="D439" s="7">
        <v>0</v>
      </c>
      <c r="E439" s="2">
        <v>72237.67</v>
      </c>
      <c r="F439" s="2">
        <v>288.95</v>
      </c>
    </row>
    <row r="440" spans="1:6" x14ac:dyDescent="0.25">
      <c r="A440" t="s">
        <v>4049</v>
      </c>
      <c r="B440" t="s">
        <v>4241</v>
      </c>
      <c r="C440" t="s">
        <v>4051</v>
      </c>
      <c r="D440" s="7">
        <v>0.2</v>
      </c>
      <c r="E440" s="2">
        <v>9941.22</v>
      </c>
      <c r="F440" s="2">
        <v>1988.24</v>
      </c>
    </row>
    <row r="441" spans="1:6" x14ac:dyDescent="0.25">
      <c r="A441" t="s">
        <v>4049</v>
      </c>
      <c r="B441" t="s">
        <v>4242</v>
      </c>
      <c r="C441" t="s">
        <v>4051</v>
      </c>
      <c r="D441" s="7">
        <v>0.2</v>
      </c>
      <c r="E441" s="2">
        <v>17069.53</v>
      </c>
      <c r="F441" s="2">
        <v>3413.91</v>
      </c>
    </row>
    <row r="442" spans="1:6" x14ac:dyDescent="0.25">
      <c r="A442" t="s">
        <v>4052</v>
      </c>
      <c r="B442" t="s">
        <v>4053</v>
      </c>
      <c r="C442" t="s">
        <v>4054</v>
      </c>
      <c r="D442" s="7">
        <v>11</v>
      </c>
      <c r="E442" s="2">
        <v>5402.15</v>
      </c>
      <c r="F442" s="2">
        <v>594.24</v>
      </c>
    </row>
    <row r="443" spans="1:6" x14ac:dyDescent="0.25">
      <c r="A443" t="s">
        <v>4055</v>
      </c>
      <c r="D443" s="7"/>
      <c r="E443" s="2"/>
      <c r="F443" s="2">
        <f>SUBTOTAL(109,A_1_02_37[VALOR PARCIAL])</f>
      </c>
    </row>
    <row r="445" ht="30" customHeight="1" spans="1:6" x14ac:dyDescent="0.25">
      <c r="A445" s="5" t="s">
        <v>4378</v>
      </c>
      <c r="B445" s="5"/>
      <c r="C445" s="5"/>
      <c r="D445" s="5"/>
      <c r="E445" s="5"/>
      <c r="F445" s="5"/>
    </row>
    <row r="446" ht="42" customHeight="1" spans="1:6" x14ac:dyDescent="0.25">
      <c r="A446" s="6" t="s">
        <v>4379</v>
      </c>
      <c r="B446" s="6"/>
      <c r="C446" s="6"/>
      <c r="D446" s="6"/>
      <c r="E446" s="6"/>
      <c r="F446" s="6"/>
    </row>
    <row r="447" spans="1:6" x14ac:dyDescent="0.25">
      <c r="A447" t="s">
        <v>4044</v>
      </c>
      <c r="B447" t="s">
        <v>4045</v>
      </c>
      <c r="C447" t="s">
        <v>5</v>
      </c>
      <c r="D447" t="s">
        <v>4046</v>
      </c>
      <c r="E447" t="s">
        <v>4047</v>
      </c>
      <c r="F447" t="s">
        <v>4048</v>
      </c>
    </row>
    <row r="448" spans="1:6" x14ac:dyDescent="0.25">
      <c r="A448" t="s">
        <v>4062</v>
      </c>
      <c r="B448" t="s">
        <v>4380</v>
      </c>
      <c r="C448" t="s">
        <v>42</v>
      </c>
      <c r="D448" s="7">
        <v>1</v>
      </c>
      <c r="E448" s="2">
        <v>16665</v>
      </c>
      <c r="F448" s="2">
        <v>16665</v>
      </c>
    </row>
    <row r="449" spans="1:6" x14ac:dyDescent="0.25">
      <c r="A449" t="s">
        <v>4062</v>
      </c>
      <c r="B449" t="s">
        <v>4375</v>
      </c>
      <c r="C449" t="s">
        <v>63</v>
      </c>
      <c r="D449" s="7">
        <v>0</v>
      </c>
      <c r="E449" s="2">
        <v>7657</v>
      </c>
      <c r="F449" s="2">
        <v>30.63</v>
      </c>
    </row>
    <row r="450" spans="1:6" x14ac:dyDescent="0.25">
      <c r="A450" t="s">
        <v>4062</v>
      </c>
      <c r="B450" t="s">
        <v>4376</v>
      </c>
      <c r="C450" t="s">
        <v>4377</v>
      </c>
      <c r="D450" s="7">
        <v>0</v>
      </c>
      <c r="E450" s="2">
        <v>72237.67</v>
      </c>
      <c r="F450" s="2">
        <v>288.95</v>
      </c>
    </row>
    <row r="451" spans="1:6" x14ac:dyDescent="0.25">
      <c r="A451" t="s">
        <v>4049</v>
      </c>
      <c r="B451" t="s">
        <v>4241</v>
      </c>
      <c r="C451" t="s">
        <v>4051</v>
      </c>
      <c r="D451" s="7">
        <v>0.2</v>
      </c>
      <c r="E451" s="2">
        <v>9941.22</v>
      </c>
      <c r="F451" s="2">
        <v>1988.24</v>
      </c>
    </row>
    <row r="452" spans="1:6" x14ac:dyDescent="0.25">
      <c r="A452" t="s">
        <v>4049</v>
      </c>
      <c r="B452" t="s">
        <v>4242</v>
      </c>
      <c r="C452" t="s">
        <v>4051</v>
      </c>
      <c r="D452" s="7">
        <v>0.2</v>
      </c>
      <c r="E452" s="2">
        <v>17069.53</v>
      </c>
      <c r="F452" s="2">
        <v>3413.91</v>
      </c>
    </row>
    <row r="453" spans="1:6" x14ac:dyDescent="0.25">
      <c r="A453" t="s">
        <v>4052</v>
      </c>
      <c r="B453" t="s">
        <v>4053</v>
      </c>
      <c r="C453" t="s">
        <v>4054</v>
      </c>
      <c r="D453" s="7">
        <v>11</v>
      </c>
      <c r="E453" s="2">
        <v>5402.15</v>
      </c>
      <c r="F453" s="2">
        <v>594.24</v>
      </c>
    </row>
    <row r="454" spans="1:6" x14ac:dyDescent="0.25">
      <c r="A454" t="s">
        <v>4055</v>
      </c>
      <c r="D454" s="7"/>
      <c r="E454" s="2"/>
      <c r="F454" s="2">
        <f>SUBTOTAL(109,A_1_02_38[VALOR PARCIAL])</f>
      </c>
    </row>
    <row r="456" ht="30" customHeight="1" spans="1:6" x14ac:dyDescent="0.25">
      <c r="A456" s="5" t="s">
        <v>4381</v>
      </c>
      <c r="B456" s="5"/>
      <c r="C456" s="5"/>
      <c r="D456" s="5"/>
      <c r="E456" s="5"/>
      <c r="F456" s="5"/>
    </row>
    <row r="457" ht="42" customHeight="1" spans="1:6" x14ac:dyDescent="0.25">
      <c r="A457" s="6" t="s">
        <v>4382</v>
      </c>
      <c r="B457" s="6"/>
      <c r="C457" s="6"/>
      <c r="D457" s="6"/>
      <c r="E457" s="6"/>
      <c r="F457" s="6"/>
    </row>
    <row r="458" spans="1:6" x14ac:dyDescent="0.25">
      <c r="A458" t="s">
        <v>4044</v>
      </c>
      <c r="B458" t="s">
        <v>4045</v>
      </c>
      <c r="C458" t="s">
        <v>5</v>
      </c>
      <c r="D458" t="s">
        <v>4046</v>
      </c>
      <c r="E458" t="s">
        <v>4047</v>
      </c>
      <c r="F458" t="s">
        <v>4048</v>
      </c>
    </row>
    <row r="459" spans="1:6" x14ac:dyDescent="0.25">
      <c r="A459" t="s">
        <v>4062</v>
      </c>
      <c r="B459" t="s">
        <v>4374</v>
      </c>
      <c r="C459" t="s">
        <v>42</v>
      </c>
      <c r="D459" s="7">
        <v>1</v>
      </c>
      <c r="E459" s="2">
        <v>11156</v>
      </c>
      <c r="F459" s="2">
        <v>11156</v>
      </c>
    </row>
    <row r="460" spans="1:6" x14ac:dyDescent="0.25">
      <c r="A460" t="s">
        <v>4062</v>
      </c>
      <c r="B460" t="s">
        <v>4383</v>
      </c>
      <c r="C460" t="s">
        <v>63</v>
      </c>
      <c r="D460" s="7">
        <v>1</v>
      </c>
      <c r="E460" s="2">
        <v>2412</v>
      </c>
      <c r="F460" s="2">
        <v>2412</v>
      </c>
    </row>
    <row r="461" spans="1:6" x14ac:dyDescent="0.25">
      <c r="A461" t="s">
        <v>4062</v>
      </c>
      <c r="B461" t="s">
        <v>4354</v>
      </c>
      <c r="C461" t="s">
        <v>4171</v>
      </c>
      <c r="D461" s="7">
        <v>1.1</v>
      </c>
      <c r="E461" s="2">
        <v>1148</v>
      </c>
      <c r="F461" s="2">
        <v>1262.8</v>
      </c>
    </row>
    <row r="462" spans="1:6" x14ac:dyDescent="0.25">
      <c r="A462" t="s">
        <v>4049</v>
      </c>
      <c r="B462" t="s">
        <v>4176</v>
      </c>
      <c r="C462" t="s">
        <v>4177</v>
      </c>
      <c r="D462" s="7">
        <v>0.04</v>
      </c>
      <c r="E462" s="2">
        <v>72300.17</v>
      </c>
      <c r="F462" s="2">
        <v>2530.51</v>
      </c>
    </row>
    <row r="463" spans="1:6" x14ac:dyDescent="0.25">
      <c r="A463" t="s">
        <v>4049</v>
      </c>
      <c r="B463" t="s">
        <v>4223</v>
      </c>
      <c r="C463" t="s">
        <v>4051</v>
      </c>
      <c r="D463" s="7">
        <v>0.01</v>
      </c>
      <c r="E463" s="2">
        <v>52807.59</v>
      </c>
      <c r="F463" s="2">
        <v>528.08</v>
      </c>
    </row>
    <row r="464" spans="1:6" x14ac:dyDescent="0.25">
      <c r="A464" t="s">
        <v>4049</v>
      </c>
      <c r="B464" t="s">
        <v>4313</v>
      </c>
      <c r="C464" t="s">
        <v>4177</v>
      </c>
      <c r="D464" s="7">
        <v>0.04</v>
      </c>
      <c r="E464" s="2">
        <v>124137.15</v>
      </c>
      <c r="F464" s="2">
        <v>4344.8</v>
      </c>
    </row>
    <row r="465" spans="1:6" x14ac:dyDescent="0.25">
      <c r="A465" t="s">
        <v>4052</v>
      </c>
      <c r="B465" t="s">
        <v>4053</v>
      </c>
      <c r="C465" t="s">
        <v>4054</v>
      </c>
      <c r="D465" s="7">
        <v>3.4</v>
      </c>
      <c r="E465" s="2">
        <v>7403.39</v>
      </c>
      <c r="F465" s="2">
        <v>251.72</v>
      </c>
    </row>
    <row r="466" spans="1:6" x14ac:dyDescent="0.25">
      <c r="A466" t="s">
        <v>4055</v>
      </c>
      <c r="D466" s="7"/>
      <c r="E466" s="2"/>
      <c r="F466" s="2">
        <f>SUBTOTAL(109,A_1_02_39[VALOR PARCIAL])</f>
      </c>
    </row>
    <row r="468" ht="30" customHeight="1" spans="1:6" x14ac:dyDescent="0.25">
      <c r="A468" s="5" t="s">
        <v>4384</v>
      </c>
      <c r="B468" s="5"/>
      <c r="C468" s="5"/>
      <c r="D468" s="5"/>
      <c r="E468" s="5"/>
      <c r="F468" s="5"/>
    </row>
    <row r="469" ht="42" customHeight="1" spans="1:6" x14ac:dyDescent="0.25">
      <c r="A469" s="6" t="s">
        <v>4385</v>
      </c>
      <c r="B469" s="6"/>
      <c r="C469" s="6"/>
      <c r="D469" s="6"/>
      <c r="E469" s="6"/>
      <c r="F469" s="6"/>
    </row>
    <row r="470" spans="1:6" x14ac:dyDescent="0.25">
      <c r="A470" t="s">
        <v>4044</v>
      </c>
      <c r="B470" t="s">
        <v>4045</v>
      </c>
      <c r="C470" t="s">
        <v>5</v>
      </c>
      <c r="D470" t="s">
        <v>4046</v>
      </c>
      <c r="E470" t="s">
        <v>4047</v>
      </c>
      <c r="F470" t="s">
        <v>4048</v>
      </c>
    </row>
    <row r="471" spans="1:6" x14ac:dyDescent="0.25">
      <c r="A471" t="s">
        <v>4062</v>
      </c>
      <c r="B471" t="s">
        <v>4386</v>
      </c>
      <c r="C471" t="s">
        <v>42</v>
      </c>
      <c r="D471" s="7">
        <v>1.05</v>
      </c>
      <c r="E471" s="2">
        <v>23228</v>
      </c>
      <c r="F471" s="2">
        <v>24389.4</v>
      </c>
    </row>
    <row r="472" spans="1:6" x14ac:dyDescent="0.25">
      <c r="A472" t="s">
        <v>4062</v>
      </c>
      <c r="B472" t="s">
        <v>4387</v>
      </c>
      <c r="C472" t="s">
        <v>63</v>
      </c>
      <c r="D472" s="7">
        <v>1</v>
      </c>
      <c r="E472" s="2">
        <v>7107</v>
      </c>
      <c r="F472" s="2">
        <v>7107</v>
      </c>
    </row>
    <row r="473" spans="1:6" x14ac:dyDescent="0.25">
      <c r="A473" t="s">
        <v>4062</v>
      </c>
      <c r="B473" t="s">
        <v>4354</v>
      </c>
      <c r="C473" t="s">
        <v>4171</v>
      </c>
      <c r="D473" s="7">
        <v>1.1</v>
      </c>
      <c r="E473" s="2">
        <v>1148</v>
      </c>
      <c r="F473" s="2">
        <v>1262.8</v>
      </c>
    </row>
    <row r="474" spans="1:6" x14ac:dyDescent="0.25">
      <c r="A474" t="s">
        <v>4049</v>
      </c>
      <c r="B474" t="s">
        <v>4176</v>
      </c>
      <c r="C474" t="s">
        <v>4177</v>
      </c>
      <c r="D474" s="7">
        <v>0.04</v>
      </c>
      <c r="E474" s="2">
        <v>72300.17</v>
      </c>
      <c r="F474" s="2">
        <v>2530.51</v>
      </c>
    </row>
    <row r="475" spans="1:6" x14ac:dyDescent="0.25">
      <c r="A475" t="s">
        <v>4049</v>
      </c>
      <c r="B475" t="s">
        <v>4223</v>
      </c>
      <c r="C475" t="s">
        <v>4051</v>
      </c>
      <c r="D475" s="7">
        <v>0.01</v>
      </c>
      <c r="E475" s="2">
        <v>52807.59</v>
      </c>
      <c r="F475" s="2">
        <v>528.08</v>
      </c>
    </row>
    <row r="476" spans="1:6" x14ac:dyDescent="0.25">
      <c r="A476" t="s">
        <v>4049</v>
      </c>
      <c r="B476" t="s">
        <v>4313</v>
      </c>
      <c r="C476" t="s">
        <v>4177</v>
      </c>
      <c r="D476" s="7">
        <v>0.04</v>
      </c>
      <c r="E476" s="2">
        <v>124137.15</v>
      </c>
      <c r="F476" s="2">
        <v>4344.8</v>
      </c>
    </row>
    <row r="477" spans="1:6" x14ac:dyDescent="0.25">
      <c r="A477" t="s">
        <v>4052</v>
      </c>
      <c r="B477" t="s">
        <v>4053</v>
      </c>
      <c r="C477" t="s">
        <v>4054</v>
      </c>
      <c r="D477" s="7">
        <v>3.4</v>
      </c>
      <c r="E477" s="2">
        <v>7403.39</v>
      </c>
      <c r="F477" s="2">
        <v>251.72</v>
      </c>
    </row>
    <row r="478" spans="1:6" x14ac:dyDescent="0.25">
      <c r="A478" t="s">
        <v>4055</v>
      </c>
      <c r="D478" s="7"/>
      <c r="E478" s="2"/>
      <c r="F478" s="2">
        <f>SUBTOTAL(109,A_1_02_40[VALOR PARCIAL])</f>
      </c>
    </row>
    <row r="480" ht="30" customHeight="1" spans="1:6" x14ac:dyDescent="0.25">
      <c r="A480" s="5" t="s">
        <v>4388</v>
      </c>
      <c r="B480" s="5"/>
      <c r="C480" s="5"/>
      <c r="D480" s="5"/>
      <c r="E480" s="5"/>
      <c r="F480" s="5"/>
    </row>
    <row r="481" ht="42" customHeight="1" spans="1:6" x14ac:dyDescent="0.25">
      <c r="A481" s="6" t="s">
        <v>4389</v>
      </c>
      <c r="B481" s="6"/>
      <c r="C481" s="6"/>
      <c r="D481" s="6"/>
      <c r="E481" s="6"/>
      <c r="F481" s="6"/>
    </row>
    <row r="482" spans="1:6" x14ac:dyDescent="0.25">
      <c r="A482" t="s">
        <v>4044</v>
      </c>
      <c r="B482" t="s">
        <v>4045</v>
      </c>
      <c r="C482" t="s">
        <v>5</v>
      </c>
      <c r="D482" t="s">
        <v>4046</v>
      </c>
      <c r="E482" t="s">
        <v>4047</v>
      </c>
      <c r="F482" t="s">
        <v>4048</v>
      </c>
    </row>
    <row r="483" spans="1:6" x14ac:dyDescent="0.25">
      <c r="A483" t="s">
        <v>4062</v>
      </c>
      <c r="B483" t="s">
        <v>4390</v>
      </c>
      <c r="C483" t="s">
        <v>231</v>
      </c>
      <c r="D483" s="7">
        <v>0.03</v>
      </c>
      <c r="E483" s="2">
        <v>4155</v>
      </c>
      <c r="F483" s="2">
        <v>124.65</v>
      </c>
    </row>
    <row r="484" spans="1:6" x14ac:dyDescent="0.25">
      <c r="A484" t="s">
        <v>4062</v>
      </c>
      <c r="B484" t="s">
        <v>4391</v>
      </c>
      <c r="C484" t="s">
        <v>231</v>
      </c>
      <c r="D484" s="7">
        <v>1.05</v>
      </c>
      <c r="E484" s="2">
        <v>2930</v>
      </c>
      <c r="F484" s="2">
        <v>3076.5</v>
      </c>
    </row>
    <row r="485" spans="1:6" x14ac:dyDescent="0.25">
      <c r="A485" t="s">
        <v>4062</v>
      </c>
      <c r="B485" t="s">
        <v>4392</v>
      </c>
      <c r="C485" t="s">
        <v>63</v>
      </c>
      <c r="D485" s="7">
        <v>0.03</v>
      </c>
      <c r="E485" s="2">
        <v>3159.98</v>
      </c>
      <c r="F485" s="2">
        <v>94.8</v>
      </c>
    </row>
    <row r="486" spans="1:6" x14ac:dyDescent="0.25">
      <c r="A486" t="s">
        <v>4049</v>
      </c>
      <c r="B486" t="s">
        <v>4050</v>
      </c>
      <c r="C486" t="s">
        <v>4051</v>
      </c>
      <c r="D486" s="7">
        <v>0.05</v>
      </c>
      <c r="E486" s="2">
        <v>9037.33</v>
      </c>
      <c r="F486" s="2">
        <v>448.25</v>
      </c>
    </row>
    <row r="487" spans="1:6" x14ac:dyDescent="0.25">
      <c r="A487" t="s">
        <v>4049</v>
      </c>
      <c r="B487" t="s">
        <v>4073</v>
      </c>
      <c r="C487" t="s">
        <v>4051</v>
      </c>
      <c r="D487" s="7">
        <v>0.02</v>
      </c>
      <c r="E487" s="2">
        <v>15517.89</v>
      </c>
      <c r="F487" s="2">
        <v>384.84</v>
      </c>
    </row>
    <row r="488" spans="1:6" x14ac:dyDescent="0.25">
      <c r="A488" t="s">
        <v>4052</v>
      </c>
      <c r="B488" t="s">
        <v>4053</v>
      </c>
      <c r="C488" t="s">
        <v>4054</v>
      </c>
      <c r="D488" s="7">
        <v>5</v>
      </c>
      <c r="E488" s="2">
        <v>833.09</v>
      </c>
      <c r="F488" s="2">
        <v>41.65</v>
      </c>
    </row>
    <row r="489" spans="1:6" x14ac:dyDescent="0.25">
      <c r="A489" t="s">
        <v>4055</v>
      </c>
      <c r="D489" s="7"/>
      <c r="E489" s="2"/>
      <c r="F489" s="2">
        <f>SUBTOTAL(109,A_1_02_41[VALOR PARCIAL])</f>
      </c>
    </row>
    <row r="491" ht="30" customHeight="1" spans="1:6" x14ac:dyDescent="0.25">
      <c r="A491" s="5" t="s">
        <v>4393</v>
      </c>
      <c r="B491" s="5"/>
      <c r="C491" s="5"/>
      <c r="D491" s="5"/>
      <c r="E491" s="5"/>
      <c r="F491" s="5"/>
    </row>
    <row r="492" ht="42" customHeight="1" spans="1:6" x14ac:dyDescent="0.25">
      <c r="A492" s="6" t="s">
        <v>4394</v>
      </c>
      <c r="B492" s="6"/>
      <c r="C492" s="6"/>
      <c r="D492" s="6"/>
      <c r="E492" s="6"/>
      <c r="F492" s="6"/>
    </row>
    <row r="493" spans="1:6" x14ac:dyDescent="0.25">
      <c r="A493" t="s">
        <v>4044</v>
      </c>
      <c r="B493" t="s">
        <v>4045</v>
      </c>
      <c r="C493" t="s">
        <v>5</v>
      </c>
      <c r="D493" t="s">
        <v>4046</v>
      </c>
      <c r="E493" t="s">
        <v>4047</v>
      </c>
      <c r="F493" t="s">
        <v>4048</v>
      </c>
    </row>
    <row r="494" spans="1:6" x14ac:dyDescent="0.25">
      <c r="A494" t="s">
        <v>4062</v>
      </c>
      <c r="B494" t="s">
        <v>4390</v>
      </c>
      <c r="C494" t="s">
        <v>231</v>
      </c>
      <c r="D494" s="7">
        <v>0.03</v>
      </c>
      <c r="E494" s="2">
        <v>4155</v>
      </c>
      <c r="F494" s="2">
        <v>124.65</v>
      </c>
    </row>
    <row r="495" spans="1:6" x14ac:dyDescent="0.25">
      <c r="A495" t="s">
        <v>4062</v>
      </c>
      <c r="B495" t="s">
        <v>4261</v>
      </c>
      <c r="C495" t="s">
        <v>231</v>
      </c>
      <c r="D495" s="7">
        <v>1.05</v>
      </c>
      <c r="E495" s="2">
        <v>2982</v>
      </c>
      <c r="F495" s="2">
        <v>3131.1</v>
      </c>
    </row>
    <row r="496" spans="1:6" x14ac:dyDescent="0.25">
      <c r="A496" t="s">
        <v>4062</v>
      </c>
      <c r="B496" t="s">
        <v>4392</v>
      </c>
      <c r="C496" t="s">
        <v>63</v>
      </c>
      <c r="D496" s="7">
        <v>0.03</v>
      </c>
      <c r="E496" s="2">
        <v>3159.98</v>
      </c>
      <c r="F496" s="2">
        <v>94.8</v>
      </c>
    </row>
    <row r="497" spans="1:6" x14ac:dyDescent="0.25">
      <c r="A497" t="s">
        <v>4049</v>
      </c>
      <c r="B497" t="s">
        <v>4050</v>
      </c>
      <c r="C497" t="s">
        <v>4051</v>
      </c>
      <c r="D497" s="7">
        <v>0.06</v>
      </c>
      <c r="E497" s="2">
        <v>9037.33</v>
      </c>
      <c r="F497" s="2">
        <v>540.43</v>
      </c>
    </row>
    <row r="498" spans="1:6" x14ac:dyDescent="0.25">
      <c r="A498" t="s">
        <v>4049</v>
      </c>
      <c r="B498" t="s">
        <v>4073</v>
      </c>
      <c r="C498" t="s">
        <v>4051</v>
      </c>
      <c r="D498" s="7">
        <v>0.03</v>
      </c>
      <c r="E498" s="2">
        <v>15517.89</v>
      </c>
      <c r="F498" s="2">
        <v>463.98</v>
      </c>
    </row>
    <row r="499" spans="1:6" x14ac:dyDescent="0.25">
      <c r="A499" t="s">
        <v>4052</v>
      </c>
      <c r="B499" t="s">
        <v>4053</v>
      </c>
      <c r="C499" t="s">
        <v>4054</v>
      </c>
      <c r="D499" s="7">
        <v>7.2</v>
      </c>
      <c r="E499" s="2">
        <v>1004.41</v>
      </c>
      <c r="F499" s="2">
        <v>72.32</v>
      </c>
    </row>
    <row r="500" spans="1:6" x14ac:dyDescent="0.25">
      <c r="A500" t="s">
        <v>4055</v>
      </c>
      <c r="D500" s="7"/>
      <c r="E500" s="2"/>
      <c r="F500" s="2">
        <f>SUBTOTAL(109,A_1_02_42[VALOR PARCIAL])</f>
      </c>
    </row>
  </sheetData>
  <mergeCells count="84">
    <mergeCell ref="A4:F4"/>
    <mergeCell ref="A5:F5"/>
    <mergeCell ref="A13:F13"/>
    <mergeCell ref="A14:F14"/>
    <mergeCell ref="A27:F27"/>
    <mergeCell ref="A28:F28"/>
    <mergeCell ref="A41:F41"/>
    <mergeCell ref="A42:F42"/>
    <mergeCell ref="A55:F55"/>
    <mergeCell ref="A56:F56"/>
    <mergeCell ref="A69:F69"/>
    <mergeCell ref="A70:F70"/>
    <mergeCell ref="A80:F80"/>
    <mergeCell ref="A81:F81"/>
    <mergeCell ref="A91:F91"/>
    <mergeCell ref="A92:F92"/>
    <mergeCell ref="A102:F102"/>
    <mergeCell ref="A103:F103"/>
    <mergeCell ref="A113:F113"/>
    <mergeCell ref="A114:F114"/>
    <mergeCell ref="A123:F123"/>
    <mergeCell ref="A124:F124"/>
    <mergeCell ref="A136:F136"/>
    <mergeCell ref="A137:F137"/>
    <mergeCell ref="A150:F150"/>
    <mergeCell ref="A151:F151"/>
    <mergeCell ref="A164:F164"/>
    <mergeCell ref="A165:F165"/>
    <mergeCell ref="A178:F178"/>
    <mergeCell ref="A179:F179"/>
    <mergeCell ref="A189:F189"/>
    <mergeCell ref="A190:F190"/>
    <mergeCell ref="A197:F197"/>
    <mergeCell ref="A198:F198"/>
    <mergeCell ref="A206:F206"/>
    <mergeCell ref="A207:F207"/>
    <mergeCell ref="A217:F217"/>
    <mergeCell ref="A218:F218"/>
    <mergeCell ref="A232:F232"/>
    <mergeCell ref="A233:F233"/>
    <mergeCell ref="A246:F246"/>
    <mergeCell ref="A247:F247"/>
    <mergeCell ref="A260:F260"/>
    <mergeCell ref="A261:F261"/>
    <mergeCell ref="A274:F274"/>
    <mergeCell ref="A275:F275"/>
    <mergeCell ref="A290:F290"/>
    <mergeCell ref="A291:F291"/>
    <mergeCell ref="A306:F306"/>
    <mergeCell ref="A307:F307"/>
    <mergeCell ref="A323:F323"/>
    <mergeCell ref="A324:F324"/>
    <mergeCell ref="A337:F337"/>
    <mergeCell ref="A338:F338"/>
    <mergeCell ref="A346:F346"/>
    <mergeCell ref="A347:F347"/>
    <mergeCell ref="A355:F355"/>
    <mergeCell ref="A356:F356"/>
    <mergeCell ref="A364:F364"/>
    <mergeCell ref="A365:F365"/>
    <mergeCell ref="A373:F373"/>
    <mergeCell ref="A374:F374"/>
    <mergeCell ref="A385:F385"/>
    <mergeCell ref="A386:F386"/>
    <mergeCell ref="A397:F397"/>
    <mergeCell ref="A398:F398"/>
    <mergeCell ref="A406:F406"/>
    <mergeCell ref="A407:F407"/>
    <mergeCell ref="A415:F415"/>
    <mergeCell ref="A416:F416"/>
    <mergeCell ref="A425:F425"/>
    <mergeCell ref="A426:F426"/>
    <mergeCell ref="A434:F434"/>
    <mergeCell ref="A435:F435"/>
    <mergeCell ref="A445:F445"/>
    <mergeCell ref="A446:F446"/>
    <mergeCell ref="A456:F456"/>
    <mergeCell ref="A457:F457"/>
    <mergeCell ref="A468:F468"/>
    <mergeCell ref="A469:F469"/>
    <mergeCell ref="A480:F480"/>
    <mergeCell ref="A481:F481"/>
    <mergeCell ref="A491:F491"/>
    <mergeCell ref="A492:F492"/>
  </mergeCells>
  <pageMargins left="0.7" right="0.7" top="0.75" bottom="0.75" header="0.3" footer="0.3"/>
  <pageSetup orientation="portrait" horizontalDpi="4294967295" verticalDpi="4294967295" scale="100" fitToWidth="1" fitToHeight="1"/>
  <tableParts count="4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3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4395</v>
      </c>
    </row>
    <row r="2" spans="1:1" x14ac:dyDescent="0.25">
      <c r="A2" s="4" t="s">
        <v>4396</v>
      </c>
    </row>
    <row r="4" ht="30" customHeight="1" spans="1:6" x14ac:dyDescent="0.25">
      <c r="A4" s="5" t="s">
        <v>4397</v>
      </c>
      <c r="B4" s="5"/>
      <c r="C4" s="5"/>
      <c r="D4" s="5"/>
      <c r="E4" s="5"/>
      <c r="F4" s="5"/>
    </row>
    <row r="5" ht="42" customHeight="1" spans="1:6" x14ac:dyDescent="0.25">
      <c r="A5" s="6" t="s">
        <v>4398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4390</v>
      </c>
      <c r="C7" t="s">
        <v>231</v>
      </c>
      <c r="D7" s="7">
        <v>2</v>
      </c>
      <c r="E7" s="2">
        <v>4155</v>
      </c>
      <c r="F7" s="2">
        <v>8310</v>
      </c>
    </row>
    <row r="8" spans="1:6" x14ac:dyDescent="0.25">
      <c r="A8" t="s">
        <v>4062</v>
      </c>
      <c r="B8" t="s">
        <v>4399</v>
      </c>
      <c r="C8" t="s">
        <v>63</v>
      </c>
      <c r="D8" s="7">
        <v>2.64</v>
      </c>
      <c r="E8" s="2">
        <v>84832.44</v>
      </c>
      <c r="F8" s="2">
        <v>223957.64</v>
      </c>
    </row>
    <row r="9" spans="1:6" x14ac:dyDescent="0.25">
      <c r="A9" t="s">
        <v>4062</v>
      </c>
      <c r="B9" t="s">
        <v>4012</v>
      </c>
      <c r="C9" t="s">
        <v>34</v>
      </c>
      <c r="D9" s="7">
        <v>1.1</v>
      </c>
      <c r="E9" s="2">
        <v>475506.98</v>
      </c>
      <c r="F9" s="2">
        <v>523057.68</v>
      </c>
    </row>
    <row r="10" spans="1:6" x14ac:dyDescent="0.25">
      <c r="A10" t="s">
        <v>4062</v>
      </c>
      <c r="B10" t="s">
        <v>4400</v>
      </c>
      <c r="C10" t="s">
        <v>42</v>
      </c>
      <c r="D10" s="7">
        <v>7.26</v>
      </c>
      <c r="E10" s="2">
        <v>5286.26</v>
      </c>
      <c r="F10" s="2">
        <v>38378.25</v>
      </c>
    </row>
    <row r="11" spans="1:6" x14ac:dyDescent="0.25">
      <c r="A11" t="s">
        <v>4062</v>
      </c>
      <c r="B11" t="s">
        <v>4070</v>
      </c>
      <c r="C11" t="s">
        <v>42</v>
      </c>
      <c r="D11" s="7">
        <v>1</v>
      </c>
      <c r="E11" s="2">
        <v>7381.08</v>
      </c>
      <c r="F11" s="2">
        <v>7381.08</v>
      </c>
    </row>
    <row r="12" spans="1:6" x14ac:dyDescent="0.25">
      <c r="A12" t="s">
        <v>4062</v>
      </c>
      <c r="B12" t="s">
        <v>4072</v>
      </c>
      <c r="C12" t="s">
        <v>4066</v>
      </c>
      <c r="D12" s="7">
        <v>8</v>
      </c>
      <c r="E12" s="2">
        <v>3150</v>
      </c>
      <c r="F12" s="2">
        <v>25200</v>
      </c>
    </row>
    <row r="13" spans="1:6" x14ac:dyDescent="0.25">
      <c r="A13" t="s">
        <v>4049</v>
      </c>
      <c r="B13" t="s">
        <v>4050</v>
      </c>
      <c r="C13" t="s">
        <v>4051</v>
      </c>
      <c r="D13" s="7">
        <v>10.29</v>
      </c>
      <c r="E13" s="2">
        <v>9037.33</v>
      </c>
      <c r="F13" s="2">
        <v>92994.13</v>
      </c>
    </row>
    <row r="14" spans="1:6" x14ac:dyDescent="0.25">
      <c r="A14" t="s">
        <v>4049</v>
      </c>
      <c r="B14" t="s">
        <v>4073</v>
      </c>
      <c r="C14" t="s">
        <v>4051</v>
      </c>
      <c r="D14" s="7">
        <v>10.29</v>
      </c>
      <c r="E14" s="2">
        <v>15517.89</v>
      </c>
      <c r="F14" s="2">
        <v>159679.09</v>
      </c>
    </row>
    <row r="15" spans="1:6" x14ac:dyDescent="0.25">
      <c r="A15" t="s">
        <v>4052</v>
      </c>
      <c r="B15" t="s">
        <v>4286</v>
      </c>
      <c r="C15" t="s">
        <v>4106</v>
      </c>
      <c r="D15" s="7">
        <v>0.04</v>
      </c>
      <c r="E15" s="2">
        <v>73333.33</v>
      </c>
      <c r="F15" s="2">
        <v>2933.33</v>
      </c>
    </row>
    <row r="16" spans="1:6" x14ac:dyDescent="0.25">
      <c r="A16" t="s">
        <v>4052</v>
      </c>
      <c r="B16" t="s">
        <v>4105</v>
      </c>
      <c r="C16" t="s">
        <v>4106</v>
      </c>
      <c r="D16" s="7">
        <v>4</v>
      </c>
      <c r="E16" s="2">
        <v>25125</v>
      </c>
      <c r="F16" s="2">
        <v>100500</v>
      </c>
    </row>
    <row r="17" spans="1:6" x14ac:dyDescent="0.25">
      <c r="A17" t="s">
        <v>4052</v>
      </c>
      <c r="B17" t="s">
        <v>4053</v>
      </c>
      <c r="C17" t="s">
        <v>4054</v>
      </c>
      <c r="D17" s="7">
        <v>1</v>
      </c>
      <c r="E17" s="2">
        <v>252673.22</v>
      </c>
      <c r="F17" s="2">
        <v>2526.73</v>
      </c>
    </row>
    <row r="18" spans="1:6" x14ac:dyDescent="0.25">
      <c r="A18" t="s">
        <v>4055</v>
      </c>
      <c r="D18" s="7"/>
      <c r="E18" s="2"/>
      <c r="F18" s="2">
        <f>SUBTOTAL(109,A_1_03_01[VALOR PARCIAL])</f>
      </c>
    </row>
    <row r="20" ht="30" customHeight="1" spans="1:6" x14ac:dyDescent="0.25">
      <c r="A20" s="5" t="s">
        <v>4401</v>
      </c>
      <c r="B20" s="5"/>
      <c r="C20" s="5"/>
      <c r="D20" s="5"/>
      <c r="E20" s="5"/>
      <c r="F20" s="5"/>
    </row>
    <row r="21" ht="42" customHeight="1" spans="1:6" x14ac:dyDescent="0.25">
      <c r="A21" s="6" t="s">
        <v>4402</v>
      </c>
      <c r="B21" s="6"/>
      <c r="C21" s="6"/>
      <c r="D21" s="6"/>
      <c r="E21" s="6"/>
      <c r="F21" s="6"/>
    </row>
    <row r="22" spans="1:6" x14ac:dyDescent="0.25">
      <c r="A22" t="s">
        <v>4044</v>
      </c>
      <c r="B22" t="s">
        <v>4045</v>
      </c>
      <c r="C22" t="s">
        <v>5</v>
      </c>
      <c r="D22" t="s">
        <v>4046</v>
      </c>
      <c r="E22" t="s">
        <v>4047</v>
      </c>
      <c r="F22" t="s">
        <v>4048</v>
      </c>
    </row>
    <row r="23" spans="1:6" x14ac:dyDescent="0.25">
      <c r="A23" t="s">
        <v>4062</v>
      </c>
      <c r="B23" t="s">
        <v>4390</v>
      </c>
      <c r="C23" t="s">
        <v>231</v>
      </c>
      <c r="D23" s="7">
        <v>2</v>
      </c>
      <c r="E23" s="2">
        <v>4155</v>
      </c>
      <c r="F23" s="2">
        <v>8310</v>
      </c>
    </row>
    <row r="24" spans="1:6" x14ac:dyDescent="0.25">
      <c r="A24" t="s">
        <v>4062</v>
      </c>
      <c r="B24" t="s">
        <v>4399</v>
      </c>
      <c r="C24" t="s">
        <v>63</v>
      </c>
      <c r="D24" s="7">
        <v>2.64</v>
      </c>
      <c r="E24" s="2">
        <v>84832.44</v>
      </c>
      <c r="F24" s="2">
        <v>223957.64</v>
      </c>
    </row>
    <row r="25" spans="1:6" x14ac:dyDescent="0.25">
      <c r="A25" t="s">
        <v>4062</v>
      </c>
      <c r="B25" t="s">
        <v>4012</v>
      </c>
      <c r="C25" t="s">
        <v>34</v>
      </c>
      <c r="D25" s="7">
        <v>1.1</v>
      </c>
      <c r="E25" s="2">
        <v>475506.98</v>
      </c>
      <c r="F25" s="2">
        <v>523057.68</v>
      </c>
    </row>
    <row r="26" spans="1:6" x14ac:dyDescent="0.25">
      <c r="A26" t="s">
        <v>4062</v>
      </c>
      <c r="B26" t="s">
        <v>4400</v>
      </c>
      <c r="C26" t="s">
        <v>42</v>
      </c>
      <c r="D26" s="7">
        <v>7.26</v>
      </c>
      <c r="E26" s="2">
        <v>5286.26</v>
      </c>
      <c r="F26" s="2">
        <v>38378.25</v>
      </c>
    </row>
    <row r="27" spans="1:6" x14ac:dyDescent="0.25">
      <c r="A27" t="s">
        <v>4062</v>
      </c>
      <c r="B27" t="s">
        <v>4072</v>
      </c>
      <c r="C27" t="s">
        <v>4066</v>
      </c>
      <c r="D27" s="7">
        <v>8</v>
      </c>
      <c r="E27" s="2">
        <v>3150</v>
      </c>
      <c r="F27" s="2">
        <v>25200</v>
      </c>
    </row>
    <row r="28" spans="1:6" x14ac:dyDescent="0.25">
      <c r="A28" t="s">
        <v>4049</v>
      </c>
      <c r="B28" t="s">
        <v>4286</v>
      </c>
      <c r="C28" t="s">
        <v>4106</v>
      </c>
      <c r="D28" s="7">
        <v>0.04</v>
      </c>
      <c r="E28" s="2">
        <v>73333.33</v>
      </c>
      <c r="F28" s="2">
        <v>2933.33</v>
      </c>
    </row>
    <row r="29" spans="1:6" x14ac:dyDescent="0.25">
      <c r="A29" t="s">
        <v>4049</v>
      </c>
      <c r="B29" t="s">
        <v>4105</v>
      </c>
      <c r="C29" t="s">
        <v>4106</v>
      </c>
      <c r="D29" s="7">
        <v>4</v>
      </c>
      <c r="E29" s="2">
        <v>25125</v>
      </c>
      <c r="F29" s="2">
        <v>100500</v>
      </c>
    </row>
    <row r="30" spans="1:6" x14ac:dyDescent="0.25">
      <c r="A30" t="s">
        <v>4049</v>
      </c>
      <c r="B30" t="s">
        <v>4050</v>
      </c>
      <c r="C30" t="s">
        <v>4051</v>
      </c>
      <c r="D30" s="7">
        <v>12.75</v>
      </c>
      <c r="E30" s="2">
        <v>9037.33</v>
      </c>
      <c r="F30" s="2">
        <v>115225.96</v>
      </c>
    </row>
    <row r="31" spans="1:6" x14ac:dyDescent="0.25">
      <c r="A31" t="s">
        <v>4049</v>
      </c>
      <c r="B31" t="s">
        <v>4073</v>
      </c>
      <c r="C31" t="s">
        <v>4051</v>
      </c>
      <c r="D31" s="7">
        <v>12.75</v>
      </c>
      <c r="E31" s="2">
        <v>15517.89</v>
      </c>
      <c r="F31" s="2">
        <v>197853.1</v>
      </c>
    </row>
    <row r="32" spans="1:6" x14ac:dyDescent="0.25">
      <c r="A32" t="s">
        <v>4052</v>
      </c>
      <c r="B32" t="s">
        <v>4053</v>
      </c>
      <c r="C32" t="s">
        <v>4054</v>
      </c>
      <c r="D32" s="7">
        <v>1</v>
      </c>
      <c r="E32" s="2">
        <v>313079.06</v>
      </c>
      <c r="F32" s="2">
        <v>3130.79</v>
      </c>
    </row>
    <row r="33" spans="1:6" x14ac:dyDescent="0.25">
      <c r="A33" t="s">
        <v>4055</v>
      </c>
      <c r="D33" s="7"/>
      <c r="E33" s="2"/>
      <c r="F33" s="2">
        <f>SUBTOTAL(109,A_1_03_02[VALOR PARCIAL])</f>
      </c>
    </row>
    <row r="35" ht="30" customHeight="1" spans="1:6" x14ac:dyDescent="0.25">
      <c r="A35" s="5" t="s">
        <v>4403</v>
      </c>
      <c r="B35" s="5"/>
      <c r="C35" s="5"/>
      <c r="D35" s="5"/>
      <c r="E35" s="5"/>
      <c r="F35" s="5"/>
    </row>
    <row r="36" ht="42" customHeight="1" spans="1:6" x14ac:dyDescent="0.25">
      <c r="A36" s="6" t="s">
        <v>4404</v>
      </c>
      <c r="B36" s="6"/>
      <c r="C36" s="6"/>
      <c r="D36" s="6"/>
      <c r="E36" s="6"/>
      <c r="F36" s="6"/>
    </row>
    <row r="37" spans="1:6" x14ac:dyDescent="0.25">
      <c r="A37" t="s">
        <v>4044</v>
      </c>
      <c r="B37" t="s">
        <v>4045</v>
      </c>
      <c r="C37" t="s">
        <v>5</v>
      </c>
      <c r="D37" t="s">
        <v>4046</v>
      </c>
      <c r="E37" t="s">
        <v>4047</v>
      </c>
      <c r="F37" t="s">
        <v>4048</v>
      </c>
    </row>
    <row r="38" spans="1:6" x14ac:dyDescent="0.25">
      <c r="A38" t="s">
        <v>4062</v>
      </c>
      <c r="B38" t="s">
        <v>4298</v>
      </c>
      <c r="C38" t="s">
        <v>42</v>
      </c>
      <c r="D38" s="7">
        <v>4</v>
      </c>
      <c r="E38" s="2">
        <v>6466.67</v>
      </c>
      <c r="F38" s="2">
        <v>25866.68</v>
      </c>
    </row>
    <row r="39" spans="1:6" x14ac:dyDescent="0.25">
      <c r="A39" t="s">
        <v>4062</v>
      </c>
      <c r="B39" t="s">
        <v>3544</v>
      </c>
      <c r="C39" t="s">
        <v>3545</v>
      </c>
      <c r="D39" s="7">
        <v>1</v>
      </c>
      <c r="E39" s="2">
        <v>1325</v>
      </c>
      <c r="F39" s="2">
        <v>1325</v>
      </c>
    </row>
    <row r="40" spans="1:6" x14ac:dyDescent="0.25">
      <c r="A40" t="s">
        <v>4062</v>
      </c>
      <c r="B40" t="s">
        <v>4405</v>
      </c>
      <c r="C40" t="s">
        <v>63</v>
      </c>
      <c r="D40" s="7">
        <v>6</v>
      </c>
      <c r="E40" s="2">
        <v>13056</v>
      </c>
      <c r="F40" s="2">
        <v>78336</v>
      </c>
    </row>
    <row r="41" spans="1:6" x14ac:dyDescent="0.25">
      <c r="A41" t="s">
        <v>4062</v>
      </c>
      <c r="B41" t="s">
        <v>4020</v>
      </c>
      <c r="C41" t="s">
        <v>34</v>
      </c>
      <c r="D41" s="7">
        <v>1.03</v>
      </c>
      <c r="E41" s="2">
        <v>525086</v>
      </c>
      <c r="F41" s="2">
        <v>540838.58</v>
      </c>
    </row>
    <row r="42" spans="1:6" x14ac:dyDescent="0.25">
      <c r="A42" t="s">
        <v>4062</v>
      </c>
      <c r="B42" t="s">
        <v>4065</v>
      </c>
      <c r="C42" t="s">
        <v>4066</v>
      </c>
      <c r="D42" s="7">
        <v>4.5</v>
      </c>
      <c r="E42" s="2">
        <v>3433</v>
      </c>
      <c r="F42" s="2">
        <v>15448.5</v>
      </c>
    </row>
    <row r="43" spans="1:6" x14ac:dyDescent="0.25">
      <c r="A43" t="s">
        <v>4062</v>
      </c>
      <c r="B43" t="s">
        <v>4406</v>
      </c>
      <c r="C43" t="s">
        <v>42</v>
      </c>
      <c r="D43" s="7">
        <v>1.5</v>
      </c>
      <c r="E43" s="2">
        <v>9483.5</v>
      </c>
      <c r="F43" s="2">
        <v>14225.25</v>
      </c>
    </row>
    <row r="44" spans="1:6" x14ac:dyDescent="0.25">
      <c r="A44" t="s">
        <v>4049</v>
      </c>
      <c r="B44" t="s">
        <v>4050</v>
      </c>
      <c r="C44" t="s">
        <v>4051</v>
      </c>
      <c r="D44" s="7">
        <v>30</v>
      </c>
      <c r="E44" s="2">
        <v>9037.33</v>
      </c>
      <c r="F44" s="2">
        <v>271119.9</v>
      </c>
    </row>
    <row r="45" spans="1:6" x14ac:dyDescent="0.25">
      <c r="A45" t="s">
        <v>4049</v>
      </c>
      <c r="B45" t="s">
        <v>4073</v>
      </c>
      <c r="C45" t="s">
        <v>4051</v>
      </c>
      <c r="D45" s="7">
        <v>6</v>
      </c>
      <c r="E45" s="2">
        <v>15517.89</v>
      </c>
      <c r="F45" s="2">
        <v>93107.34</v>
      </c>
    </row>
    <row r="46" spans="1:6" x14ac:dyDescent="0.25">
      <c r="A46" t="s">
        <v>4052</v>
      </c>
      <c r="B46" t="s">
        <v>4286</v>
      </c>
      <c r="C46" t="s">
        <v>4106</v>
      </c>
      <c r="D46" s="7">
        <v>0.14</v>
      </c>
      <c r="E46" s="2">
        <v>73333.33</v>
      </c>
      <c r="F46" s="2">
        <v>10266.67</v>
      </c>
    </row>
    <row r="47" spans="1:6" x14ac:dyDescent="0.25">
      <c r="A47" t="s">
        <v>4052</v>
      </c>
      <c r="B47" t="s">
        <v>4105</v>
      </c>
      <c r="C47" t="s">
        <v>4106</v>
      </c>
      <c r="D47" s="7">
        <v>4</v>
      </c>
      <c r="E47" s="2">
        <v>25125</v>
      </c>
      <c r="F47" s="2">
        <v>100500</v>
      </c>
    </row>
    <row r="48" spans="1:6" x14ac:dyDescent="0.25">
      <c r="A48" t="s">
        <v>4052</v>
      </c>
      <c r="B48" t="s">
        <v>4053</v>
      </c>
      <c r="C48" t="s">
        <v>4054</v>
      </c>
      <c r="D48" s="7">
        <v>0.5</v>
      </c>
      <c r="E48" s="2">
        <v>364227.24</v>
      </c>
      <c r="F48" s="2">
        <v>1821.14</v>
      </c>
    </row>
    <row r="49" spans="1:6" x14ac:dyDescent="0.25">
      <c r="A49" t="s">
        <v>4055</v>
      </c>
      <c r="D49" s="7"/>
      <c r="E49" s="2"/>
      <c r="F49" s="2">
        <f>SUBTOTAL(109,A_1_03_03[VALOR PARCIAL])</f>
      </c>
    </row>
    <row r="51" ht="30" customHeight="1" spans="1:6" x14ac:dyDescent="0.25">
      <c r="A51" s="5" t="s">
        <v>4407</v>
      </c>
      <c r="B51" s="5"/>
      <c r="C51" s="5"/>
      <c r="D51" s="5"/>
      <c r="E51" s="5"/>
      <c r="F51" s="5"/>
    </row>
    <row r="52" ht="42" customHeight="1" spans="1:6" x14ac:dyDescent="0.25">
      <c r="A52" s="6" t="s">
        <v>4408</v>
      </c>
      <c r="B52" s="6"/>
      <c r="C52" s="6"/>
      <c r="D52" s="6"/>
      <c r="E52" s="6"/>
      <c r="F52" s="6"/>
    </row>
    <row r="53" spans="1:6" x14ac:dyDescent="0.25">
      <c r="A53" t="s">
        <v>4044</v>
      </c>
      <c r="B53" t="s">
        <v>4045</v>
      </c>
      <c r="C53" t="s">
        <v>5</v>
      </c>
      <c r="D53" t="s">
        <v>4046</v>
      </c>
      <c r="E53" t="s">
        <v>4047</v>
      </c>
      <c r="F53" t="s">
        <v>4048</v>
      </c>
    </row>
    <row r="54" spans="1:6" x14ac:dyDescent="0.25">
      <c r="A54" t="s">
        <v>4062</v>
      </c>
      <c r="B54" t="s">
        <v>4298</v>
      </c>
      <c r="C54" t="s">
        <v>42</v>
      </c>
      <c r="D54" s="7">
        <v>4</v>
      </c>
      <c r="E54" s="2">
        <v>6466.67</v>
      </c>
      <c r="F54" s="2">
        <v>25866.68</v>
      </c>
    </row>
    <row r="55" spans="1:6" x14ac:dyDescent="0.25">
      <c r="A55" t="s">
        <v>4062</v>
      </c>
      <c r="B55" t="s">
        <v>3998</v>
      </c>
      <c r="C55" t="s">
        <v>34</v>
      </c>
      <c r="D55" s="7">
        <v>1.03</v>
      </c>
      <c r="E55" s="2">
        <v>520986.7</v>
      </c>
      <c r="F55" s="2">
        <v>536616.3</v>
      </c>
    </row>
    <row r="56" spans="1:6" x14ac:dyDescent="0.25">
      <c r="A56" t="s">
        <v>4062</v>
      </c>
      <c r="B56" t="s">
        <v>3544</v>
      </c>
      <c r="C56" t="s">
        <v>3545</v>
      </c>
      <c r="D56" s="7">
        <v>1</v>
      </c>
      <c r="E56" s="2">
        <v>1325</v>
      </c>
      <c r="F56" s="2">
        <v>1325</v>
      </c>
    </row>
    <row r="57" spans="1:6" x14ac:dyDescent="0.25">
      <c r="A57" t="s">
        <v>4062</v>
      </c>
      <c r="B57" t="s">
        <v>4405</v>
      </c>
      <c r="C57" t="s">
        <v>63</v>
      </c>
      <c r="D57" s="7">
        <v>6</v>
      </c>
      <c r="E57" s="2">
        <v>13056</v>
      </c>
      <c r="F57" s="2">
        <v>78336</v>
      </c>
    </row>
    <row r="58" spans="1:6" x14ac:dyDescent="0.25">
      <c r="A58" t="s">
        <v>4062</v>
      </c>
      <c r="B58" t="s">
        <v>4409</v>
      </c>
      <c r="C58" t="s">
        <v>4377</v>
      </c>
      <c r="D58" s="7">
        <v>0.58</v>
      </c>
      <c r="E58" s="2">
        <v>44489.08</v>
      </c>
      <c r="F58" s="2">
        <v>25803.67</v>
      </c>
    </row>
    <row r="59" spans="1:6" x14ac:dyDescent="0.25">
      <c r="A59" t="s">
        <v>4062</v>
      </c>
      <c r="B59" t="s">
        <v>4065</v>
      </c>
      <c r="C59" t="s">
        <v>4066</v>
      </c>
      <c r="D59" s="7">
        <v>4.5</v>
      </c>
      <c r="E59" s="2">
        <v>3433</v>
      </c>
      <c r="F59" s="2">
        <v>15448.5</v>
      </c>
    </row>
    <row r="60" spans="1:6" x14ac:dyDescent="0.25">
      <c r="A60" t="s">
        <v>4062</v>
      </c>
      <c r="B60" t="s">
        <v>4406</v>
      </c>
      <c r="C60" t="s">
        <v>42</v>
      </c>
      <c r="D60" s="7">
        <v>1.5</v>
      </c>
      <c r="E60" s="2">
        <v>9483.5</v>
      </c>
      <c r="F60" s="2">
        <v>14225.25</v>
      </c>
    </row>
    <row r="61" spans="1:6" x14ac:dyDescent="0.25">
      <c r="A61" t="s">
        <v>4049</v>
      </c>
      <c r="B61" t="s">
        <v>4050</v>
      </c>
      <c r="C61" t="s">
        <v>4051</v>
      </c>
      <c r="D61" s="7">
        <v>30</v>
      </c>
      <c r="E61" s="2">
        <v>9037.33</v>
      </c>
      <c r="F61" s="2">
        <v>271119.9</v>
      </c>
    </row>
    <row r="62" spans="1:6" x14ac:dyDescent="0.25">
      <c r="A62" t="s">
        <v>4049</v>
      </c>
      <c r="B62" t="s">
        <v>4073</v>
      </c>
      <c r="C62" t="s">
        <v>4051</v>
      </c>
      <c r="D62" s="7">
        <v>6</v>
      </c>
      <c r="E62" s="2">
        <v>15517.89</v>
      </c>
      <c r="F62" s="2">
        <v>93107.34</v>
      </c>
    </row>
    <row r="63" spans="1:6" x14ac:dyDescent="0.25">
      <c r="A63" t="s">
        <v>4052</v>
      </c>
      <c r="B63" t="s">
        <v>4286</v>
      </c>
      <c r="C63" t="s">
        <v>4106</v>
      </c>
      <c r="D63" s="7">
        <v>0.14</v>
      </c>
      <c r="E63" s="2">
        <v>73333.33</v>
      </c>
      <c r="F63" s="2">
        <v>10266.67</v>
      </c>
    </row>
    <row r="64" spans="1:6" x14ac:dyDescent="0.25">
      <c r="A64" t="s">
        <v>4052</v>
      </c>
      <c r="B64" t="s">
        <v>4105</v>
      </c>
      <c r="C64" t="s">
        <v>4106</v>
      </c>
      <c r="D64" s="7">
        <v>4</v>
      </c>
      <c r="E64" s="2">
        <v>25125</v>
      </c>
      <c r="F64" s="2">
        <v>100500</v>
      </c>
    </row>
    <row r="65" spans="1:6" x14ac:dyDescent="0.25">
      <c r="A65" t="s">
        <v>4052</v>
      </c>
      <c r="B65" t="s">
        <v>4053</v>
      </c>
      <c r="C65" t="s">
        <v>4054</v>
      </c>
      <c r="D65" s="7">
        <v>0.5</v>
      </c>
      <c r="E65" s="2">
        <v>364227.24</v>
      </c>
      <c r="F65" s="2">
        <v>1821.14</v>
      </c>
    </row>
    <row r="66" spans="1:6" x14ac:dyDescent="0.25">
      <c r="A66" t="s">
        <v>4055</v>
      </c>
      <c r="D66" s="7"/>
      <c r="E66" s="2"/>
      <c r="F66" s="2">
        <f>SUBTOTAL(109,A_1_03_04[VALOR PARCIAL])</f>
      </c>
    </row>
    <row r="68" ht="30" customHeight="1" spans="1:6" x14ac:dyDescent="0.25">
      <c r="A68" s="5" t="s">
        <v>4410</v>
      </c>
      <c r="B68" s="5"/>
      <c r="C68" s="5"/>
      <c r="D68" s="5"/>
      <c r="E68" s="5"/>
      <c r="F68" s="5"/>
    </row>
    <row r="69" ht="42" customHeight="1" spans="1:6" x14ac:dyDescent="0.25">
      <c r="A69" s="6" t="s">
        <v>4411</v>
      </c>
      <c r="B69" s="6"/>
      <c r="C69" s="6"/>
      <c r="D69" s="6"/>
      <c r="E69" s="6"/>
      <c r="F69" s="6"/>
    </row>
    <row r="70" spans="1:6" x14ac:dyDescent="0.25">
      <c r="A70" t="s">
        <v>4044</v>
      </c>
      <c r="B70" t="s">
        <v>4045</v>
      </c>
      <c r="C70" t="s">
        <v>5</v>
      </c>
      <c r="D70" t="s">
        <v>4046</v>
      </c>
      <c r="E70" t="s">
        <v>4047</v>
      </c>
      <c r="F70" t="s">
        <v>4048</v>
      </c>
    </row>
    <row r="71" spans="1:6" x14ac:dyDescent="0.25">
      <c r="A71" t="s">
        <v>4062</v>
      </c>
      <c r="B71" t="s">
        <v>4298</v>
      </c>
      <c r="C71" t="s">
        <v>42</v>
      </c>
      <c r="D71" s="7">
        <v>4</v>
      </c>
      <c r="E71" s="2">
        <v>6466.67</v>
      </c>
      <c r="F71" s="2">
        <v>25866.68</v>
      </c>
    </row>
    <row r="72" spans="1:6" x14ac:dyDescent="0.25">
      <c r="A72" t="s">
        <v>4062</v>
      </c>
      <c r="B72" t="s">
        <v>4009</v>
      </c>
      <c r="C72" t="s">
        <v>34</v>
      </c>
      <c r="D72" s="7">
        <v>1.03</v>
      </c>
      <c r="E72" s="2">
        <v>543324.7</v>
      </c>
      <c r="F72" s="2">
        <v>559624.44</v>
      </c>
    </row>
    <row r="73" spans="1:6" x14ac:dyDescent="0.25">
      <c r="A73" t="s">
        <v>4062</v>
      </c>
      <c r="B73" t="s">
        <v>4405</v>
      </c>
      <c r="C73" t="s">
        <v>63</v>
      </c>
      <c r="D73" s="7">
        <v>6</v>
      </c>
      <c r="E73" s="2">
        <v>13056</v>
      </c>
      <c r="F73" s="2">
        <v>78336</v>
      </c>
    </row>
    <row r="74" spans="1:6" x14ac:dyDescent="0.25">
      <c r="A74" t="s">
        <v>4062</v>
      </c>
      <c r="B74" t="s">
        <v>4409</v>
      </c>
      <c r="C74" t="s">
        <v>4377</v>
      </c>
      <c r="D74" s="7">
        <v>1</v>
      </c>
      <c r="E74" s="2">
        <v>44489.08</v>
      </c>
      <c r="F74" s="2">
        <v>44489.08</v>
      </c>
    </row>
    <row r="75" spans="1:6" x14ac:dyDescent="0.25">
      <c r="A75" t="s">
        <v>4062</v>
      </c>
      <c r="B75" t="s">
        <v>4065</v>
      </c>
      <c r="C75" t="s">
        <v>4066</v>
      </c>
      <c r="D75" s="7">
        <v>4.5</v>
      </c>
      <c r="E75" s="2">
        <v>3433</v>
      </c>
      <c r="F75" s="2">
        <v>15448.5</v>
      </c>
    </row>
    <row r="76" spans="1:6" x14ac:dyDescent="0.25">
      <c r="A76" t="s">
        <v>4062</v>
      </c>
      <c r="B76" t="s">
        <v>4406</v>
      </c>
      <c r="C76" t="s">
        <v>42</v>
      </c>
      <c r="D76" s="7">
        <v>1.5</v>
      </c>
      <c r="E76" s="2">
        <v>9483.5</v>
      </c>
      <c r="F76" s="2">
        <v>14225.25</v>
      </c>
    </row>
    <row r="77" spans="1:6" x14ac:dyDescent="0.25">
      <c r="A77" t="s">
        <v>4049</v>
      </c>
      <c r="B77" t="s">
        <v>4050</v>
      </c>
      <c r="C77" t="s">
        <v>4051</v>
      </c>
      <c r="D77" s="7">
        <v>30</v>
      </c>
      <c r="E77" s="2">
        <v>9037.33</v>
      </c>
      <c r="F77" s="2">
        <v>271119.9</v>
      </c>
    </row>
    <row r="78" spans="1:6" x14ac:dyDescent="0.25">
      <c r="A78" t="s">
        <v>4049</v>
      </c>
      <c r="B78" t="s">
        <v>4073</v>
      </c>
      <c r="C78" t="s">
        <v>4051</v>
      </c>
      <c r="D78" s="7">
        <v>6</v>
      </c>
      <c r="E78" s="2">
        <v>15517.89</v>
      </c>
      <c r="F78" s="2">
        <v>93107.34</v>
      </c>
    </row>
    <row r="79" spans="1:6" x14ac:dyDescent="0.25">
      <c r="A79" t="s">
        <v>4052</v>
      </c>
      <c r="B79" t="s">
        <v>4286</v>
      </c>
      <c r="C79" t="s">
        <v>4106</v>
      </c>
      <c r="D79" s="7">
        <v>0.14</v>
      </c>
      <c r="E79" s="2">
        <v>73333.33</v>
      </c>
      <c r="F79" s="2">
        <v>10266.67</v>
      </c>
    </row>
    <row r="80" spans="1:6" x14ac:dyDescent="0.25">
      <c r="A80" t="s">
        <v>4052</v>
      </c>
      <c r="B80" t="s">
        <v>4105</v>
      </c>
      <c r="C80" t="s">
        <v>4106</v>
      </c>
      <c r="D80" s="7">
        <v>4</v>
      </c>
      <c r="E80" s="2">
        <v>25125</v>
      </c>
      <c r="F80" s="2">
        <v>100500</v>
      </c>
    </row>
    <row r="81" spans="1:6" x14ac:dyDescent="0.25">
      <c r="A81" t="s">
        <v>4052</v>
      </c>
      <c r="B81" t="s">
        <v>4053</v>
      </c>
      <c r="C81" t="s">
        <v>4054</v>
      </c>
      <c r="D81" s="7">
        <v>0.5</v>
      </c>
      <c r="E81" s="2">
        <v>364227.24</v>
      </c>
      <c r="F81" s="2">
        <v>1821.14</v>
      </c>
    </row>
    <row r="82" spans="1:6" x14ac:dyDescent="0.25">
      <c r="A82" t="s">
        <v>4058</v>
      </c>
      <c r="B82" t="s">
        <v>4059</v>
      </c>
      <c r="C82" t="s">
        <v>3545</v>
      </c>
      <c r="D82" s="7">
        <v>1</v>
      </c>
      <c r="E82" s="2">
        <v>1325</v>
      </c>
      <c r="F82" s="2">
        <v>1325</v>
      </c>
    </row>
    <row r="83" spans="1:6" x14ac:dyDescent="0.25">
      <c r="A83" t="s">
        <v>4055</v>
      </c>
      <c r="D83" s="7"/>
      <c r="E83" s="2"/>
      <c r="F83" s="2">
        <f>SUBTOTAL(109,A_1_03_05[VALOR PARCIAL])</f>
      </c>
    </row>
    <row r="85" ht="30" customHeight="1" spans="1:6" x14ac:dyDescent="0.25">
      <c r="A85" s="5" t="s">
        <v>4412</v>
      </c>
      <c r="B85" s="5"/>
      <c r="C85" s="5"/>
      <c r="D85" s="5"/>
      <c r="E85" s="5"/>
      <c r="F85" s="5"/>
    </row>
    <row r="86" ht="42" customHeight="1" spans="1:6" x14ac:dyDescent="0.25">
      <c r="A86" s="6" t="s">
        <v>4413</v>
      </c>
      <c r="B86" s="6"/>
      <c r="C86" s="6"/>
      <c r="D86" s="6"/>
      <c r="E86" s="6"/>
      <c r="F86" s="6"/>
    </row>
    <row r="87" spans="1:6" x14ac:dyDescent="0.25">
      <c r="A87" t="s">
        <v>4044</v>
      </c>
      <c r="B87" t="s">
        <v>4045</v>
      </c>
      <c r="C87" t="s">
        <v>5</v>
      </c>
      <c r="D87" t="s">
        <v>4046</v>
      </c>
      <c r="E87" t="s">
        <v>4047</v>
      </c>
      <c r="F87" t="s">
        <v>4048</v>
      </c>
    </row>
    <row r="88" spans="1:6" x14ac:dyDescent="0.25">
      <c r="A88" t="s">
        <v>4062</v>
      </c>
      <c r="B88" t="s">
        <v>4390</v>
      </c>
      <c r="C88" t="s">
        <v>231</v>
      </c>
      <c r="D88" s="7">
        <v>0.12</v>
      </c>
      <c r="E88" s="2">
        <v>4155</v>
      </c>
      <c r="F88" s="2">
        <v>498.6</v>
      </c>
    </row>
    <row r="89" spans="1:6" x14ac:dyDescent="0.25">
      <c r="A89" t="s">
        <v>4062</v>
      </c>
      <c r="B89" t="s">
        <v>4012</v>
      </c>
      <c r="C89" t="s">
        <v>34</v>
      </c>
      <c r="D89" s="7">
        <v>1.04</v>
      </c>
      <c r="E89" s="2">
        <v>475506.98</v>
      </c>
      <c r="F89" s="2">
        <v>494527.26</v>
      </c>
    </row>
    <row r="90" spans="1:6" x14ac:dyDescent="0.25">
      <c r="A90" t="s">
        <v>4062</v>
      </c>
      <c r="B90" t="s">
        <v>4400</v>
      </c>
      <c r="C90" t="s">
        <v>42</v>
      </c>
      <c r="D90" s="7">
        <v>2.74</v>
      </c>
      <c r="E90" s="2">
        <v>5286.26</v>
      </c>
      <c r="F90" s="2">
        <v>14484.35</v>
      </c>
    </row>
    <row r="91" spans="1:6" x14ac:dyDescent="0.25">
      <c r="A91" t="s">
        <v>4062</v>
      </c>
      <c r="B91" t="s">
        <v>4070</v>
      </c>
      <c r="C91" t="s">
        <v>42</v>
      </c>
      <c r="D91" s="7">
        <v>9.12</v>
      </c>
      <c r="E91" s="2">
        <v>7381.08</v>
      </c>
      <c r="F91" s="2">
        <v>67315.45</v>
      </c>
    </row>
    <row r="92" spans="1:6" x14ac:dyDescent="0.25">
      <c r="A92" t="s">
        <v>4062</v>
      </c>
      <c r="B92" t="s">
        <v>4065</v>
      </c>
      <c r="C92" t="s">
        <v>4066</v>
      </c>
      <c r="D92" s="7">
        <v>1.49</v>
      </c>
      <c r="E92" s="2">
        <v>3433</v>
      </c>
      <c r="F92" s="2">
        <v>5115.17</v>
      </c>
    </row>
    <row r="93" spans="1:6" x14ac:dyDescent="0.25">
      <c r="A93" t="s">
        <v>4049</v>
      </c>
      <c r="B93" t="s">
        <v>4050</v>
      </c>
      <c r="C93" t="s">
        <v>4051</v>
      </c>
      <c r="D93" s="7">
        <v>21.35</v>
      </c>
      <c r="E93" s="2">
        <v>9037.33</v>
      </c>
      <c r="F93" s="2">
        <v>192947</v>
      </c>
    </row>
    <row r="94" spans="1:6" x14ac:dyDescent="0.25">
      <c r="A94" t="s">
        <v>4049</v>
      </c>
      <c r="B94" t="s">
        <v>4073</v>
      </c>
      <c r="C94" t="s">
        <v>4051</v>
      </c>
      <c r="D94" s="7">
        <v>21.35</v>
      </c>
      <c r="E94" s="2">
        <v>15517.89</v>
      </c>
      <c r="F94" s="2">
        <v>331306.95</v>
      </c>
    </row>
    <row r="95" spans="1:6" x14ac:dyDescent="0.25">
      <c r="A95" t="s">
        <v>4052</v>
      </c>
      <c r="B95" t="s">
        <v>4414</v>
      </c>
      <c r="C95" t="s">
        <v>4106</v>
      </c>
      <c r="D95" s="7">
        <v>16</v>
      </c>
      <c r="E95" s="2">
        <v>5691.28</v>
      </c>
      <c r="F95" s="2">
        <v>91060.48</v>
      </c>
    </row>
    <row r="96" spans="1:6" x14ac:dyDescent="0.25">
      <c r="A96" t="s">
        <v>4052</v>
      </c>
      <c r="B96" t="s">
        <v>4286</v>
      </c>
      <c r="C96" t="s">
        <v>4106</v>
      </c>
      <c r="D96" s="7">
        <v>0.1</v>
      </c>
      <c r="E96" s="2">
        <v>73333.33</v>
      </c>
      <c r="F96" s="2">
        <v>7333.33</v>
      </c>
    </row>
    <row r="97" spans="1:6" x14ac:dyDescent="0.25">
      <c r="A97" t="s">
        <v>4052</v>
      </c>
      <c r="B97" t="s">
        <v>4053</v>
      </c>
      <c r="C97" t="s">
        <v>4054</v>
      </c>
      <c r="D97" s="7">
        <v>5</v>
      </c>
      <c r="E97" s="2">
        <v>524253.95</v>
      </c>
      <c r="F97" s="2">
        <v>26212.7</v>
      </c>
    </row>
    <row r="98" spans="1:6" x14ac:dyDescent="0.25">
      <c r="A98" t="s">
        <v>4055</v>
      </c>
      <c r="D98" s="7"/>
      <c r="E98" s="2"/>
      <c r="F98" s="2">
        <f>SUBTOTAL(109,A_1_03_06[VALOR PARCIAL])</f>
      </c>
    </row>
    <row r="100" ht="30" customHeight="1" spans="1:6" x14ac:dyDescent="0.25">
      <c r="A100" s="5" t="s">
        <v>4415</v>
      </c>
      <c r="B100" s="5"/>
      <c r="C100" s="5"/>
      <c r="D100" s="5"/>
      <c r="E100" s="5"/>
      <c r="F100" s="5"/>
    </row>
    <row r="101" ht="42" customHeight="1" spans="1:6" x14ac:dyDescent="0.25">
      <c r="A101" s="6" t="s">
        <v>4416</v>
      </c>
      <c r="B101" s="6"/>
      <c r="C101" s="6"/>
      <c r="D101" s="6"/>
      <c r="E101" s="6"/>
      <c r="F101" s="6"/>
    </row>
    <row r="102" spans="1:6" x14ac:dyDescent="0.25">
      <c r="A102" t="s">
        <v>4044</v>
      </c>
      <c r="B102" t="s">
        <v>4045</v>
      </c>
      <c r="C102" t="s">
        <v>5</v>
      </c>
      <c r="D102" t="s">
        <v>4046</v>
      </c>
      <c r="E102" t="s">
        <v>4047</v>
      </c>
      <c r="F102" t="s">
        <v>4048</v>
      </c>
    </row>
    <row r="103" spans="1:6" x14ac:dyDescent="0.25">
      <c r="A103" t="s">
        <v>4062</v>
      </c>
      <c r="B103" t="s">
        <v>4390</v>
      </c>
      <c r="C103" t="s">
        <v>231</v>
      </c>
      <c r="D103" s="7">
        <v>0.14</v>
      </c>
      <c r="E103" s="2">
        <v>4155</v>
      </c>
      <c r="F103" s="2">
        <v>581.7</v>
      </c>
    </row>
    <row r="104" spans="1:6" x14ac:dyDescent="0.25">
      <c r="A104" t="s">
        <v>4062</v>
      </c>
      <c r="B104" t="s">
        <v>4261</v>
      </c>
      <c r="C104" t="s">
        <v>231</v>
      </c>
      <c r="D104" s="7">
        <v>4</v>
      </c>
      <c r="E104" s="2">
        <v>2982</v>
      </c>
      <c r="F104" s="2">
        <v>11928</v>
      </c>
    </row>
    <row r="105" spans="1:6" x14ac:dyDescent="0.25">
      <c r="A105" t="s">
        <v>4062</v>
      </c>
      <c r="B105" t="s">
        <v>4320</v>
      </c>
      <c r="C105" t="s">
        <v>42</v>
      </c>
      <c r="D105" s="7">
        <v>0.06</v>
      </c>
      <c r="E105" s="2">
        <v>6222.23</v>
      </c>
      <c r="F105" s="2">
        <v>373.33</v>
      </c>
    </row>
    <row r="106" spans="1:6" x14ac:dyDescent="0.25">
      <c r="A106" t="s">
        <v>4062</v>
      </c>
      <c r="B106" t="s">
        <v>4417</v>
      </c>
      <c r="C106" t="s">
        <v>42</v>
      </c>
      <c r="D106" s="7">
        <v>1.8</v>
      </c>
      <c r="E106" s="2">
        <v>10200</v>
      </c>
      <c r="F106" s="2">
        <v>18360</v>
      </c>
    </row>
    <row r="107" spans="1:6" x14ac:dyDescent="0.25">
      <c r="A107" t="s">
        <v>4062</v>
      </c>
      <c r="B107" t="s">
        <v>3998</v>
      </c>
      <c r="C107" t="s">
        <v>34</v>
      </c>
      <c r="D107" s="7">
        <v>0.12</v>
      </c>
      <c r="E107" s="2">
        <v>520986.7</v>
      </c>
      <c r="F107" s="2">
        <v>62518.4</v>
      </c>
    </row>
    <row r="108" spans="1:6" x14ac:dyDescent="0.25">
      <c r="A108" t="s">
        <v>4062</v>
      </c>
      <c r="B108" t="s">
        <v>4418</v>
      </c>
      <c r="C108" t="s">
        <v>63</v>
      </c>
      <c r="D108" s="7">
        <v>0.07</v>
      </c>
      <c r="E108" s="2">
        <v>145017.78</v>
      </c>
      <c r="F108" s="2">
        <v>10151.24</v>
      </c>
    </row>
    <row r="109" spans="1:6" x14ac:dyDescent="0.25">
      <c r="A109" t="s">
        <v>4049</v>
      </c>
      <c r="B109" t="s">
        <v>4050</v>
      </c>
      <c r="C109" t="s">
        <v>4051</v>
      </c>
      <c r="D109" s="7">
        <v>4</v>
      </c>
      <c r="E109" s="2">
        <v>9037.33</v>
      </c>
      <c r="F109" s="2">
        <v>36149.32</v>
      </c>
    </row>
    <row r="110" spans="1:6" x14ac:dyDescent="0.25">
      <c r="A110" t="s">
        <v>4049</v>
      </c>
      <c r="B110" t="s">
        <v>4073</v>
      </c>
      <c r="C110" t="s">
        <v>4051</v>
      </c>
      <c r="D110" s="7">
        <v>2</v>
      </c>
      <c r="E110" s="2">
        <v>15517.89</v>
      </c>
      <c r="F110" s="2">
        <v>31035.78</v>
      </c>
    </row>
    <row r="111" spans="1:6" x14ac:dyDescent="0.25">
      <c r="A111" t="s">
        <v>4052</v>
      </c>
      <c r="B111" t="s">
        <v>4419</v>
      </c>
      <c r="C111" t="s">
        <v>247</v>
      </c>
      <c r="D111" s="7">
        <v>0.88</v>
      </c>
      <c r="E111" s="2">
        <v>7750</v>
      </c>
      <c r="F111" s="2">
        <v>6820</v>
      </c>
    </row>
    <row r="112" spans="1:6" x14ac:dyDescent="0.25">
      <c r="A112" t="s">
        <v>4052</v>
      </c>
      <c r="B112" t="s">
        <v>4286</v>
      </c>
      <c r="C112" t="s">
        <v>4106</v>
      </c>
      <c r="D112" s="7">
        <v>0.05</v>
      </c>
      <c r="E112" s="2">
        <v>73333.33</v>
      </c>
      <c r="F112" s="2">
        <v>3666.67</v>
      </c>
    </row>
    <row r="113" spans="1:6" x14ac:dyDescent="0.25">
      <c r="A113" t="s">
        <v>4052</v>
      </c>
      <c r="B113" t="s">
        <v>4053</v>
      </c>
      <c r="C113" t="s">
        <v>4054</v>
      </c>
      <c r="D113" s="7">
        <v>5</v>
      </c>
      <c r="E113" s="2">
        <v>67185.1</v>
      </c>
      <c r="F113" s="2">
        <v>3359.26</v>
      </c>
    </row>
    <row r="114" spans="1:6" x14ac:dyDescent="0.25">
      <c r="A114" t="s">
        <v>4055</v>
      </c>
      <c r="D114" s="7"/>
      <c r="E114" s="2"/>
      <c r="F114" s="2">
        <f>SUBTOTAL(109,A_1_03_07[VALOR PARCIAL])</f>
      </c>
    </row>
    <row r="116" ht="30" customHeight="1" spans="1:6" x14ac:dyDescent="0.25">
      <c r="A116" s="5" t="s">
        <v>4420</v>
      </c>
      <c r="B116" s="5"/>
      <c r="C116" s="5"/>
      <c r="D116" s="5"/>
      <c r="E116" s="5"/>
      <c r="F116" s="5"/>
    </row>
    <row r="117" ht="42" customHeight="1" spans="1:6" x14ac:dyDescent="0.25">
      <c r="A117" s="6" t="s">
        <v>4421</v>
      </c>
      <c r="B117" s="6"/>
      <c r="C117" s="6"/>
      <c r="D117" s="6"/>
      <c r="E117" s="6"/>
      <c r="F117" s="6"/>
    </row>
    <row r="118" spans="1:6" x14ac:dyDescent="0.25">
      <c r="A118" t="s">
        <v>4044</v>
      </c>
      <c r="B118" t="s">
        <v>4045</v>
      </c>
      <c r="C118" t="s">
        <v>5</v>
      </c>
      <c r="D118" t="s">
        <v>4046</v>
      </c>
      <c r="E118" t="s">
        <v>4047</v>
      </c>
      <c r="F118" t="s">
        <v>4048</v>
      </c>
    </row>
    <row r="119" spans="1:6" x14ac:dyDescent="0.25">
      <c r="A119" t="s">
        <v>4062</v>
      </c>
      <c r="B119" t="s">
        <v>4390</v>
      </c>
      <c r="C119" t="s">
        <v>231</v>
      </c>
      <c r="D119" s="7">
        <v>0.14</v>
      </c>
      <c r="E119" s="2">
        <v>4155</v>
      </c>
      <c r="F119" s="2">
        <v>581.7</v>
      </c>
    </row>
    <row r="120" spans="1:6" x14ac:dyDescent="0.25">
      <c r="A120" t="s">
        <v>4062</v>
      </c>
      <c r="B120" t="s">
        <v>4012</v>
      </c>
      <c r="C120" t="s">
        <v>34</v>
      </c>
      <c r="D120" s="7">
        <v>0.12</v>
      </c>
      <c r="E120" s="2">
        <v>475506.98</v>
      </c>
      <c r="F120" s="2">
        <v>57060.84</v>
      </c>
    </row>
    <row r="121" spans="1:6" x14ac:dyDescent="0.25">
      <c r="A121" t="s">
        <v>4062</v>
      </c>
      <c r="B121" t="s">
        <v>4261</v>
      </c>
      <c r="C121" t="s">
        <v>231</v>
      </c>
      <c r="D121" s="7">
        <v>4</v>
      </c>
      <c r="E121" s="2">
        <v>2982</v>
      </c>
      <c r="F121" s="2">
        <v>11928</v>
      </c>
    </row>
    <row r="122" spans="1:6" x14ac:dyDescent="0.25">
      <c r="A122" t="s">
        <v>4062</v>
      </c>
      <c r="B122" t="s">
        <v>4320</v>
      </c>
      <c r="C122" t="s">
        <v>42</v>
      </c>
      <c r="D122" s="7">
        <v>0.06</v>
      </c>
      <c r="E122" s="2">
        <v>6222.23</v>
      </c>
      <c r="F122" s="2">
        <v>373.33</v>
      </c>
    </row>
    <row r="123" spans="1:6" x14ac:dyDescent="0.25">
      <c r="A123" t="s">
        <v>4062</v>
      </c>
      <c r="B123" t="s">
        <v>4417</v>
      </c>
      <c r="C123" t="s">
        <v>42</v>
      </c>
      <c r="D123" s="7">
        <v>1.8</v>
      </c>
      <c r="E123" s="2">
        <v>10200</v>
      </c>
      <c r="F123" s="2">
        <v>18360</v>
      </c>
    </row>
    <row r="124" spans="1:6" x14ac:dyDescent="0.25">
      <c r="A124" t="s">
        <v>4062</v>
      </c>
      <c r="B124" t="s">
        <v>4418</v>
      </c>
      <c r="C124" t="s">
        <v>63</v>
      </c>
      <c r="D124" s="7">
        <v>0.07</v>
      </c>
      <c r="E124" s="2">
        <v>145017.78</v>
      </c>
      <c r="F124" s="2">
        <v>10151.24</v>
      </c>
    </row>
    <row r="125" spans="1:6" x14ac:dyDescent="0.25">
      <c r="A125" t="s">
        <v>4049</v>
      </c>
      <c r="B125" t="s">
        <v>4050</v>
      </c>
      <c r="C125" t="s">
        <v>4051</v>
      </c>
      <c r="D125" s="7">
        <v>4</v>
      </c>
      <c r="E125" s="2">
        <v>9037.33</v>
      </c>
      <c r="F125" s="2">
        <v>36149.32</v>
      </c>
    </row>
    <row r="126" spans="1:6" x14ac:dyDescent="0.25">
      <c r="A126" t="s">
        <v>4049</v>
      </c>
      <c r="B126" t="s">
        <v>4073</v>
      </c>
      <c r="C126" t="s">
        <v>4051</v>
      </c>
      <c r="D126" s="7">
        <v>2</v>
      </c>
      <c r="E126" s="2">
        <v>15517.89</v>
      </c>
      <c r="F126" s="2">
        <v>31035.78</v>
      </c>
    </row>
    <row r="127" spans="1:6" x14ac:dyDescent="0.25">
      <c r="A127" t="s">
        <v>4052</v>
      </c>
      <c r="B127" t="s">
        <v>4419</v>
      </c>
      <c r="C127" t="s">
        <v>247</v>
      </c>
      <c r="D127" s="7">
        <v>0.88</v>
      </c>
      <c r="E127" s="2">
        <v>7750</v>
      </c>
      <c r="F127" s="2">
        <v>6820</v>
      </c>
    </row>
    <row r="128" spans="1:6" x14ac:dyDescent="0.25">
      <c r="A128" t="s">
        <v>4052</v>
      </c>
      <c r="B128" t="s">
        <v>4286</v>
      </c>
      <c r="C128" t="s">
        <v>4106</v>
      </c>
      <c r="D128" s="7">
        <v>0.05</v>
      </c>
      <c r="E128" s="2">
        <v>73333.33</v>
      </c>
      <c r="F128" s="2">
        <v>3666.67</v>
      </c>
    </row>
    <row r="129" spans="1:6" x14ac:dyDescent="0.25">
      <c r="A129" t="s">
        <v>4052</v>
      </c>
      <c r="B129" t="s">
        <v>4053</v>
      </c>
      <c r="C129" t="s">
        <v>4054</v>
      </c>
      <c r="D129" s="7">
        <v>5</v>
      </c>
      <c r="E129" s="2">
        <v>67185.1</v>
      </c>
      <c r="F129" s="2">
        <v>3359.26</v>
      </c>
    </row>
    <row r="130" spans="1:6" x14ac:dyDescent="0.25">
      <c r="A130" t="s">
        <v>4055</v>
      </c>
      <c r="D130" s="7"/>
      <c r="E130" s="2"/>
      <c r="F130" s="2">
        <f>SUBTOTAL(109,A_1_03_08[VALOR PARCIAL])</f>
      </c>
    </row>
    <row r="132" ht="30" customHeight="1" spans="1:6" x14ac:dyDescent="0.25">
      <c r="A132" s="5" t="s">
        <v>4422</v>
      </c>
      <c r="B132" s="5"/>
      <c r="C132" s="5"/>
      <c r="D132" s="5"/>
      <c r="E132" s="5"/>
      <c r="F132" s="5"/>
    </row>
    <row r="133" ht="42" customHeight="1" spans="1:6" x14ac:dyDescent="0.25">
      <c r="A133" s="6" t="s">
        <v>4423</v>
      </c>
      <c r="B133" s="6"/>
      <c r="C133" s="6"/>
      <c r="D133" s="6"/>
      <c r="E133" s="6"/>
      <c r="F133" s="6"/>
    </row>
    <row r="134" spans="1:6" x14ac:dyDescent="0.25">
      <c r="A134" t="s">
        <v>4044</v>
      </c>
      <c r="B134" t="s">
        <v>4045</v>
      </c>
      <c r="C134" t="s">
        <v>5</v>
      </c>
      <c r="D134" t="s">
        <v>4046</v>
      </c>
      <c r="E134" t="s">
        <v>4047</v>
      </c>
      <c r="F134" t="s">
        <v>4048</v>
      </c>
    </row>
    <row r="135" spans="1:6" x14ac:dyDescent="0.25">
      <c r="A135" t="s">
        <v>4062</v>
      </c>
      <c r="B135" t="s">
        <v>4390</v>
      </c>
      <c r="C135" t="s">
        <v>231</v>
      </c>
      <c r="D135" s="7">
        <v>0.14</v>
      </c>
      <c r="E135" s="2">
        <v>4155</v>
      </c>
      <c r="F135" s="2">
        <v>581.7</v>
      </c>
    </row>
    <row r="136" spans="1:6" x14ac:dyDescent="0.25">
      <c r="A136" t="s">
        <v>4062</v>
      </c>
      <c r="B136" t="s">
        <v>4261</v>
      </c>
      <c r="C136" t="s">
        <v>231</v>
      </c>
      <c r="D136" s="7">
        <v>6.52</v>
      </c>
      <c r="E136" s="2">
        <v>2982</v>
      </c>
      <c r="F136" s="2">
        <v>19442.64</v>
      </c>
    </row>
    <row r="137" spans="1:6" x14ac:dyDescent="0.25">
      <c r="A137" t="s">
        <v>4062</v>
      </c>
      <c r="B137" t="s">
        <v>4320</v>
      </c>
      <c r="C137" t="s">
        <v>42</v>
      </c>
      <c r="D137" s="7">
        <v>0.06</v>
      </c>
      <c r="E137" s="2">
        <v>6222.23</v>
      </c>
      <c r="F137" s="2">
        <v>373.33</v>
      </c>
    </row>
    <row r="138" spans="1:6" x14ac:dyDescent="0.25">
      <c r="A138" t="s">
        <v>4062</v>
      </c>
      <c r="B138" t="s">
        <v>4424</v>
      </c>
      <c r="C138" t="s">
        <v>42</v>
      </c>
      <c r="D138" s="7">
        <v>1.8</v>
      </c>
      <c r="E138" s="2">
        <v>11200</v>
      </c>
      <c r="F138" s="2">
        <v>20160</v>
      </c>
    </row>
    <row r="139" spans="1:6" x14ac:dyDescent="0.25">
      <c r="A139" t="s">
        <v>4062</v>
      </c>
      <c r="B139" t="s">
        <v>3998</v>
      </c>
      <c r="C139" t="s">
        <v>34</v>
      </c>
      <c r="D139" s="7">
        <v>0.14</v>
      </c>
      <c r="E139" s="2">
        <v>520986.7</v>
      </c>
      <c r="F139" s="2">
        <v>72938.14</v>
      </c>
    </row>
    <row r="140" spans="1:6" x14ac:dyDescent="0.25">
      <c r="A140" t="s">
        <v>4062</v>
      </c>
      <c r="B140" t="s">
        <v>4418</v>
      </c>
      <c r="C140" t="s">
        <v>63</v>
      </c>
      <c r="D140" s="7">
        <v>0.07</v>
      </c>
      <c r="E140" s="2">
        <v>145017.78</v>
      </c>
      <c r="F140" s="2">
        <v>10296.26</v>
      </c>
    </row>
    <row r="141" spans="1:6" x14ac:dyDescent="0.25">
      <c r="A141" t="s">
        <v>4049</v>
      </c>
      <c r="B141" t="s">
        <v>4050</v>
      </c>
      <c r="C141" t="s">
        <v>4051</v>
      </c>
      <c r="D141" s="7">
        <v>4.02</v>
      </c>
      <c r="E141" s="2">
        <v>9037.33</v>
      </c>
      <c r="F141" s="2">
        <v>36330.07</v>
      </c>
    </row>
    <row r="142" spans="1:6" x14ac:dyDescent="0.25">
      <c r="A142" t="s">
        <v>4049</v>
      </c>
      <c r="B142" t="s">
        <v>4073</v>
      </c>
      <c r="C142" t="s">
        <v>4051</v>
      </c>
      <c r="D142" s="7">
        <v>2.01</v>
      </c>
      <c r="E142" s="2">
        <v>15517.89</v>
      </c>
      <c r="F142" s="2">
        <v>31190.96</v>
      </c>
    </row>
    <row r="143" spans="1:6" x14ac:dyDescent="0.25">
      <c r="A143" t="s">
        <v>4052</v>
      </c>
      <c r="B143" t="s">
        <v>4419</v>
      </c>
      <c r="C143" t="s">
        <v>247</v>
      </c>
      <c r="D143" s="7">
        <v>0.88</v>
      </c>
      <c r="E143" s="2">
        <v>7750</v>
      </c>
      <c r="F143" s="2">
        <v>6820</v>
      </c>
    </row>
    <row r="144" spans="1:6" x14ac:dyDescent="0.25">
      <c r="A144" t="s">
        <v>4052</v>
      </c>
      <c r="B144" t="s">
        <v>4286</v>
      </c>
      <c r="C144" t="s">
        <v>4106</v>
      </c>
      <c r="D144" s="7">
        <v>0.01</v>
      </c>
      <c r="E144" s="2">
        <v>73333.33</v>
      </c>
      <c r="F144" s="2">
        <v>733.33</v>
      </c>
    </row>
    <row r="145" spans="1:6" x14ac:dyDescent="0.25">
      <c r="A145" t="s">
        <v>4052</v>
      </c>
      <c r="B145" t="s">
        <v>4053</v>
      </c>
      <c r="C145" t="s">
        <v>4054</v>
      </c>
      <c r="D145" s="7">
        <v>5</v>
      </c>
      <c r="E145" s="2">
        <v>67521.03</v>
      </c>
      <c r="F145" s="2">
        <v>3376.05</v>
      </c>
    </row>
    <row r="146" spans="1:6" x14ac:dyDescent="0.25">
      <c r="A146" t="s">
        <v>4055</v>
      </c>
      <c r="D146" s="7"/>
      <c r="E146" s="2"/>
      <c r="F146" s="2">
        <f>SUBTOTAL(109,A_1_03_09[VALOR PARCIAL])</f>
      </c>
    </row>
    <row r="148" ht="30" customHeight="1" spans="1:6" x14ac:dyDescent="0.25">
      <c r="A148" s="5" t="s">
        <v>4425</v>
      </c>
      <c r="B148" s="5"/>
      <c r="C148" s="5"/>
      <c r="D148" s="5"/>
      <c r="E148" s="5"/>
      <c r="F148" s="5"/>
    </row>
    <row r="149" ht="42" customHeight="1" spans="1:6" x14ac:dyDescent="0.25">
      <c r="A149" s="6" t="s">
        <v>4426</v>
      </c>
      <c r="B149" s="6"/>
      <c r="C149" s="6"/>
      <c r="D149" s="6"/>
      <c r="E149" s="6"/>
      <c r="F149" s="6"/>
    </row>
    <row r="150" spans="1:6" x14ac:dyDescent="0.25">
      <c r="A150" t="s">
        <v>4044</v>
      </c>
      <c r="B150" t="s">
        <v>4045</v>
      </c>
      <c r="C150" t="s">
        <v>5</v>
      </c>
      <c r="D150" t="s">
        <v>4046</v>
      </c>
      <c r="E150" t="s">
        <v>4047</v>
      </c>
      <c r="F150" t="s">
        <v>4048</v>
      </c>
    </row>
    <row r="151" spans="1:6" x14ac:dyDescent="0.25">
      <c r="A151" t="s">
        <v>4062</v>
      </c>
      <c r="B151" t="s">
        <v>4390</v>
      </c>
      <c r="C151" t="s">
        <v>231</v>
      </c>
      <c r="D151" s="7">
        <v>0.14</v>
      </c>
      <c r="E151" s="2">
        <v>4155</v>
      </c>
      <c r="F151" s="2">
        <v>581.7</v>
      </c>
    </row>
    <row r="152" spans="1:6" x14ac:dyDescent="0.25">
      <c r="A152" t="s">
        <v>4062</v>
      </c>
      <c r="B152" t="s">
        <v>4012</v>
      </c>
      <c r="C152" t="s">
        <v>34</v>
      </c>
      <c r="D152" s="7">
        <v>0.14</v>
      </c>
      <c r="E152" s="2">
        <v>475506.98</v>
      </c>
      <c r="F152" s="2">
        <v>66570.98</v>
      </c>
    </row>
    <row r="153" spans="1:6" x14ac:dyDescent="0.25">
      <c r="A153" t="s">
        <v>4062</v>
      </c>
      <c r="B153" t="s">
        <v>4261</v>
      </c>
      <c r="C153" t="s">
        <v>231</v>
      </c>
      <c r="D153" s="7">
        <v>6.52</v>
      </c>
      <c r="E153" s="2">
        <v>2982</v>
      </c>
      <c r="F153" s="2">
        <v>19442.64</v>
      </c>
    </row>
    <row r="154" spans="1:6" x14ac:dyDescent="0.25">
      <c r="A154" t="s">
        <v>4062</v>
      </c>
      <c r="B154" t="s">
        <v>4320</v>
      </c>
      <c r="C154" t="s">
        <v>42</v>
      </c>
      <c r="D154" s="7">
        <v>0.06</v>
      </c>
      <c r="E154" s="2">
        <v>6222.23</v>
      </c>
      <c r="F154" s="2">
        <v>373.33</v>
      </c>
    </row>
    <row r="155" spans="1:6" x14ac:dyDescent="0.25">
      <c r="A155" t="s">
        <v>4062</v>
      </c>
      <c r="B155" t="s">
        <v>4424</v>
      </c>
      <c r="C155" t="s">
        <v>42</v>
      </c>
      <c r="D155" s="7">
        <v>1.8</v>
      </c>
      <c r="E155" s="2">
        <v>11200</v>
      </c>
      <c r="F155" s="2">
        <v>20160</v>
      </c>
    </row>
    <row r="156" spans="1:6" x14ac:dyDescent="0.25">
      <c r="A156" t="s">
        <v>4062</v>
      </c>
      <c r="B156" t="s">
        <v>4418</v>
      </c>
      <c r="C156" t="s">
        <v>63</v>
      </c>
      <c r="D156" s="7">
        <v>0.07</v>
      </c>
      <c r="E156" s="2">
        <v>145017.78</v>
      </c>
      <c r="F156" s="2">
        <v>10296.26</v>
      </c>
    </row>
    <row r="157" spans="1:6" x14ac:dyDescent="0.25">
      <c r="A157" t="s">
        <v>4049</v>
      </c>
      <c r="B157" t="s">
        <v>4050</v>
      </c>
      <c r="C157" t="s">
        <v>4051</v>
      </c>
      <c r="D157" s="7">
        <v>4.02</v>
      </c>
      <c r="E157" s="2">
        <v>9037.33</v>
      </c>
      <c r="F157" s="2">
        <v>36330.07</v>
      </c>
    </row>
    <row r="158" spans="1:6" x14ac:dyDescent="0.25">
      <c r="A158" t="s">
        <v>4049</v>
      </c>
      <c r="B158" t="s">
        <v>4073</v>
      </c>
      <c r="C158" t="s">
        <v>4051</v>
      </c>
      <c r="D158" s="7">
        <v>2.01</v>
      </c>
      <c r="E158" s="2">
        <v>15517.89</v>
      </c>
      <c r="F158" s="2">
        <v>31190.96</v>
      </c>
    </row>
    <row r="159" spans="1:6" x14ac:dyDescent="0.25">
      <c r="A159" t="s">
        <v>4052</v>
      </c>
      <c r="B159" t="s">
        <v>4419</v>
      </c>
      <c r="C159" t="s">
        <v>247</v>
      </c>
      <c r="D159" s="7">
        <v>0.88</v>
      </c>
      <c r="E159" s="2">
        <v>7750</v>
      </c>
      <c r="F159" s="2">
        <v>6820</v>
      </c>
    </row>
    <row r="160" spans="1:6" x14ac:dyDescent="0.25">
      <c r="A160" t="s">
        <v>4052</v>
      </c>
      <c r="B160" t="s">
        <v>4286</v>
      </c>
      <c r="C160" t="s">
        <v>4106</v>
      </c>
      <c r="D160" s="7">
        <v>0.01</v>
      </c>
      <c r="E160" s="2">
        <v>73333.33</v>
      </c>
      <c r="F160" s="2">
        <v>733.33</v>
      </c>
    </row>
    <row r="161" spans="1:6" x14ac:dyDescent="0.25">
      <c r="A161" t="s">
        <v>4052</v>
      </c>
      <c r="B161" t="s">
        <v>4053</v>
      </c>
      <c r="C161" t="s">
        <v>4054</v>
      </c>
      <c r="D161" s="7">
        <v>5</v>
      </c>
      <c r="E161" s="2">
        <v>67521.03</v>
      </c>
      <c r="F161" s="2">
        <v>3376.05</v>
      </c>
    </row>
    <row r="162" spans="1:6" x14ac:dyDescent="0.25">
      <c r="A162" t="s">
        <v>4055</v>
      </c>
      <c r="D162" s="7"/>
      <c r="E162" s="2"/>
      <c r="F162" s="2">
        <f>SUBTOTAL(109,A_1_03_10[VALOR PARCIAL])</f>
      </c>
    </row>
    <row r="164" ht="30" customHeight="1" spans="1:6" x14ac:dyDescent="0.25">
      <c r="A164" s="5" t="s">
        <v>4427</v>
      </c>
      <c r="B164" s="5"/>
      <c r="C164" s="5"/>
      <c r="D164" s="5"/>
      <c r="E164" s="5"/>
      <c r="F164" s="5"/>
    </row>
    <row r="165" ht="42" customHeight="1" spans="1:6" x14ac:dyDescent="0.25">
      <c r="A165" s="6" t="s">
        <v>4428</v>
      </c>
      <c r="B165" s="6"/>
      <c r="C165" s="6"/>
      <c r="D165" s="6"/>
      <c r="E165" s="6"/>
      <c r="F165" s="6"/>
    </row>
    <row r="166" spans="1:6" x14ac:dyDescent="0.25">
      <c r="A166" t="s">
        <v>4044</v>
      </c>
      <c r="B166" t="s">
        <v>4045</v>
      </c>
      <c r="C166" t="s">
        <v>5</v>
      </c>
      <c r="D166" t="s">
        <v>4046</v>
      </c>
      <c r="E166" t="s">
        <v>4047</v>
      </c>
      <c r="F166" t="s">
        <v>4048</v>
      </c>
    </row>
    <row r="167" spans="1:6" x14ac:dyDescent="0.25">
      <c r="A167" t="s">
        <v>4062</v>
      </c>
      <c r="B167" t="s">
        <v>4390</v>
      </c>
      <c r="C167" t="s">
        <v>231</v>
      </c>
      <c r="D167" s="7">
        <v>0.14</v>
      </c>
      <c r="E167" s="2">
        <v>4155</v>
      </c>
      <c r="F167" s="2">
        <v>581.7</v>
      </c>
    </row>
    <row r="168" spans="1:6" x14ac:dyDescent="0.25">
      <c r="A168" t="s">
        <v>4062</v>
      </c>
      <c r="B168" t="s">
        <v>4012</v>
      </c>
      <c r="C168" t="s">
        <v>34</v>
      </c>
      <c r="D168" s="7">
        <v>0.15</v>
      </c>
      <c r="E168" s="2">
        <v>475506.98</v>
      </c>
      <c r="F168" s="2">
        <v>71326.05</v>
      </c>
    </row>
    <row r="169" spans="1:6" x14ac:dyDescent="0.25">
      <c r="A169" t="s">
        <v>4062</v>
      </c>
      <c r="B169" t="s">
        <v>4261</v>
      </c>
      <c r="C169" t="s">
        <v>231</v>
      </c>
      <c r="D169" s="7">
        <v>6.52</v>
      </c>
      <c r="E169" s="2">
        <v>2982</v>
      </c>
      <c r="F169" s="2">
        <v>19442.64</v>
      </c>
    </row>
    <row r="170" spans="1:6" x14ac:dyDescent="0.25">
      <c r="A170" t="s">
        <v>4062</v>
      </c>
      <c r="B170" t="s">
        <v>4320</v>
      </c>
      <c r="C170" t="s">
        <v>42</v>
      </c>
      <c r="D170" s="7">
        <v>0.06</v>
      </c>
      <c r="E170" s="2">
        <v>6222.23</v>
      </c>
      <c r="F170" s="2">
        <v>373.33</v>
      </c>
    </row>
    <row r="171" spans="1:6" x14ac:dyDescent="0.25">
      <c r="A171" t="s">
        <v>4062</v>
      </c>
      <c r="B171" t="s">
        <v>4429</v>
      </c>
      <c r="C171" t="s">
        <v>42</v>
      </c>
      <c r="D171" s="7">
        <v>1.8</v>
      </c>
      <c r="E171" s="2">
        <v>13100</v>
      </c>
      <c r="F171" s="2">
        <v>23580</v>
      </c>
    </row>
    <row r="172" spans="1:6" x14ac:dyDescent="0.25">
      <c r="A172" t="s">
        <v>4062</v>
      </c>
      <c r="B172" t="s">
        <v>4418</v>
      </c>
      <c r="C172" t="s">
        <v>63</v>
      </c>
      <c r="D172" s="7">
        <v>0.07</v>
      </c>
      <c r="E172" s="2">
        <v>145017.78</v>
      </c>
      <c r="F172" s="2">
        <v>10296.26</v>
      </c>
    </row>
    <row r="173" spans="1:6" x14ac:dyDescent="0.25">
      <c r="A173" t="s">
        <v>4049</v>
      </c>
      <c r="B173" t="s">
        <v>4419</v>
      </c>
      <c r="C173" t="s">
        <v>247</v>
      </c>
      <c r="D173" s="7">
        <v>0.88</v>
      </c>
      <c r="E173" s="2">
        <v>7750</v>
      </c>
      <c r="F173" s="2">
        <v>6820</v>
      </c>
    </row>
    <row r="174" spans="1:6" x14ac:dyDescent="0.25">
      <c r="A174" t="s">
        <v>4049</v>
      </c>
      <c r="B174" t="s">
        <v>4286</v>
      </c>
      <c r="C174" t="s">
        <v>4106</v>
      </c>
      <c r="D174" s="7">
        <v>0.01</v>
      </c>
      <c r="E174" s="2">
        <v>73333.33</v>
      </c>
      <c r="F174" s="2">
        <v>733.33</v>
      </c>
    </row>
    <row r="175" spans="1:6" x14ac:dyDescent="0.25">
      <c r="A175" t="s">
        <v>4049</v>
      </c>
      <c r="B175" t="s">
        <v>4050</v>
      </c>
      <c r="C175" t="s">
        <v>4051</v>
      </c>
      <c r="D175" s="7">
        <v>4.02</v>
      </c>
      <c r="E175" s="2">
        <v>9037.33</v>
      </c>
      <c r="F175" s="2">
        <v>36330.07</v>
      </c>
    </row>
    <row r="176" spans="1:6" x14ac:dyDescent="0.25">
      <c r="A176" t="s">
        <v>4049</v>
      </c>
      <c r="B176" t="s">
        <v>4073</v>
      </c>
      <c r="C176" t="s">
        <v>4051</v>
      </c>
      <c r="D176" s="7">
        <v>2.01</v>
      </c>
      <c r="E176" s="2">
        <v>15517.89</v>
      </c>
      <c r="F176" s="2">
        <v>31190.96</v>
      </c>
    </row>
    <row r="177" spans="1:6" x14ac:dyDescent="0.25">
      <c r="A177" t="s">
        <v>4052</v>
      </c>
      <c r="B177" t="s">
        <v>4053</v>
      </c>
      <c r="C177" t="s">
        <v>4054</v>
      </c>
      <c r="D177" s="7">
        <v>5</v>
      </c>
      <c r="E177" s="2">
        <v>67521.03</v>
      </c>
      <c r="F177" s="2">
        <v>3376.05</v>
      </c>
    </row>
    <row r="178" spans="1:6" x14ac:dyDescent="0.25">
      <c r="A178" t="s">
        <v>4055</v>
      </c>
      <c r="D178" s="7"/>
      <c r="E178" s="2"/>
      <c r="F178" s="2">
        <f>SUBTOTAL(109,A_1_03_11[VALOR PARCIAL])</f>
      </c>
    </row>
    <row r="180" ht="30" customHeight="1" spans="1:6" x14ac:dyDescent="0.25">
      <c r="A180" s="5" t="s">
        <v>4430</v>
      </c>
      <c r="B180" s="5"/>
      <c r="C180" s="5"/>
      <c r="D180" s="5"/>
      <c r="E180" s="5"/>
      <c r="F180" s="5"/>
    </row>
    <row r="181" ht="42" customHeight="1" spans="1:6" x14ac:dyDescent="0.25">
      <c r="A181" s="6" t="s">
        <v>4431</v>
      </c>
      <c r="B181" s="6"/>
      <c r="C181" s="6"/>
      <c r="D181" s="6"/>
      <c r="E181" s="6"/>
      <c r="F181" s="6"/>
    </row>
    <row r="182" spans="1:6" x14ac:dyDescent="0.25">
      <c r="A182" t="s">
        <v>4044</v>
      </c>
      <c r="B182" t="s">
        <v>4045</v>
      </c>
      <c r="C182" t="s">
        <v>5</v>
      </c>
      <c r="D182" t="s">
        <v>4046</v>
      </c>
      <c r="E182" t="s">
        <v>4047</v>
      </c>
      <c r="F182" t="s">
        <v>4048</v>
      </c>
    </row>
    <row r="183" spans="1:6" x14ac:dyDescent="0.25">
      <c r="A183" t="s">
        <v>4062</v>
      </c>
      <c r="B183" t="s">
        <v>4390</v>
      </c>
      <c r="C183" t="s">
        <v>231</v>
      </c>
      <c r="D183" s="7">
        <v>0.14</v>
      </c>
      <c r="E183" s="2">
        <v>4155</v>
      </c>
      <c r="F183" s="2">
        <v>581.7</v>
      </c>
    </row>
    <row r="184" spans="1:6" x14ac:dyDescent="0.25">
      <c r="A184" t="s">
        <v>4062</v>
      </c>
      <c r="B184" t="s">
        <v>4261</v>
      </c>
      <c r="C184" t="s">
        <v>231</v>
      </c>
      <c r="D184" s="7">
        <v>6.52</v>
      </c>
      <c r="E184" s="2">
        <v>2982</v>
      </c>
      <c r="F184" s="2">
        <v>19442.64</v>
      </c>
    </row>
    <row r="185" spans="1:6" x14ac:dyDescent="0.25">
      <c r="A185" t="s">
        <v>4062</v>
      </c>
      <c r="B185" t="s">
        <v>4320</v>
      </c>
      <c r="C185" t="s">
        <v>42</v>
      </c>
      <c r="D185" s="7">
        <v>0.06</v>
      </c>
      <c r="E185" s="2">
        <v>6222.23</v>
      </c>
      <c r="F185" s="2">
        <v>373.33</v>
      </c>
    </row>
    <row r="186" spans="1:6" x14ac:dyDescent="0.25">
      <c r="A186" t="s">
        <v>4062</v>
      </c>
      <c r="B186" t="s">
        <v>4429</v>
      </c>
      <c r="C186" t="s">
        <v>42</v>
      </c>
      <c r="D186" s="7">
        <v>1.8</v>
      </c>
      <c r="E186" s="2">
        <v>13100</v>
      </c>
      <c r="F186" s="2">
        <v>23580</v>
      </c>
    </row>
    <row r="187" spans="1:6" x14ac:dyDescent="0.25">
      <c r="A187" t="s">
        <v>4062</v>
      </c>
      <c r="B187" t="s">
        <v>3998</v>
      </c>
      <c r="C187" t="s">
        <v>34</v>
      </c>
      <c r="D187" s="7">
        <v>0.15</v>
      </c>
      <c r="E187" s="2">
        <v>520986.7</v>
      </c>
      <c r="F187" s="2">
        <v>78148.01</v>
      </c>
    </row>
    <row r="188" spans="1:6" x14ac:dyDescent="0.25">
      <c r="A188" t="s">
        <v>4062</v>
      </c>
      <c r="B188" t="s">
        <v>4418</v>
      </c>
      <c r="C188" t="s">
        <v>63</v>
      </c>
      <c r="D188" s="7">
        <v>0.07</v>
      </c>
      <c r="E188" s="2">
        <v>145017.78</v>
      </c>
      <c r="F188" s="2">
        <v>10296.26</v>
      </c>
    </row>
    <row r="189" spans="1:6" x14ac:dyDescent="0.25">
      <c r="A189" t="s">
        <v>4049</v>
      </c>
      <c r="B189" t="s">
        <v>4050</v>
      </c>
      <c r="C189" t="s">
        <v>4051</v>
      </c>
      <c r="D189" s="7">
        <v>4.02</v>
      </c>
      <c r="E189" s="2">
        <v>9037.33</v>
      </c>
      <c r="F189" s="2">
        <v>36330.07</v>
      </c>
    </row>
    <row r="190" spans="1:6" x14ac:dyDescent="0.25">
      <c r="A190" t="s">
        <v>4049</v>
      </c>
      <c r="B190" t="s">
        <v>4073</v>
      </c>
      <c r="C190" t="s">
        <v>4051</v>
      </c>
      <c r="D190" s="7">
        <v>2.01</v>
      </c>
      <c r="E190" s="2">
        <v>15517.89</v>
      </c>
      <c r="F190" s="2">
        <v>31190.96</v>
      </c>
    </row>
    <row r="191" spans="1:6" x14ac:dyDescent="0.25">
      <c r="A191" t="s">
        <v>4052</v>
      </c>
      <c r="B191" t="s">
        <v>4419</v>
      </c>
      <c r="C191" t="s">
        <v>247</v>
      </c>
      <c r="D191" s="7">
        <v>0.88</v>
      </c>
      <c r="E191" s="2">
        <v>7750</v>
      </c>
      <c r="F191" s="2">
        <v>6820</v>
      </c>
    </row>
    <row r="192" spans="1:6" x14ac:dyDescent="0.25">
      <c r="A192" t="s">
        <v>4052</v>
      </c>
      <c r="B192" t="s">
        <v>4286</v>
      </c>
      <c r="C192" t="s">
        <v>4106</v>
      </c>
      <c r="D192" s="7">
        <v>0.01</v>
      </c>
      <c r="E192" s="2">
        <v>73333.33</v>
      </c>
      <c r="F192" s="2">
        <v>733.33</v>
      </c>
    </row>
    <row r="193" spans="1:6" x14ac:dyDescent="0.25">
      <c r="A193" t="s">
        <v>4052</v>
      </c>
      <c r="B193" t="s">
        <v>4053</v>
      </c>
      <c r="C193" t="s">
        <v>4054</v>
      </c>
      <c r="D193" s="7">
        <v>5</v>
      </c>
      <c r="E193" s="2">
        <v>67521.03</v>
      </c>
      <c r="F193" s="2">
        <v>3376.05</v>
      </c>
    </row>
    <row r="194" spans="1:6" x14ac:dyDescent="0.25">
      <c r="A194" t="s">
        <v>4055</v>
      </c>
      <c r="D194" s="7"/>
      <c r="E194" s="2"/>
      <c r="F194" s="2">
        <f>SUBTOTAL(109,A_1_03_12[VALOR PARCIAL])</f>
      </c>
    </row>
    <row r="196" ht="30" customHeight="1" spans="1:6" x14ac:dyDescent="0.25">
      <c r="A196" s="5" t="s">
        <v>4432</v>
      </c>
      <c r="B196" s="5"/>
      <c r="C196" s="5"/>
      <c r="D196" s="5"/>
      <c r="E196" s="5"/>
      <c r="F196" s="5"/>
    </row>
    <row r="197" ht="42" customHeight="1" spans="1:6" x14ac:dyDescent="0.25">
      <c r="A197" s="6" t="s">
        <v>4433</v>
      </c>
      <c r="B197" s="6"/>
      <c r="C197" s="6"/>
      <c r="D197" s="6"/>
      <c r="E197" s="6"/>
      <c r="F197" s="6"/>
    </row>
    <row r="198" spans="1:6" x14ac:dyDescent="0.25">
      <c r="A198" t="s">
        <v>4044</v>
      </c>
      <c r="B198" t="s">
        <v>4045</v>
      </c>
      <c r="C198" t="s">
        <v>5</v>
      </c>
      <c r="D198" t="s">
        <v>4046</v>
      </c>
      <c r="E198" t="s">
        <v>4047</v>
      </c>
      <c r="F198" t="s">
        <v>4048</v>
      </c>
    </row>
    <row r="199" spans="1:6" x14ac:dyDescent="0.25">
      <c r="A199" t="s">
        <v>4062</v>
      </c>
      <c r="B199" t="s">
        <v>4012</v>
      </c>
      <c r="C199" t="s">
        <v>34</v>
      </c>
      <c r="D199" s="7">
        <v>0.08</v>
      </c>
      <c r="E199" s="2">
        <v>475506.98</v>
      </c>
      <c r="F199" s="2">
        <v>35663.02</v>
      </c>
    </row>
    <row r="200" spans="1:6" x14ac:dyDescent="0.25">
      <c r="A200" t="s">
        <v>4062</v>
      </c>
      <c r="B200" t="s">
        <v>4320</v>
      </c>
      <c r="C200" t="s">
        <v>42</v>
      </c>
      <c r="D200" s="7">
        <v>0.05</v>
      </c>
      <c r="E200" s="2">
        <v>6222.23</v>
      </c>
      <c r="F200" s="2">
        <v>311.11</v>
      </c>
    </row>
    <row r="201" spans="1:6" x14ac:dyDescent="0.25">
      <c r="A201" t="s">
        <v>4062</v>
      </c>
      <c r="B201" t="s">
        <v>4418</v>
      </c>
      <c r="C201" t="s">
        <v>63</v>
      </c>
      <c r="D201" s="7">
        <v>0.02</v>
      </c>
      <c r="E201" s="2">
        <v>145017.78</v>
      </c>
      <c r="F201" s="2">
        <v>2900.36</v>
      </c>
    </row>
    <row r="202" spans="1:6" x14ac:dyDescent="0.25">
      <c r="A202" t="s">
        <v>4062</v>
      </c>
      <c r="B202" t="s">
        <v>4434</v>
      </c>
      <c r="C202" t="s">
        <v>21</v>
      </c>
      <c r="D202" s="7">
        <v>1</v>
      </c>
      <c r="E202" s="2">
        <v>37547.87</v>
      </c>
      <c r="F202" s="2">
        <v>37547.87</v>
      </c>
    </row>
    <row r="203" spans="1:6" x14ac:dyDescent="0.25">
      <c r="A203" t="s">
        <v>4049</v>
      </c>
      <c r="B203" t="s">
        <v>4050</v>
      </c>
      <c r="C203" t="s">
        <v>4051</v>
      </c>
      <c r="D203" s="7">
        <v>1.34</v>
      </c>
      <c r="E203" s="2">
        <v>9037.33</v>
      </c>
      <c r="F203" s="2">
        <v>12110.02</v>
      </c>
    </row>
    <row r="204" spans="1:6" x14ac:dyDescent="0.25">
      <c r="A204" t="s">
        <v>4049</v>
      </c>
      <c r="B204" t="s">
        <v>4073</v>
      </c>
      <c r="C204" t="s">
        <v>4051</v>
      </c>
      <c r="D204" s="7">
        <v>0.67</v>
      </c>
      <c r="E204" s="2">
        <v>15517.89</v>
      </c>
      <c r="F204" s="2">
        <v>10396.99</v>
      </c>
    </row>
    <row r="205" spans="1:6" x14ac:dyDescent="0.25">
      <c r="A205" t="s">
        <v>4052</v>
      </c>
      <c r="B205" t="s">
        <v>4286</v>
      </c>
      <c r="C205" t="s">
        <v>4106</v>
      </c>
      <c r="D205" s="7">
        <v>0.05</v>
      </c>
      <c r="E205" s="2">
        <v>73333.33</v>
      </c>
      <c r="F205" s="2">
        <v>3666.67</v>
      </c>
    </row>
    <row r="206" spans="1:6" x14ac:dyDescent="0.25">
      <c r="A206" t="s">
        <v>4052</v>
      </c>
      <c r="B206" t="s">
        <v>4053</v>
      </c>
      <c r="C206" t="s">
        <v>4054</v>
      </c>
      <c r="D206" s="7">
        <v>3</v>
      </c>
      <c r="E206" s="2">
        <v>22507.01</v>
      </c>
      <c r="F206" s="2">
        <v>675.21</v>
      </c>
    </row>
    <row r="207" spans="1:6" x14ac:dyDescent="0.25">
      <c r="A207" t="s">
        <v>4055</v>
      </c>
      <c r="D207" s="7"/>
      <c r="E207" s="2"/>
      <c r="F207" s="2">
        <f>SUBTOTAL(109,A_1_03_13[VALOR PARCIAL])</f>
      </c>
    </row>
    <row r="209" ht="30" customHeight="1" spans="1:6" x14ac:dyDescent="0.25">
      <c r="A209" s="5" t="s">
        <v>4435</v>
      </c>
      <c r="B209" s="5"/>
      <c r="C209" s="5"/>
      <c r="D209" s="5"/>
      <c r="E209" s="5"/>
      <c r="F209" s="5"/>
    </row>
    <row r="210" ht="42" customHeight="1" spans="1:6" x14ac:dyDescent="0.25">
      <c r="A210" s="6" t="s">
        <v>4436</v>
      </c>
      <c r="B210" s="6"/>
      <c r="C210" s="6"/>
      <c r="D210" s="6"/>
      <c r="E210" s="6"/>
      <c r="F210" s="6"/>
    </row>
    <row r="211" spans="1:6" x14ac:dyDescent="0.25">
      <c r="A211" t="s">
        <v>4044</v>
      </c>
      <c r="B211" t="s">
        <v>4045</v>
      </c>
      <c r="C211" t="s">
        <v>5</v>
      </c>
      <c r="D211" t="s">
        <v>4046</v>
      </c>
      <c r="E211" t="s">
        <v>4047</v>
      </c>
      <c r="F211" t="s">
        <v>4048</v>
      </c>
    </row>
    <row r="212" spans="1:6" x14ac:dyDescent="0.25">
      <c r="A212" t="s">
        <v>4062</v>
      </c>
      <c r="B212" t="s">
        <v>4320</v>
      </c>
      <c r="C212" t="s">
        <v>42</v>
      </c>
      <c r="D212" s="7">
        <v>0.05</v>
      </c>
      <c r="E212" s="2">
        <v>6222.23</v>
      </c>
      <c r="F212" s="2">
        <v>311.11</v>
      </c>
    </row>
    <row r="213" spans="1:6" x14ac:dyDescent="0.25">
      <c r="A213" t="s">
        <v>4062</v>
      </c>
      <c r="B213" t="s">
        <v>3998</v>
      </c>
      <c r="C213" t="s">
        <v>34</v>
      </c>
      <c r="D213" s="7">
        <v>0.08</v>
      </c>
      <c r="E213" s="2">
        <v>520986.7</v>
      </c>
      <c r="F213" s="2">
        <v>39074</v>
      </c>
    </row>
    <row r="214" spans="1:6" x14ac:dyDescent="0.25">
      <c r="A214" t="s">
        <v>4062</v>
      </c>
      <c r="B214" t="s">
        <v>4418</v>
      </c>
      <c r="C214" t="s">
        <v>63</v>
      </c>
      <c r="D214" s="7">
        <v>0.02</v>
      </c>
      <c r="E214" s="2">
        <v>145017.78</v>
      </c>
      <c r="F214" s="2">
        <v>2900.36</v>
      </c>
    </row>
    <row r="215" spans="1:6" x14ac:dyDescent="0.25">
      <c r="A215" t="s">
        <v>4062</v>
      </c>
      <c r="B215" t="s">
        <v>4434</v>
      </c>
      <c r="C215" t="s">
        <v>21</v>
      </c>
      <c r="D215" s="7">
        <v>1</v>
      </c>
      <c r="E215" s="2">
        <v>37547.87</v>
      </c>
      <c r="F215" s="2">
        <v>37547.87</v>
      </c>
    </row>
    <row r="216" spans="1:6" x14ac:dyDescent="0.25">
      <c r="A216" t="s">
        <v>4049</v>
      </c>
      <c r="B216" t="s">
        <v>4286</v>
      </c>
      <c r="C216" t="s">
        <v>4106</v>
      </c>
      <c r="D216" s="7">
        <v>0.05</v>
      </c>
      <c r="E216" s="2">
        <v>73333.33</v>
      </c>
      <c r="F216" s="2">
        <v>3666.67</v>
      </c>
    </row>
    <row r="217" spans="1:6" x14ac:dyDescent="0.25">
      <c r="A217" t="s">
        <v>4049</v>
      </c>
      <c r="B217" t="s">
        <v>4050</v>
      </c>
      <c r="C217" t="s">
        <v>4051</v>
      </c>
      <c r="D217" s="7">
        <v>1.34</v>
      </c>
      <c r="E217" s="2">
        <v>9037.33</v>
      </c>
      <c r="F217" s="2">
        <v>12110.02</v>
      </c>
    </row>
    <row r="218" spans="1:6" x14ac:dyDescent="0.25">
      <c r="A218" t="s">
        <v>4049</v>
      </c>
      <c r="B218" t="s">
        <v>4073</v>
      </c>
      <c r="C218" t="s">
        <v>4051</v>
      </c>
      <c r="D218" s="7">
        <v>0.67</v>
      </c>
      <c r="E218" s="2">
        <v>15517.89</v>
      </c>
      <c r="F218" s="2">
        <v>10396.99</v>
      </c>
    </row>
    <row r="219" spans="1:6" x14ac:dyDescent="0.25">
      <c r="A219" t="s">
        <v>4052</v>
      </c>
      <c r="B219" t="s">
        <v>4053</v>
      </c>
      <c r="C219" t="s">
        <v>4054</v>
      </c>
      <c r="D219" s="7">
        <v>3</v>
      </c>
      <c r="E219" s="2">
        <v>22507.01</v>
      </c>
      <c r="F219" s="2">
        <v>675.21</v>
      </c>
    </row>
    <row r="220" spans="1:6" x14ac:dyDescent="0.25">
      <c r="A220" t="s">
        <v>4055</v>
      </c>
      <c r="D220" s="7"/>
      <c r="E220" s="2"/>
      <c r="F220" s="2">
        <f>SUBTOTAL(109,A_1_03_14[VALOR PARCIAL])</f>
      </c>
    </row>
    <row r="222" ht="30" customHeight="1" spans="1:6" x14ac:dyDescent="0.25">
      <c r="A222" s="5" t="s">
        <v>4437</v>
      </c>
      <c r="B222" s="5"/>
      <c r="C222" s="5"/>
      <c r="D222" s="5"/>
      <c r="E222" s="5"/>
      <c r="F222" s="5"/>
    </row>
    <row r="223" ht="42" customHeight="1" spans="1:6" x14ac:dyDescent="0.25">
      <c r="A223" s="6" t="s">
        <v>4438</v>
      </c>
      <c r="B223" s="6"/>
      <c r="C223" s="6"/>
      <c r="D223" s="6"/>
      <c r="E223" s="6"/>
      <c r="F223" s="6"/>
    </row>
    <row r="224" spans="1:6" x14ac:dyDescent="0.25">
      <c r="A224" t="s">
        <v>4044</v>
      </c>
      <c r="B224" t="s">
        <v>4045</v>
      </c>
      <c r="C224" t="s">
        <v>5</v>
      </c>
      <c r="D224" t="s">
        <v>4046</v>
      </c>
      <c r="E224" t="s">
        <v>4047</v>
      </c>
      <c r="F224" t="s">
        <v>4048</v>
      </c>
    </row>
    <row r="225" spans="1:6" x14ac:dyDescent="0.25">
      <c r="A225" t="s">
        <v>4062</v>
      </c>
      <c r="B225" t="s">
        <v>4390</v>
      </c>
      <c r="C225" t="s">
        <v>231</v>
      </c>
      <c r="D225" s="7">
        <v>0.12</v>
      </c>
      <c r="E225" s="2">
        <v>4155</v>
      </c>
      <c r="F225" s="2">
        <v>498.6</v>
      </c>
    </row>
    <row r="226" spans="1:6" x14ac:dyDescent="0.25">
      <c r="A226" t="s">
        <v>4062</v>
      </c>
      <c r="B226" t="s">
        <v>4012</v>
      </c>
      <c r="C226" t="s">
        <v>34</v>
      </c>
      <c r="D226" s="7">
        <v>0.12</v>
      </c>
      <c r="E226" s="2">
        <v>475506.98</v>
      </c>
      <c r="F226" s="2">
        <v>57060.84</v>
      </c>
    </row>
    <row r="227" spans="1:6" x14ac:dyDescent="0.25">
      <c r="A227" t="s">
        <v>4062</v>
      </c>
      <c r="B227" t="s">
        <v>4261</v>
      </c>
      <c r="C227" t="s">
        <v>231</v>
      </c>
      <c r="D227" s="7">
        <v>6.62</v>
      </c>
      <c r="E227" s="2">
        <v>2982</v>
      </c>
      <c r="F227" s="2">
        <v>19740.84</v>
      </c>
    </row>
    <row r="228" spans="1:6" x14ac:dyDescent="0.25">
      <c r="A228" t="s">
        <v>4062</v>
      </c>
      <c r="B228" t="s">
        <v>4439</v>
      </c>
      <c r="C228" t="s">
        <v>63</v>
      </c>
      <c r="D228" s="7">
        <v>12</v>
      </c>
      <c r="E228" s="2">
        <v>1032</v>
      </c>
      <c r="F228" s="2">
        <v>12384</v>
      </c>
    </row>
    <row r="229" spans="1:6" x14ac:dyDescent="0.25">
      <c r="A229" t="s">
        <v>4062</v>
      </c>
      <c r="B229" t="s">
        <v>4400</v>
      </c>
      <c r="C229" t="s">
        <v>42</v>
      </c>
      <c r="D229" s="7">
        <v>0.21</v>
      </c>
      <c r="E229" s="2">
        <v>5286.26</v>
      </c>
      <c r="F229" s="2">
        <v>1110.11</v>
      </c>
    </row>
    <row r="230" spans="1:6" x14ac:dyDescent="0.25">
      <c r="A230" t="s">
        <v>4062</v>
      </c>
      <c r="B230" t="s">
        <v>4070</v>
      </c>
      <c r="C230" t="s">
        <v>42</v>
      </c>
      <c r="D230" s="7">
        <v>0.46</v>
      </c>
      <c r="E230" s="2">
        <v>7381.08</v>
      </c>
      <c r="F230" s="2">
        <v>3395.3</v>
      </c>
    </row>
    <row r="231" spans="1:6" x14ac:dyDescent="0.25">
      <c r="A231" t="s">
        <v>4062</v>
      </c>
      <c r="B231" t="s">
        <v>4071</v>
      </c>
      <c r="C231" t="s">
        <v>42</v>
      </c>
      <c r="D231" s="7">
        <v>0.49</v>
      </c>
      <c r="E231" s="2">
        <v>2555</v>
      </c>
      <c r="F231" s="2">
        <v>1251.95</v>
      </c>
    </row>
    <row r="232" spans="1:6" x14ac:dyDescent="0.25">
      <c r="A232" t="s">
        <v>4062</v>
      </c>
      <c r="B232" t="s">
        <v>4418</v>
      </c>
      <c r="C232" t="s">
        <v>63</v>
      </c>
      <c r="D232" s="7">
        <v>0.07</v>
      </c>
      <c r="E232" s="2">
        <v>145017.78</v>
      </c>
      <c r="F232" s="2">
        <v>10151.24</v>
      </c>
    </row>
    <row r="233" spans="1:6" x14ac:dyDescent="0.25">
      <c r="A233" t="s">
        <v>4062</v>
      </c>
      <c r="B233" t="s">
        <v>4065</v>
      </c>
      <c r="C233" t="s">
        <v>4066</v>
      </c>
      <c r="D233" s="7">
        <v>0.02</v>
      </c>
      <c r="E233" s="2">
        <v>3433</v>
      </c>
      <c r="F233" s="2">
        <v>68.66</v>
      </c>
    </row>
    <row r="234" spans="1:6" x14ac:dyDescent="0.25">
      <c r="A234" t="s">
        <v>4049</v>
      </c>
      <c r="B234" t="s">
        <v>4050</v>
      </c>
      <c r="C234" t="s">
        <v>4051</v>
      </c>
      <c r="D234" s="7">
        <v>2.4</v>
      </c>
      <c r="E234" s="2">
        <v>9037.33</v>
      </c>
      <c r="F234" s="2">
        <v>21689.59</v>
      </c>
    </row>
    <row r="235" spans="1:6" x14ac:dyDescent="0.25">
      <c r="A235" t="s">
        <v>4049</v>
      </c>
      <c r="B235" t="s">
        <v>4073</v>
      </c>
      <c r="C235" t="s">
        <v>4051</v>
      </c>
      <c r="D235" s="7">
        <v>2.4</v>
      </c>
      <c r="E235" s="2">
        <v>15517.89</v>
      </c>
      <c r="F235" s="2">
        <v>37242.94</v>
      </c>
    </row>
    <row r="236" spans="1:6" x14ac:dyDescent="0.25">
      <c r="A236" t="s">
        <v>4052</v>
      </c>
      <c r="B236" t="s">
        <v>4414</v>
      </c>
      <c r="C236" t="s">
        <v>4106</v>
      </c>
      <c r="D236" s="7">
        <v>24</v>
      </c>
      <c r="E236" s="2">
        <v>5691.28</v>
      </c>
      <c r="F236" s="2">
        <v>136590.72</v>
      </c>
    </row>
    <row r="237" spans="1:6" x14ac:dyDescent="0.25">
      <c r="A237" t="s">
        <v>4052</v>
      </c>
      <c r="B237" t="s">
        <v>4286</v>
      </c>
      <c r="C237" t="s">
        <v>4106</v>
      </c>
      <c r="D237" s="7">
        <v>0.01</v>
      </c>
      <c r="E237" s="2">
        <v>73333.33</v>
      </c>
      <c r="F237" s="2">
        <v>733.33</v>
      </c>
    </row>
    <row r="238" spans="1:6" x14ac:dyDescent="0.25">
      <c r="A238" t="s">
        <v>4052</v>
      </c>
      <c r="B238" t="s">
        <v>4053</v>
      </c>
      <c r="C238" t="s">
        <v>4054</v>
      </c>
      <c r="D238" s="7">
        <v>5</v>
      </c>
      <c r="E238" s="2">
        <v>58932.53</v>
      </c>
      <c r="F238" s="2">
        <v>2946.63</v>
      </c>
    </row>
    <row r="239" spans="1:6" x14ac:dyDescent="0.25">
      <c r="A239" t="s">
        <v>4055</v>
      </c>
      <c r="D239" s="7"/>
      <c r="E239" s="2"/>
      <c r="F239" s="2">
        <f>SUBTOTAL(109,A_1_03_15[VALOR PARCIAL])</f>
      </c>
    </row>
    <row r="241" ht="30" customHeight="1" spans="1:6" x14ac:dyDescent="0.25">
      <c r="A241" s="5" t="s">
        <v>4440</v>
      </c>
      <c r="B241" s="5"/>
      <c r="C241" s="5"/>
      <c r="D241" s="5"/>
      <c r="E241" s="5"/>
      <c r="F241" s="5"/>
    </row>
    <row r="242" ht="42" customHeight="1" spans="1:6" x14ac:dyDescent="0.25">
      <c r="A242" s="6" t="s">
        <v>4441</v>
      </c>
      <c r="B242" s="6"/>
      <c r="C242" s="6"/>
      <c r="D242" s="6"/>
      <c r="E242" s="6"/>
      <c r="F242" s="6"/>
    </row>
    <row r="243" spans="1:6" x14ac:dyDescent="0.25">
      <c r="A243" t="s">
        <v>4044</v>
      </c>
      <c r="B243" t="s">
        <v>4045</v>
      </c>
      <c r="C243" t="s">
        <v>5</v>
      </c>
      <c r="D243" t="s">
        <v>4046</v>
      </c>
      <c r="E243" t="s">
        <v>4047</v>
      </c>
      <c r="F243" t="s">
        <v>4048</v>
      </c>
    </row>
    <row r="244" spans="1:6" x14ac:dyDescent="0.25">
      <c r="A244" t="s">
        <v>4062</v>
      </c>
      <c r="B244" t="s">
        <v>4390</v>
      </c>
      <c r="C244" t="s">
        <v>231</v>
      </c>
      <c r="D244" s="7">
        <v>0.12</v>
      </c>
      <c r="E244" s="2">
        <v>4155</v>
      </c>
      <c r="F244" s="2">
        <v>498.6</v>
      </c>
    </row>
    <row r="245" spans="1:6" x14ac:dyDescent="0.25">
      <c r="A245" t="s">
        <v>4062</v>
      </c>
      <c r="B245" t="s">
        <v>4261</v>
      </c>
      <c r="C245" t="s">
        <v>231</v>
      </c>
      <c r="D245" s="7">
        <v>6.62</v>
      </c>
      <c r="E245" s="2">
        <v>2982</v>
      </c>
      <c r="F245" s="2">
        <v>19740.84</v>
      </c>
    </row>
    <row r="246" spans="1:6" x14ac:dyDescent="0.25">
      <c r="A246" t="s">
        <v>4062</v>
      </c>
      <c r="B246" t="s">
        <v>4023</v>
      </c>
      <c r="C246" t="s">
        <v>34</v>
      </c>
      <c r="D246" s="7">
        <v>0.17</v>
      </c>
      <c r="E246" s="2">
        <v>598074.17</v>
      </c>
      <c r="F246" s="2">
        <v>101672.61</v>
      </c>
    </row>
    <row r="247" spans="1:6" x14ac:dyDescent="0.25">
      <c r="A247" t="s">
        <v>4062</v>
      </c>
      <c r="B247" t="s">
        <v>4442</v>
      </c>
      <c r="C247" t="s">
        <v>21</v>
      </c>
      <c r="D247" s="7">
        <v>1.02</v>
      </c>
      <c r="E247" s="2">
        <v>2386</v>
      </c>
      <c r="F247" s="2">
        <v>2433.72</v>
      </c>
    </row>
    <row r="248" spans="1:6" x14ac:dyDescent="0.25">
      <c r="A248" t="s">
        <v>4062</v>
      </c>
      <c r="B248" t="s">
        <v>4400</v>
      </c>
      <c r="C248" t="s">
        <v>42</v>
      </c>
      <c r="D248" s="7">
        <v>0.05</v>
      </c>
      <c r="E248" s="2">
        <v>5286.26</v>
      </c>
      <c r="F248" s="2">
        <v>264.31</v>
      </c>
    </row>
    <row r="249" spans="1:6" x14ac:dyDescent="0.25">
      <c r="A249" t="s">
        <v>4062</v>
      </c>
      <c r="B249" t="s">
        <v>4070</v>
      </c>
      <c r="C249" t="s">
        <v>42</v>
      </c>
      <c r="D249" s="7">
        <v>0.06</v>
      </c>
      <c r="E249" s="2">
        <v>7381.08</v>
      </c>
      <c r="F249" s="2">
        <v>442.86</v>
      </c>
    </row>
    <row r="250" spans="1:6" x14ac:dyDescent="0.25">
      <c r="A250" t="s">
        <v>4062</v>
      </c>
      <c r="B250" t="s">
        <v>4443</v>
      </c>
      <c r="C250" t="s">
        <v>42</v>
      </c>
      <c r="D250" s="7">
        <v>3.87</v>
      </c>
      <c r="E250" s="2">
        <v>4244.21</v>
      </c>
      <c r="F250" s="2">
        <v>16425.09</v>
      </c>
    </row>
    <row r="251" spans="1:6" x14ac:dyDescent="0.25">
      <c r="A251" t="s">
        <v>4062</v>
      </c>
      <c r="B251" t="s">
        <v>4065</v>
      </c>
      <c r="C251" t="s">
        <v>4066</v>
      </c>
      <c r="D251" s="7">
        <v>0.02</v>
      </c>
      <c r="E251" s="2">
        <v>3433</v>
      </c>
      <c r="F251" s="2">
        <v>68.66</v>
      </c>
    </row>
    <row r="252" spans="1:6" x14ac:dyDescent="0.25">
      <c r="A252" t="s">
        <v>4049</v>
      </c>
      <c r="B252" t="s">
        <v>4050</v>
      </c>
      <c r="C252" t="s">
        <v>4051</v>
      </c>
      <c r="D252" s="7">
        <v>2.3</v>
      </c>
      <c r="E252" s="2">
        <v>9037.33</v>
      </c>
      <c r="F252" s="2">
        <v>20785.86</v>
      </c>
    </row>
    <row r="253" spans="1:6" x14ac:dyDescent="0.25">
      <c r="A253" t="s">
        <v>4049</v>
      </c>
      <c r="B253" t="s">
        <v>4073</v>
      </c>
      <c r="C253" t="s">
        <v>4051</v>
      </c>
      <c r="D253" s="7">
        <v>2.3</v>
      </c>
      <c r="E253" s="2">
        <v>15517.89</v>
      </c>
      <c r="F253" s="2">
        <v>35691.15</v>
      </c>
    </row>
    <row r="254" spans="1:6" x14ac:dyDescent="0.25">
      <c r="A254" t="s">
        <v>4052</v>
      </c>
      <c r="B254" t="s">
        <v>4286</v>
      </c>
      <c r="C254" t="s">
        <v>4106</v>
      </c>
      <c r="D254" s="7">
        <v>0.01</v>
      </c>
      <c r="E254" s="2">
        <v>73333.33</v>
      </c>
      <c r="F254" s="2">
        <v>733.33</v>
      </c>
    </row>
    <row r="255" spans="1:6" x14ac:dyDescent="0.25">
      <c r="A255" t="s">
        <v>4052</v>
      </c>
      <c r="B255" t="s">
        <v>4105</v>
      </c>
      <c r="C255" t="s">
        <v>4106</v>
      </c>
      <c r="D255" s="7">
        <v>2.3</v>
      </c>
      <c r="E255" s="2">
        <v>25125</v>
      </c>
      <c r="F255" s="2">
        <v>57787.5</v>
      </c>
    </row>
    <row r="256" spans="1:6" x14ac:dyDescent="0.25">
      <c r="A256" t="s">
        <v>4052</v>
      </c>
      <c r="B256" t="s">
        <v>4053</v>
      </c>
      <c r="C256" t="s">
        <v>4054</v>
      </c>
      <c r="D256" s="7">
        <v>5</v>
      </c>
      <c r="E256" s="2">
        <v>56477.01</v>
      </c>
      <c r="F256" s="2">
        <v>2823.85</v>
      </c>
    </row>
    <row r="257" spans="1:6" x14ac:dyDescent="0.25">
      <c r="A257" t="s">
        <v>4055</v>
      </c>
      <c r="D257" s="7"/>
      <c r="E257" s="2"/>
      <c r="F257" s="2">
        <f>SUBTOTAL(109,A_1_03_16[VALOR PARCIAL])</f>
      </c>
    </row>
    <row r="259" ht="30" customHeight="1" spans="1:6" x14ac:dyDescent="0.25">
      <c r="A259" s="5" t="s">
        <v>4444</v>
      </c>
      <c r="B259" s="5"/>
      <c r="C259" s="5"/>
      <c r="D259" s="5"/>
      <c r="E259" s="5"/>
      <c r="F259" s="5"/>
    </row>
    <row r="260" ht="42" customHeight="1" spans="1:6" x14ac:dyDescent="0.25">
      <c r="A260" s="6" t="s">
        <v>4445</v>
      </c>
      <c r="B260" s="6"/>
      <c r="C260" s="6"/>
      <c r="D260" s="6"/>
      <c r="E260" s="6"/>
      <c r="F260" s="6"/>
    </row>
    <row r="261" spans="1:6" x14ac:dyDescent="0.25">
      <c r="A261" t="s">
        <v>4044</v>
      </c>
      <c r="B261" t="s">
        <v>4045</v>
      </c>
      <c r="C261" t="s">
        <v>5</v>
      </c>
      <c r="D261" t="s">
        <v>4046</v>
      </c>
      <c r="E261" t="s">
        <v>4047</v>
      </c>
      <c r="F261" t="s">
        <v>4048</v>
      </c>
    </row>
    <row r="262" spans="1:6" x14ac:dyDescent="0.25">
      <c r="A262" t="s">
        <v>4062</v>
      </c>
      <c r="B262" t="s">
        <v>4446</v>
      </c>
      <c r="C262" t="s">
        <v>42</v>
      </c>
      <c r="D262" s="7">
        <v>1.03</v>
      </c>
      <c r="E262" s="2">
        <v>31205</v>
      </c>
      <c r="F262" s="2">
        <v>32141.15</v>
      </c>
    </row>
    <row r="263" spans="1:6" x14ac:dyDescent="0.25">
      <c r="A263" t="s">
        <v>4062</v>
      </c>
      <c r="B263" t="s">
        <v>4012</v>
      </c>
      <c r="C263" t="s">
        <v>34</v>
      </c>
      <c r="D263" s="7">
        <v>0.06</v>
      </c>
      <c r="E263" s="2">
        <v>475506.98</v>
      </c>
      <c r="F263" s="2">
        <v>28530.42</v>
      </c>
    </row>
    <row r="264" spans="1:6" x14ac:dyDescent="0.25">
      <c r="A264" t="s">
        <v>4062</v>
      </c>
      <c r="B264" t="s">
        <v>4320</v>
      </c>
      <c r="C264" t="s">
        <v>42</v>
      </c>
      <c r="D264" s="7">
        <v>0.08</v>
      </c>
      <c r="E264" s="2">
        <v>6222.23</v>
      </c>
      <c r="F264" s="2">
        <v>497.78</v>
      </c>
    </row>
    <row r="265" spans="1:6" x14ac:dyDescent="0.25">
      <c r="A265" t="s">
        <v>4062</v>
      </c>
      <c r="B265" t="s">
        <v>4447</v>
      </c>
      <c r="C265" t="s">
        <v>63</v>
      </c>
      <c r="D265" s="7">
        <v>5.5</v>
      </c>
      <c r="E265" s="2">
        <v>3650</v>
      </c>
      <c r="F265" s="2">
        <v>20075</v>
      </c>
    </row>
    <row r="266" spans="1:6" x14ac:dyDescent="0.25">
      <c r="A266" t="s">
        <v>4062</v>
      </c>
      <c r="B266" t="s">
        <v>4418</v>
      </c>
      <c r="C266" t="s">
        <v>63</v>
      </c>
      <c r="D266" s="7">
        <v>0.07</v>
      </c>
      <c r="E266" s="2">
        <v>145017.78</v>
      </c>
      <c r="F266" s="2">
        <v>10296.26</v>
      </c>
    </row>
    <row r="267" spans="1:6" x14ac:dyDescent="0.25">
      <c r="A267" t="s">
        <v>4062</v>
      </c>
      <c r="B267" t="s">
        <v>4322</v>
      </c>
      <c r="C267" t="s">
        <v>42</v>
      </c>
      <c r="D267" s="7">
        <v>0.08</v>
      </c>
      <c r="E267" s="2">
        <v>5304</v>
      </c>
      <c r="F267" s="2">
        <v>424.32</v>
      </c>
    </row>
    <row r="268" spans="1:6" x14ac:dyDescent="0.25">
      <c r="A268" t="s">
        <v>4049</v>
      </c>
      <c r="B268" t="s">
        <v>4050</v>
      </c>
      <c r="C268" t="s">
        <v>4051</v>
      </c>
      <c r="D268" s="7">
        <v>8.34</v>
      </c>
      <c r="E268" s="2">
        <v>9037.33</v>
      </c>
      <c r="F268" s="2">
        <v>75371.33</v>
      </c>
    </row>
    <row r="269" spans="1:6" x14ac:dyDescent="0.25">
      <c r="A269" t="s">
        <v>4049</v>
      </c>
      <c r="B269" t="s">
        <v>4073</v>
      </c>
      <c r="C269" t="s">
        <v>4051</v>
      </c>
      <c r="D269" s="7">
        <v>4.17</v>
      </c>
      <c r="E269" s="2">
        <v>15517.89</v>
      </c>
      <c r="F269" s="2">
        <v>64709.6</v>
      </c>
    </row>
    <row r="270" spans="1:6" x14ac:dyDescent="0.25">
      <c r="A270" t="s">
        <v>4052</v>
      </c>
      <c r="B270" t="s">
        <v>4053</v>
      </c>
      <c r="C270" t="s">
        <v>4054</v>
      </c>
      <c r="D270" s="7">
        <v>3</v>
      </c>
      <c r="E270" s="2">
        <v>140080.93</v>
      </c>
      <c r="F270" s="2">
        <v>4202.43</v>
      </c>
    </row>
    <row r="271" spans="1:6" x14ac:dyDescent="0.25">
      <c r="A271" t="s">
        <v>4055</v>
      </c>
      <c r="D271" s="7"/>
      <c r="E271" s="2"/>
      <c r="F271" s="2">
        <f>SUBTOTAL(109,A_1_03_17[VALOR PARCIAL])</f>
      </c>
    </row>
    <row r="273" ht="30" customHeight="1" spans="1:6" x14ac:dyDescent="0.25">
      <c r="A273" s="5" t="s">
        <v>4448</v>
      </c>
      <c r="B273" s="5"/>
      <c r="C273" s="5"/>
      <c r="D273" s="5"/>
      <c r="E273" s="5"/>
      <c r="F273" s="5"/>
    </row>
    <row r="274" ht="42" customHeight="1" spans="1:6" x14ac:dyDescent="0.25">
      <c r="A274" s="6" t="s">
        <v>4449</v>
      </c>
      <c r="B274" s="6"/>
      <c r="C274" s="6"/>
      <c r="D274" s="6"/>
      <c r="E274" s="6"/>
      <c r="F274" s="6"/>
    </row>
    <row r="275" spans="1:6" x14ac:dyDescent="0.25">
      <c r="A275" t="s">
        <v>4044</v>
      </c>
      <c r="B275" t="s">
        <v>4045</v>
      </c>
      <c r="C275" t="s">
        <v>5</v>
      </c>
      <c r="D275" t="s">
        <v>4046</v>
      </c>
      <c r="E275" t="s">
        <v>4047</v>
      </c>
      <c r="F275" t="s">
        <v>4048</v>
      </c>
    </row>
    <row r="276" spans="1:6" x14ac:dyDescent="0.25">
      <c r="A276" t="s">
        <v>4062</v>
      </c>
      <c r="B276" t="s">
        <v>4446</v>
      </c>
      <c r="C276" t="s">
        <v>42</v>
      </c>
      <c r="D276" s="7">
        <v>1.03</v>
      </c>
      <c r="E276" s="2">
        <v>31205</v>
      </c>
      <c r="F276" s="2">
        <v>32141.15</v>
      </c>
    </row>
    <row r="277" spans="1:6" x14ac:dyDescent="0.25">
      <c r="A277" t="s">
        <v>4062</v>
      </c>
      <c r="B277" t="s">
        <v>4320</v>
      </c>
      <c r="C277" t="s">
        <v>42</v>
      </c>
      <c r="D277" s="7">
        <v>0.08</v>
      </c>
      <c r="E277" s="2">
        <v>6222.23</v>
      </c>
      <c r="F277" s="2">
        <v>497.78</v>
      </c>
    </row>
    <row r="278" spans="1:6" x14ac:dyDescent="0.25">
      <c r="A278" t="s">
        <v>4062</v>
      </c>
      <c r="B278" t="s">
        <v>4447</v>
      </c>
      <c r="C278" t="s">
        <v>63</v>
      </c>
      <c r="D278" s="7">
        <v>5.5</v>
      </c>
      <c r="E278" s="2">
        <v>3650</v>
      </c>
      <c r="F278" s="2">
        <v>20075</v>
      </c>
    </row>
    <row r="279" spans="1:6" x14ac:dyDescent="0.25">
      <c r="A279" t="s">
        <v>4062</v>
      </c>
      <c r="B279" t="s">
        <v>3998</v>
      </c>
      <c r="C279" t="s">
        <v>34</v>
      </c>
      <c r="D279" s="7">
        <v>0.06</v>
      </c>
      <c r="E279" s="2">
        <v>520986.7</v>
      </c>
      <c r="F279" s="2">
        <v>31259.2</v>
      </c>
    </row>
    <row r="280" spans="1:6" x14ac:dyDescent="0.25">
      <c r="A280" t="s">
        <v>4062</v>
      </c>
      <c r="B280" t="s">
        <v>4418</v>
      </c>
      <c r="C280" t="s">
        <v>63</v>
      </c>
      <c r="D280" s="7">
        <v>0.07</v>
      </c>
      <c r="E280" s="2">
        <v>145017.78</v>
      </c>
      <c r="F280" s="2">
        <v>10151.24</v>
      </c>
    </row>
    <row r="281" spans="1:6" x14ac:dyDescent="0.25">
      <c r="A281" t="s">
        <v>4062</v>
      </c>
      <c r="B281" t="s">
        <v>4322</v>
      </c>
      <c r="C281" t="s">
        <v>42</v>
      </c>
      <c r="D281" s="7">
        <v>0.08</v>
      </c>
      <c r="E281" s="2">
        <v>5304</v>
      </c>
      <c r="F281" s="2">
        <v>424.32</v>
      </c>
    </row>
    <row r="282" spans="1:6" x14ac:dyDescent="0.25">
      <c r="A282" t="s">
        <v>4049</v>
      </c>
      <c r="B282" t="s">
        <v>4050</v>
      </c>
      <c r="C282" t="s">
        <v>4051</v>
      </c>
      <c r="D282" s="7">
        <v>8.34</v>
      </c>
      <c r="E282" s="2">
        <v>9037.33</v>
      </c>
      <c r="F282" s="2">
        <v>75371.33</v>
      </c>
    </row>
    <row r="283" spans="1:6" x14ac:dyDescent="0.25">
      <c r="A283" t="s">
        <v>4049</v>
      </c>
      <c r="B283" t="s">
        <v>4073</v>
      </c>
      <c r="C283" t="s">
        <v>4051</v>
      </c>
      <c r="D283" s="7">
        <v>4.17</v>
      </c>
      <c r="E283" s="2">
        <v>15517.89</v>
      </c>
      <c r="F283" s="2">
        <v>64709.6</v>
      </c>
    </row>
    <row r="284" spans="1:6" x14ac:dyDescent="0.25">
      <c r="A284" t="s">
        <v>4052</v>
      </c>
      <c r="B284" t="s">
        <v>4053</v>
      </c>
      <c r="C284" t="s">
        <v>4054</v>
      </c>
      <c r="D284" s="7">
        <v>3</v>
      </c>
      <c r="E284" s="2">
        <v>140080.93</v>
      </c>
      <c r="F284" s="2">
        <v>4202.43</v>
      </c>
    </row>
    <row r="285" spans="1:6" x14ac:dyDescent="0.25">
      <c r="A285" t="s">
        <v>4055</v>
      </c>
      <c r="D285" s="7"/>
      <c r="E285" s="2"/>
      <c r="F285" s="2">
        <f>SUBTOTAL(109,A_1_03_18[VALOR PARCIAL])</f>
      </c>
    </row>
    <row r="287" ht="30" customHeight="1" spans="1:6" x14ac:dyDescent="0.25">
      <c r="A287" s="5" t="s">
        <v>4450</v>
      </c>
      <c r="B287" s="5"/>
      <c r="C287" s="5"/>
      <c r="D287" s="5"/>
      <c r="E287" s="5"/>
      <c r="F287" s="5"/>
    </row>
    <row r="288" ht="42" customHeight="1" spans="1:6" x14ac:dyDescent="0.25">
      <c r="A288" s="6" t="s">
        <v>4451</v>
      </c>
      <c r="B288" s="6"/>
      <c r="C288" s="6"/>
      <c r="D288" s="6"/>
      <c r="E288" s="6"/>
      <c r="F288" s="6"/>
    </row>
    <row r="289" spans="1:6" x14ac:dyDescent="0.25">
      <c r="A289" t="s">
        <v>4044</v>
      </c>
      <c r="B289" t="s">
        <v>4045</v>
      </c>
      <c r="C289" t="s">
        <v>5</v>
      </c>
      <c r="D289" t="s">
        <v>4046</v>
      </c>
      <c r="E289" t="s">
        <v>4047</v>
      </c>
      <c r="F289" t="s">
        <v>4048</v>
      </c>
    </row>
    <row r="290" spans="1:6" x14ac:dyDescent="0.25">
      <c r="A290" t="s">
        <v>4062</v>
      </c>
      <c r="B290" t="s">
        <v>4012</v>
      </c>
      <c r="C290" t="s">
        <v>34</v>
      </c>
      <c r="D290" s="7">
        <v>0.11</v>
      </c>
      <c r="E290" s="2">
        <v>475506.98</v>
      </c>
      <c r="F290" s="2">
        <v>52305.77</v>
      </c>
    </row>
    <row r="291" spans="1:6" x14ac:dyDescent="0.25">
      <c r="A291" t="s">
        <v>4049</v>
      </c>
      <c r="B291" t="s">
        <v>4050</v>
      </c>
      <c r="C291" t="s">
        <v>4051</v>
      </c>
      <c r="D291" s="7">
        <v>2.2</v>
      </c>
      <c r="E291" s="2">
        <v>9037.33</v>
      </c>
      <c r="F291" s="2">
        <v>19882.13</v>
      </c>
    </row>
    <row r="292" spans="1:6" x14ac:dyDescent="0.25">
      <c r="A292" t="s">
        <v>4049</v>
      </c>
      <c r="B292" t="s">
        <v>4073</v>
      </c>
      <c r="C292" t="s">
        <v>4051</v>
      </c>
      <c r="D292" s="7">
        <v>2.2</v>
      </c>
      <c r="E292" s="2">
        <v>15517.89</v>
      </c>
      <c r="F292" s="2">
        <v>34139.36</v>
      </c>
    </row>
    <row r="293" spans="1:6" x14ac:dyDescent="0.25">
      <c r="A293" t="s">
        <v>4052</v>
      </c>
      <c r="B293" t="s">
        <v>4414</v>
      </c>
      <c r="C293" t="s">
        <v>4106</v>
      </c>
      <c r="D293" s="7">
        <v>24</v>
      </c>
      <c r="E293" s="2">
        <v>5691.28</v>
      </c>
      <c r="F293" s="2">
        <v>136590.72</v>
      </c>
    </row>
    <row r="294" spans="1:6" x14ac:dyDescent="0.25">
      <c r="A294" t="s">
        <v>4052</v>
      </c>
      <c r="B294" t="s">
        <v>4286</v>
      </c>
      <c r="C294" t="s">
        <v>4106</v>
      </c>
      <c r="D294" s="7">
        <v>0.1</v>
      </c>
      <c r="E294" s="2">
        <v>73333.33</v>
      </c>
      <c r="F294" s="2">
        <v>7333.33</v>
      </c>
    </row>
    <row r="295" spans="1:6" x14ac:dyDescent="0.25">
      <c r="A295" t="s">
        <v>4052</v>
      </c>
      <c r="B295" t="s">
        <v>4053</v>
      </c>
      <c r="C295" t="s">
        <v>4054</v>
      </c>
      <c r="D295" s="7">
        <v>5</v>
      </c>
      <c r="E295" s="2">
        <v>54021.49</v>
      </c>
      <c r="F295" s="2">
        <v>2701.07</v>
      </c>
    </row>
    <row r="296" spans="1:6" x14ac:dyDescent="0.25">
      <c r="A296" t="s">
        <v>4055</v>
      </c>
      <c r="D296" s="7"/>
      <c r="E296" s="2"/>
      <c r="F296" s="2">
        <f>SUBTOTAL(109,A_1_03_19[VALOR PARCIAL])</f>
      </c>
    </row>
    <row r="298" ht="30" customHeight="1" spans="1:6" x14ac:dyDescent="0.25">
      <c r="A298" s="5" t="s">
        <v>4452</v>
      </c>
      <c r="B298" s="5"/>
      <c r="C298" s="5"/>
      <c r="D298" s="5"/>
      <c r="E298" s="5"/>
      <c r="F298" s="5"/>
    </row>
    <row r="299" ht="42" customHeight="1" spans="1:6" x14ac:dyDescent="0.25">
      <c r="A299" s="6" t="s">
        <v>4453</v>
      </c>
      <c r="B299" s="6"/>
      <c r="C299" s="6"/>
      <c r="D299" s="6"/>
      <c r="E299" s="6"/>
      <c r="F299" s="6"/>
    </row>
    <row r="300" spans="1:6" x14ac:dyDescent="0.25">
      <c r="A300" t="s">
        <v>4044</v>
      </c>
      <c r="B300" t="s">
        <v>4045</v>
      </c>
      <c r="C300" t="s">
        <v>5</v>
      </c>
      <c r="D300" t="s">
        <v>4046</v>
      </c>
      <c r="E300" t="s">
        <v>4047</v>
      </c>
      <c r="F300" t="s">
        <v>4048</v>
      </c>
    </row>
    <row r="301" spans="1:6" x14ac:dyDescent="0.25">
      <c r="A301" t="s">
        <v>4062</v>
      </c>
      <c r="B301" t="s">
        <v>4012</v>
      </c>
      <c r="C301" t="s">
        <v>34</v>
      </c>
      <c r="D301" s="7">
        <v>0.13</v>
      </c>
      <c r="E301" s="2">
        <v>475506.98</v>
      </c>
      <c r="F301" s="2">
        <v>61815.91</v>
      </c>
    </row>
    <row r="302" spans="1:6" x14ac:dyDescent="0.25">
      <c r="A302" t="s">
        <v>4049</v>
      </c>
      <c r="B302" t="s">
        <v>4050</v>
      </c>
      <c r="C302" t="s">
        <v>4051</v>
      </c>
      <c r="D302" s="7">
        <v>2</v>
      </c>
      <c r="E302" s="2">
        <v>9037.33</v>
      </c>
      <c r="F302" s="2">
        <v>18074.66</v>
      </c>
    </row>
    <row r="303" spans="1:6" x14ac:dyDescent="0.25">
      <c r="A303" t="s">
        <v>4049</v>
      </c>
      <c r="B303" t="s">
        <v>4073</v>
      </c>
      <c r="C303" t="s">
        <v>4051</v>
      </c>
      <c r="D303" s="7">
        <v>2</v>
      </c>
      <c r="E303" s="2">
        <v>15517.89</v>
      </c>
      <c r="F303" s="2">
        <v>31035.78</v>
      </c>
    </row>
    <row r="304" spans="1:6" x14ac:dyDescent="0.25">
      <c r="A304" t="s">
        <v>4052</v>
      </c>
      <c r="B304" t="s">
        <v>4414</v>
      </c>
      <c r="C304" t="s">
        <v>4106</v>
      </c>
      <c r="D304" s="7">
        <v>24</v>
      </c>
      <c r="E304" s="2">
        <v>5691.28</v>
      </c>
      <c r="F304" s="2">
        <v>136590.72</v>
      </c>
    </row>
    <row r="305" spans="1:6" x14ac:dyDescent="0.25">
      <c r="A305" t="s">
        <v>4052</v>
      </c>
      <c r="B305" t="s">
        <v>4286</v>
      </c>
      <c r="C305" t="s">
        <v>4106</v>
      </c>
      <c r="D305" s="7">
        <v>0.1</v>
      </c>
      <c r="E305" s="2">
        <v>73333.33</v>
      </c>
      <c r="F305" s="2">
        <v>7333.33</v>
      </c>
    </row>
    <row r="306" spans="1:6" x14ac:dyDescent="0.25">
      <c r="A306" t="s">
        <v>4052</v>
      </c>
      <c r="B306" t="s">
        <v>4053</v>
      </c>
      <c r="C306" t="s">
        <v>4054</v>
      </c>
      <c r="D306" s="7">
        <v>5</v>
      </c>
      <c r="E306" s="2">
        <v>49110.44</v>
      </c>
      <c r="F306" s="2">
        <v>2455.52</v>
      </c>
    </row>
    <row r="307" spans="1:6" x14ac:dyDescent="0.25">
      <c r="A307" t="s">
        <v>4055</v>
      </c>
      <c r="D307" s="7"/>
      <c r="E307" s="2"/>
      <c r="F307" s="2">
        <f>SUBTOTAL(109,A_1_03_20[VALOR PARCIAL])</f>
      </c>
    </row>
    <row r="309" ht="30" customHeight="1" spans="1:6" x14ac:dyDescent="0.25">
      <c r="A309" s="5" t="s">
        <v>4454</v>
      </c>
      <c r="B309" s="5"/>
      <c r="C309" s="5"/>
      <c r="D309" s="5"/>
      <c r="E309" s="5"/>
      <c r="F309" s="5"/>
    </row>
    <row r="310" ht="42" customHeight="1" spans="1:6" x14ac:dyDescent="0.25">
      <c r="A310" s="6" t="s">
        <v>4455</v>
      </c>
      <c r="B310" s="6"/>
      <c r="C310" s="6"/>
      <c r="D310" s="6"/>
      <c r="E310" s="6"/>
      <c r="F310" s="6"/>
    </row>
    <row r="311" spans="1:6" x14ac:dyDescent="0.25">
      <c r="A311" t="s">
        <v>4044</v>
      </c>
      <c r="B311" t="s">
        <v>4045</v>
      </c>
      <c r="C311" t="s">
        <v>5</v>
      </c>
      <c r="D311" t="s">
        <v>4046</v>
      </c>
      <c r="E311" t="s">
        <v>4047</v>
      </c>
      <c r="F311" t="s">
        <v>4048</v>
      </c>
    </row>
    <row r="312" spans="1:6" x14ac:dyDescent="0.25">
      <c r="A312" t="s">
        <v>4062</v>
      </c>
      <c r="B312" t="s">
        <v>4012</v>
      </c>
      <c r="C312" t="s">
        <v>34</v>
      </c>
      <c r="D312" s="7">
        <v>0.16</v>
      </c>
      <c r="E312" s="2">
        <v>475506.98</v>
      </c>
      <c r="F312" s="2">
        <v>76081.12</v>
      </c>
    </row>
    <row r="313" spans="1:6" x14ac:dyDescent="0.25">
      <c r="A313" t="s">
        <v>4049</v>
      </c>
      <c r="B313" t="s">
        <v>4050</v>
      </c>
      <c r="C313" t="s">
        <v>4051</v>
      </c>
      <c r="D313" s="7">
        <v>3</v>
      </c>
      <c r="E313" s="2">
        <v>9037.33</v>
      </c>
      <c r="F313" s="2">
        <v>27111.99</v>
      </c>
    </row>
    <row r="314" spans="1:6" x14ac:dyDescent="0.25">
      <c r="A314" t="s">
        <v>4049</v>
      </c>
      <c r="B314" t="s">
        <v>4073</v>
      </c>
      <c r="C314" t="s">
        <v>4051</v>
      </c>
      <c r="D314" s="7">
        <v>3</v>
      </c>
      <c r="E314" s="2">
        <v>15517.89</v>
      </c>
      <c r="F314" s="2">
        <v>46553.67</v>
      </c>
    </row>
    <row r="315" spans="1:6" x14ac:dyDescent="0.25">
      <c r="A315" t="s">
        <v>4052</v>
      </c>
      <c r="B315" t="s">
        <v>4414</v>
      </c>
      <c r="C315" t="s">
        <v>4106</v>
      </c>
      <c r="D315" s="7">
        <v>24</v>
      </c>
      <c r="E315" s="2">
        <v>5691.28</v>
      </c>
      <c r="F315" s="2">
        <v>136590.72</v>
      </c>
    </row>
    <row r="316" spans="1:6" x14ac:dyDescent="0.25">
      <c r="A316" t="s">
        <v>4052</v>
      </c>
      <c r="B316" t="s">
        <v>4286</v>
      </c>
      <c r="C316" t="s">
        <v>4106</v>
      </c>
      <c r="D316" s="7">
        <v>0.1</v>
      </c>
      <c r="E316" s="2">
        <v>73333.33</v>
      </c>
      <c r="F316" s="2">
        <v>7333.33</v>
      </c>
    </row>
    <row r="317" spans="1:6" x14ac:dyDescent="0.25">
      <c r="A317" t="s">
        <v>4052</v>
      </c>
      <c r="B317" t="s">
        <v>4053</v>
      </c>
      <c r="C317" t="s">
        <v>4054</v>
      </c>
      <c r="D317" s="7">
        <v>5</v>
      </c>
      <c r="E317" s="2">
        <v>73665.66</v>
      </c>
      <c r="F317" s="2">
        <v>3683.28</v>
      </c>
    </row>
    <row r="318" spans="1:6" x14ac:dyDescent="0.25">
      <c r="A318" t="s">
        <v>4055</v>
      </c>
      <c r="D318" s="7"/>
      <c r="E318" s="2"/>
      <c r="F318" s="2">
        <f>SUBTOTAL(109,A_1_03_21[VALOR PARCIAL])</f>
      </c>
    </row>
    <row r="320" ht="30" customHeight="1" spans="1:6" x14ac:dyDescent="0.25">
      <c r="A320" s="5" t="s">
        <v>4456</v>
      </c>
      <c r="B320" s="5"/>
      <c r="C320" s="5"/>
      <c r="D320" s="5"/>
      <c r="E320" s="5"/>
      <c r="F320" s="5"/>
    </row>
    <row r="321" ht="42" customHeight="1" spans="1:6" x14ac:dyDescent="0.25">
      <c r="A321" s="6" t="s">
        <v>4457</v>
      </c>
      <c r="B321" s="6"/>
      <c r="C321" s="6"/>
      <c r="D321" s="6"/>
      <c r="E321" s="6"/>
      <c r="F321" s="6"/>
    </row>
    <row r="322" spans="1:6" x14ac:dyDescent="0.25">
      <c r="A322" t="s">
        <v>4044</v>
      </c>
      <c r="B322" t="s">
        <v>4045</v>
      </c>
      <c r="C322" t="s">
        <v>5</v>
      </c>
      <c r="D322" t="s">
        <v>4046</v>
      </c>
      <c r="E322" t="s">
        <v>4047</v>
      </c>
      <c r="F322" t="s">
        <v>4048</v>
      </c>
    </row>
    <row r="323" spans="1:6" x14ac:dyDescent="0.25">
      <c r="A323" t="s">
        <v>4062</v>
      </c>
      <c r="B323" t="s">
        <v>4390</v>
      </c>
      <c r="C323" t="s">
        <v>231</v>
      </c>
      <c r="D323" s="7">
        <v>0.03</v>
      </c>
      <c r="E323" s="2">
        <v>4155</v>
      </c>
      <c r="F323" s="2">
        <v>128.81</v>
      </c>
    </row>
    <row r="324" spans="1:6" x14ac:dyDescent="0.25">
      <c r="A324" t="s">
        <v>4062</v>
      </c>
      <c r="B324" t="s">
        <v>4458</v>
      </c>
      <c r="C324" t="s">
        <v>231</v>
      </c>
      <c r="D324" s="7">
        <v>1.05</v>
      </c>
      <c r="E324" s="2">
        <v>3628</v>
      </c>
      <c r="F324" s="2">
        <v>3809.4</v>
      </c>
    </row>
    <row r="325" spans="1:6" x14ac:dyDescent="0.25">
      <c r="A325" t="s">
        <v>4049</v>
      </c>
      <c r="B325" t="s">
        <v>4050</v>
      </c>
      <c r="C325" t="s">
        <v>4051</v>
      </c>
      <c r="D325" s="7">
        <v>0.03</v>
      </c>
      <c r="E325" s="2">
        <v>9037.33</v>
      </c>
      <c r="F325" s="2">
        <v>307.27</v>
      </c>
    </row>
    <row r="326" spans="1:6" x14ac:dyDescent="0.25">
      <c r="A326" t="s">
        <v>4049</v>
      </c>
      <c r="B326" t="s">
        <v>4073</v>
      </c>
      <c r="C326" t="s">
        <v>4051</v>
      </c>
      <c r="D326" s="7">
        <v>0.03</v>
      </c>
      <c r="E326" s="2">
        <v>15517.89</v>
      </c>
      <c r="F326" s="2">
        <v>527.61</v>
      </c>
    </row>
    <row r="327" spans="1:6" x14ac:dyDescent="0.25">
      <c r="A327" t="s">
        <v>4052</v>
      </c>
      <c r="B327" t="s">
        <v>4053</v>
      </c>
      <c r="C327" t="s">
        <v>4054</v>
      </c>
      <c r="D327" s="7">
        <v>5</v>
      </c>
      <c r="E327" s="2">
        <v>834.88</v>
      </c>
      <c r="F327" s="2">
        <v>41.74</v>
      </c>
    </row>
    <row r="328" spans="1:6" x14ac:dyDescent="0.25">
      <c r="A328" t="s">
        <v>4055</v>
      </c>
      <c r="D328" s="7"/>
      <c r="E328" s="2"/>
      <c r="F328" s="2">
        <f>SUBTOTAL(109,A_1_03_22[VALOR PARCIAL])</f>
      </c>
    </row>
    <row r="330" ht="30" customHeight="1" spans="1:6" x14ac:dyDescent="0.25">
      <c r="A330" s="5" t="s">
        <v>4459</v>
      </c>
      <c r="B330" s="5"/>
      <c r="C330" s="5"/>
      <c r="D330" s="5"/>
      <c r="E330" s="5"/>
      <c r="F330" s="5"/>
    </row>
    <row r="331" ht="42" customHeight="1" spans="1:6" x14ac:dyDescent="0.25">
      <c r="A331" s="6" t="s">
        <v>4460</v>
      </c>
      <c r="B331" s="6"/>
      <c r="C331" s="6"/>
      <c r="D331" s="6"/>
      <c r="E331" s="6"/>
      <c r="F331" s="6"/>
    </row>
    <row r="332" spans="1:6" x14ac:dyDescent="0.25">
      <c r="A332" t="s">
        <v>4044</v>
      </c>
      <c r="B332" t="s">
        <v>4045</v>
      </c>
      <c r="C332" t="s">
        <v>5</v>
      </c>
      <c r="D332" t="s">
        <v>4046</v>
      </c>
      <c r="E332" t="s">
        <v>4047</v>
      </c>
      <c r="F332" t="s">
        <v>4048</v>
      </c>
    </row>
    <row r="333" spans="1:6" x14ac:dyDescent="0.25">
      <c r="A333" t="s">
        <v>4062</v>
      </c>
      <c r="B333" t="s">
        <v>4390</v>
      </c>
      <c r="C333" t="s">
        <v>231</v>
      </c>
      <c r="D333" s="7">
        <v>2</v>
      </c>
      <c r="E333" s="2">
        <v>4155</v>
      </c>
      <c r="F333" s="2">
        <v>8310</v>
      </c>
    </row>
    <row r="334" spans="1:6" x14ac:dyDescent="0.25">
      <c r="A334" t="s">
        <v>4062</v>
      </c>
      <c r="B334" t="s">
        <v>4012</v>
      </c>
      <c r="C334" t="s">
        <v>34</v>
      </c>
      <c r="D334" s="7">
        <v>1.03</v>
      </c>
      <c r="E334" s="2">
        <v>475506.98</v>
      </c>
      <c r="F334" s="2">
        <v>489772.19</v>
      </c>
    </row>
    <row r="335" spans="1:6" x14ac:dyDescent="0.25">
      <c r="A335" t="s">
        <v>4062</v>
      </c>
      <c r="B335" t="s">
        <v>4400</v>
      </c>
      <c r="C335" t="s">
        <v>42</v>
      </c>
      <c r="D335" s="7">
        <v>4.53</v>
      </c>
      <c r="E335" s="2">
        <v>5286.26</v>
      </c>
      <c r="F335" s="2">
        <v>23946.76</v>
      </c>
    </row>
    <row r="336" spans="1:6" x14ac:dyDescent="0.25">
      <c r="A336" t="s">
        <v>4062</v>
      </c>
      <c r="B336" t="s">
        <v>4070</v>
      </c>
      <c r="C336" t="s">
        <v>42</v>
      </c>
      <c r="D336" s="7">
        <v>7</v>
      </c>
      <c r="E336" s="2">
        <v>7381.08</v>
      </c>
      <c r="F336" s="2">
        <v>51667.56</v>
      </c>
    </row>
    <row r="337" spans="1:6" x14ac:dyDescent="0.25">
      <c r="A337" t="s">
        <v>4062</v>
      </c>
      <c r="B337" t="s">
        <v>4072</v>
      </c>
      <c r="C337" t="s">
        <v>4066</v>
      </c>
      <c r="D337" s="7">
        <v>3.8</v>
      </c>
      <c r="E337" s="2">
        <v>3150</v>
      </c>
      <c r="F337" s="2">
        <v>11970</v>
      </c>
    </row>
    <row r="338" spans="1:6" x14ac:dyDescent="0.25">
      <c r="A338" t="s">
        <v>4049</v>
      </c>
      <c r="B338" t="s">
        <v>4050</v>
      </c>
      <c r="C338" t="s">
        <v>4051</v>
      </c>
      <c r="D338" s="7">
        <v>18.5</v>
      </c>
      <c r="E338" s="2">
        <v>9037.33</v>
      </c>
      <c r="F338" s="2">
        <v>167190.61</v>
      </c>
    </row>
    <row r="339" spans="1:6" x14ac:dyDescent="0.25">
      <c r="A339" t="s">
        <v>4049</v>
      </c>
      <c r="B339" t="s">
        <v>4073</v>
      </c>
      <c r="C339" t="s">
        <v>4051</v>
      </c>
      <c r="D339" s="7">
        <v>18.5</v>
      </c>
      <c r="E339" s="2">
        <v>15517.89</v>
      </c>
      <c r="F339" s="2">
        <v>287080.96</v>
      </c>
    </row>
    <row r="340" spans="1:6" x14ac:dyDescent="0.25">
      <c r="A340" t="s">
        <v>4052</v>
      </c>
      <c r="B340" t="s">
        <v>4286</v>
      </c>
      <c r="C340" t="s">
        <v>4106</v>
      </c>
      <c r="D340" s="7">
        <v>0.04</v>
      </c>
      <c r="E340" s="2">
        <v>73333.33</v>
      </c>
      <c r="F340" s="2">
        <v>2933.33</v>
      </c>
    </row>
    <row r="341" spans="1:6" x14ac:dyDescent="0.25">
      <c r="A341" t="s">
        <v>4052</v>
      </c>
      <c r="B341" t="s">
        <v>4105</v>
      </c>
      <c r="C341" t="s">
        <v>4106</v>
      </c>
      <c r="D341" s="7">
        <v>4</v>
      </c>
      <c r="E341" s="2">
        <v>25125</v>
      </c>
      <c r="F341" s="2">
        <v>100500</v>
      </c>
    </row>
    <row r="342" spans="1:6" x14ac:dyDescent="0.25">
      <c r="A342" t="s">
        <v>4052</v>
      </c>
      <c r="B342" t="s">
        <v>4053</v>
      </c>
      <c r="C342" t="s">
        <v>4054</v>
      </c>
      <c r="D342" s="7">
        <v>5</v>
      </c>
      <c r="E342" s="2">
        <v>454271.57</v>
      </c>
      <c r="F342" s="2">
        <v>22713.58</v>
      </c>
    </row>
    <row r="343" spans="1:6" x14ac:dyDescent="0.25">
      <c r="A343" t="s">
        <v>4055</v>
      </c>
      <c r="D343" s="7"/>
      <c r="E343" s="2"/>
      <c r="F343" s="2">
        <f>SUBTOTAL(109,A_1_03_23[VALOR PARCIAL])</f>
      </c>
    </row>
    <row r="345" ht="30" customHeight="1" spans="1:6" x14ac:dyDescent="0.25">
      <c r="A345" s="5" t="s">
        <v>4461</v>
      </c>
      <c r="B345" s="5"/>
      <c r="C345" s="5"/>
      <c r="D345" s="5"/>
      <c r="E345" s="5"/>
      <c r="F345" s="5"/>
    </row>
    <row r="346" ht="42" customHeight="1" spans="1:6" x14ac:dyDescent="0.25">
      <c r="A346" s="6" t="s">
        <v>4462</v>
      </c>
      <c r="B346" s="6"/>
      <c r="C346" s="6"/>
      <c r="D346" s="6"/>
      <c r="E346" s="6"/>
      <c r="F346" s="6"/>
    </row>
    <row r="347" spans="1:6" x14ac:dyDescent="0.25">
      <c r="A347" t="s">
        <v>4044</v>
      </c>
      <c r="B347" t="s">
        <v>4045</v>
      </c>
      <c r="C347" t="s">
        <v>5</v>
      </c>
      <c r="D347" t="s">
        <v>4046</v>
      </c>
      <c r="E347" t="s">
        <v>4047</v>
      </c>
      <c r="F347" t="s">
        <v>4048</v>
      </c>
    </row>
    <row r="348" spans="1:6" x14ac:dyDescent="0.25">
      <c r="A348" t="s">
        <v>4062</v>
      </c>
      <c r="B348" t="s">
        <v>4390</v>
      </c>
      <c r="C348" t="s">
        <v>231</v>
      </c>
      <c r="D348" s="7">
        <v>2</v>
      </c>
      <c r="E348" s="2">
        <v>4155</v>
      </c>
      <c r="F348" s="2">
        <v>8310</v>
      </c>
    </row>
    <row r="349" spans="1:6" x14ac:dyDescent="0.25">
      <c r="A349" t="s">
        <v>4062</v>
      </c>
      <c r="B349" t="s">
        <v>4012</v>
      </c>
      <c r="C349" t="s">
        <v>34</v>
      </c>
      <c r="D349" s="7">
        <v>1.03</v>
      </c>
      <c r="E349" s="2">
        <v>475506.98</v>
      </c>
      <c r="F349" s="2">
        <v>489772.19</v>
      </c>
    </row>
    <row r="350" spans="1:6" x14ac:dyDescent="0.25">
      <c r="A350" t="s">
        <v>4062</v>
      </c>
      <c r="B350" t="s">
        <v>4400</v>
      </c>
      <c r="C350" t="s">
        <v>42</v>
      </c>
      <c r="D350" s="7">
        <v>3.11</v>
      </c>
      <c r="E350" s="2">
        <v>5286.26</v>
      </c>
      <c r="F350" s="2">
        <v>16440.27</v>
      </c>
    </row>
    <row r="351" spans="1:6" x14ac:dyDescent="0.25">
      <c r="A351" t="s">
        <v>4062</v>
      </c>
      <c r="B351" t="s">
        <v>4070</v>
      </c>
      <c r="C351" t="s">
        <v>42</v>
      </c>
      <c r="D351" s="7">
        <v>3.52</v>
      </c>
      <c r="E351" s="2">
        <v>7381.08</v>
      </c>
      <c r="F351" s="2">
        <v>25981.4</v>
      </c>
    </row>
    <row r="352" spans="1:6" x14ac:dyDescent="0.25">
      <c r="A352" t="s">
        <v>4062</v>
      </c>
      <c r="B352" t="s">
        <v>4072</v>
      </c>
      <c r="C352" t="s">
        <v>4066</v>
      </c>
      <c r="D352" s="7">
        <v>1.57</v>
      </c>
      <c r="E352" s="2">
        <v>3150</v>
      </c>
      <c r="F352" s="2">
        <v>4945.5</v>
      </c>
    </row>
    <row r="353" spans="1:6" x14ac:dyDescent="0.25">
      <c r="A353" t="s">
        <v>4049</v>
      </c>
      <c r="B353" t="s">
        <v>4050</v>
      </c>
      <c r="C353" t="s">
        <v>4051</v>
      </c>
      <c r="D353" s="7">
        <v>12</v>
      </c>
      <c r="E353" s="2">
        <v>9037.33</v>
      </c>
      <c r="F353" s="2">
        <v>108447.96</v>
      </c>
    </row>
    <row r="354" spans="1:6" x14ac:dyDescent="0.25">
      <c r="A354" t="s">
        <v>4049</v>
      </c>
      <c r="B354" t="s">
        <v>4073</v>
      </c>
      <c r="C354" t="s">
        <v>4051</v>
      </c>
      <c r="D354" s="7">
        <v>12</v>
      </c>
      <c r="E354" s="2">
        <v>15517.89</v>
      </c>
      <c r="F354" s="2">
        <v>186214.68</v>
      </c>
    </row>
    <row r="355" spans="1:6" x14ac:dyDescent="0.25">
      <c r="A355" t="s">
        <v>4052</v>
      </c>
      <c r="B355" t="s">
        <v>4286</v>
      </c>
      <c r="C355" t="s">
        <v>4106</v>
      </c>
      <c r="D355" s="7">
        <v>0.04</v>
      </c>
      <c r="E355" s="2">
        <v>73333.33</v>
      </c>
      <c r="F355" s="2">
        <v>2933.33</v>
      </c>
    </row>
    <row r="356" spans="1:6" x14ac:dyDescent="0.25">
      <c r="A356" t="s">
        <v>4052</v>
      </c>
      <c r="B356" t="s">
        <v>4053</v>
      </c>
      <c r="C356" t="s">
        <v>4054</v>
      </c>
      <c r="D356" s="7">
        <v>5</v>
      </c>
      <c r="E356" s="2">
        <v>294662.64</v>
      </c>
      <c r="F356" s="2">
        <v>14733.13</v>
      </c>
    </row>
    <row r="357" spans="1:6" x14ac:dyDescent="0.25">
      <c r="A357" t="s">
        <v>4055</v>
      </c>
      <c r="D357" s="7"/>
      <c r="E357" s="2"/>
      <c r="F357" s="2">
        <f>SUBTOTAL(109,A_1_03_24[VALOR PARCIAL])</f>
      </c>
    </row>
    <row r="359" ht="30" customHeight="1" spans="1:6" x14ac:dyDescent="0.25">
      <c r="A359" s="5" t="s">
        <v>4463</v>
      </c>
      <c r="B359" s="5"/>
      <c r="C359" s="5"/>
      <c r="D359" s="5"/>
      <c r="E359" s="5"/>
      <c r="F359" s="5"/>
    </row>
    <row r="360" ht="42" customHeight="1" spans="1:6" x14ac:dyDescent="0.25">
      <c r="A360" s="6" t="s">
        <v>4464</v>
      </c>
      <c r="B360" s="6"/>
      <c r="C360" s="6"/>
      <c r="D360" s="6"/>
      <c r="E360" s="6"/>
      <c r="F360" s="6"/>
    </row>
    <row r="361" spans="1:6" x14ac:dyDescent="0.25">
      <c r="A361" t="s">
        <v>4044</v>
      </c>
      <c r="B361" t="s">
        <v>4045</v>
      </c>
      <c r="C361" t="s">
        <v>5</v>
      </c>
      <c r="D361" t="s">
        <v>4046</v>
      </c>
      <c r="E361" t="s">
        <v>4047</v>
      </c>
      <c r="F361" t="s">
        <v>4048</v>
      </c>
    </row>
    <row r="362" spans="1:6" x14ac:dyDescent="0.25">
      <c r="A362" t="s">
        <v>4062</v>
      </c>
      <c r="B362" t="s">
        <v>4012</v>
      </c>
      <c r="C362" t="s">
        <v>34</v>
      </c>
      <c r="D362" s="7">
        <v>1.1</v>
      </c>
      <c r="E362" s="2">
        <v>475506.98</v>
      </c>
      <c r="F362" s="2">
        <v>523057.68</v>
      </c>
    </row>
    <row r="363" spans="1:6" x14ac:dyDescent="0.25">
      <c r="A363" t="s">
        <v>4049</v>
      </c>
      <c r="B363" t="s">
        <v>4050</v>
      </c>
      <c r="C363" t="s">
        <v>4051</v>
      </c>
      <c r="D363" s="7">
        <v>10.29</v>
      </c>
      <c r="E363" s="2">
        <v>9037.33</v>
      </c>
      <c r="F363" s="2">
        <v>92994.13</v>
      </c>
    </row>
    <row r="364" spans="1:6" x14ac:dyDescent="0.25">
      <c r="A364" t="s">
        <v>4049</v>
      </c>
      <c r="B364" t="s">
        <v>4073</v>
      </c>
      <c r="C364" t="s">
        <v>4051</v>
      </c>
      <c r="D364" s="7">
        <v>10.29</v>
      </c>
      <c r="E364" s="2">
        <v>15517.89</v>
      </c>
      <c r="F364" s="2">
        <v>159679.09</v>
      </c>
    </row>
    <row r="365" spans="1:6" x14ac:dyDescent="0.25">
      <c r="A365" t="s">
        <v>4052</v>
      </c>
      <c r="B365" t="s">
        <v>4286</v>
      </c>
      <c r="C365" t="s">
        <v>4106</v>
      </c>
      <c r="D365" s="7">
        <v>0.04</v>
      </c>
      <c r="E365" s="2">
        <v>73333.33</v>
      </c>
      <c r="F365" s="2">
        <v>2933.33</v>
      </c>
    </row>
    <row r="366" spans="1:6" x14ac:dyDescent="0.25">
      <c r="A366" t="s">
        <v>4052</v>
      </c>
      <c r="B366" t="s">
        <v>4465</v>
      </c>
      <c r="C366" t="s">
        <v>4106</v>
      </c>
      <c r="D366" s="7">
        <v>4</v>
      </c>
      <c r="E366" s="2">
        <v>25125</v>
      </c>
      <c r="F366" s="2">
        <v>100500</v>
      </c>
    </row>
    <row r="367" spans="1:6" x14ac:dyDescent="0.25">
      <c r="A367" t="s">
        <v>4052</v>
      </c>
      <c r="B367" t="s">
        <v>4466</v>
      </c>
      <c r="C367" t="s">
        <v>4106</v>
      </c>
      <c r="D367" s="7">
        <v>66</v>
      </c>
      <c r="E367" s="2">
        <v>5702.08</v>
      </c>
      <c r="F367" s="2">
        <v>376337.28</v>
      </c>
    </row>
    <row r="368" spans="1:6" x14ac:dyDescent="0.25">
      <c r="A368" t="s">
        <v>4052</v>
      </c>
      <c r="B368" t="s">
        <v>4467</v>
      </c>
      <c r="C368" t="s">
        <v>4106</v>
      </c>
      <c r="D368" s="7">
        <v>96</v>
      </c>
      <c r="E368" s="2">
        <v>328.5</v>
      </c>
      <c r="F368" s="2">
        <v>31536</v>
      </c>
    </row>
    <row r="369" spans="1:6" x14ac:dyDescent="0.25">
      <c r="A369" t="s">
        <v>4052</v>
      </c>
      <c r="B369" t="s">
        <v>4053</v>
      </c>
      <c r="C369" t="s">
        <v>4054</v>
      </c>
      <c r="D369" s="7">
        <v>1</v>
      </c>
      <c r="E369" s="2">
        <v>252673.22</v>
      </c>
      <c r="F369" s="2">
        <v>2526.73</v>
      </c>
    </row>
    <row r="370" spans="1:6" x14ac:dyDescent="0.25">
      <c r="A370" t="s">
        <v>4055</v>
      </c>
      <c r="D370" s="7"/>
      <c r="E370" s="2"/>
      <c r="F370" s="2">
        <f>SUBTOTAL(109,A_1_03_25[VALOR PARCIAL])</f>
      </c>
    </row>
    <row r="372" ht="30" customHeight="1" spans="1:6" x14ac:dyDescent="0.25">
      <c r="A372" s="5" t="s">
        <v>4468</v>
      </c>
      <c r="B372" s="5"/>
      <c r="C372" s="5"/>
      <c r="D372" s="5"/>
      <c r="E372" s="5"/>
      <c r="F372" s="5"/>
    </row>
    <row r="373" ht="42" customHeight="1" spans="1:6" x14ac:dyDescent="0.25">
      <c r="A373" s="6" t="s">
        <v>4469</v>
      </c>
      <c r="B373" s="6"/>
      <c r="C373" s="6"/>
      <c r="D373" s="6"/>
      <c r="E373" s="6"/>
      <c r="F373" s="6"/>
    </row>
    <row r="374" spans="1:6" x14ac:dyDescent="0.25">
      <c r="A374" t="s">
        <v>4044</v>
      </c>
      <c r="B374" t="s">
        <v>4045</v>
      </c>
      <c r="C374" t="s">
        <v>5</v>
      </c>
      <c r="D374" t="s">
        <v>4046</v>
      </c>
      <c r="E374" t="s">
        <v>4047</v>
      </c>
      <c r="F374" t="s">
        <v>4048</v>
      </c>
    </row>
    <row r="375" spans="1:6" x14ac:dyDescent="0.25">
      <c r="A375" t="s">
        <v>4062</v>
      </c>
      <c r="B375" t="s">
        <v>4012</v>
      </c>
      <c r="C375" t="s">
        <v>34</v>
      </c>
      <c r="D375" s="7">
        <v>1.1</v>
      </c>
      <c r="E375" s="2">
        <v>475506.98</v>
      </c>
      <c r="F375" s="2">
        <v>523057.68</v>
      </c>
    </row>
    <row r="376" spans="1:6" x14ac:dyDescent="0.25">
      <c r="A376" t="s">
        <v>4049</v>
      </c>
      <c r="B376" t="s">
        <v>4286</v>
      </c>
      <c r="C376" t="s">
        <v>4106</v>
      </c>
      <c r="D376" s="7">
        <v>0.04</v>
      </c>
      <c r="E376" s="2">
        <v>73333.33</v>
      </c>
      <c r="F376" s="2">
        <v>2933.33</v>
      </c>
    </row>
    <row r="377" spans="1:6" x14ac:dyDescent="0.25">
      <c r="A377" t="s">
        <v>4049</v>
      </c>
      <c r="B377" t="s">
        <v>4465</v>
      </c>
      <c r="C377" t="s">
        <v>4106</v>
      </c>
      <c r="D377" s="7">
        <v>4</v>
      </c>
      <c r="E377" s="2">
        <v>25125</v>
      </c>
      <c r="F377" s="2">
        <v>100500</v>
      </c>
    </row>
    <row r="378" spans="1:6" x14ac:dyDescent="0.25">
      <c r="A378" t="s">
        <v>4049</v>
      </c>
      <c r="B378" t="s">
        <v>4466</v>
      </c>
      <c r="C378" t="s">
        <v>4106</v>
      </c>
      <c r="D378" s="7">
        <v>66</v>
      </c>
      <c r="E378" s="2">
        <v>5702.08</v>
      </c>
      <c r="F378" s="2">
        <v>376337.28</v>
      </c>
    </row>
    <row r="379" spans="1:6" x14ac:dyDescent="0.25">
      <c r="A379" t="s">
        <v>4049</v>
      </c>
      <c r="B379" t="s">
        <v>4467</v>
      </c>
      <c r="C379" t="s">
        <v>4106</v>
      </c>
      <c r="D379" s="7">
        <v>96</v>
      </c>
      <c r="E379" s="2">
        <v>328.5</v>
      </c>
      <c r="F379" s="2">
        <v>31536</v>
      </c>
    </row>
    <row r="380" spans="1:6" x14ac:dyDescent="0.25">
      <c r="A380" t="s">
        <v>4049</v>
      </c>
      <c r="B380" t="s">
        <v>4050</v>
      </c>
      <c r="C380" t="s">
        <v>4051</v>
      </c>
      <c r="D380" s="7">
        <v>12.75</v>
      </c>
      <c r="E380" s="2">
        <v>9037.33</v>
      </c>
      <c r="F380" s="2">
        <v>115225.96</v>
      </c>
    </row>
    <row r="381" spans="1:6" x14ac:dyDescent="0.25">
      <c r="A381" t="s">
        <v>4049</v>
      </c>
      <c r="B381" t="s">
        <v>4073</v>
      </c>
      <c r="C381" t="s">
        <v>4051</v>
      </c>
      <c r="D381" s="7">
        <v>12.75</v>
      </c>
      <c r="E381" s="2">
        <v>15517.89</v>
      </c>
      <c r="F381" s="2">
        <v>197853.1</v>
      </c>
    </row>
    <row r="382" spans="1:6" x14ac:dyDescent="0.25">
      <c r="A382" t="s">
        <v>4052</v>
      </c>
      <c r="B382" t="s">
        <v>4053</v>
      </c>
      <c r="C382" t="s">
        <v>4054</v>
      </c>
      <c r="D382" s="7">
        <v>1</v>
      </c>
      <c r="E382" s="2">
        <v>313079.06</v>
      </c>
      <c r="F382" s="2">
        <v>3130.79</v>
      </c>
    </row>
    <row r="383" spans="1:6" x14ac:dyDescent="0.25">
      <c r="A383" t="s">
        <v>4055</v>
      </c>
      <c r="D383" s="7"/>
      <c r="E383" s="2"/>
      <c r="F383" s="2">
        <f>SUBTOTAL(109,A_1_03_26[VALOR PARCIAL])</f>
      </c>
    </row>
  </sheetData>
  <mergeCells count="52">
    <mergeCell ref="A4:F4"/>
    <mergeCell ref="A5:F5"/>
    <mergeCell ref="A20:F20"/>
    <mergeCell ref="A21:F21"/>
    <mergeCell ref="A35:F35"/>
    <mergeCell ref="A36:F36"/>
    <mergeCell ref="A51:F51"/>
    <mergeCell ref="A52:F52"/>
    <mergeCell ref="A68:F68"/>
    <mergeCell ref="A69:F69"/>
    <mergeCell ref="A85:F85"/>
    <mergeCell ref="A86:F86"/>
    <mergeCell ref="A100:F100"/>
    <mergeCell ref="A101:F101"/>
    <mergeCell ref="A116:F116"/>
    <mergeCell ref="A117:F117"/>
    <mergeCell ref="A132:F132"/>
    <mergeCell ref="A133:F133"/>
    <mergeCell ref="A148:F148"/>
    <mergeCell ref="A149:F149"/>
    <mergeCell ref="A164:F164"/>
    <mergeCell ref="A165:F165"/>
    <mergeCell ref="A180:F180"/>
    <mergeCell ref="A181:F181"/>
    <mergeCell ref="A196:F196"/>
    <mergeCell ref="A197:F197"/>
    <mergeCell ref="A209:F209"/>
    <mergeCell ref="A210:F210"/>
    <mergeCell ref="A222:F222"/>
    <mergeCell ref="A223:F223"/>
    <mergeCell ref="A241:F241"/>
    <mergeCell ref="A242:F242"/>
    <mergeCell ref="A259:F259"/>
    <mergeCell ref="A260:F260"/>
    <mergeCell ref="A273:F273"/>
    <mergeCell ref="A274:F274"/>
    <mergeCell ref="A287:F287"/>
    <mergeCell ref="A288:F288"/>
    <mergeCell ref="A298:F298"/>
    <mergeCell ref="A299:F299"/>
    <mergeCell ref="A309:F309"/>
    <mergeCell ref="A310:F310"/>
    <mergeCell ref="A320:F320"/>
    <mergeCell ref="A321:F321"/>
    <mergeCell ref="A330:F330"/>
    <mergeCell ref="A331:F331"/>
    <mergeCell ref="A345:F345"/>
    <mergeCell ref="A346:F346"/>
    <mergeCell ref="A359:F359"/>
    <mergeCell ref="A360:F360"/>
    <mergeCell ref="A372:F372"/>
    <mergeCell ref="A373:F373"/>
  </mergeCells>
  <pageMargins left="0.7" right="0.7" top="0.75" bottom="0.75" header="0.3" footer="0.3"/>
  <pageSetup orientation="portrait" horizontalDpi="4294967295" verticalDpi="4294967295" scale="100" fitToWidth="1" fitToHeight="1"/>
  <tableParts count="2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4470</v>
      </c>
    </row>
    <row r="2" spans="1:1" x14ac:dyDescent="0.25">
      <c r="A2" s="4" t="s">
        <v>4471</v>
      </c>
    </row>
    <row r="4" ht="30" customHeight="1" spans="1:6" x14ac:dyDescent="0.25">
      <c r="A4" s="5" t="s">
        <v>4472</v>
      </c>
      <c r="B4" s="5"/>
      <c r="C4" s="5"/>
      <c r="D4" s="5"/>
      <c r="E4" s="5"/>
      <c r="F4" s="5"/>
    </row>
    <row r="5" ht="42" customHeight="1" spans="1:6" x14ac:dyDescent="0.25">
      <c r="A5" s="6" t="s">
        <v>4473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4390</v>
      </c>
      <c r="C7" t="s">
        <v>231</v>
      </c>
      <c r="D7" s="7">
        <v>0.02</v>
      </c>
      <c r="E7" s="2">
        <v>4155</v>
      </c>
      <c r="F7" s="2">
        <v>83.1</v>
      </c>
    </row>
    <row r="8" spans="1:6" x14ac:dyDescent="0.25">
      <c r="A8" t="s">
        <v>4062</v>
      </c>
      <c r="B8" t="s">
        <v>4261</v>
      </c>
      <c r="C8" t="s">
        <v>231</v>
      </c>
      <c r="D8" s="7">
        <v>0.73</v>
      </c>
      <c r="E8" s="2">
        <v>2982</v>
      </c>
      <c r="F8" s="2">
        <v>2176.86</v>
      </c>
    </row>
    <row r="9" spans="1:6" x14ac:dyDescent="0.25">
      <c r="A9" t="s">
        <v>4062</v>
      </c>
      <c r="B9" t="s">
        <v>4474</v>
      </c>
      <c r="C9" t="s">
        <v>34</v>
      </c>
      <c r="D9" s="7">
        <v>0.01</v>
      </c>
      <c r="E9" s="2">
        <v>114500</v>
      </c>
      <c r="F9" s="2">
        <v>1145</v>
      </c>
    </row>
    <row r="10" spans="1:6" x14ac:dyDescent="0.25">
      <c r="A10" t="s">
        <v>4062</v>
      </c>
      <c r="B10" t="s">
        <v>4001</v>
      </c>
      <c r="C10" t="s">
        <v>34</v>
      </c>
      <c r="D10" s="7">
        <v>0.02</v>
      </c>
      <c r="E10" s="2">
        <v>450245.66</v>
      </c>
      <c r="F10" s="2">
        <v>9004.91</v>
      </c>
    </row>
    <row r="11" spans="1:6" x14ac:dyDescent="0.25">
      <c r="A11" t="s">
        <v>4062</v>
      </c>
      <c r="B11" t="s">
        <v>4475</v>
      </c>
      <c r="C11" t="s">
        <v>231</v>
      </c>
      <c r="D11" s="7">
        <v>0.71</v>
      </c>
      <c r="E11" s="2">
        <v>730</v>
      </c>
      <c r="F11" s="2">
        <v>518.3</v>
      </c>
    </row>
    <row r="12" spans="1:6" x14ac:dyDescent="0.25">
      <c r="A12" t="s">
        <v>4062</v>
      </c>
      <c r="B12" t="s">
        <v>4222</v>
      </c>
      <c r="C12" t="s">
        <v>42</v>
      </c>
      <c r="D12" s="7">
        <v>0.36</v>
      </c>
      <c r="E12" s="2">
        <v>1803.55</v>
      </c>
      <c r="F12" s="2">
        <v>649.28</v>
      </c>
    </row>
    <row r="13" spans="1:6" x14ac:dyDescent="0.25">
      <c r="A13" t="s">
        <v>4062</v>
      </c>
      <c r="B13" t="s">
        <v>4476</v>
      </c>
      <c r="C13" t="s">
        <v>42</v>
      </c>
      <c r="D13" s="7">
        <v>0.18</v>
      </c>
      <c r="E13" s="2">
        <v>3472</v>
      </c>
      <c r="F13" s="2">
        <v>624.96</v>
      </c>
    </row>
    <row r="14" spans="1:6" x14ac:dyDescent="0.25">
      <c r="A14" t="s">
        <v>4049</v>
      </c>
      <c r="B14" t="s">
        <v>4050</v>
      </c>
      <c r="C14" t="s">
        <v>4051</v>
      </c>
      <c r="D14" s="7">
        <v>0.77</v>
      </c>
      <c r="E14" s="2">
        <v>9037.33</v>
      </c>
      <c r="F14" s="2">
        <v>6958.74</v>
      </c>
    </row>
    <row r="15" spans="1:6" x14ac:dyDescent="0.25">
      <c r="A15" t="s">
        <v>4049</v>
      </c>
      <c r="B15" t="s">
        <v>4073</v>
      </c>
      <c r="C15" t="s">
        <v>4051</v>
      </c>
      <c r="D15" s="7">
        <v>0.77</v>
      </c>
      <c r="E15" s="2">
        <v>15517.89</v>
      </c>
      <c r="F15" s="2">
        <v>11948.78</v>
      </c>
    </row>
    <row r="16" spans="1:6" x14ac:dyDescent="0.25">
      <c r="A16" t="s">
        <v>4052</v>
      </c>
      <c r="B16" t="s">
        <v>4053</v>
      </c>
      <c r="C16" t="s">
        <v>4054</v>
      </c>
      <c r="D16" s="7">
        <v>3.3</v>
      </c>
      <c r="E16" s="2">
        <v>18907.52</v>
      </c>
      <c r="F16" s="2">
        <v>623.95</v>
      </c>
    </row>
    <row r="17" spans="1:6" x14ac:dyDescent="0.25">
      <c r="A17" t="s">
        <v>4055</v>
      </c>
      <c r="D17" s="7"/>
      <c r="E17" s="2"/>
      <c r="F17" s="2">
        <f>SUBTOTAL(109,A_1_04_01[VALOR PARCIAL])</f>
      </c>
    </row>
    <row r="19" ht="30" customHeight="1" spans="1:6" x14ac:dyDescent="0.25">
      <c r="A19" s="5" t="s">
        <v>4477</v>
      </c>
      <c r="B19" s="5"/>
      <c r="C19" s="5"/>
      <c r="D19" s="5"/>
      <c r="E19" s="5"/>
      <c r="F19" s="5"/>
    </row>
    <row r="20" ht="42" customHeight="1" spans="1:6" x14ac:dyDescent="0.25">
      <c r="A20" s="6" t="s">
        <v>4478</v>
      </c>
      <c r="B20" s="6"/>
      <c r="C20" s="6"/>
      <c r="D20" s="6"/>
      <c r="E20" s="6"/>
      <c r="F20" s="6"/>
    </row>
    <row r="21" spans="1:6" x14ac:dyDescent="0.25">
      <c r="A21" t="s">
        <v>4044</v>
      </c>
      <c r="B21" t="s">
        <v>4045</v>
      </c>
      <c r="C21" t="s">
        <v>5</v>
      </c>
      <c r="D21" t="s">
        <v>4046</v>
      </c>
      <c r="E21" t="s">
        <v>4047</v>
      </c>
      <c r="F21" t="s">
        <v>4048</v>
      </c>
    </row>
    <row r="22" spans="1:6" x14ac:dyDescent="0.25">
      <c r="A22" t="s">
        <v>4062</v>
      </c>
      <c r="B22" t="s">
        <v>4390</v>
      </c>
      <c r="C22" t="s">
        <v>231</v>
      </c>
      <c r="D22" s="7">
        <v>0.03</v>
      </c>
      <c r="E22" s="2">
        <v>4155</v>
      </c>
      <c r="F22" s="2">
        <v>124.65</v>
      </c>
    </row>
    <row r="23" spans="1:6" x14ac:dyDescent="0.25">
      <c r="A23" t="s">
        <v>4062</v>
      </c>
      <c r="B23" t="s">
        <v>4261</v>
      </c>
      <c r="C23" t="s">
        <v>231</v>
      </c>
      <c r="D23" s="7">
        <v>1</v>
      </c>
      <c r="E23" s="2">
        <v>2982</v>
      </c>
      <c r="F23" s="2">
        <v>2982</v>
      </c>
    </row>
    <row r="24" spans="1:6" x14ac:dyDescent="0.25">
      <c r="A24" t="s">
        <v>4062</v>
      </c>
      <c r="B24" t="s">
        <v>4474</v>
      </c>
      <c r="C24" t="s">
        <v>34</v>
      </c>
      <c r="D24" s="7">
        <v>0.01</v>
      </c>
      <c r="E24" s="2">
        <v>114500</v>
      </c>
      <c r="F24" s="2">
        <v>1145</v>
      </c>
    </row>
    <row r="25" spans="1:6" x14ac:dyDescent="0.25">
      <c r="A25" t="s">
        <v>4062</v>
      </c>
      <c r="B25" t="s">
        <v>4001</v>
      </c>
      <c r="C25" t="s">
        <v>34</v>
      </c>
      <c r="D25" s="7">
        <v>0.02</v>
      </c>
      <c r="E25" s="2">
        <v>450245.66</v>
      </c>
      <c r="F25" s="2">
        <v>9004.91</v>
      </c>
    </row>
    <row r="26" spans="1:6" x14ac:dyDescent="0.25">
      <c r="A26" t="s">
        <v>4062</v>
      </c>
      <c r="B26" t="s">
        <v>4475</v>
      </c>
      <c r="C26" t="s">
        <v>231</v>
      </c>
      <c r="D26" s="7">
        <v>1.19</v>
      </c>
      <c r="E26" s="2">
        <v>730</v>
      </c>
      <c r="F26" s="2">
        <v>868.7</v>
      </c>
    </row>
    <row r="27" spans="1:6" x14ac:dyDescent="0.25">
      <c r="A27" t="s">
        <v>4062</v>
      </c>
      <c r="B27" t="s">
        <v>4222</v>
      </c>
      <c r="C27" t="s">
        <v>42</v>
      </c>
      <c r="D27" s="7">
        <v>0.36</v>
      </c>
      <c r="E27" s="2">
        <v>1803.55</v>
      </c>
      <c r="F27" s="2">
        <v>649.28</v>
      </c>
    </row>
    <row r="28" spans="1:6" x14ac:dyDescent="0.25">
      <c r="A28" t="s">
        <v>4062</v>
      </c>
      <c r="B28" t="s">
        <v>4476</v>
      </c>
      <c r="C28" t="s">
        <v>42</v>
      </c>
      <c r="D28" s="7">
        <v>0.18</v>
      </c>
      <c r="E28" s="2">
        <v>3472</v>
      </c>
      <c r="F28" s="2">
        <v>624.96</v>
      </c>
    </row>
    <row r="29" spans="1:6" x14ac:dyDescent="0.25">
      <c r="A29" t="s">
        <v>4049</v>
      </c>
      <c r="B29" t="s">
        <v>4050</v>
      </c>
      <c r="C29" t="s">
        <v>4051</v>
      </c>
      <c r="D29" s="7">
        <v>1.65</v>
      </c>
      <c r="E29" s="2">
        <v>9037.33</v>
      </c>
      <c r="F29" s="2">
        <v>14911.59</v>
      </c>
    </row>
    <row r="30" spans="1:6" x14ac:dyDescent="0.25">
      <c r="A30" t="s">
        <v>4049</v>
      </c>
      <c r="B30" t="s">
        <v>4073</v>
      </c>
      <c r="C30" t="s">
        <v>4051</v>
      </c>
      <c r="D30" s="7">
        <v>1.65</v>
      </c>
      <c r="E30" s="2">
        <v>15517.89</v>
      </c>
      <c r="F30" s="2">
        <v>25604.52</v>
      </c>
    </row>
    <row r="31" spans="1:6" x14ac:dyDescent="0.25">
      <c r="A31" t="s">
        <v>4052</v>
      </c>
      <c r="B31" t="s">
        <v>4053</v>
      </c>
      <c r="C31" t="s">
        <v>4054</v>
      </c>
      <c r="D31" s="7">
        <v>3.3</v>
      </c>
      <c r="E31" s="2">
        <v>40516.11</v>
      </c>
      <c r="F31" s="2">
        <v>1337.03</v>
      </c>
    </row>
    <row r="32" spans="1:6" x14ac:dyDescent="0.25">
      <c r="A32" t="s">
        <v>4055</v>
      </c>
      <c r="D32" s="7"/>
      <c r="E32" s="2"/>
      <c r="F32" s="2">
        <f>SUBTOTAL(109,A_1_04_02[VALOR PARCIAL])</f>
      </c>
    </row>
    <row r="34" ht="30" customHeight="1" spans="1:6" x14ac:dyDescent="0.25">
      <c r="A34" s="5" t="s">
        <v>4479</v>
      </c>
      <c r="B34" s="5"/>
      <c r="C34" s="5"/>
      <c r="D34" s="5"/>
      <c r="E34" s="5"/>
      <c r="F34" s="5"/>
    </row>
    <row r="35" ht="42" customHeight="1" spans="1:6" x14ac:dyDescent="0.25">
      <c r="A35" s="6" t="s">
        <v>4480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4481</v>
      </c>
      <c r="C37" t="s">
        <v>63</v>
      </c>
      <c r="D37" s="7">
        <v>17</v>
      </c>
      <c r="E37" s="2">
        <v>708</v>
      </c>
      <c r="F37" s="2">
        <v>12036</v>
      </c>
    </row>
    <row r="38" spans="1:6" x14ac:dyDescent="0.25">
      <c r="A38" t="s">
        <v>4062</v>
      </c>
      <c r="B38" t="s">
        <v>3978</v>
      </c>
      <c r="C38" t="s">
        <v>34</v>
      </c>
      <c r="D38" s="7">
        <v>0.03</v>
      </c>
      <c r="E38" s="2">
        <v>409741.65</v>
      </c>
      <c r="F38" s="2">
        <v>11472.77</v>
      </c>
    </row>
    <row r="39" spans="1:6" x14ac:dyDescent="0.25">
      <c r="A39" t="s">
        <v>4049</v>
      </c>
      <c r="B39" t="s">
        <v>4050</v>
      </c>
      <c r="C39" t="s">
        <v>4051</v>
      </c>
      <c r="D39" s="7">
        <v>0.7</v>
      </c>
      <c r="E39" s="2">
        <v>9037.33</v>
      </c>
      <c r="F39" s="2">
        <v>6326.13</v>
      </c>
    </row>
    <row r="40" spans="1:6" x14ac:dyDescent="0.25">
      <c r="A40" t="s">
        <v>4049</v>
      </c>
      <c r="B40" t="s">
        <v>4073</v>
      </c>
      <c r="C40" t="s">
        <v>4051</v>
      </c>
      <c r="D40" s="7">
        <v>0.54</v>
      </c>
      <c r="E40" s="2">
        <v>15517.89</v>
      </c>
      <c r="F40" s="2">
        <v>8395.18</v>
      </c>
    </row>
    <row r="41" spans="1:6" x14ac:dyDescent="0.25">
      <c r="A41" t="s">
        <v>4052</v>
      </c>
      <c r="B41" t="s">
        <v>4053</v>
      </c>
      <c r="C41" t="s">
        <v>4054</v>
      </c>
      <c r="D41" s="7">
        <v>3.3</v>
      </c>
      <c r="E41" s="2">
        <v>14721.31</v>
      </c>
      <c r="F41" s="2">
        <v>485.8</v>
      </c>
    </row>
    <row r="42" spans="1:6" x14ac:dyDescent="0.25">
      <c r="A42" t="s">
        <v>4055</v>
      </c>
      <c r="D42" s="7"/>
      <c r="E42" s="2"/>
      <c r="F42" s="2">
        <f>SUBTOTAL(109,A_1_04_03[VALOR PARCIAL])</f>
      </c>
    </row>
    <row r="44" ht="30" customHeight="1" spans="1:6" x14ac:dyDescent="0.25">
      <c r="A44" s="5" t="s">
        <v>4482</v>
      </c>
      <c r="B44" s="5"/>
      <c r="C44" s="5"/>
      <c r="D44" s="5"/>
      <c r="E44" s="5"/>
      <c r="F44" s="5"/>
    </row>
    <row r="45" ht="42" customHeight="1" spans="1:6" x14ac:dyDescent="0.25">
      <c r="A45" s="6" t="s">
        <v>4483</v>
      </c>
      <c r="B45" s="6"/>
      <c r="C45" s="6"/>
      <c r="D45" s="6"/>
      <c r="E45" s="6"/>
      <c r="F45" s="6"/>
    </row>
    <row r="46" spans="1:6" x14ac:dyDescent="0.25">
      <c r="A46" t="s">
        <v>4044</v>
      </c>
      <c r="B46" t="s">
        <v>4045</v>
      </c>
      <c r="C46" t="s">
        <v>5</v>
      </c>
      <c r="D46" t="s">
        <v>4046</v>
      </c>
      <c r="E46" t="s">
        <v>4047</v>
      </c>
      <c r="F46" t="s">
        <v>4048</v>
      </c>
    </row>
    <row r="47" spans="1:6" x14ac:dyDescent="0.25">
      <c r="A47" t="s">
        <v>4062</v>
      </c>
      <c r="B47" t="s">
        <v>4484</v>
      </c>
      <c r="C47" t="s">
        <v>34</v>
      </c>
      <c r="D47" s="7">
        <v>0.02</v>
      </c>
      <c r="E47" s="2">
        <v>68425</v>
      </c>
      <c r="F47" s="2">
        <v>1368.5</v>
      </c>
    </row>
    <row r="48" spans="1:6" x14ac:dyDescent="0.25">
      <c r="A48" t="s">
        <v>4062</v>
      </c>
      <c r="B48" t="s">
        <v>4474</v>
      </c>
      <c r="C48" t="s">
        <v>34</v>
      </c>
      <c r="D48" s="7">
        <v>0.02</v>
      </c>
      <c r="E48" s="2">
        <v>114500</v>
      </c>
      <c r="F48" s="2">
        <v>2290</v>
      </c>
    </row>
    <row r="49" spans="1:6" x14ac:dyDescent="0.25">
      <c r="A49" t="s">
        <v>4062</v>
      </c>
      <c r="B49" t="s">
        <v>4485</v>
      </c>
      <c r="C49" t="s">
        <v>63</v>
      </c>
      <c r="D49" s="7">
        <v>3.6</v>
      </c>
      <c r="E49" s="2">
        <v>1002</v>
      </c>
      <c r="F49" s="2">
        <v>3607.2</v>
      </c>
    </row>
    <row r="50" spans="1:6" x14ac:dyDescent="0.25">
      <c r="A50" t="s">
        <v>4062</v>
      </c>
      <c r="B50" t="s">
        <v>4475</v>
      </c>
      <c r="C50" t="s">
        <v>231</v>
      </c>
      <c r="D50" s="7">
        <v>3.15</v>
      </c>
      <c r="E50" s="2">
        <v>730</v>
      </c>
      <c r="F50" s="2">
        <v>2299.5</v>
      </c>
    </row>
    <row r="51" spans="1:6" x14ac:dyDescent="0.25">
      <c r="A51" t="s">
        <v>4062</v>
      </c>
      <c r="B51" t="s">
        <v>4486</v>
      </c>
      <c r="C51" t="s">
        <v>231</v>
      </c>
      <c r="D51" s="7">
        <v>1.41</v>
      </c>
      <c r="E51" s="2">
        <v>3049</v>
      </c>
      <c r="F51" s="2">
        <v>4299.09</v>
      </c>
    </row>
    <row r="52" spans="1:6" x14ac:dyDescent="0.25">
      <c r="A52" t="s">
        <v>4062</v>
      </c>
      <c r="B52" t="s">
        <v>4076</v>
      </c>
      <c r="C52" t="s">
        <v>3963</v>
      </c>
      <c r="D52" s="7">
        <v>4.25</v>
      </c>
      <c r="E52" s="2">
        <v>21</v>
      </c>
      <c r="F52" s="2">
        <v>89.25</v>
      </c>
    </row>
    <row r="53" spans="1:6" x14ac:dyDescent="0.25">
      <c r="A53" t="s">
        <v>4049</v>
      </c>
      <c r="B53" t="s">
        <v>4487</v>
      </c>
      <c r="C53" t="s">
        <v>4236</v>
      </c>
      <c r="D53" s="7">
        <v>0.45</v>
      </c>
      <c r="E53" s="2">
        <v>24555.22</v>
      </c>
      <c r="F53" s="2">
        <v>11049.85</v>
      </c>
    </row>
    <row r="54" spans="1:6" x14ac:dyDescent="0.25">
      <c r="A54" t="s">
        <v>4052</v>
      </c>
      <c r="B54" t="s">
        <v>4053</v>
      </c>
      <c r="C54" t="s">
        <v>4054</v>
      </c>
      <c r="D54" s="7">
        <v>3.3</v>
      </c>
      <c r="E54" s="2">
        <v>11049.85</v>
      </c>
      <c r="F54" s="2">
        <v>364.65</v>
      </c>
    </row>
    <row r="55" spans="1:6" x14ac:dyDescent="0.25">
      <c r="A55" t="s">
        <v>4055</v>
      </c>
      <c r="D55" s="7"/>
      <c r="E55" s="2"/>
      <c r="F55" s="2">
        <f>SUBTOTAL(109,A_1_04_04[VALOR PARCIAL])</f>
      </c>
    </row>
    <row r="57" ht="30" customHeight="1" spans="1:6" x14ac:dyDescent="0.25">
      <c r="A57" s="5" t="s">
        <v>4488</v>
      </c>
      <c r="B57" s="5"/>
      <c r="C57" s="5"/>
      <c r="D57" s="5"/>
      <c r="E57" s="5"/>
      <c r="F57" s="5"/>
    </row>
    <row r="58" ht="42" customHeight="1" spans="1:6" x14ac:dyDescent="0.25">
      <c r="A58" s="6" t="s">
        <v>4489</v>
      </c>
      <c r="B58" s="6"/>
      <c r="C58" s="6"/>
      <c r="D58" s="6"/>
      <c r="E58" s="6"/>
      <c r="F58" s="6"/>
    </row>
    <row r="59" spans="1:6" x14ac:dyDescent="0.25">
      <c r="A59" t="s">
        <v>4044</v>
      </c>
      <c r="B59" t="s">
        <v>4045</v>
      </c>
      <c r="C59" t="s">
        <v>5</v>
      </c>
      <c r="D59" t="s">
        <v>4046</v>
      </c>
      <c r="E59" t="s">
        <v>4047</v>
      </c>
      <c r="F59" t="s">
        <v>4048</v>
      </c>
    </row>
    <row r="60" spans="1:6" x14ac:dyDescent="0.25">
      <c r="A60" t="s">
        <v>4062</v>
      </c>
      <c r="B60" t="s">
        <v>4390</v>
      </c>
      <c r="C60" t="s">
        <v>231</v>
      </c>
      <c r="D60" s="7">
        <v>0.11</v>
      </c>
      <c r="E60" s="2">
        <v>4155</v>
      </c>
      <c r="F60" s="2">
        <v>457.05</v>
      </c>
    </row>
    <row r="61" spans="1:6" x14ac:dyDescent="0.25">
      <c r="A61" t="s">
        <v>4062</v>
      </c>
      <c r="B61" t="s">
        <v>4261</v>
      </c>
      <c r="C61" t="s">
        <v>231</v>
      </c>
      <c r="D61" s="7">
        <v>2.9</v>
      </c>
      <c r="E61" s="2">
        <v>2982</v>
      </c>
      <c r="F61" s="2">
        <v>8647.8</v>
      </c>
    </row>
    <row r="62" spans="1:6" x14ac:dyDescent="0.25">
      <c r="A62" t="s">
        <v>4062</v>
      </c>
      <c r="B62" t="s">
        <v>4001</v>
      </c>
      <c r="C62" t="s">
        <v>34</v>
      </c>
      <c r="D62" s="7">
        <v>0.03</v>
      </c>
      <c r="E62" s="2">
        <v>450245.66</v>
      </c>
      <c r="F62" s="2">
        <v>13507.37</v>
      </c>
    </row>
    <row r="63" spans="1:6" x14ac:dyDescent="0.25">
      <c r="A63" t="s">
        <v>4062</v>
      </c>
      <c r="B63" t="s">
        <v>4070</v>
      </c>
      <c r="C63" t="s">
        <v>42</v>
      </c>
      <c r="D63" s="7">
        <v>0.5</v>
      </c>
      <c r="E63" s="2">
        <v>7381.08</v>
      </c>
      <c r="F63" s="2">
        <v>3690.54</v>
      </c>
    </row>
    <row r="64" spans="1:6" x14ac:dyDescent="0.25">
      <c r="A64" t="s">
        <v>4062</v>
      </c>
      <c r="B64" t="s">
        <v>4071</v>
      </c>
      <c r="C64" t="s">
        <v>42</v>
      </c>
      <c r="D64" s="7">
        <v>0.01</v>
      </c>
      <c r="E64" s="2">
        <v>2555</v>
      </c>
      <c r="F64" s="2">
        <v>25.55</v>
      </c>
    </row>
    <row r="65" spans="1:6" x14ac:dyDescent="0.25">
      <c r="A65" t="s">
        <v>4049</v>
      </c>
      <c r="B65" t="s">
        <v>4050</v>
      </c>
      <c r="C65" t="s">
        <v>4051</v>
      </c>
      <c r="D65" s="7">
        <v>0.5</v>
      </c>
      <c r="E65" s="2">
        <v>9037.33</v>
      </c>
      <c r="F65" s="2">
        <v>4518.66</v>
      </c>
    </row>
    <row r="66" spans="1:6" x14ac:dyDescent="0.25">
      <c r="A66" t="s">
        <v>4049</v>
      </c>
      <c r="B66" t="s">
        <v>4073</v>
      </c>
      <c r="C66" t="s">
        <v>4051</v>
      </c>
      <c r="D66" s="7">
        <v>1</v>
      </c>
      <c r="E66" s="2">
        <v>15517.89</v>
      </c>
      <c r="F66" s="2">
        <v>15517.89</v>
      </c>
    </row>
    <row r="67" spans="1:6" x14ac:dyDescent="0.25">
      <c r="A67" t="s">
        <v>4052</v>
      </c>
      <c r="B67" t="s">
        <v>4053</v>
      </c>
      <c r="C67" t="s">
        <v>4054</v>
      </c>
      <c r="D67" s="7">
        <v>3</v>
      </c>
      <c r="E67" s="2">
        <v>20036.55</v>
      </c>
      <c r="F67" s="2">
        <v>601.1</v>
      </c>
    </row>
    <row r="68" spans="1:6" x14ac:dyDescent="0.25">
      <c r="A68" t="s">
        <v>4055</v>
      </c>
      <c r="D68" s="7"/>
      <c r="E68" s="2"/>
      <c r="F68" s="2">
        <f>SUBTOTAL(109,A_1_04_05[VALOR PARCIAL])</f>
      </c>
    </row>
    <row r="70" ht="30" customHeight="1" spans="1:6" x14ac:dyDescent="0.25">
      <c r="A70" s="5" t="s">
        <v>4490</v>
      </c>
      <c r="B70" s="5"/>
      <c r="C70" s="5"/>
      <c r="D70" s="5"/>
      <c r="E70" s="5"/>
      <c r="F70" s="5"/>
    </row>
    <row r="71" ht="42" customHeight="1" spans="1:6" x14ac:dyDescent="0.25">
      <c r="A71" s="6" t="s">
        <v>4491</v>
      </c>
      <c r="B71" s="6"/>
      <c r="C71" s="6"/>
      <c r="D71" s="6"/>
      <c r="E71" s="6"/>
      <c r="F71" s="6"/>
    </row>
    <row r="72" spans="1:6" x14ac:dyDescent="0.25">
      <c r="A72" t="s">
        <v>4044</v>
      </c>
      <c r="B72" t="s">
        <v>4045</v>
      </c>
      <c r="C72" t="s">
        <v>5</v>
      </c>
      <c r="D72" t="s">
        <v>4046</v>
      </c>
      <c r="E72" t="s">
        <v>4047</v>
      </c>
      <c r="F72" t="s">
        <v>4048</v>
      </c>
    </row>
    <row r="73" spans="1:6" x14ac:dyDescent="0.25">
      <c r="A73" t="s">
        <v>4062</v>
      </c>
      <c r="B73" t="s">
        <v>4492</v>
      </c>
      <c r="C73" t="s">
        <v>34</v>
      </c>
      <c r="D73" s="7">
        <v>0.03</v>
      </c>
      <c r="E73" s="2">
        <v>68425</v>
      </c>
      <c r="F73" s="2">
        <v>2052.75</v>
      </c>
    </row>
    <row r="74" spans="1:6" x14ac:dyDescent="0.25">
      <c r="A74" t="s">
        <v>4062</v>
      </c>
      <c r="B74" t="s">
        <v>4475</v>
      </c>
      <c r="C74" t="s">
        <v>231</v>
      </c>
      <c r="D74" s="7">
        <v>9.04</v>
      </c>
      <c r="E74" s="2">
        <v>730</v>
      </c>
      <c r="F74" s="2">
        <v>6599.2</v>
      </c>
    </row>
    <row r="75" spans="1:6" x14ac:dyDescent="0.25">
      <c r="A75" t="s">
        <v>4062</v>
      </c>
      <c r="B75" t="s">
        <v>4493</v>
      </c>
      <c r="C75" t="s">
        <v>63</v>
      </c>
      <c r="D75" s="7">
        <v>0.25</v>
      </c>
      <c r="E75" s="2">
        <v>28343</v>
      </c>
      <c r="F75" s="2">
        <v>7085.75</v>
      </c>
    </row>
    <row r="76" spans="1:6" x14ac:dyDescent="0.25">
      <c r="A76" t="s">
        <v>4062</v>
      </c>
      <c r="B76" t="s">
        <v>4494</v>
      </c>
      <c r="C76" t="s">
        <v>63</v>
      </c>
      <c r="D76" s="7">
        <v>58</v>
      </c>
      <c r="E76" s="2">
        <v>794</v>
      </c>
      <c r="F76" s="2">
        <v>46052</v>
      </c>
    </row>
    <row r="77" spans="1:6" x14ac:dyDescent="0.25">
      <c r="A77" t="s">
        <v>4062</v>
      </c>
      <c r="B77" t="s">
        <v>4076</v>
      </c>
      <c r="C77" t="s">
        <v>3963</v>
      </c>
      <c r="D77" s="7">
        <v>5.7</v>
      </c>
      <c r="E77" s="2">
        <v>21</v>
      </c>
      <c r="F77" s="2">
        <v>119.7</v>
      </c>
    </row>
    <row r="78" spans="1:6" x14ac:dyDescent="0.25">
      <c r="A78" t="s">
        <v>4049</v>
      </c>
      <c r="B78" t="s">
        <v>4487</v>
      </c>
      <c r="C78" t="s">
        <v>4236</v>
      </c>
      <c r="D78" s="7">
        <v>1.1</v>
      </c>
      <c r="E78" s="2">
        <v>24555.22</v>
      </c>
      <c r="F78" s="2">
        <v>27010.74</v>
      </c>
    </row>
    <row r="79" spans="1:6" x14ac:dyDescent="0.25">
      <c r="A79" t="s">
        <v>4052</v>
      </c>
      <c r="B79" t="s">
        <v>4495</v>
      </c>
      <c r="C79" t="s">
        <v>4106</v>
      </c>
      <c r="D79" s="7">
        <v>0.05</v>
      </c>
      <c r="E79" s="2">
        <v>67900</v>
      </c>
      <c r="F79" s="2">
        <v>3395</v>
      </c>
    </row>
    <row r="80" spans="1:6" x14ac:dyDescent="0.25">
      <c r="A80" t="s">
        <v>4052</v>
      </c>
      <c r="B80" t="s">
        <v>4053</v>
      </c>
      <c r="C80" t="s">
        <v>4054</v>
      </c>
      <c r="D80" s="7">
        <v>3.3</v>
      </c>
      <c r="E80" s="2">
        <v>27010.74</v>
      </c>
      <c r="F80" s="2">
        <v>891.35</v>
      </c>
    </row>
    <row r="81" spans="1:6" x14ac:dyDescent="0.25">
      <c r="A81" t="s">
        <v>4055</v>
      </c>
      <c r="D81" s="7"/>
      <c r="E81" s="2"/>
      <c r="F81" s="2">
        <f>SUBTOTAL(109,A_1_04_06[VALOR PARCIAL])</f>
      </c>
    </row>
    <row r="83" ht="30" customHeight="1" spans="1:6" x14ac:dyDescent="0.25">
      <c r="A83" s="5" t="s">
        <v>4496</v>
      </c>
      <c r="B83" s="5"/>
      <c r="C83" s="5"/>
      <c r="D83" s="5"/>
      <c r="E83" s="5"/>
      <c r="F83" s="5"/>
    </row>
    <row r="84" ht="42" customHeight="1" spans="1:6" x14ac:dyDescent="0.25">
      <c r="A84" s="6" t="s">
        <v>4497</v>
      </c>
      <c r="B84" s="6"/>
      <c r="C84" s="6"/>
      <c r="D84" s="6"/>
      <c r="E84" s="6"/>
      <c r="F84" s="6"/>
    </row>
    <row r="85" spans="1:6" x14ac:dyDescent="0.25">
      <c r="A85" t="s">
        <v>4044</v>
      </c>
      <c r="B85" t="s">
        <v>4045</v>
      </c>
      <c r="C85" t="s">
        <v>5</v>
      </c>
      <c r="D85" t="s">
        <v>4046</v>
      </c>
      <c r="E85" t="s">
        <v>4047</v>
      </c>
      <c r="F85" t="s">
        <v>4048</v>
      </c>
    </row>
    <row r="86" spans="1:6" x14ac:dyDescent="0.25">
      <c r="A86" t="s">
        <v>4062</v>
      </c>
      <c r="B86" t="s">
        <v>4498</v>
      </c>
      <c r="C86" t="s">
        <v>4377</v>
      </c>
      <c r="D86" s="7">
        <v>0.03</v>
      </c>
      <c r="E86" s="2">
        <v>17700</v>
      </c>
      <c r="F86" s="2">
        <v>531</v>
      </c>
    </row>
    <row r="87" spans="1:6" x14ac:dyDescent="0.25">
      <c r="A87" t="s">
        <v>4062</v>
      </c>
      <c r="B87" t="s">
        <v>4076</v>
      </c>
      <c r="C87" t="s">
        <v>3963</v>
      </c>
      <c r="D87" s="7">
        <v>10</v>
      </c>
      <c r="E87" s="2">
        <v>21</v>
      </c>
      <c r="F87" s="2">
        <v>210</v>
      </c>
    </row>
    <row r="88" spans="1:6" x14ac:dyDescent="0.25">
      <c r="A88" t="s">
        <v>4049</v>
      </c>
      <c r="B88" t="s">
        <v>4105</v>
      </c>
      <c r="C88" t="s">
        <v>4106</v>
      </c>
      <c r="D88" s="7">
        <v>0.15</v>
      </c>
      <c r="E88" s="2">
        <v>25125</v>
      </c>
      <c r="F88" s="2">
        <v>3768.75</v>
      </c>
    </row>
    <row r="89" spans="1:6" x14ac:dyDescent="0.25">
      <c r="A89" t="s">
        <v>4049</v>
      </c>
      <c r="B89" t="s">
        <v>4050</v>
      </c>
      <c r="C89" t="s">
        <v>4051</v>
      </c>
      <c r="D89" s="7">
        <v>0.25</v>
      </c>
      <c r="E89" s="2">
        <v>9037.33</v>
      </c>
      <c r="F89" s="2">
        <v>2259.33</v>
      </c>
    </row>
    <row r="90" spans="1:6" x14ac:dyDescent="0.25">
      <c r="A90" t="s">
        <v>4052</v>
      </c>
      <c r="B90" t="s">
        <v>4053</v>
      </c>
      <c r="C90" t="s">
        <v>4054</v>
      </c>
      <c r="D90" s="7">
        <v>10</v>
      </c>
      <c r="E90" s="2">
        <v>2259.33</v>
      </c>
      <c r="F90" s="2">
        <v>225.93</v>
      </c>
    </row>
    <row r="91" spans="1:6" x14ac:dyDescent="0.25">
      <c r="A91" t="s">
        <v>4055</v>
      </c>
      <c r="D91" s="7"/>
      <c r="E91" s="2"/>
      <c r="F91" s="2">
        <f>SUBTOTAL(109,A_1_04_07[VALOR PARCIAL])</f>
      </c>
    </row>
    <row r="93" ht="30" customHeight="1" spans="1:6" x14ac:dyDescent="0.25">
      <c r="A93" s="5" t="s">
        <v>4499</v>
      </c>
      <c r="B93" s="5"/>
      <c r="C93" s="5"/>
      <c r="D93" s="5"/>
      <c r="E93" s="5"/>
      <c r="F93" s="5"/>
    </row>
    <row r="94" ht="42" customHeight="1" spans="1:6" x14ac:dyDescent="0.25">
      <c r="A94" s="6" t="s">
        <v>4500</v>
      </c>
      <c r="B94" s="6"/>
      <c r="C94" s="6"/>
      <c r="D94" s="6"/>
      <c r="E94" s="6"/>
      <c r="F94" s="6"/>
    </row>
    <row r="95" spans="1:6" x14ac:dyDescent="0.25">
      <c r="A95" t="s">
        <v>4044</v>
      </c>
      <c r="B95" t="s">
        <v>4045</v>
      </c>
      <c r="C95" t="s">
        <v>5</v>
      </c>
      <c r="D95" t="s">
        <v>4046</v>
      </c>
      <c r="E95" t="s">
        <v>4047</v>
      </c>
      <c r="F95" t="s">
        <v>4048</v>
      </c>
    </row>
    <row r="96" spans="1:6" x14ac:dyDescent="0.25">
      <c r="A96" t="s">
        <v>4062</v>
      </c>
      <c r="B96" t="s">
        <v>4390</v>
      </c>
      <c r="C96" t="s">
        <v>231</v>
      </c>
      <c r="D96" s="7">
        <v>0.24</v>
      </c>
      <c r="E96" s="2">
        <v>4155</v>
      </c>
      <c r="F96" s="2">
        <v>997.2</v>
      </c>
    </row>
    <row r="97" spans="1:6" x14ac:dyDescent="0.25">
      <c r="A97" t="s">
        <v>4062</v>
      </c>
      <c r="B97" t="s">
        <v>4261</v>
      </c>
      <c r="C97" t="s">
        <v>231</v>
      </c>
      <c r="D97" s="7">
        <v>8</v>
      </c>
      <c r="E97" s="2">
        <v>2982</v>
      </c>
      <c r="F97" s="2">
        <v>23856</v>
      </c>
    </row>
    <row r="98" spans="1:6" x14ac:dyDescent="0.25">
      <c r="A98" t="s">
        <v>4062</v>
      </c>
      <c r="B98" t="s">
        <v>4001</v>
      </c>
      <c r="C98" t="s">
        <v>34</v>
      </c>
      <c r="D98" s="7">
        <v>0.11</v>
      </c>
      <c r="E98" s="2">
        <v>450245.66</v>
      </c>
      <c r="F98" s="2">
        <v>49527.02</v>
      </c>
    </row>
    <row r="99" spans="1:6" x14ac:dyDescent="0.25">
      <c r="A99" t="s">
        <v>4062</v>
      </c>
      <c r="B99" t="s">
        <v>4476</v>
      </c>
      <c r="C99" t="s">
        <v>42</v>
      </c>
      <c r="D99" s="7">
        <v>0.46</v>
      </c>
      <c r="E99" s="2">
        <v>3472</v>
      </c>
      <c r="F99" s="2">
        <v>1597.12</v>
      </c>
    </row>
    <row r="100" spans="1:6" x14ac:dyDescent="0.25">
      <c r="A100" t="s">
        <v>4062</v>
      </c>
      <c r="B100" t="s">
        <v>4072</v>
      </c>
      <c r="C100" t="s">
        <v>4066</v>
      </c>
      <c r="D100" s="7">
        <v>0.19</v>
      </c>
      <c r="E100" s="2">
        <v>3150</v>
      </c>
      <c r="F100" s="2">
        <v>598.5</v>
      </c>
    </row>
    <row r="101" spans="1:6" x14ac:dyDescent="0.25">
      <c r="A101" t="s">
        <v>4062</v>
      </c>
      <c r="B101" t="s">
        <v>4322</v>
      </c>
      <c r="C101" t="s">
        <v>42</v>
      </c>
      <c r="D101" s="7">
        <v>0.65</v>
      </c>
      <c r="E101" s="2">
        <v>5304</v>
      </c>
      <c r="F101" s="2">
        <v>3447.6</v>
      </c>
    </row>
    <row r="102" spans="1:6" x14ac:dyDescent="0.25">
      <c r="A102" t="s">
        <v>4049</v>
      </c>
      <c r="B102" t="s">
        <v>4050</v>
      </c>
      <c r="C102" t="s">
        <v>4051</v>
      </c>
      <c r="D102" s="7">
        <v>2.17</v>
      </c>
      <c r="E102" s="2">
        <v>9037.33</v>
      </c>
      <c r="F102" s="2">
        <v>19611.01</v>
      </c>
    </row>
    <row r="103" spans="1:6" x14ac:dyDescent="0.25">
      <c r="A103" t="s">
        <v>4049</v>
      </c>
      <c r="B103" t="s">
        <v>4073</v>
      </c>
      <c r="C103" t="s">
        <v>4051</v>
      </c>
      <c r="D103" s="7">
        <v>2.17</v>
      </c>
      <c r="E103" s="2">
        <v>15517.89</v>
      </c>
      <c r="F103" s="2">
        <v>33673.82</v>
      </c>
    </row>
    <row r="104" spans="1:6" x14ac:dyDescent="0.25">
      <c r="A104" t="s">
        <v>4052</v>
      </c>
      <c r="B104" t="s">
        <v>4053</v>
      </c>
      <c r="C104" t="s">
        <v>4054</v>
      </c>
      <c r="D104" s="7">
        <v>3.3</v>
      </c>
      <c r="E104" s="2">
        <v>53284.83</v>
      </c>
      <c r="F104" s="2">
        <v>1758.4</v>
      </c>
    </row>
    <row r="105" spans="1:6" x14ac:dyDescent="0.25">
      <c r="A105" t="s">
        <v>4055</v>
      </c>
      <c r="D105" s="7"/>
      <c r="E105" s="2"/>
      <c r="F105" s="2">
        <f>SUBTOTAL(109,A_1_04_08[VALOR PARCIAL])</f>
      </c>
    </row>
    <row r="107" ht="30" customHeight="1" spans="1:6" x14ac:dyDescent="0.25">
      <c r="A107" s="5" t="s">
        <v>4501</v>
      </c>
      <c r="B107" s="5"/>
      <c r="C107" s="5"/>
      <c r="D107" s="5"/>
      <c r="E107" s="5"/>
      <c r="F107" s="5"/>
    </row>
    <row r="108" ht="42" customHeight="1" spans="1:6" x14ac:dyDescent="0.25">
      <c r="A108" s="6" t="s">
        <v>4502</v>
      </c>
      <c r="B108" s="6"/>
      <c r="C108" s="6"/>
      <c r="D108" s="6"/>
      <c r="E108" s="6"/>
      <c r="F108" s="6"/>
    </row>
    <row r="109" spans="1:6" x14ac:dyDescent="0.25">
      <c r="A109" t="s">
        <v>4044</v>
      </c>
      <c r="B109" t="s">
        <v>4045</v>
      </c>
      <c r="C109" t="s">
        <v>5</v>
      </c>
      <c r="D109" t="s">
        <v>4046</v>
      </c>
      <c r="E109" t="s">
        <v>4047</v>
      </c>
      <c r="F109" t="s">
        <v>4048</v>
      </c>
    </row>
    <row r="110" spans="1:6" x14ac:dyDescent="0.25">
      <c r="A110" t="s">
        <v>4062</v>
      </c>
      <c r="B110" t="s">
        <v>4503</v>
      </c>
      <c r="C110" t="s">
        <v>231</v>
      </c>
      <c r="D110" s="7">
        <v>0.25</v>
      </c>
      <c r="E110" s="2">
        <v>1040</v>
      </c>
      <c r="F110" s="2">
        <v>260</v>
      </c>
    </row>
    <row r="111" spans="1:6" x14ac:dyDescent="0.25">
      <c r="A111" t="s">
        <v>4062</v>
      </c>
      <c r="B111" t="s">
        <v>4504</v>
      </c>
      <c r="C111" t="s">
        <v>63</v>
      </c>
      <c r="D111" s="7">
        <v>108</v>
      </c>
      <c r="E111" s="2">
        <v>1650</v>
      </c>
      <c r="F111" s="2">
        <v>178200</v>
      </c>
    </row>
    <row r="112" spans="1:6" x14ac:dyDescent="0.25">
      <c r="A112" t="s">
        <v>4049</v>
      </c>
      <c r="B112" t="s">
        <v>4050</v>
      </c>
      <c r="C112" t="s">
        <v>4051</v>
      </c>
      <c r="D112" s="7">
        <v>3</v>
      </c>
      <c r="E112" s="2">
        <v>9037.33</v>
      </c>
      <c r="F112" s="2">
        <v>27111.99</v>
      </c>
    </row>
    <row r="113" spans="1:6" x14ac:dyDescent="0.25">
      <c r="A113" t="s">
        <v>4049</v>
      </c>
      <c r="B113" t="s">
        <v>4073</v>
      </c>
      <c r="C113" t="s">
        <v>4051</v>
      </c>
      <c r="D113" s="7">
        <v>1.5</v>
      </c>
      <c r="E113" s="2">
        <v>15517.89</v>
      </c>
      <c r="F113" s="2">
        <v>23276.83</v>
      </c>
    </row>
    <row r="114" spans="1:6" x14ac:dyDescent="0.25">
      <c r="A114" t="s">
        <v>4052</v>
      </c>
      <c r="B114" t="s">
        <v>4053</v>
      </c>
      <c r="C114" t="s">
        <v>4054</v>
      </c>
      <c r="D114" s="7">
        <v>3.3</v>
      </c>
      <c r="E114" s="2">
        <v>50388.82</v>
      </c>
      <c r="F114" s="2">
        <v>1662.83</v>
      </c>
    </row>
    <row r="115" spans="1:6" x14ac:dyDescent="0.25">
      <c r="A115" t="s">
        <v>4055</v>
      </c>
      <c r="D115" s="7"/>
      <c r="E115" s="2"/>
      <c r="F115" s="2">
        <f>SUBTOTAL(109,A_1_04_09[VALOR PARCIAL])</f>
      </c>
    </row>
    <row r="117" ht="30" customHeight="1" spans="1:6" x14ac:dyDescent="0.25">
      <c r="A117" s="5" t="s">
        <v>4505</v>
      </c>
      <c r="B117" s="5"/>
      <c r="C117" s="5"/>
      <c r="D117" s="5"/>
      <c r="E117" s="5"/>
      <c r="F117" s="5"/>
    </row>
    <row r="118" ht="42" customHeight="1" spans="1:6" x14ac:dyDescent="0.25">
      <c r="A118" s="6" t="s">
        <v>4506</v>
      </c>
      <c r="B118" s="6"/>
      <c r="C118" s="6"/>
      <c r="D118" s="6"/>
      <c r="E118" s="6"/>
      <c r="F118" s="6"/>
    </row>
    <row r="119" spans="1:6" x14ac:dyDescent="0.25">
      <c r="A119" t="s">
        <v>4044</v>
      </c>
      <c r="B119" t="s">
        <v>4045</v>
      </c>
      <c r="C119" t="s">
        <v>5</v>
      </c>
      <c r="D119" t="s">
        <v>4046</v>
      </c>
      <c r="E119" t="s">
        <v>4047</v>
      </c>
      <c r="F119" t="s">
        <v>4048</v>
      </c>
    </row>
    <row r="120" spans="1:6" x14ac:dyDescent="0.25">
      <c r="A120" t="s">
        <v>4062</v>
      </c>
      <c r="B120" t="s">
        <v>4390</v>
      </c>
      <c r="C120" t="s">
        <v>231</v>
      </c>
      <c r="D120" s="7">
        <v>0.31</v>
      </c>
      <c r="E120" s="2">
        <v>4155</v>
      </c>
      <c r="F120" s="2">
        <v>1271.43</v>
      </c>
    </row>
    <row r="121" spans="1:6" x14ac:dyDescent="0.25">
      <c r="A121" t="s">
        <v>4062</v>
      </c>
      <c r="B121" t="s">
        <v>4507</v>
      </c>
      <c r="C121" t="s">
        <v>63</v>
      </c>
      <c r="D121" s="7">
        <v>0.5</v>
      </c>
      <c r="E121" s="2">
        <v>17500</v>
      </c>
      <c r="F121" s="2">
        <v>8750</v>
      </c>
    </row>
    <row r="122" spans="1:6" x14ac:dyDescent="0.25">
      <c r="A122" t="s">
        <v>4062</v>
      </c>
      <c r="B122" t="s">
        <v>4321</v>
      </c>
      <c r="C122" t="s">
        <v>21</v>
      </c>
      <c r="D122" s="7">
        <v>2</v>
      </c>
      <c r="E122" s="2">
        <v>8777.33</v>
      </c>
      <c r="F122" s="2">
        <v>17554.66</v>
      </c>
    </row>
    <row r="123" spans="1:6" x14ac:dyDescent="0.25">
      <c r="A123" t="s">
        <v>4062</v>
      </c>
      <c r="B123" t="s">
        <v>4405</v>
      </c>
      <c r="C123" t="s">
        <v>63</v>
      </c>
      <c r="D123" s="7">
        <v>3</v>
      </c>
      <c r="E123" s="2">
        <v>13056</v>
      </c>
      <c r="F123" s="2">
        <v>39168</v>
      </c>
    </row>
    <row r="124" spans="1:6" x14ac:dyDescent="0.25">
      <c r="A124" t="s">
        <v>4062</v>
      </c>
      <c r="B124" t="s">
        <v>4508</v>
      </c>
      <c r="C124" t="s">
        <v>231</v>
      </c>
      <c r="D124" s="7">
        <v>0.1</v>
      </c>
      <c r="E124" s="2">
        <v>25650</v>
      </c>
      <c r="F124" s="2">
        <v>2565</v>
      </c>
    </row>
    <row r="125" spans="1:6" x14ac:dyDescent="0.25">
      <c r="A125" t="s">
        <v>4062</v>
      </c>
      <c r="B125" t="s">
        <v>4065</v>
      </c>
      <c r="C125" t="s">
        <v>4066</v>
      </c>
      <c r="D125" s="7">
        <v>0.5</v>
      </c>
      <c r="E125" s="2">
        <v>3433</v>
      </c>
      <c r="F125" s="2">
        <v>1716.5</v>
      </c>
    </row>
    <row r="126" spans="1:6" x14ac:dyDescent="0.25">
      <c r="A126" t="s">
        <v>4049</v>
      </c>
      <c r="B126" t="s">
        <v>4050</v>
      </c>
      <c r="C126" t="s">
        <v>4051</v>
      </c>
      <c r="D126" s="7">
        <v>3</v>
      </c>
      <c r="E126" s="2">
        <v>9037.33</v>
      </c>
      <c r="F126" s="2">
        <v>27111.99</v>
      </c>
    </row>
    <row r="127" spans="1:6" x14ac:dyDescent="0.25">
      <c r="A127" t="s">
        <v>4049</v>
      </c>
      <c r="B127" t="s">
        <v>4073</v>
      </c>
      <c r="C127" t="s">
        <v>4051</v>
      </c>
      <c r="D127" s="7">
        <v>1.5</v>
      </c>
      <c r="E127" s="2">
        <v>15517.89</v>
      </c>
      <c r="F127" s="2">
        <v>23276.83</v>
      </c>
    </row>
    <row r="128" spans="1:6" x14ac:dyDescent="0.25">
      <c r="A128" t="s">
        <v>4052</v>
      </c>
      <c r="B128" t="s">
        <v>4105</v>
      </c>
      <c r="C128" t="s">
        <v>4106</v>
      </c>
      <c r="D128" s="7">
        <v>0.2</v>
      </c>
      <c r="E128" s="2">
        <v>25125</v>
      </c>
      <c r="F128" s="2">
        <v>5025</v>
      </c>
    </row>
    <row r="129" spans="1:6" x14ac:dyDescent="0.25">
      <c r="A129" t="s">
        <v>4052</v>
      </c>
      <c r="B129" t="s">
        <v>4053</v>
      </c>
      <c r="C129" t="s">
        <v>4054</v>
      </c>
      <c r="D129" s="7">
        <v>6.7</v>
      </c>
      <c r="E129" s="2">
        <v>50388.82</v>
      </c>
      <c r="F129" s="2">
        <v>3376.05</v>
      </c>
    </row>
    <row r="130" spans="1:6" x14ac:dyDescent="0.25">
      <c r="A130" t="s">
        <v>4055</v>
      </c>
      <c r="D130" s="7"/>
      <c r="E130" s="2"/>
      <c r="F130" s="2">
        <f>SUBTOTAL(109,A_1_04_10[VALOR PARCIAL])</f>
      </c>
    </row>
    <row r="132" ht="30" customHeight="1" spans="1:6" x14ac:dyDescent="0.25">
      <c r="A132" s="5" t="s">
        <v>4509</v>
      </c>
      <c r="B132" s="5"/>
      <c r="C132" s="5"/>
      <c r="D132" s="5"/>
      <c r="E132" s="5"/>
      <c r="F132" s="5"/>
    </row>
    <row r="133" ht="42" customHeight="1" spans="1:6" x14ac:dyDescent="0.25">
      <c r="A133" s="6" t="s">
        <v>4510</v>
      </c>
      <c r="B133" s="6"/>
      <c r="C133" s="6"/>
      <c r="D133" s="6"/>
      <c r="E133" s="6"/>
      <c r="F133" s="6"/>
    </row>
    <row r="134" spans="1:6" x14ac:dyDescent="0.25">
      <c r="A134" t="s">
        <v>4044</v>
      </c>
      <c r="B134" t="s">
        <v>4045</v>
      </c>
      <c r="C134" t="s">
        <v>5</v>
      </c>
      <c r="D134" t="s">
        <v>4046</v>
      </c>
      <c r="E134" t="s">
        <v>4047</v>
      </c>
      <c r="F134" t="s">
        <v>4048</v>
      </c>
    </row>
    <row r="135" spans="1:6" x14ac:dyDescent="0.25">
      <c r="A135" t="s">
        <v>4062</v>
      </c>
      <c r="B135" t="s">
        <v>4511</v>
      </c>
      <c r="C135" t="s">
        <v>63</v>
      </c>
      <c r="D135" s="7">
        <v>13</v>
      </c>
      <c r="E135" s="2">
        <v>2766.33</v>
      </c>
      <c r="F135" s="2">
        <v>35962.29</v>
      </c>
    </row>
    <row r="136" spans="1:6" x14ac:dyDescent="0.25">
      <c r="A136" t="s">
        <v>4062</v>
      </c>
      <c r="B136" t="s">
        <v>3978</v>
      </c>
      <c r="C136" t="s">
        <v>34</v>
      </c>
      <c r="D136" s="7">
        <v>0.01</v>
      </c>
      <c r="E136" s="2">
        <v>409741.65</v>
      </c>
      <c r="F136" s="2">
        <v>2048.71</v>
      </c>
    </row>
    <row r="137" spans="1:6" x14ac:dyDescent="0.25">
      <c r="A137" t="s">
        <v>4049</v>
      </c>
      <c r="B137" t="s">
        <v>4487</v>
      </c>
      <c r="C137" t="s">
        <v>4236</v>
      </c>
      <c r="D137" s="7">
        <v>1.12</v>
      </c>
      <c r="E137" s="2">
        <v>24555.22</v>
      </c>
      <c r="F137" s="2">
        <v>27501.85</v>
      </c>
    </row>
    <row r="138" spans="1:6" x14ac:dyDescent="0.25">
      <c r="A138" t="s">
        <v>4052</v>
      </c>
      <c r="B138" t="s">
        <v>4053</v>
      </c>
      <c r="C138" t="s">
        <v>4054</v>
      </c>
      <c r="D138" s="7">
        <v>3.3</v>
      </c>
      <c r="E138" s="2">
        <v>27501.85</v>
      </c>
      <c r="F138" s="2">
        <v>907.56</v>
      </c>
    </row>
    <row r="139" spans="1:6" x14ac:dyDescent="0.25">
      <c r="A139" t="s">
        <v>4055</v>
      </c>
      <c r="D139" s="7"/>
      <c r="E139" s="2"/>
      <c r="F139" s="2">
        <f>SUBTOTAL(109,A_1_04_11[VALOR PARCIAL])</f>
      </c>
    </row>
    <row r="141" ht="30" customHeight="1" spans="1:6" x14ac:dyDescent="0.25">
      <c r="A141" s="5" t="s">
        <v>4512</v>
      </c>
      <c r="B141" s="5"/>
      <c r="C141" s="5"/>
      <c r="D141" s="5"/>
      <c r="E141" s="5"/>
      <c r="F141" s="5"/>
    </row>
    <row r="142" ht="42" customHeight="1" spans="1:6" x14ac:dyDescent="0.25">
      <c r="A142" s="6" t="s">
        <v>4513</v>
      </c>
      <c r="B142" s="6"/>
      <c r="C142" s="6"/>
      <c r="D142" s="6"/>
      <c r="E142" s="6"/>
      <c r="F142" s="6"/>
    </row>
    <row r="143" spans="1:6" x14ac:dyDescent="0.25">
      <c r="A143" t="s">
        <v>4044</v>
      </c>
      <c r="B143" t="s">
        <v>4045</v>
      </c>
      <c r="C143" t="s">
        <v>5</v>
      </c>
      <c r="D143" t="s">
        <v>4046</v>
      </c>
      <c r="E143" t="s">
        <v>4047</v>
      </c>
      <c r="F143" t="s">
        <v>4048</v>
      </c>
    </row>
    <row r="144" spans="1:6" x14ac:dyDescent="0.25">
      <c r="A144" t="s">
        <v>4062</v>
      </c>
      <c r="B144" t="s">
        <v>4514</v>
      </c>
      <c r="C144" t="s">
        <v>63</v>
      </c>
      <c r="D144" s="7">
        <v>13</v>
      </c>
      <c r="E144" s="2">
        <v>3716.67</v>
      </c>
      <c r="F144" s="2">
        <v>48316.71</v>
      </c>
    </row>
    <row r="145" spans="1:6" x14ac:dyDescent="0.25">
      <c r="A145" t="s">
        <v>4062</v>
      </c>
      <c r="B145" t="s">
        <v>3978</v>
      </c>
      <c r="C145" t="s">
        <v>34</v>
      </c>
      <c r="D145" s="7">
        <v>0.02</v>
      </c>
      <c r="E145" s="2">
        <v>409741.65</v>
      </c>
      <c r="F145" s="2">
        <v>8194.83</v>
      </c>
    </row>
    <row r="146" spans="1:6" x14ac:dyDescent="0.25">
      <c r="A146" t="s">
        <v>4049</v>
      </c>
      <c r="B146" t="s">
        <v>4487</v>
      </c>
      <c r="C146" t="s">
        <v>4236</v>
      </c>
      <c r="D146" s="7">
        <v>1.12</v>
      </c>
      <c r="E146" s="2">
        <v>24555.22</v>
      </c>
      <c r="F146" s="2">
        <v>27501.85</v>
      </c>
    </row>
    <row r="147" spans="1:6" x14ac:dyDescent="0.25">
      <c r="A147" t="s">
        <v>4052</v>
      </c>
      <c r="B147" t="s">
        <v>4053</v>
      </c>
      <c r="C147" t="s">
        <v>4054</v>
      </c>
      <c r="D147" s="7">
        <v>3.3</v>
      </c>
      <c r="E147" s="2">
        <v>27501.85</v>
      </c>
      <c r="F147" s="2">
        <v>907.56</v>
      </c>
    </row>
    <row r="148" spans="1:6" x14ac:dyDescent="0.25">
      <c r="A148" t="s">
        <v>4055</v>
      </c>
      <c r="D148" s="7"/>
      <c r="E148" s="2"/>
      <c r="F148" s="2">
        <f>SUBTOTAL(109,A_1_04_12[VALOR PARCIAL])</f>
      </c>
    </row>
    <row r="150" ht="30" customHeight="1" spans="1:6" x14ac:dyDescent="0.25">
      <c r="A150" s="5" t="s">
        <v>4515</v>
      </c>
      <c r="B150" s="5"/>
      <c r="C150" s="5"/>
      <c r="D150" s="5"/>
      <c r="E150" s="5"/>
      <c r="F150" s="5"/>
    </row>
    <row r="151" ht="42" customHeight="1" spans="1:6" x14ac:dyDescent="0.25">
      <c r="A151" s="6" t="s">
        <v>4516</v>
      </c>
      <c r="B151" s="6"/>
      <c r="C151" s="6"/>
      <c r="D151" s="6"/>
      <c r="E151" s="6"/>
      <c r="F151" s="6"/>
    </row>
    <row r="152" spans="1:6" x14ac:dyDescent="0.25">
      <c r="A152" t="s">
        <v>4044</v>
      </c>
      <c r="B152" t="s">
        <v>4045</v>
      </c>
      <c r="C152" t="s">
        <v>5</v>
      </c>
      <c r="D152" t="s">
        <v>4046</v>
      </c>
      <c r="E152" t="s">
        <v>4047</v>
      </c>
      <c r="F152" t="s">
        <v>4048</v>
      </c>
    </row>
    <row r="153" spans="1:6" x14ac:dyDescent="0.25">
      <c r="A153" t="s">
        <v>4062</v>
      </c>
      <c r="B153" t="s">
        <v>4439</v>
      </c>
      <c r="C153" t="s">
        <v>63</v>
      </c>
      <c r="D153" s="7">
        <v>13</v>
      </c>
      <c r="E153" s="2">
        <v>1032</v>
      </c>
      <c r="F153" s="2">
        <v>13416</v>
      </c>
    </row>
    <row r="154" spans="1:6" x14ac:dyDescent="0.25">
      <c r="A154" t="s">
        <v>4062</v>
      </c>
      <c r="B154" t="s">
        <v>3978</v>
      </c>
      <c r="C154" t="s">
        <v>34</v>
      </c>
      <c r="D154" s="7">
        <v>0.03</v>
      </c>
      <c r="E154" s="2">
        <v>409741.65</v>
      </c>
      <c r="F154" s="2">
        <v>12292.25</v>
      </c>
    </row>
    <row r="155" spans="1:6" x14ac:dyDescent="0.25">
      <c r="A155" t="s">
        <v>4049</v>
      </c>
      <c r="B155" t="s">
        <v>4050</v>
      </c>
      <c r="C155" t="s">
        <v>4051</v>
      </c>
      <c r="D155" s="7">
        <v>0.51</v>
      </c>
      <c r="E155" s="2">
        <v>9037.33</v>
      </c>
      <c r="F155" s="2">
        <v>4609.04</v>
      </c>
    </row>
    <row r="156" spans="1:6" x14ac:dyDescent="0.25">
      <c r="A156" t="s">
        <v>4049</v>
      </c>
      <c r="B156" t="s">
        <v>4073</v>
      </c>
      <c r="C156" t="s">
        <v>4051</v>
      </c>
      <c r="D156" s="7">
        <v>0.51</v>
      </c>
      <c r="E156" s="2">
        <v>15517.89</v>
      </c>
      <c r="F156" s="2">
        <v>7914.12</v>
      </c>
    </row>
    <row r="157" spans="1:6" x14ac:dyDescent="0.25">
      <c r="A157" t="s">
        <v>4052</v>
      </c>
      <c r="B157" t="s">
        <v>4053</v>
      </c>
      <c r="C157" t="s">
        <v>4054</v>
      </c>
      <c r="D157" s="7">
        <v>3.3</v>
      </c>
      <c r="E157" s="2">
        <v>12523.16</v>
      </c>
      <c r="F157" s="2">
        <v>413.26</v>
      </c>
    </row>
    <row r="158" spans="1:6" x14ac:dyDescent="0.25">
      <c r="A158" t="s">
        <v>4055</v>
      </c>
      <c r="D158" s="7"/>
      <c r="E158" s="2"/>
      <c r="F158" s="2">
        <f>SUBTOTAL(109,A_1_04_13[VALOR PARCIAL])</f>
      </c>
    </row>
    <row r="160" ht="30" customHeight="1" spans="1:6" x14ac:dyDescent="0.25">
      <c r="A160" s="5" t="s">
        <v>4517</v>
      </c>
      <c r="B160" s="5"/>
      <c r="C160" s="5"/>
      <c r="D160" s="5"/>
      <c r="E160" s="5"/>
      <c r="F160" s="5"/>
    </row>
    <row r="161" ht="42" customHeight="1" spans="1:6" x14ac:dyDescent="0.25">
      <c r="A161" s="6" t="s">
        <v>4518</v>
      </c>
      <c r="B161" s="6"/>
      <c r="C161" s="6"/>
      <c r="D161" s="6"/>
      <c r="E161" s="6"/>
      <c r="F161" s="6"/>
    </row>
    <row r="162" spans="1:6" x14ac:dyDescent="0.25">
      <c r="A162" t="s">
        <v>4044</v>
      </c>
      <c r="B162" t="s">
        <v>4045</v>
      </c>
      <c r="C162" t="s">
        <v>5</v>
      </c>
      <c r="D162" t="s">
        <v>4046</v>
      </c>
      <c r="E162" t="s">
        <v>4047</v>
      </c>
      <c r="F162" t="s">
        <v>4048</v>
      </c>
    </row>
    <row r="163" spans="1:6" x14ac:dyDescent="0.25">
      <c r="A163" t="s">
        <v>4062</v>
      </c>
      <c r="B163" t="s">
        <v>4439</v>
      </c>
      <c r="C163" t="s">
        <v>63</v>
      </c>
      <c r="D163" s="7">
        <v>40</v>
      </c>
      <c r="E163" s="2">
        <v>1032</v>
      </c>
      <c r="F163" s="2">
        <v>41280</v>
      </c>
    </row>
    <row r="164" spans="1:6" x14ac:dyDescent="0.25">
      <c r="A164" t="s">
        <v>4062</v>
      </c>
      <c r="B164" t="s">
        <v>3978</v>
      </c>
      <c r="C164" t="s">
        <v>34</v>
      </c>
      <c r="D164" s="7">
        <v>0.09</v>
      </c>
      <c r="E164" s="2">
        <v>409741.65</v>
      </c>
      <c r="F164" s="2">
        <v>34828.04</v>
      </c>
    </row>
    <row r="165" spans="1:6" x14ac:dyDescent="0.25">
      <c r="A165" t="s">
        <v>4049</v>
      </c>
      <c r="B165" t="s">
        <v>4050</v>
      </c>
      <c r="C165" t="s">
        <v>4051</v>
      </c>
      <c r="D165" s="7">
        <v>1</v>
      </c>
      <c r="E165" s="2">
        <v>9037.33</v>
      </c>
      <c r="F165" s="2">
        <v>9037.33</v>
      </c>
    </row>
    <row r="166" spans="1:6" x14ac:dyDescent="0.25">
      <c r="A166" t="s">
        <v>4049</v>
      </c>
      <c r="B166" t="s">
        <v>4073</v>
      </c>
      <c r="C166" t="s">
        <v>4051</v>
      </c>
      <c r="D166" s="7">
        <v>1</v>
      </c>
      <c r="E166" s="2">
        <v>15517.89</v>
      </c>
      <c r="F166" s="2">
        <v>15517.89</v>
      </c>
    </row>
    <row r="167" spans="1:6" x14ac:dyDescent="0.25">
      <c r="A167" t="s">
        <v>4052</v>
      </c>
      <c r="B167" t="s">
        <v>4053</v>
      </c>
      <c r="C167" t="s">
        <v>4054</v>
      </c>
      <c r="D167" s="7">
        <v>3.3</v>
      </c>
      <c r="E167" s="2">
        <v>24555.22</v>
      </c>
      <c r="F167" s="2">
        <v>810.32</v>
      </c>
    </row>
    <row r="168" spans="1:6" x14ac:dyDescent="0.25">
      <c r="A168" t="s">
        <v>4055</v>
      </c>
      <c r="D168" s="7"/>
      <c r="E168" s="2"/>
      <c r="F168" s="2">
        <f>SUBTOTAL(109,A_1_04_14[VALOR PARCIAL])</f>
      </c>
    </row>
    <row r="170" ht="30" customHeight="1" spans="1:6" x14ac:dyDescent="0.25">
      <c r="A170" s="5" t="s">
        <v>4519</v>
      </c>
      <c r="B170" s="5"/>
      <c r="C170" s="5"/>
      <c r="D170" s="5"/>
      <c r="E170" s="5"/>
      <c r="F170" s="5"/>
    </row>
    <row r="171" ht="42" customHeight="1" spans="1:6" x14ac:dyDescent="0.25">
      <c r="A171" s="6" t="s">
        <v>4520</v>
      </c>
      <c r="B171" s="6"/>
      <c r="C171" s="6"/>
      <c r="D171" s="6"/>
      <c r="E171" s="6"/>
      <c r="F171" s="6"/>
    </row>
    <row r="172" spans="1:6" x14ac:dyDescent="0.25">
      <c r="A172" t="s">
        <v>4044</v>
      </c>
      <c r="B172" t="s">
        <v>4045</v>
      </c>
      <c r="C172" t="s">
        <v>5</v>
      </c>
      <c r="D172" t="s">
        <v>4046</v>
      </c>
      <c r="E172" t="s">
        <v>4047</v>
      </c>
      <c r="F172" t="s">
        <v>4048</v>
      </c>
    </row>
    <row r="173" spans="1:6" x14ac:dyDescent="0.25">
      <c r="A173" t="s">
        <v>4062</v>
      </c>
      <c r="B173" t="s">
        <v>4521</v>
      </c>
      <c r="C173" t="s">
        <v>63</v>
      </c>
      <c r="D173" s="7">
        <v>16</v>
      </c>
      <c r="E173" s="2">
        <v>990</v>
      </c>
      <c r="F173" s="2">
        <v>15840</v>
      </c>
    </row>
    <row r="174" spans="1:6" x14ac:dyDescent="0.25">
      <c r="A174" t="s">
        <v>4062</v>
      </c>
      <c r="B174" t="s">
        <v>3978</v>
      </c>
      <c r="C174" t="s">
        <v>34</v>
      </c>
      <c r="D174" s="7">
        <v>0.02</v>
      </c>
      <c r="E174" s="2">
        <v>409741.65</v>
      </c>
      <c r="F174" s="2">
        <v>8194.83</v>
      </c>
    </row>
    <row r="175" spans="1:6" x14ac:dyDescent="0.25">
      <c r="A175" t="s">
        <v>4049</v>
      </c>
      <c r="B175" t="s">
        <v>4050</v>
      </c>
      <c r="C175" t="s">
        <v>4051</v>
      </c>
      <c r="D175" s="7">
        <v>0.51</v>
      </c>
      <c r="E175" s="2">
        <v>9037.33</v>
      </c>
      <c r="F175" s="2">
        <v>4609.04</v>
      </c>
    </row>
    <row r="176" spans="1:6" x14ac:dyDescent="0.25">
      <c r="A176" t="s">
        <v>4049</v>
      </c>
      <c r="B176" t="s">
        <v>4073</v>
      </c>
      <c r="C176" t="s">
        <v>4051</v>
      </c>
      <c r="D176" s="7">
        <v>0.51</v>
      </c>
      <c r="E176" s="2">
        <v>15517.89</v>
      </c>
      <c r="F176" s="2">
        <v>7914.12</v>
      </c>
    </row>
    <row r="177" spans="1:6" x14ac:dyDescent="0.25">
      <c r="A177" t="s">
        <v>4052</v>
      </c>
      <c r="B177" t="s">
        <v>4053</v>
      </c>
      <c r="C177" t="s">
        <v>4054</v>
      </c>
      <c r="D177" s="7">
        <v>3.3</v>
      </c>
      <c r="E177" s="2">
        <v>12523.16</v>
      </c>
      <c r="F177" s="2">
        <v>413.26</v>
      </c>
    </row>
    <row r="178" spans="1:6" x14ac:dyDescent="0.25">
      <c r="A178" t="s">
        <v>4055</v>
      </c>
      <c r="D178" s="7"/>
      <c r="E178" s="2"/>
      <c r="F178" s="2">
        <f>SUBTOTAL(109,A_1_04_15[VALOR PARCIAL])</f>
      </c>
    </row>
    <row r="180" ht="30" customHeight="1" spans="1:6" x14ac:dyDescent="0.25">
      <c r="A180" s="5" t="s">
        <v>4522</v>
      </c>
      <c r="B180" s="5"/>
      <c r="C180" s="5"/>
      <c r="D180" s="5"/>
      <c r="E180" s="5"/>
      <c r="F180" s="5"/>
    </row>
    <row r="181" ht="42" customHeight="1" spans="1:6" x14ac:dyDescent="0.25">
      <c r="A181" s="6" t="s">
        <v>4523</v>
      </c>
      <c r="B181" s="6"/>
      <c r="C181" s="6"/>
      <c r="D181" s="6"/>
      <c r="E181" s="6"/>
      <c r="F181" s="6"/>
    </row>
    <row r="182" spans="1:6" x14ac:dyDescent="0.25">
      <c r="A182" t="s">
        <v>4044</v>
      </c>
      <c r="B182" t="s">
        <v>4045</v>
      </c>
      <c r="C182" t="s">
        <v>5</v>
      </c>
      <c r="D182" t="s">
        <v>4046</v>
      </c>
      <c r="E182" t="s">
        <v>4047</v>
      </c>
      <c r="F182" t="s">
        <v>4048</v>
      </c>
    </row>
    <row r="183" spans="1:6" x14ac:dyDescent="0.25">
      <c r="A183" t="s">
        <v>4062</v>
      </c>
      <c r="B183" t="s">
        <v>4521</v>
      </c>
      <c r="C183" t="s">
        <v>63</v>
      </c>
      <c r="D183" s="7">
        <v>26</v>
      </c>
      <c r="E183" s="2">
        <v>990</v>
      </c>
      <c r="F183" s="2">
        <v>25740</v>
      </c>
    </row>
    <row r="184" spans="1:6" x14ac:dyDescent="0.25">
      <c r="A184" t="s">
        <v>4062</v>
      </c>
      <c r="B184" t="s">
        <v>3978</v>
      </c>
      <c r="C184" t="s">
        <v>34</v>
      </c>
      <c r="D184" s="7">
        <v>0.04</v>
      </c>
      <c r="E184" s="2">
        <v>409741.65</v>
      </c>
      <c r="F184" s="2">
        <v>16389.67</v>
      </c>
    </row>
    <row r="185" spans="1:6" x14ac:dyDescent="0.25">
      <c r="A185" t="s">
        <v>4049</v>
      </c>
      <c r="B185" t="s">
        <v>4050</v>
      </c>
      <c r="C185" t="s">
        <v>4051</v>
      </c>
      <c r="D185" s="7">
        <v>1</v>
      </c>
      <c r="E185" s="2">
        <v>9037.33</v>
      </c>
      <c r="F185" s="2">
        <v>9037.33</v>
      </c>
    </row>
    <row r="186" spans="1:6" x14ac:dyDescent="0.25">
      <c r="A186" t="s">
        <v>4049</v>
      </c>
      <c r="B186" t="s">
        <v>4073</v>
      </c>
      <c r="C186" t="s">
        <v>4051</v>
      </c>
      <c r="D186" s="7">
        <v>1</v>
      </c>
      <c r="E186" s="2">
        <v>15517.89</v>
      </c>
      <c r="F186" s="2">
        <v>15517.89</v>
      </c>
    </row>
    <row r="187" spans="1:6" x14ac:dyDescent="0.25">
      <c r="A187" t="s">
        <v>4052</v>
      </c>
      <c r="B187" t="s">
        <v>4053</v>
      </c>
      <c r="C187" t="s">
        <v>4054</v>
      </c>
      <c r="D187" s="7">
        <v>3.3</v>
      </c>
      <c r="E187" s="2">
        <v>24555.22</v>
      </c>
      <c r="F187" s="2">
        <v>810.32</v>
      </c>
    </row>
    <row r="188" spans="1:6" x14ac:dyDescent="0.25">
      <c r="A188" t="s">
        <v>4055</v>
      </c>
      <c r="D188" s="7"/>
      <c r="E188" s="2"/>
      <c r="F188" s="2">
        <f>SUBTOTAL(109,A_1_04_16[VALOR PARCIAL])</f>
      </c>
    </row>
    <row r="190" ht="30" customHeight="1" spans="1:6" x14ac:dyDescent="0.25">
      <c r="A190" s="5" t="s">
        <v>4524</v>
      </c>
      <c r="B190" s="5"/>
      <c r="C190" s="5"/>
      <c r="D190" s="5"/>
      <c r="E190" s="5"/>
      <c r="F190" s="5"/>
    </row>
    <row r="191" ht="42" customHeight="1" spans="1:6" x14ac:dyDescent="0.25">
      <c r="A191" s="6" t="s">
        <v>4525</v>
      </c>
      <c r="B191" s="6"/>
      <c r="C191" s="6"/>
      <c r="D191" s="6"/>
      <c r="E191" s="6"/>
      <c r="F191" s="6"/>
    </row>
    <row r="192" spans="1:6" x14ac:dyDescent="0.25">
      <c r="A192" t="s">
        <v>4044</v>
      </c>
      <c r="B192" t="s">
        <v>4045</v>
      </c>
      <c r="C192" t="s">
        <v>5</v>
      </c>
      <c r="D192" t="s">
        <v>4046</v>
      </c>
      <c r="E192" t="s">
        <v>4047</v>
      </c>
      <c r="F192" t="s">
        <v>4048</v>
      </c>
    </row>
    <row r="193" spans="1:6" x14ac:dyDescent="0.25">
      <c r="A193" t="s">
        <v>4062</v>
      </c>
      <c r="B193" t="s">
        <v>4526</v>
      </c>
      <c r="C193" t="s">
        <v>63</v>
      </c>
      <c r="D193" s="7">
        <v>27.22</v>
      </c>
      <c r="E193" s="2">
        <v>25</v>
      </c>
      <c r="F193" s="2">
        <v>680.5</v>
      </c>
    </row>
    <row r="194" spans="1:6" x14ac:dyDescent="0.25">
      <c r="A194" t="s">
        <v>4062</v>
      </c>
      <c r="B194" t="s">
        <v>4527</v>
      </c>
      <c r="C194" t="s">
        <v>63</v>
      </c>
      <c r="D194" s="7">
        <v>2.82</v>
      </c>
      <c r="E194" s="2">
        <v>573</v>
      </c>
      <c r="F194" s="2">
        <v>1615.86</v>
      </c>
    </row>
    <row r="195" spans="1:6" x14ac:dyDescent="0.25">
      <c r="A195" t="s">
        <v>4062</v>
      </c>
      <c r="B195" t="s">
        <v>4528</v>
      </c>
      <c r="C195" t="s">
        <v>63</v>
      </c>
      <c r="D195" s="7">
        <v>0.71</v>
      </c>
      <c r="E195" s="2">
        <v>5037</v>
      </c>
      <c r="F195" s="2">
        <v>3576.27</v>
      </c>
    </row>
    <row r="196" spans="1:6" x14ac:dyDescent="0.25">
      <c r="A196" t="s">
        <v>4062</v>
      </c>
      <c r="B196" t="s">
        <v>4529</v>
      </c>
      <c r="C196" t="s">
        <v>63</v>
      </c>
      <c r="D196" s="7">
        <v>0.35</v>
      </c>
      <c r="E196" s="2">
        <v>4900</v>
      </c>
      <c r="F196" s="2">
        <v>1715</v>
      </c>
    </row>
    <row r="197" spans="1:6" x14ac:dyDescent="0.25">
      <c r="A197" t="s">
        <v>4062</v>
      </c>
      <c r="B197" t="s">
        <v>4530</v>
      </c>
      <c r="C197" t="s">
        <v>63</v>
      </c>
      <c r="D197" s="7">
        <v>1.61</v>
      </c>
      <c r="E197" s="2">
        <v>616.67</v>
      </c>
      <c r="F197" s="2">
        <v>992.84</v>
      </c>
    </row>
    <row r="198" spans="1:6" x14ac:dyDescent="0.25">
      <c r="A198" t="s">
        <v>4062</v>
      </c>
      <c r="B198" t="s">
        <v>4531</v>
      </c>
      <c r="C198" t="s">
        <v>4532</v>
      </c>
      <c r="D198" s="7">
        <v>0.07</v>
      </c>
      <c r="E198" s="2">
        <v>3586.73</v>
      </c>
      <c r="F198" s="2">
        <v>251.43</v>
      </c>
    </row>
    <row r="199" spans="1:6" x14ac:dyDescent="0.25">
      <c r="A199" t="s">
        <v>4062</v>
      </c>
      <c r="B199" t="s">
        <v>4533</v>
      </c>
      <c r="C199" t="s">
        <v>4377</v>
      </c>
      <c r="D199" s="7">
        <v>0.07</v>
      </c>
      <c r="E199" s="2">
        <v>31809.93</v>
      </c>
      <c r="F199" s="2">
        <v>2226.7</v>
      </c>
    </row>
    <row r="200" spans="1:6" x14ac:dyDescent="0.25">
      <c r="A200" t="s">
        <v>4062</v>
      </c>
      <c r="B200" t="s">
        <v>4534</v>
      </c>
      <c r="C200" t="s">
        <v>63</v>
      </c>
      <c r="D200" s="7">
        <v>0.71</v>
      </c>
      <c r="E200" s="2">
        <v>21442.67</v>
      </c>
      <c r="F200" s="2">
        <v>15224.3</v>
      </c>
    </row>
    <row r="201" spans="1:6" x14ac:dyDescent="0.25">
      <c r="A201" t="s">
        <v>4062</v>
      </c>
      <c r="B201" t="s">
        <v>4535</v>
      </c>
      <c r="C201" t="s">
        <v>63</v>
      </c>
      <c r="D201" s="7">
        <v>0.42</v>
      </c>
      <c r="E201" s="2">
        <v>1180</v>
      </c>
      <c r="F201" s="2">
        <v>495.6</v>
      </c>
    </row>
    <row r="202" spans="1:6" x14ac:dyDescent="0.25">
      <c r="A202" t="s">
        <v>4062</v>
      </c>
      <c r="B202" t="s">
        <v>4536</v>
      </c>
      <c r="C202" t="s">
        <v>63</v>
      </c>
      <c r="D202" s="7">
        <v>0.09</v>
      </c>
      <c r="E202" s="2">
        <v>37625</v>
      </c>
      <c r="F202" s="2">
        <v>3386.25</v>
      </c>
    </row>
    <row r="203" spans="1:6" x14ac:dyDescent="0.25">
      <c r="A203" t="s">
        <v>4049</v>
      </c>
      <c r="B203" t="s">
        <v>4050</v>
      </c>
      <c r="C203" t="s">
        <v>4051</v>
      </c>
      <c r="D203" s="7">
        <v>1.04</v>
      </c>
      <c r="E203" s="2">
        <v>9037.33</v>
      </c>
      <c r="F203" s="2">
        <v>9363.58</v>
      </c>
    </row>
    <row r="204" spans="1:6" x14ac:dyDescent="0.25">
      <c r="A204" t="s">
        <v>4049</v>
      </c>
      <c r="B204" t="s">
        <v>4073</v>
      </c>
      <c r="C204" t="s">
        <v>4051</v>
      </c>
      <c r="D204" s="7">
        <v>1.03</v>
      </c>
      <c r="E204" s="2">
        <v>15517.89</v>
      </c>
      <c r="F204" s="2">
        <v>15983.43</v>
      </c>
    </row>
    <row r="205" spans="1:6" x14ac:dyDescent="0.25">
      <c r="A205" t="s">
        <v>4052</v>
      </c>
      <c r="B205" t="s">
        <v>4053</v>
      </c>
      <c r="C205" t="s">
        <v>4054</v>
      </c>
      <c r="D205" s="7">
        <v>3.3</v>
      </c>
      <c r="E205" s="2">
        <v>25347.01</v>
      </c>
      <c r="F205" s="2">
        <v>836.45</v>
      </c>
    </row>
    <row r="206" spans="1:6" x14ac:dyDescent="0.25">
      <c r="A206" t="s">
        <v>4055</v>
      </c>
      <c r="D206" s="7"/>
      <c r="E206" s="2"/>
      <c r="F206" s="2">
        <f>SUBTOTAL(109,A_1_04_17[VALOR PARCIAL])</f>
      </c>
    </row>
    <row r="208" ht="30" customHeight="1" spans="1:6" x14ac:dyDescent="0.25">
      <c r="A208" s="5" t="s">
        <v>4537</v>
      </c>
      <c r="B208" s="5"/>
      <c r="C208" s="5"/>
      <c r="D208" s="5"/>
      <c r="E208" s="5"/>
      <c r="F208" s="5"/>
    </row>
    <row r="209" ht="42" customHeight="1" spans="1:6" x14ac:dyDescent="0.25">
      <c r="A209" s="6" t="s">
        <v>4538</v>
      </c>
      <c r="B209" s="6"/>
      <c r="C209" s="6"/>
      <c r="D209" s="6"/>
      <c r="E209" s="6"/>
      <c r="F209" s="6"/>
    </row>
    <row r="210" spans="1:6" x14ac:dyDescent="0.25">
      <c r="A210" t="s">
        <v>4044</v>
      </c>
      <c r="B210" t="s">
        <v>4045</v>
      </c>
      <c r="C210" t="s">
        <v>5</v>
      </c>
      <c r="D210" t="s">
        <v>4046</v>
      </c>
      <c r="E210" t="s">
        <v>4047</v>
      </c>
      <c r="F210" t="s">
        <v>4048</v>
      </c>
    </row>
    <row r="211" spans="1:6" x14ac:dyDescent="0.25">
      <c r="A211" t="s">
        <v>4062</v>
      </c>
      <c r="B211" t="s">
        <v>4526</v>
      </c>
      <c r="C211" t="s">
        <v>63</v>
      </c>
      <c r="D211" s="7">
        <v>27.22</v>
      </c>
      <c r="E211" s="2">
        <v>25</v>
      </c>
      <c r="F211" s="2">
        <v>680.5</v>
      </c>
    </row>
    <row r="212" spans="1:6" x14ac:dyDescent="0.25">
      <c r="A212" t="s">
        <v>4062</v>
      </c>
      <c r="B212" t="s">
        <v>4527</v>
      </c>
      <c r="C212" t="s">
        <v>63</v>
      </c>
      <c r="D212" s="7">
        <v>2.82</v>
      </c>
      <c r="E212" s="2">
        <v>573</v>
      </c>
      <c r="F212" s="2">
        <v>1615.86</v>
      </c>
    </row>
    <row r="213" spans="1:6" x14ac:dyDescent="0.25">
      <c r="A213" t="s">
        <v>4062</v>
      </c>
      <c r="B213" t="s">
        <v>4528</v>
      </c>
      <c r="C213" t="s">
        <v>63</v>
      </c>
      <c r="D213" s="7">
        <v>0.71</v>
      </c>
      <c r="E213" s="2">
        <v>5037</v>
      </c>
      <c r="F213" s="2">
        <v>3576.27</v>
      </c>
    </row>
    <row r="214" spans="1:6" x14ac:dyDescent="0.25">
      <c r="A214" t="s">
        <v>4062</v>
      </c>
      <c r="B214" t="s">
        <v>4539</v>
      </c>
      <c r="C214" t="s">
        <v>63</v>
      </c>
      <c r="D214" s="7">
        <v>0.35</v>
      </c>
      <c r="E214" s="2">
        <v>5600</v>
      </c>
      <c r="F214" s="2">
        <v>1960</v>
      </c>
    </row>
    <row r="215" spans="1:6" x14ac:dyDescent="0.25">
      <c r="A215" t="s">
        <v>4062</v>
      </c>
      <c r="B215" t="s">
        <v>4530</v>
      </c>
      <c r="C215" t="s">
        <v>63</v>
      </c>
      <c r="D215" s="7">
        <v>1.61</v>
      </c>
      <c r="E215" s="2">
        <v>616.67</v>
      </c>
      <c r="F215" s="2">
        <v>992.84</v>
      </c>
    </row>
    <row r="216" spans="1:6" x14ac:dyDescent="0.25">
      <c r="A216" t="s">
        <v>4062</v>
      </c>
      <c r="B216" t="s">
        <v>4531</v>
      </c>
      <c r="C216" t="s">
        <v>4532</v>
      </c>
      <c r="D216" s="7">
        <v>0.07</v>
      </c>
      <c r="E216" s="2">
        <v>3586.73</v>
      </c>
      <c r="F216" s="2">
        <v>251.07</v>
      </c>
    </row>
    <row r="217" spans="1:6" x14ac:dyDescent="0.25">
      <c r="A217" t="s">
        <v>4062</v>
      </c>
      <c r="B217" t="s">
        <v>4533</v>
      </c>
      <c r="C217" t="s">
        <v>4377</v>
      </c>
      <c r="D217" s="7">
        <v>0.07</v>
      </c>
      <c r="E217" s="2">
        <v>31809.93</v>
      </c>
      <c r="F217" s="2">
        <v>2105.82</v>
      </c>
    </row>
    <row r="218" spans="1:6" x14ac:dyDescent="0.25">
      <c r="A218" t="s">
        <v>4062</v>
      </c>
      <c r="B218" t="s">
        <v>4534</v>
      </c>
      <c r="C218" t="s">
        <v>63</v>
      </c>
      <c r="D218" s="7">
        <v>0.7</v>
      </c>
      <c r="E218" s="2">
        <v>21442.67</v>
      </c>
      <c r="F218" s="2">
        <v>15009.87</v>
      </c>
    </row>
    <row r="219" spans="1:6" x14ac:dyDescent="0.25">
      <c r="A219" t="s">
        <v>4062</v>
      </c>
      <c r="B219" t="s">
        <v>4535</v>
      </c>
      <c r="C219" t="s">
        <v>63</v>
      </c>
      <c r="D219" s="7">
        <v>0.42</v>
      </c>
      <c r="E219" s="2">
        <v>1180</v>
      </c>
      <c r="F219" s="2">
        <v>495.6</v>
      </c>
    </row>
    <row r="220" spans="1:6" x14ac:dyDescent="0.25">
      <c r="A220" t="s">
        <v>4062</v>
      </c>
      <c r="B220" t="s">
        <v>4536</v>
      </c>
      <c r="C220" t="s">
        <v>63</v>
      </c>
      <c r="D220" s="7">
        <v>0.09</v>
      </c>
      <c r="E220" s="2">
        <v>37625</v>
      </c>
      <c r="F220" s="2">
        <v>3386.25</v>
      </c>
    </row>
    <row r="221" spans="1:6" x14ac:dyDescent="0.25">
      <c r="A221" t="s">
        <v>4049</v>
      </c>
      <c r="B221" t="s">
        <v>4050</v>
      </c>
      <c r="C221" t="s">
        <v>4051</v>
      </c>
      <c r="D221" s="7">
        <v>1.04</v>
      </c>
      <c r="E221" s="2">
        <v>9037.33</v>
      </c>
      <c r="F221" s="2">
        <v>9363.58</v>
      </c>
    </row>
    <row r="222" spans="1:6" x14ac:dyDescent="0.25">
      <c r="A222" t="s">
        <v>4049</v>
      </c>
      <c r="B222" t="s">
        <v>4073</v>
      </c>
      <c r="C222" t="s">
        <v>4051</v>
      </c>
      <c r="D222" s="7">
        <v>1.03</v>
      </c>
      <c r="E222" s="2">
        <v>15517.89</v>
      </c>
      <c r="F222" s="2">
        <v>15983.43</v>
      </c>
    </row>
    <row r="223" spans="1:6" x14ac:dyDescent="0.25">
      <c r="A223" t="s">
        <v>4052</v>
      </c>
      <c r="B223" t="s">
        <v>4053</v>
      </c>
      <c r="C223" t="s">
        <v>4054</v>
      </c>
      <c r="D223" s="7">
        <v>3.3</v>
      </c>
      <c r="E223" s="2">
        <v>25347.01</v>
      </c>
      <c r="F223" s="2">
        <v>836.45</v>
      </c>
    </row>
    <row r="224" spans="1:6" x14ac:dyDescent="0.25">
      <c r="A224" t="s">
        <v>4055</v>
      </c>
      <c r="D224" s="7"/>
      <c r="E224" s="2"/>
      <c r="F224" s="2">
        <f>SUBTOTAL(109,A_1_04_18[VALOR PARCIAL])</f>
      </c>
    </row>
    <row r="226" ht="30" customHeight="1" spans="1:6" x14ac:dyDescent="0.25">
      <c r="A226" s="5" t="s">
        <v>4540</v>
      </c>
      <c r="B226" s="5"/>
      <c r="C226" s="5"/>
      <c r="D226" s="5"/>
      <c r="E226" s="5"/>
      <c r="F226" s="5"/>
    </row>
    <row r="227" ht="42" customHeight="1" spans="1:6" x14ac:dyDescent="0.25">
      <c r="A227" s="6" t="s">
        <v>4541</v>
      </c>
      <c r="B227" s="6"/>
      <c r="C227" s="6"/>
      <c r="D227" s="6"/>
      <c r="E227" s="6"/>
      <c r="F227" s="6"/>
    </row>
    <row r="228" spans="1:6" x14ac:dyDescent="0.25">
      <c r="A228" t="s">
        <v>4044</v>
      </c>
      <c r="B228" t="s">
        <v>4045</v>
      </c>
      <c r="C228" t="s">
        <v>5</v>
      </c>
      <c r="D228" t="s">
        <v>4046</v>
      </c>
      <c r="E228" t="s">
        <v>4047</v>
      </c>
      <c r="F228" t="s">
        <v>4048</v>
      </c>
    </row>
    <row r="229" spans="1:6" x14ac:dyDescent="0.25">
      <c r="A229" t="s">
        <v>4062</v>
      </c>
      <c r="B229" t="s">
        <v>4474</v>
      </c>
      <c r="C229" t="s">
        <v>34</v>
      </c>
      <c r="D229" s="7">
        <v>0.04</v>
      </c>
      <c r="E229" s="2">
        <v>114500</v>
      </c>
      <c r="F229" s="2">
        <v>4580</v>
      </c>
    </row>
    <row r="230" spans="1:6" x14ac:dyDescent="0.25">
      <c r="A230" t="s">
        <v>4062</v>
      </c>
      <c r="B230" t="s">
        <v>4542</v>
      </c>
      <c r="C230" t="s">
        <v>231</v>
      </c>
      <c r="D230" s="7">
        <v>0.5</v>
      </c>
      <c r="E230" s="2">
        <v>910</v>
      </c>
      <c r="F230" s="2">
        <v>455</v>
      </c>
    </row>
    <row r="231" spans="1:6" x14ac:dyDescent="0.25">
      <c r="A231" t="s">
        <v>4062</v>
      </c>
      <c r="B231" t="s">
        <v>4475</v>
      </c>
      <c r="C231" t="s">
        <v>231</v>
      </c>
      <c r="D231" s="7">
        <v>18</v>
      </c>
      <c r="E231" s="2">
        <v>730</v>
      </c>
      <c r="F231" s="2">
        <v>13140</v>
      </c>
    </row>
    <row r="232" spans="1:6" x14ac:dyDescent="0.25">
      <c r="A232" t="s">
        <v>4062</v>
      </c>
      <c r="B232" t="s">
        <v>4543</v>
      </c>
      <c r="C232" t="s">
        <v>63</v>
      </c>
      <c r="D232" s="7">
        <v>48</v>
      </c>
      <c r="E232" s="2">
        <v>848</v>
      </c>
      <c r="F232" s="2">
        <v>40704</v>
      </c>
    </row>
    <row r="233" spans="1:6" x14ac:dyDescent="0.25">
      <c r="A233" t="s">
        <v>4062</v>
      </c>
      <c r="B233" t="s">
        <v>4076</v>
      </c>
      <c r="C233" t="s">
        <v>3963</v>
      </c>
      <c r="D233" s="7">
        <v>10</v>
      </c>
      <c r="E233" s="2">
        <v>21</v>
      </c>
      <c r="F233" s="2">
        <v>210</v>
      </c>
    </row>
    <row r="234" spans="1:6" x14ac:dyDescent="0.25">
      <c r="A234" t="s">
        <v>4062</v>
      </c>
      <c r="B234" t="s">
        <v>4544</v>
      </c>
      <c r="C234" t="s">
        <v>231</v>
      </c>
      <c r="D234" s="7">
        <v>0.3</v>
      </c>
      <c r="E234" s="2">
        <v>25521</v>
      </c>
      <c r="F234" s="2">
        <v>7656.3</v>
      </c>
    </row>
    <row r="235" spans="1:6" x14ac:dyDescent="0.25">
      <c r="A235" t="s">
        <v>4049</v>
      </c>
      <c r="B235" t="s">
        <v>4050</v>
      </c>
      <c r="C235" t="s">
        <v>4051</v>
      </c>
      <c r="D235" s="7">
        <v>1.74</v>
      </c>
      <c r="E235" s="2">
        <v>9037.33</v>
      </c>
      <c r="F235" s="2">
        <v>15726.76</v>
      </c>
    </row>
    <row r="236" spans="1:6" x14ac:dyDescent="0.25">
      <c r="A236" t="s">
        <v>4049</v>
      </c>
      <c r="B236" t="s">
        <v>4073</v>
      </c>
      <c r="C236" t="s">
        <v>4051</v>
      </c>
      <c r="D236" s="7">
        <v>0.87</v>
      </c>
      <c r="E236" s="2">
        <v>15517.89</v>
      </c>
      <c r="F236" s="2">
        <v>13547.12</v>
      </c>
    </row>
    <row r="237" spans="1:6" x14ac:dyDescent="0.25">
      <c r="A237" t="s">
        <v>4052</v>
      </c>
      <c r="B237" t="s">
        <v>4053</v>
      </c>
      <c r="C237" t="s">
        <v>4054</v>
      </c>
      <c r="D237" s="7">
        <v>3.3</v>
      </c>
      <c r="E237" s="2">
        <v>29273.88</v>
      </c>
      <c r="F237" s="2">
        <v>966.04</v>
      </c>
    </row>
    <row r="238" spans="1:6" x14ac:dyDescent="0.25">
      <c r="A238" t="s">
        <v>4055</v>
      </c>
      <c r="D238" s="7"/>
      <c r="E238" s="2"/>
      <c r="F238" s="2">
        <f>SUBTOTAL(109,A_1_04_19[VALOR PARCIAL])</f>
      </c>
    </row>
    <row r="240" ht="30" customHeight="1" spans="1:6" x14ac:dyDescent="0.25">
      <c r="A240" s="5" t="s">
        <v>4545</v>
      </c>
      <c r="B240" s="5"/>
      <c r="C240" s="5"/>
      <c r="D240" s="5"/>
      <c r="E240" s="5"/>
      <c r="F240" s="5"/>
    </row>
    <row r="241" ht="42" customHeight="1" spans="1:6" x14ac:dyDescent="0.25">
      <c r="A241" s="6" t="s">
        <v>4546</v>
      </c>
      <c r="B241" s="6"/>
      <c r="C241" s="6"/>
      <c r="D241" s="6"/>
      <c r="E241" s="6"/>
      <c r="F241" s="6"/>
    </row>
    <row r="242" spans="1:6" x14ac:dyDescent="0.25">
      <c r="A242" t="s">
        <v>4044</v>
      </c>
      <c r="B242" t="s">
        <v>4045</v>
      </c>
      <c r="C242" t="s">
        <v>5</v>
      </c>
      <c r="D242" t="s">
        <v>4046</v>
      </c>
      <c r="E242" t="s">
        <v>4047</v>
      </c>
      <c r="F242" t="s">
        <v>4048</v>
      </c>
    </row>
    <row r="243" spans="1:6" x14ac:dyDescent="0.25">
      <c r="A243" t="s">
        <v>4062</v>
      </c>
      <c r="B243" t="s">
        <v>4547</v>
      </c>
      <c r="C243" t="s">
        <v>34</v>
      </c>
      <c r="D243" s="7">
        <v>0.75</v>
      </c>
      <c r="E243" s="2">
        <v>57129.33</v>
      </c>
      <c r="F243" s="2">
        <v>42847</v>
      </c>
    </row>
    <row r="244" spans="1:6" x14ac:dyDescent="0.25">
      <c r="A244" t="s">
        <v>4062</v>
      </c>
      <c r="B244" t="s">
        <v>4325</v>
      </c>
      <c r="C244" t="s">
        <v>42</v>
      </c>
      <c r="D244" s="7">
        <v>15.42</v>
      </c>
      <c r="E244" s="2">
        <v>4947</v>
      </c>
      <c r="F244" s="2">
        <v>76282.74</v>
      </c>
    </row>
    <row r="245" spans="1:6" x14ac:dyDescent="0.25">
      <c r="A245" t="s">
        <v>4062</v>
      </c>
      <c r="B245" t="s">
        <v>4548</v>
      </c>
      <c r="C245" t="s">
        <v>42</v>
      </c>
      <c r="D245" s="7">
        <v>8</v>
      </c>
      <c r="E245" s="2">
        <v>6814.18</v>
      </c>
      <c r="F245" s="2">
        <v>54513.44</v>
      </c>
    </row>
    <row r="246" spans="1:6" x14ac:dyDescent="0.25">
      <c r="A246" t="s">
        <v>4062</v>
      </c>
      <c r="B246" t="s">
        <v>4277</v>
      </c>
      <c r="C246" t="s">
        <v>34</v>
      </c>
      <c r="D246" s="7">
        <v>0.1</v>
      </c>
      <c r="E246" s="2">
        <v>50575</v>
      </c>
      <c r="F246" s="2">
        <v>5057.5</v>
      </c>
    </row>
    <row r="247" spans="1:6" x14ac:dyDescent="0.25">
      <c r="A247" t="s">
        <v>4062</v>
      </c>
      <c r="B247" t="s">
        <v>4549</v>
      </c>
      <c r="C247" t="s">
        <v>63</v>
      </c>
      <c r="D247" s="7">
        <v>3.7</v>
      </c>
      <c r="E247" s="2">
        <v>7483.5</v>
      </c>
      <c r="F247" s="2">
        <v>27710.65</v>
      </c>
    </row>
    <row r="248" spans="1:6" x14ac:dyDescent="0.25">
      <c r="A248" t="s">
        <v>4049</v>
      </c>
      <c r="B248" t="s">
        <v>4050</v>
      </c>
      <c r="C248" t="s">
        <v>4051</v>
      </c>
      <c r="D248" s="7">
        <v>5.6</v>
      </c>
      <c r="E248" s="2">
        <v>9037.33</v>
      </c>
      <c r="F248" s="2">
        <v>50609.05</v>
      </c>
    </row>
    <row r="249" spans="1:6" x14ac:dyDescent="0.25">
      <c r="A249" t="s">
        <v>4049</v>
      </c>
      <c r="B249" t="s">
        <v>4073</v>
      </c>
      <c r="C249" t="s">
        <v>4051</v>
      </c>
      <c r="D249" s="7">
        <v>2.8</v>
      </c>
      <c r="E249" s="2">
        <v>15517.89</v>
      </c>
      <c r="F249" s="2">
        <v>43450.09</v>
      </c>
    </row>
    <row r="250" spans="1:6" x14ac:dyDescent="0.25">
      <c r="A250" t="s">
        <v>4052</v>
      </c>
      <c r="B250" t="s">
        <v>4053</v>
      </c>
      <c r="C250" t="s">
        <v>4054</v>
      </c>
      <c r="D250" s="7">
        <v>9.9</v>
      </c>
      <c r="E250" s="2">
        <v>94059.14</v>
      </c>
      <c r="F250" s="2">
        <v>9311.85</v>
      </c>
    </row>
    <row r="251" spans="1:6" x14ac:dyDescent="0.25">
      <c r="A251" t="s">
        <v>4055</v>
      </c>
      <c r="D251" s="7"/>
      <c r="E251" s="2"/>
      <c r="F251" s="2">
        <f>SUBTOTAL(109,A_1_04_20[VALOR PARCIAL])</f>
      </c>
    </row>
    <row r="253" ht="30" customHeight="1" spans="1:6" x14ac:dyDescent="0.25">
      <c r="A253" s="5" t="s">
        <v>4550</v>
      </c>
      <c r="B253" s="5"/>
      <c r="C253" s="5"/>
      <c r="D253" s="5"/>
      <c r="E253" s="5"/>
      <c r="F253" s="5"/>
    </row>
    <row r="254" ht="42" customHeight="1" spans="1:6" x14ac:dyDescent="0.25">
      <c r="A254" s="6" t="s">
        <v>4551</v>
      </c>
      <c r="B254" s="6"/>
      <c r="C254" s="6"/>
      <c r="D254" s="6"/>
      <c r="E254" s="6"/>
      <c r="F254" s="6"/>
    </row>
    <row r="255" spans="1:6" x14ac:dyDescent="0.25">
      <c r="A255" t="s">
        <v>4044</v>
      </c>
      <c r="B255" t="s">
        <v>4045</v>
      </c>
      <c r="C255" t="s">
        <v>5</v>
      </c>
      <c r="D255" t="s">
        <v>4046</v>
      </c>
      <c r="E255" t="s">
        <v>4047</v>
      </c>
      <c r="F255" t="s">
        <v>4048</v>
      </c>
    </row>
    <row r="256" spans="1:6" x14ac:dyDescent="0.25">
      <c r="A256" t="s">
        <v>4062</v>
      </c>
      <c r="B256" t="s">
        <v>4552</v>
      </c>
      <c r="C256" t="s">
        <v>63</v>
      </c>
      <c r="D256" s="7">
        <v>56</v>
      </c>
      <c r="E256" s="2">
        <v>1500</v>
      </c>
      <c r="F256" s="2">
        <v>84000</v>
      </c>
    </row>
    <row r="257" spans="1:6" x14ac:dyDescent="0.25">
      <c r="A257" t="s">
        <v>4062</v>
      </c>
      <c r="B257" t="s">
        <v>3978</v>
      </c>
      <c r="C257" t="s">
        <v>34</v>
      </c>
      <c r="D257" s="7">
        <v>0.05</v>
      </c>
      <c r="E257" s="2">
        <v>409741.65</v>
      </c>
      <c r="F257" s="2">
        <v>20487.08</v>
      </c>
    </row>
    <row r="258" spans="1:6" x14ac:dyDescent="0.25">
      <c r="A258" t="s">
        <v>4049</v>
      </c>
      <c r="B258" t="s">
        <v>4050</v>
      </c>
      <c r="C258" t="s">
        <v>4051</v>
      </c>
      <c r="D258" s="7">
        <v>1.06</v>
      </c>
      <c r="E258" s="2">
        <v>9037.33</v>
      </c>
      <c r="F258" s="2">
        <v>9579.57</v>
      </c>
    </row>
    <row r="259" spans="1:6" x14ac:dyDescent="0.25">
      <c r="A259" t="s">
        <v>4049</v>
      </c>
      <c r="B259" t="s">
        <v>4073</v>
      </c>
      <c r="C259" t="s">
        <v>4051</v>
      </c>
      <c r="D259" s="7">
        <v>1.06</v>
      </c>
      <c r="E259" s="2">
        <v>15517.89</v>
      </c>
      <c r="F259" s="2">
        <v>16448.96</v>
      </c>
    </row>
    <row r="260" spans="1:6" x14ac:dyDescent="0.25">
      <c r="A260" t="s">
        <v>4052</v>
      </c>
      <c r="B260" t="s">
        <v>4053</v>
      </c>
      <c r="C260" t="s">
        <v>4054</v>
      </c>
      <c r="D260" s="7">
        <v>3.3</v>
      </c>
      <c r="E260" s="2">
        <v>26028.53</v>
      </c>
      <c r="F260" s="2">
        <v>858.94</v>
      </c>
    </row>
    <row r="261" spans="1:6" x14ac:dyDescent="0.25">
      <c r="A261" t="s">
        <v>4055</v>
      </c>
      <c r="D261" s="7"/>
      <c r="E261" s="2"/>
      <c r="F261" s="2">
        <f>SUBTOTAL(109,A_1_04_21[VALOR PARCIAL])</f>
      </c>
    </row>
    <row r="263" ht="30" customHeight="1" spans="1:6" x14ac:dyDescent="0.25">
      <c r="A263" s="5" t="s">
        <v>4553</v>
      </c>
      <c r="B263" s="5"/>
      <c r="C263" s="5"/>
      <c r="D263" s="5"/>
      <c r="E263" s="5"/>
      <c r="F263" s="5"/>
    </row>
    <row r="264" ht="42" customHeight="1" spans="1:6" x14ac:dyDescent="0.25">
      <c r="A264" s="6" t="s">
        <v>4554</v>
      </c>
      <c r="B264" s="6"/>
      <c r="C264" s="6"/>
      <c r="D264" s="6"/>
      <c r="E264" s="6"/>
      <c r="F264" s="6"/>
    </row>
    <row r="265" spans="1:6" x14ac:dyDescent="0.25">
      <c r="A265" t="s">
        <v>4044</v>
      </c>
      <c r="B265" t="s">
        <v>4045</v>
      </c>
      <c r="C265" t="s">
        <v>5</v>
      </c>
      <c r="D265" t="s">
        <v>4046</v>
      </c>
      <c r="E265" t="s">
        <v>4047</v>
      </c>
      <c r="F265" t="s">
        <v>4048</v>
      </c>
    </row>
    <row r="266" spans="1:6" x14ac:dyDescent="0.25">
      <c r="A266" t="s">
        <v>4062</v>
      </c>
      <c r="B266" t="s">
        <v>4494</v>
      </c>
      <c r="C266" t="s">
        <v>63</v>
      </c>
      <c r="D266" s="7">
        <v>118</v>
      </c>
      <c r="E266" s="2">
        <v>794</v>
      </c>
      <c r="F266" s="2">
        <v>93692</v>
      </c>
    </row>
    <row r="267" spans="1:6" x14ac:dyDescent="0.25">
      <c r="A267" t="s">
        <v>4062</v>
      </c>
      <c r="B267" t="s">
        <v>3978</v>
      </c>
      <c r="C267" t="s">
        <v>34</v>
      </c>
      <c r="D267" s="7">
        <v>0.07</v>
      </c>
      <c r="E267" s="2">
        <v>409741.65</v>
      </c>
      <c r="F267" s="2">
        <v>28681.92</v>
      </c>
    </row>
    <row r="268" spans="1:6" x14ac:dyDescent="0.25">
      <c r="A268" t="s">
        <v>4049</v>
      </c>
      <c r="B268" t="s">
        <v>4487</v>
      </c>
      <c r="C268" t="s">
        <v>4236</v>
      </c>
      <c r="D268" s="7">
        <v>1.7</v>
      </c>
      <c r="E268" s="2">
        <v>24555.22</v>
      </c>
      <c r="F268" s="2">
        <v>41743.87</v>
      </c>
    </row>
    <row r="269" spans="1:6" x14ac:dyDescent="0.25">
      <c r="A269" t="s">
        <v>4052</v>
      </c>
      <c r="B269" t="s">
        <v>4053</v>
      </c>
      <c r="C269" t="s">
        <v>4054</v>
      </c>
      <c r="D269" s="7">
        <v>3.3</v>
      </c>
      <c r="E269" s="2">
        <v>41743.87</v>
      </c>
      <c r="F269" s="2">
        <v>1377.55</v>
      </c>
    </row>
    <row r="270" spans="1:6" x14ac:dyDescent="0.25">
      <c r="A270" t="s">
        <v>4055</v>
      </c>
      <c r="D270" s="7"/>
      <c r="E270" s="2"/>
      <c r="F270" s="2">
        <f>SUBTOTAL(109,A_1_04_22[VALOR PARCIAL])</f>
      </c>
    </row>
    <row r="272" ht="30" customHeight="1" spans="1:6" x14ac:dyDescent="0.25">
      <c r="A272" s="5" t="s">
        <v>4555</v>
      </c>
      <c r="B272" s="5"/>
      <c r="C272" s="5"/>
      <c r="D272" s="5"/>
      <c r="E272" s="5"/>
      <c r="F272" s="5"/>
    </row>
    <row r="273" ht="42" customHeight="1" spans="1:6" x14ac:dyDescent="0.25">
      <c r="A273" s="6" t="s">
        <v>4556</v>
      </c>
      <c r="B273" s="6"/>
      <c r="C273" s="6"/>
      <c r="D273" s="6"/>
      <c r="E273" s="6"/>
      <c r="F273" s="6"/>
    </row>
    <row r="274" spans="1:6" x14ac:dyDescent="0.25">
      <c r="A274" t="s">
        <v>4044</v>
      </c>
      <c r="B274" t="s">
        <v>4045</v>
      </c>
      <c r="C274" t="s">
        <v>5</v>
      </c>
      <c r="D274" t="s">
        <v>4046</v>
      </c>
      <c r="E274" t="s">
        <v>4047</v>
      </c>
      <c r="F274" t="s">
        <v>4048</v>
      </c>
    </row>
    <row r="275" spans="1:6" x14ac:dyDescent="0.25">
      <c r="A275" t="s">
        <v>4062</v>
      </c>
      <c r="B275" t="s">
        <v>4494</v>
      </c>
      <c r="C275" t="s">
        <v>63</v>
      </c>
      <c r="D275" s="7">
        <v>118</v>
      </c>
      <c r="E275" s="2">
        <v>794</v>
      </c>
      <c r="F275" s="2">
        <v>93692</v>
      </c>
    </row>
    <row r="276" spans="1:6" x14ac:dyDescent="0.25">
      <c r="A276" t="s">
        <v>4062</v>
      </c>
      <c r="B276" t="s">
        <v>3981</v>
      </c>
      <c r="C276" t="s">
        <v>34</v>
      </c>
      <c r="D276" s="7">
        <v>0.07</v>
      </c>
      <c r="E276" s="2">
        <v>365704.15</v>
      </c>
      <c r="F276" s="2">
        <v>25599.29</v>
      </c>
    </row>
    <row r="277" spans="1:6" x14ac:dyDescent="0.25">
      <c r="A277" t="s">
        <v>4049</v>
      </c>
      <c r="B277" t="s">
        <v>4487</v>
      </c>
      <c r="C277" t="s">
        <v>4236</v>
      </c>
      <c r="D277" s="7">
        <v>1.7</v>
      </c>
      <c r="E277" s="2">
        <v>24555.22</v>
      </c>
      <c r="F277" s="2">
        <v>41743.87</v>
      </c>
    </row>
    <row r="278" spans="1:6" x14ac:dyDescent="0.25">
      <c r="A278" t="s">
        <v>4052</v>
      </c>
      <c r="B278" t="s">
        <v>4053</v>
      </c>
      <c r="C278" t="s">
        <v>4054</v>
      </c>
      <c r="D278" s="7">
        <v>3.3</v>
      </c>
      <c r="E278" s="2">
        <v>41743.87</v>
      </c>
      <c r="F278" s="2">
        <v>1377.55</v>
      </c>
    </row>
    <row r="279" spans="1:6" x14ac:dyDescent="0.25">
      <c r="A279" t="s">
        <v>4055</v>
      </c>
      <c r="D279" s="7"/>
      <c r="E279" s="2"/>
      <c r="F279" s="2">
        <f>SUBTOTAL(109,A_1_04_23[VALOR PARCIAL])</f>
      </c>
    </row>
    <row r="281" ht="30" customHeight="1" spans="1:6" x14ac:dyDescent="0.25">
      <c r="A281" s="5" t="s">
        <v>4557</v>
      </c>
      <c r="B281" s="5"/>
      <c r="C281" s="5"/>
      <c r="D281" s="5"/>
      <c r="E281" s="5"/>
      <c r="F281" s="5"/>
    </row>
    <row r="282" ht="42" customHeight="1" spans="1:6" x14ac:dyDescent="0.25">
      <c r="A282" s="6" t="s">
        <v>4558</v>
      </c>
      <c r="B282" s="6"/>
      <c r="C282" s="6"/>
      <c r="D282" s="6"/>
      <c r="E282" s="6"/>
      <c r="F282" s="6"/>
    </row>
    <row r="283" spans="1:6" x14ac:dyDescent="0.25">
      <c r="A283" t="s">
        <v>4044</v>
      </c>
      <c r="B283" t="s">
        <v>4045</v>
      </c>
      <c r="C283" t="s">
        <v>5</v>
      </c>
      <c r="D283" t="s">
        <v>4046</v>
      </c>
      <c r="E283" t="s">
        <v>4047</v>
      </c>
      <c r="F283" t="s">
        <v>4048</v>
      </c>
    </row>
    <row r="284" spans="1:6" x14ac:dyDescent="0.25">
      <c r="A284" t="s">
        <v>4062</v>
      </c>
      <c r="B284" t="s">
        <v>4494</v>
      </c>
      <c r="C284" t="s">
        <v>63</v>
      </c>
      <c r="D284" s="7">
        <v>55</v>
      </c>
      <c r="E284" s="2">
        <v>794</v>
      </c>
      <c r="F284" s="2">
        <v>43670</v>
      </c>
    </row>
    <row r="285" spans="1:6" x14ac:dyDescent="0.25">
      <c r="A285" t="s">
        <v>4062</v>
      </c>
      <c r="B285" t="s">
        <v>3978</v>
      </c>
      <c r="C285" t="s">
        <v>34</v>
      </c>
      <c r="D285" s="7">
        <v>0.03</v>
      </c>
      <c r="E285" s="2">
        <v>409741.65</v>
      </c>
      <c r="F285" s="2">
        <v>12292.25</v>
      </c>
    </row>
    <row r="286" spans="1:6" x14ac:dyDescent="0.25">
      <c r="A286" t="s">
        <v>4049</v>
      </c>
      <c r="B286" t="s">
        <v>4050</v>
      </c>
      <c r="C286" t="s">
        <v>4051</v>
      </c>
      <c r="D286" s="7">
        <v>1.06</v>
      </c>
      <c r="E286" s="2">
        <v>9037.33</v>
      </c>
      <c r="F286" s="2">
        <v>9579.57</v>
      </c>
    </row>
    <row r="287" spans="1:6" x14ac:dyDescent="0.25">
      <c r="A287" t="s">
        <v>4049</v>
      </c>
      <c r="B287" t="s">
        <v>4073</v>
      </c>
      <c r="C287" t="s">
        <v>4051</v>
      </c>
      <c r="D287" s="7">
        <v>1.06</v>
      </c>
      <c r="E287" s="2">
        <v>15517.89</v>
      </c>
      <c r="F287" s="2">
        <v>16448.96</v>
      </c>
    </row>
    <row r="288" spans="1:6" x14ac:dyDescent="0.25">
      <c r="A288" t="s">
        <v>4052</v>
      </c>
      <c r="B288" t="s">
        <v>4053</v>
      </c>
      <c r="C288" t="s">
        <v>4054</v>
      </c>
      <c r="D288" s="7">
        <v>3.3</v>
      </c>
      <c r="E288" s="2">
        <v>26028.53</v>
      </c>
      <c r="F288" s="2">
        <v>858.94</v>
      </c>
    </row>
    <row r="289" spans="1:6" x14ac:dyDescent="0.25">
      <c r="A289" t="s">
        <v>4055</v>
      </c>
      <c r="D289" s="7"/>
      <c r="E289" s="2"/>
      <c r="F289" s="2">
        <f>SUBTOTAL(109,A_1_04_24[VALOR PARCIAL])</f>
      </c>
    </row>
    <row r="291" ht="30" customHeight="1" spans="1:6" x14ac:dyDescent="0.25">
      <c r="A291" s="5" t="s">
        <v>4559</v>
      </c>
      <c r="B291" s="5"/>
      <c r="C291" s="5"/>
      <c r="D291" s="5"/>
      <c r="E291" s="5"/>
      <c r="F291" s="5"/>
    </row>
    <row r="292" ht="42" customHeight="1" spans="1:6" x14ac:dyDescent="0.25">
      <c r="A292" s="6" t="s">
        <v>4560</v>
      </c>
      <c r="B292" s="6"/>
      <c r="C292" s="6"/>
      <c r="D292" s="6"/>
      <c r="E292" s="6"/>
      <c r="F292" s="6"/>
    </row>
    <row r="293" spans="1:6" x14ac:dyDescent="0.25">
      <c r="A293" t="s">
        <v>4044</v>
      </c>
      <c r="B293" t="s">
        <v>4045</v>
      </c>
      <c r="C293" t="s">
        <v>5</v>
      </c>
      <c r="D293" t="s">
        <v>4046</v>
      </c>
      <c r="E293" t="s">
        <v>4047</v>
      </c>
      <c r="F293" t="s">
        <v>4048</v>
      </c>
    </row>
    <row r="294" spans="1:6" x14ac:dyDescent="0.25">
      <c r="A294" t="s">
        <v>4062</v>
      </c>
      <c r="B294" t="s">
        <v>4494</v>
      </c>
      <c r="C294" t="s">
        <v>63</v>
      </c>
      <c r="D294" s="7">
        <v>118</v>
      </c>
      <c r="E294" s="2">
        <v>794</v>
      </c>
      <c r="F294" s="2">
        <v>93692</v>
      </c>
    </row>
    <row r="295" spans="1:6" x14ac:dyDescent="0.25">
      <c r="A295" t="s">
        <v>4062</v>
      </c>
      <c r="B295" t="s">
        <v>3978</v>
      </c>
      <c r="C295" t="s">
        <v>34</v>
      </c>
      <c r="D295" s="7">
        <v>0.07</v>
      </c>
      <c r="E295" s="2">
        <v>409741.65</v>
      </c>
      <c r="F295" s="2">
        <v>28681.92</v>
      </c>
    </row>
    <row r="296" spans="1:6" x14ac:dyDescent="0.25">
      <c r="A296" t="s">
        <v>4049</v>
      </c>
      <c r="B296" t="s">
        <v>4050</v>
      </c>
      <c r="C296" t="s">
        <v>4051</v>
      </c>
      <c r="D296" s="7">
        <v>1.7</v>
      </c>
      <c r="E296" s="2">
        <v>9037.33</v>
      </c>
      <c r="F296" s="2">
        <v>15363.46</v>
      </c>
    </row>
    <row r="297" spans="1:6" x14ac:dyDescent="0.25">
      <c r="A297" t="s">
        <v>4049</v>
      </c>
      <c r="B297" t="s">
        <v>4073</v>
      </c>
      <c r="C297" t="s">
        <v>4051</v>
      </c>
      <c r="D297" s="7">
        <v>1.7</v>
      </c>
      <c r="E297" s="2">
        <v>15517.89</v>
      </c>
      <c r="F297" s="2">
        <v>26380.41</v>
      </c>
    </row>
    <row r="298" spans="1:6" x14ac:dyDescent="0.25">
      <c r="A298" t="s">
        <v>4052</v>
      </c>
      <c r="B298" t="s">
        <v>4053</v>
      </c>
      <c r="C298" t="s">
        <v>4054</v>
      </c>
      <c r="D298" s="7">
        <v>3.3</v>
      </c>
      <c r="E298" s="2">
        <v>41743.87</v>
      </c>
      <c r="F298" s="2">
        <v>1377.55</v>
      </c>
    </row>
    <row r="299" spans="1:6" x14ac:dyDescent="0.25">
      <c r="A299" t="s">
        <v>4055</v>
      </c>
      <c r="D299" s="7"/>
      <c r="E299" s="2"/>
      <c r="F299" s="2">
        <f>SUBTOTAL(109,A_1_04_25[VALOR PARCIAL])</f>
      </c>
    </row>
    <row r="301" ht="30" customHeight="1" spans="1:6" x14ac:dyDescent="0.25">
      <c r="A301" s="5" t="s">
        <v>4561</v>
      </c>
      <c r="B301" s="5"/>
      <c r="C301" s="5"/>
      <c r="D301" s="5"/>
      <c r="E301" s="5"/>
      <c r="F301" s="5"/>
    </row>
    <row r="302" ht="42" customHeight="1" spans="1:6" x14ac:dyDescent="0.25">
      <c r="A302" s="6" t="s">
        <v>4562</v>
      </c>
      <c r="B302" s="6"/>
      <c r="C302" s="6"/>
      <c r="D302" s="6"/>
      <c r="E302" s="6"/>
      <c r="F302" s="6"/>
    </row>
    <row r="303" spans="1:6" x14ac:dyDescent="0.25">
      <c r="A303" t="s">
        <v>4044</v>
      </c>
      <c r="B303" t="s">
        <v>4045</v>
      </c>
      <c r="C303" t="s">
        <v>5</v>
      </c>
      <c r="D303" t="s">
        <v>4046</v>
      </c>
      <c r="E303" t="s">
        <v>4047</v>
      </c>
      <c r="F303" t="s">
        <v>4048</v>
      </c>
    </row>
    <row r="304" spans="1:6" x14ac:dyDescent="0.25">
      <c r="A304" t="s">
        <v>4062</v>
      </c>
      <c r="B304" t="s">
        <v>4481</v>
      </c>
      <c r="C304" t="s">
        <v>63</v>
      </c>
      <c r="D304" s="7">
        <v>56</v>
      </c>
      <c r="E304" s="2">
        <v>708</v>
      </c>
      <c r="F304" s="2">
        <v>39648</v>
      </c>
    </row>
    <row r="305" spans="1:6" x14ac:dyDescent="0.25">
      <c r="A305" t="s">
        <v>4062</v>
      </c>
      <c r="B305" t="s">
        <v>3978</v>
      </c>
      <c r="C305" t="s">
        <v>34</v>
      </c>
      <c r="D305" s="7">
        <v>0.03</v>
      </c>
      <c r="E305" s="2">
        <v>409741.65</v>
      </c>
      <c r="F305" s="2">
        <v>12292.25</v>
      </c>
    </row>
    <row r="306" spans="1:6" x14ac:dyDescent="0.25">
      <c r="A306" t="s">
        <v>4049</v>
      </c>
      <c r="B306" t="s">
        <v>4050</v>
      </c>
      <c r="C306" t="s">
        <v>4051</v>
      </c>
      <c r="D306" s="7">
        <v>1.06</v>
      </c>
      <c r="E306" s="2">
        <v>9037.33</v>
      </c>
      <c r="F306" s="2">
        <v>9579.57</v>
      </c>
    </row>
    <row r="307" spans="1:6" x14ac:dyDescent="0.25">
      <c r="A307" t="s">
        <v>4049</v>
      </c>
      <c r="B307" t="s">
        <v>4073</v>
      </c>
      <c r="C307" t="s">
        <v>4051</v>
      </c>
      <c r="D307" s="7">
        <v>1.06</v>
      </c>
      <c r="E307" s="2">
        <v>15517.89</v>
      </c>
      <c r="F307" s="2">
        <v>16448.96</v>
      </c>
    </row>
    <row r="308" spans="1:6" x14ac:dyDescent="0.25">
      <c r="A308" t="s">
        <v>4052</v>
      </c>
      <c r="B308" t="s">
        <v>4053</v>
      </c>
      <c r="C308" t="s">
        <v>4054</v>
      </c>
      <c r="D308" s="7">
        <v>3.3</v>
      </c>
      <c r="E308" s="2">
        <v>26028.53</v>
      </c>
      <c r="F308" s="2">
        <v>858.94</v>
      </c>
    </row>
    <row r="309" spans="1:6" x14ac:dyDescent="0.25">
      <c r="A309" t="s">
        <v>4055</v>
      </c>
      <c r="D309" s="7"/>
      <c r="E309" s="2"/>
      <c r="F309" s="2">
        <f>SUBTOTAL(109,A_1_04_26[VALOR PARCIAL])</f>
      </c>
    </row>
    <row r="311" ht="30" customHeight="1" spans="1:6" x14ac:dyDescent="0.25">
      <c r="A311" s="5" t="s">
        <v>4563</v>
      </c>
      <c r="B311" s="5"/>
      <c r="C311" s="5"/>
      <c r="D311" s="5"/>
      <c r="E311" s="5"/>
      <c r="F311" s="5"/>
    </row>
    <row r="312" ht="42" customHeight="1" spans="1:6" x14ac:dyDescent="0.25">
      <c r="A312" s="6" t="s">
        <v>4564</v>
      </c>
      <c r="B312" s="6"/>
      <c r="C312" s="6"/>
      <c r="D312" s="6"/>
      <c r="E312" s="6"/>
      <c r="F312" s="6"/>
    </row>
    <row r="313" spans="1:6" x14ac:dyDescent="0.25">
      <c r="A313" t="s">
        <v>4044</v>
      </c>
      <c r="B313" t="s">
        <v>4045</v>
      </c>
      <c r="C313" t="s">
        <v>5</v>
      </c>
      <c r="D313" t="s">
        <v>4046</v>
      </c>
      <c r="E313" t="s">
        <v>4047</v>
      </c>
      <c r="F313" t="s">
        <v>4048</v>
      </c>
    </row>
    <row r="314" spans="1:6" x14ac:dyDescent="0.25">
      <c r="A314" t="s">
        <v>4062</v>
      </c>
      <c r="B314" t="s">
        <v>4481</v>
      </c>
      <c r="C314" t="s">
        <v>63</v>
      </c>
      <c r="D314" s="7">
        <v>114</v>
      </c>
      <c r="E314" s="2">
        <v>708</v>
      </c>
      <c r="F314" s="2">
        <v>80712</v>
      </c>
    </row>
    <row r="315" spans="1:6" x14ac:dyDescent="0.25">
      <c r="A315" t="s">
        <v>4062</v>
      </c>
      <c r="B315" t="s">
        <v>3978</v>
      </c>
      <c r="C315" t="s">
        <v>34</v>
      </c>
      <c r="D315" s="7">
        <v>0.07</v>
      </c>
      <c r="E315" s="2">
        <v>409741.65</v>
      </c>
      <c r="F315" s="2">
        <v>28681.92</v>
      </c>
    </row>
    <row r="316" spans="1:6" x14ac:dyDescent="0.25">
      <c r="A316" t="s">
        <v>4049</v>
      </c>
      <c r="B316" t="s">
        <v>4050</v>
      </c>
      <c r="C316" t="s">
        <v>4051</v>
      </c>
      <c r="D316" s="7">
        <v>1.7</v>
      </c>
      <c r="E316" s="2">
        <v>9037.33</v>
      </c>
      <c r="F316" s="2">
        <v>15363.46</v>
      </c>
    </row>
    <row r="317" spans="1:6" x14ac:dyDescent="0.25">
      <c r="A317" t="s">
        <v>4049</v>
      </c>
      <c r="B317" t="s">
        <v>4073</v>
      </c>
      <c r="C317" t="s">
        <v>4051</v>
      </c>
      <c r="D317" s="7">
        <v>1.7</v>
      </c>
      <c r="E317" s="2">
        <v>15517.89</v>
      </c>
      <c r="F317" s="2">
        <v>26380.41</v>
      </c>
    </row>
    <row r="318" spans="1:6" x14ac:dyDescent="0.25">
      <c r="A318" t="s">
        <v>4052</v>
      </c>
      <c r="B318" t="s">
        <v>4053</v>
      </c>
      <c r="C318" t="s">
        <v>4054</v>
      </c>
      <c r="D318" s="7">
        <v>3.3</v>
      </c>
      <c r="E318" s="2">
        <v>41743.87</v>
      </c>
      <c r="F318" s="2">
        <v>1377.55</v>
      </c>
    </row>
    <row r="319" spans="1:6" x14ac:dyDescent="0.25">
      <c r="A319" t="s">
        <v>4055</v>
      </c>
      <c r="D319" s="7"/>
      <c r="E319" s="2"/>
      <c r="F319" s="2">
        <f>SUBTOTAL(109,A_1_04_27[VALOR PARCIAL])</f>
      </c>
    </row>
    <row r="321" ht="30" customHeight="1" spans="1:6" x14ac:dyDescent="0.25">
      <c r="A321" s="5" t="s">
        <v>4565</v>
      </c>
      <c r="B321" s="5"/>
      <c r="C321" s="5"/>
      <c r="D321" s="5"/>
      <c r="E321" s="5"/>
      <c r="F321" s="5"/>
    </row>
    <row r="322" ht="42" customHeight="1" spans="1:6" x14ac:dyDescent="0.25">
      <c r="A322" s="6" t="s">
        <v>4566</v>
      </c>
      <c r="B322" s="6"/>
      <c r="C322" s="6"/>
      <c r="D322" s="6"/>
      <c r="E322" s="6"/>
      <c r="F322" s="6"/>
    </row>
    <row r="323" spans="1:6" x14ac:dyDescent="0.25">
      <c r="A323" t="s">
        <v>4044</v>
      </c>
      <c r="B323" t="s">
        <v>4045</v>
      </c>
      <c r="C323" t="s">
        <v>5</v>
      </c>
      <c r="D323" t="s">
        <v>4046</v>
      </c>
      <c r="E323" t="s">
        <v>4047</v>
      </c>
      <c r="F323" t="s">
        <v>4048</v>
      </c>
    </row>
    <row r="324" spans="1:6" x14ac:dyDescent="0.25">
      <c r="A324" t="s">
        <v>4062</v>
      </c>
      <c r="B324" t="s">
        <v>4567</v>
      </c>
      <c r="C324" t="s">
        <v>63</v>
      </c>
      <c r="D324" s="7">
        <v>1.7</v>
      </c>
      <c r="E324" s="2">
        <v>5158</v>
      </c>
      <c r="F324" s="2">
        <v>8768.6</v>
      </c>
    </row>
    <row r="325" spans="1:6" x14ac:dyDescent="0.25">
      <c r="A325" t="s">
        <v>4062</v>
      </c>
      <c r="B325" t="s">
        <v>4568</v>
      </c>
      <c r="C325" t="s">
        <v>21</v>
      </c>
      <c r="D325" s="7">
        <v>1.05</v>
      </c>
      <c r="E325" s="2">
        <v>39200</v>
      </c>
      <c r="F325" s="2">
        <v>41160</v>
      </c>
    </row>
    <row r="326" spans="1:6" x14ac:dyDescent="0.25">
      <c r="A326" t="s">
        <v>4062</v>
      </c>
      <c r="B326" t="s">
        <v>4569</v>
      </c>
      <c r="C326" t="s">
        <v>63</v>
      </c>
      <c r="D326" s="7">
        <v>0.3</v>
      </c>
      <c r="E326" s="2">
        <v>7800</v>
      </c>
      <c r="F326" s="2">
        <v>2340</v>
      </c>
    </row>
    <row r="327" spans="1:6" x14ac:dyDescent="0.25">
      <c r="A327" t="s">
        <v>4062</v>
      </c>
      <c r="B327" t="s">
        <v>4570</v>
      </c>
      <c r="C327" t="s">
        <v>63</v>
      </c>
      <c r="D327" s="7">
        <v>0.3</v>
      </c>
      <c r="E327" s="2">
        <v>3800</v>
      </c>
      <c r="F327" s="2">
        <v>1140</v>
      </c>
    </row>
    <row r="328" spans="1:6" x14ac:dyDescent="0.25">
      <c r="A328" t="s">
        <v>4062</v>
      </c>
      <c r="B328" t="s">
        <v>4571</v>
      </c>
      <c r="C328" t="s">
        <v>63</v>
      </c>
      <c r="D328" s="7">
        <v>0.3</v>
      </c>
      <c r="E328" s="2">
        <v>6050</v>
      </c>
      <c r="F328" s="2">
        <v>1815</v>
      </c>
    </row>
    <row r="329" spans="1:6" x14ac:dyDescent="0.25">
      <c r="A329" t="s">
        <v>4062</v>
      </c>
      <c r="B329" t="s">
        <v>3981</v>
      </c>
      <c r="C329" t="s">
        <v>34</v>
      </c>
      <c r="D329" s="7">
        <v>0.04</v>
      </c>
      <c r="E329" s="2">
        <v>365704.15</v>
      </c>
      <c r="F329" s="2">
        <v>15359.57</v>
      </c>
    </row>
    <row r="330" spans="1:6" x14ac:dyDescent="0.25">
      <c r="A330" t="s">
        <v>4062</v>
      </c>
      <c r="B330" t="s">
        <v>4572</v>
      </c>
      <c r="C330" t="s">
        <v>231</v>
      </c>
      <c r="D330" s="7">
        <v>0.05</v>
      </c>
      <c r="E330" s="2">
        <v>4011</v>
      </c>
      <c r="F330" s="2">
        <v>200.55</v>
      </c>
    </row>
    <row r="331" spans="1:6" x14ac:dyDescent="0.25">
      <c r="A331" t="s">
        <v>4049</v>
      </c>
      <c r="B331" t="s">
        <v>4487</v>
      </c>
      <c r="C331" t="s">
        <v>4236</v>
      </c>
      <c r="D331" s="7">
        <v>0.45</v>
      </c>
      <c r="E331" s="2">
        <v>24555.22</v>
      </c>
      <c r="F331" s="2">
        <v>11049.85</v>
      </c>
    </row>
    <row r="332" spans="1:6" x14ac:dyDescent="0.25">
      <c r="A332" t="s">
        <v>4052</v>
      </c>
      <c r="B332" t="s">
        <v>4053</v>
      </c>
      <c r="C332" t="s">
        <v>4054</v>
      </c>
      <c r="D332" s="7">
        <v>3.3</v>
      </c>
      <c r="E332" s="2">
        <v>11049.85</v>
      </c>
      <c r="F332" s="2">
        <v>364.65</v>
      </c>
    </row>
    <row r="333" spans="1:6" x14ac:dyDescent="0.25">
      <c r="A333" t="s">
        <v>4055</v>
      </c>
      <c r="D333" s="7"/>
      <c r="E333" s="2"/>
      <c r="F333" s="2">
        <f>SUBTOTAL(109,A_1_04_28[VALOR PARCIAL])</f>
      </c>
    </row>
    <row r="335" ht="30" customHeight="1" spans="1:6" x14ac:dyDescent="0.25">
      <c r="A335" s="5" t="s">
        <v>4573</v>
      </c>
      <c r="B335" s="5"/>
      <c r="C335" s="5"/>
      <c r="D335" s="5"/>
      <c r="E335" s="5"/>
      <c r="F335" s="5"/>
    </row>
    <row r="336" ht="42" customHeight="1" spans="1:6" x14ac:dyDescent="0.25">
      <c r="A336" s="6" t="s">
        <v>4574</v>
      </c>
      <c r="B336" s="6"/>
      <c r="C336" s="6"/>
      <c r="D336" s="6"/>
      <c r="E336" s="6"/>
      <c r="F336" s="6"/>
    </row>
    <row r="337" spans="1:6" x14ac:dyDescent="0.25">
      <c r="A337" t="s">
        <v>4044</v>
      </c>
      <c r="B337" t="s">
        <v>4045</v>
      </c>
      <c r="C337" t="s">
        <v>5</v>
      </c>
      <c r="D337" t="s">
        <v>4046</v>
      </c>
      <c r="E337" t="s">
        <v>4047</v>
      </c>
      <c r="F337" t="s">
        <v>4048</v>
      </c>
    </row>
    <row r="338" spans="1:6" x14ac:dyDescent="0.25">
      <c r="A338" t="s">
        <v>4062</v>
      </c>
      <c r="B338" t="s">
        <v>4262</v>
      </c>
      <c r="C338" t="s">
        <v>63</v>
      </c>
      <c r="D338" s="7">
        <v>31</v>
      </c>
      <c r="E338" s="2">
        <v>415</v>
      </c>
      <c r="F338" s="2">
        <v>12865</v>
      </c>
    </row>
    <row r="339" spans="1:6" x14ac:dyDescent="0.25">
      <c r="A339" t="s">
        <v>4062</v>
      </c>
      <c r="B339" t="s">
        <v>3978</v>
      </c>
      <c r="C339" t="s">
        <v>34</v>
      </c>
      <c r="D339" s="7">
        <v>0.01</v>
      </c>
      <c r="E339" s="2">
        <v>409741.65</v>
      </c>
      <c r="F339" s="2">
        <v>4097.42</v>
      </c>
    </row>
    <row r="340" spans="1:6" x14ac:dyDescent="0.25">
      <c r="A340" t="s">
        <v>4049</v>
      </c>
      <c r="B340" t="s">
        <v>4050</v>
      </c>
      <c r="C340" t="s">
        <v>4051</v>
      </c>
      <c r="D340" s="7">
        <v>0.86</v>
      </c>
      <c r="E340" s="2">
        <v>9037.33</v>
      </c>
      <c r="F340" s="2">
        <v>7772.1</v>
      </c>
    </row>
    <row r="341" spans="1:6" x14ac:dyDescent="0.25">
      <c r="A341" t="s">
        <v>4049</v>
      </c>
      <c r="B341" t="s">
        <v>4073</v>
      </c>
      <c r="C341" t="s">
        <v>4051</v>
      </c>
      <c r="D341" s="7">
        <v>0.86</v>
      </c>
      <c r="E341" s="2">
        <v>15517.89</v>
      </c>
      <c r="F341" s="2">
        <v>13345.39</v>
      </c>
    </row>
    <row r="342" spans="1:6" x14ac:dyDescent="0.25">
      <c r="A342" t="s">
        <v>4052</v>
      </c>
      <c r="B342" t="s">
        <v>4053</v>
      </c>
      <c r="C342" t="s">
        <v>4054</v>
      </c>
      <c r="D342" s="7">
        <v>3.3</v>
      </c>
      <c r="E342" s="2">
        <v>21117.49</v>
      </c>
      <c r="F342" s="2">
        <v>696.88</v>
      </c>
    </row>
    <row r="343" spans="1:6" x14ac:dyDescent="0.25">
      <c r="A343" t="s">
        <v>4055</v>
      </c>
      <c r="D343" s="7"/>
      <c r="E343" s="2"/>
      <c r="F343" s="2">
        <f>SUBTOTAL(109,A_1_04_29[VALOR PARCIAL])</f>
      </c>
    </row>
    <row r="345" ht="30" customHeight="1" spans="1:6" x14ac:dyDescent="0.25">
      <c r="A345" s="5" t="s">
        <v>4575</v>
      </c>
      <c r="B345" s="5"/>
      <c r="C345" s="5"/>
      <c r="D345" s="5"/>
      <c r="E345" s="5"/>
      <c r="F345" s="5"/>
    </row>
    <row r="346" ht="42" customHeight="1" spans="1:6" x14ac:dyDescent="0.25">
      <c r="A346" s="6" t="s">
        <v>4576</v>
      </c>
      <c r="B346" s="6"/>
      <c r="C346" s="6"/>
      <c r="D346" s="6"/>
      <c r="E346" s="6"/>
      <c r="F346" s="6"/>
    </row>
    <row r="347" spans="1:6" x14ac:dyDescent="0.25">
      <c r="A347" t="s">
        <v>4044</v>
      </c>
      <c r="B347" t="s">
        <v>4045</v>
      </c>
      <c r="C347" t="s">
        <v>5</v>
      </c>
      <c r="D347" t="s">
        <v>4046</v>
      </c>
      <c r="E347" t="s">
        <v>4047</v>
      </c>
      <c r="F347" t="s">
        <v>4048</v>
      </c>
    </row>
    <row r="348" spans="1:6" x14ac:dyDescent="0.25">
      <c r="A348" t="s">
        <v>4062</v>
      </c>
      <c r="B348" t="s">
        <v>4262</v>
      </c>
      <c r="C348" t="s">
        <v>63</v>
      </c>
      <c r="D348" s="7">
        <v>55</v>
      </c>
      <c r="E348" s="2">
        <v>415</v>
      </c>
      <c r="F348" s="2">
        <v>22825</v>
      </c>
    </row>
    <row r="349" spans="1:6" x14ac:dyDescent="0.25">
      <c r="A349" t="s">
        <v>4062</v>
      </c>
      <c r="B349" t="s">
        <v>3978</v>
      </c>
      <c r="C349" t="s">
        <v>34</v>
      </c>
      <c r="D349" s="7">
        <v>0.02</v>
      </c>
      <c r="E349" s="2">
        <v>409741.65</v>
      </c>
      <c r="F349" s="2">
        <v>8194.83</v>
      </c>
    </row>
    <row r="350" spans="1:6" x14ac:dyDescent="0.25">
      <c r="A350" t="s">
        <v>4049</v>
      </c>
      <c r="B350" t="s">
        <v>4050</v>
      </c>
      <c r="C350" t="s">
        <v>4051</v>
      </c>
      <c r="D350" s="7">
        <v>0.75</v>
      </c>
      <c r="E350" s="2">
        <v>9037.33</v>
      </c>
      <c r="F350" s="2">
        <v>6778</v>
      </c>
    </row>
    <row r="351" spans="1:6" x14ac:dyDescent="0.25">
      <c r="A351" t="s">
        <v>4049</v>
      </c>
      <c r="B351" t="s">
        <v>4073</v>
      </c>
      <c r="C351" t="s">
        <v>4051</v>
      </c>
      <c r="D351" s="7">
        <v>0.75</v>
      </c>
      <c r="E351" s="2">
        <v>15517.89</v>
      </c>
      <c r="F351" s="2">
        <v>11638.42</v>
      </c>
    </row>
    <row r="352" spans="1:6" x14ac:dyDescent="0.25">
      <c r="A352" t="s">
        <v>4052</v>
      </c>
      <c r="B352" t="s">
        <v>4053</v>
      </c>
      <c r="C352" t="s">
        <v>4054</v>
      </c>
      <c r="D352" s="7">
        <v>3.3</v>
      </c>
      <c r="E352" s="2">
        <v>18416.42</v>
      </c>
      <c r="F352" s="2">
        <v>607.74</v>
      </c>
    </row>
    <row r="353" spans="1:6" x14ac:dyDescent="0.25">
      <c r="A353" t="s">
        <v>4055</v>
      </c>
      <c r="D353" s="7"/>
      <c r="E353" s="2"/>
      <c r="F353" s="2">
        <f>SUBTOTAL(109,A_1_04_30[VALOR PARCIAL])</f>
      </c>
    </row>
    <row r="355" ht="30" customHeight="1" spans="1:6" x14ac:dyDescent="0.25">
      <c r="A355" s="5" t="s">
        <v>4577</v>
      </c>
      <c r="B355" s="5"/>
      <c r="C355" s="5"/>
      <c r="D355" s="5"/>
      <c r="E355" s="5"/>
      <c r="F355" s="5"/>
    </row>
    <row r="356" ht="42" customHeight="1" spans="1:6" x14ac:dyDescent="0.25">
      <c r="A356" s="6" t="s">
        <v>4578</v>
      </c>
      <c r="B356" s="6"/>
      <c r="C356" s="6"/>
      <c r="D356" s="6"/>
      <c r="E356" s="6"/>
      <c r="F356" s="6"/>
    </row>
    <row r="357" spans="1:6" x14ac:dyDescent="0.25">
      <c r="A357" t="s">
        <v>4044</v>
      </c>
      <c r="B357" t="s">
        <v>4045</v>
      </c>
      <c r="C357" t="s">
        <v>5</v>
      </c>
      <c r="D357" t="s">
        <v>4046</v>
      </c>
      <c r="E357" t="s">
        <v>4047</v>
      </c>
      <c r="F357" t="s">
        <v>4048</v>
      </c>
    </row>
    <row r="358" spans="1:6" x14ac:dyDescent="0.25">
      <c r="A358" t="s">
        <v>4062</v>
      </c>
      <c r="B358" t="s">
        <v>4262</v>
      </c>
      <c r="C358" t="s">
        <v>63</v>
      </c>
      <c r="D358" s="7">
        <v>118</v>
      </c>
      <c r="E358" s="2">
        <v>415</v>
      </c>
      <c r="F358" s="2">
        <v>48970</v>
      </c>
    </row>
    <row r="359" spans="1:6" x14ac:dyDescent="0.25">
      <c r="A359" t="s">
        <v>4062</v>
      </c>
      <c r="B359" t="s">
        <v>3978</v>
      </c>
      <c r="C359" t="s">
        <v>34</v>
      </c>
      <c r="D359" s="7">
        <v>0.03</v>
      </c>
      <c r="E359" s="2">
        <v>409741.65</v>
      </c>
      <c r="F359" s="2">
        <v>12292.25</v>
      </c>
    </row>
    <row r="360" spans="1:6" x14ac:dyDescent="0.25">
      <c r="A360" t="s">
        <v>4049</v>
      </c>
      <c r="B360" t="s">
        <v>4050</v>
      </c>
      <c r="C360" t="s">
        <v>4051</v>
      </c>
      <c r="D360" s="7">
        <v>1.37</v>
      </c>
      <c r="E360" s="2">
        <v>9037.33</v>
      </c>
      <c r="F360" s="2">
        <v>12381.14</v>
      </c>
    </row>
    <row r="361" spans="1:6" x14ac:dyDescent="0.25">
      <c r="A361" t="s">
        <v>4049</v>
      </c>
      <c r="B361" t="s">
        <v>4073</v>
      </c>
      <c r="C361" t="s">
        <v>4051</v>
      </c>
      <c r="D361" s="7">
        <v>1.37</v>
      </c>
      <c r="E361" s="2">
        <v>15517.89</v>
      </c>
      <c r="F361" s="2">
        <v>21259.51</v>
      </c>
    </row>
    <row r="362" spans="1:6" x14ac:dyDescent="0.25">
      <c r="A362" t="s">
        <v>4052</v>
      </c>
      <c r="B362" t="s">
        <v>4053</v>
      </c>
      <c r="C362" t="s">
        <v>4054</v>
      </c>
      <c r="D362" s="7">
        <v>3.3</v>
      </c>
      <c r="E362" s="2">
        <v>33640.65</v>
      </c>
      <c r="F362" s="2">
        <v>1110.14</v>
      </c>
    </row>
    <row r="363" spans="1:6" x14ac:dyDescent="0.25">
      <c r="A363" t="s">
        <v>4055</v>
      </c>
      <c r="D363" s="7"/>
      <c r="E363" s="2"/>
      <c r="F363" s="2">
        <f>SUBTOTAL(109,A_1_04_31[VALOR PARCIAL])</f>
      </c>
    </row>
    <row r="365" ht="30" customHeight="1" spans="1:6" x14ac:dyDescent="0.25">
      <c r="A365" s="5" t="s">
        <v>4579</v>
      </c>
      <c r="B365" s="5"/>
      <c r="C365" s="5"/>
      <c r="D365" s="5"/>
      <c r="E365" s="5"/>
      <c r="F365" s="5"/>
    </row>
    <row r="366" ht="42" customHeight="1" spans="1:6" x14ac:dyDescent="0.25">
      <c r="A366" s="6" t="s">
        <v>4580</v>
      </c>
      <c r="B366" s="6"/>
      <c r="C366" s="6"/>
      <c r="D366" s="6"/>
      <c r="E366" s="6"/>
      <c r="F366" s="6"/>
    </row>
    <row r="367" spans="1:6" x14ac:dyDescent="0.25">
      <c r="A367" t="s">
        <v>4044</v>
      </c>
      <c r="B367" t="s">
        <v>4045</v>
      </c>
      <c r="C367" t="s">
        <v>5</v>
      </c>
      <c r="D367" t="s">
        <v>4046</v>
      </c>
      <c r="E367" t="s">
        <v>4047</v>
      </c>
      <c r="F367" t="s">
        <v>4048</v>
      </c>
    </row>
    <row r="368" spans="1:6" x14ac:dyDescent="0.25">
      <c r="A368" t="s">
        <v>4062</v>
      </c>
      <c r="B368" t="s">
        <v>4390</v>
      </c>
      <c r="C368" t="s">
        <v>231</v>
      </c>
      <c r="D368" s="7">
        <v>0.03</v>
      </c>
      <c r="E368" s="2">
        <v>4155</v>
      </c>
      <c r="F368" s="2">
        <v>124.65</v>
      </c>
    </row>
    <row r="369" spans="1:6" x14ac:dyDescent="0.25">
      <c r="A369" t="s">
        <v>4062</v>
      </c>
      <c r="B369" t="s">
        <v>4261</v>
      </c>
      <c r="C369" t="s">
        <v>231</v>
      </c>
      <c r="D369" s="7">
        <v>1</v>
      </c>
      <c r="E369" s="2">
        <v>2982</v>
      </c>
      <c r="F369" s="2">
        <v>2982</v>
      </c>
    </row>
    <row r="370" spans="1:6" x14ac:dyDescent="0.25">
      <c r="A370" t="s">
        <v>4062</v>
      </c>
      <c r="B370" t="s">
        <v>4474</v>
      </c>
      <c r="C370" t="s">
        <v>34</v>
      </c>
      <c r="D370" s="7">
        <v>0.01</v>
      </c>
      <c r="E370" s="2">
        <v>114500</v>
      </c>
      <c r="F370" s="2">
        <v>1145</v>
      </c>
    </row>
    <row r="371" spans="1:6" x14ac:dyDescent="0.25">
      <c r="A371" t="s">
        <v>4062</v>
      </c>
      <c r="B371" t="s">
        <v>4001</v>
      </c>
      <c r="C371" t="s">
        <v>34</v>
      </c>
      <c r="D371" s="7">
        <v>0.02</v>
      </c>
      <c r="E371" s="2">
        <v>450245.66</v>
      </c>
      <c r="F371" s="2">
        <v>9004.91</v>
      </c>
    </row>
    <row r="372" spans="1:6" x14ac:dyDescent="0.25">
      <c r="A372" t="s">
        <v>4062</v>
      </c>
      <c r="B372" t="s">
        <v>4475</v>
      </c>
      <c r="C372" t="s">
        <v>231</v>
      </c>
      <c r="D372" s="7">
        <v>1.19</v>
      </c>
      <c r="E372" s="2">
        <v>730</v>
      </c>
      <c r="F372" s="2">
        <v>868.7</v>
      </c>
    </row>
    <row r="373" spans="1:6" x14ac:dyDescent="0.25">
      <c r="A373" t="s">
        <v>4062</v>
      </c>
      <c r="B373" t="s">
        <v>4222</v>
      </c>
      <c r="C373" t="s">
        <v>42</v>
      </c>
      <c r="D373" s="7">
        <v>0.36</v>
      </c>
      <c r="E373" s="2">
        <v>1803.55</v>
      </c>
      <c r="F373" s="2">
        <v>649.28</v>
      </c>
    </row>
    <row r="374" spans="1:6" x14ac:dyDescent="0.25">
      <c r="A374" t="s">
        <v>4062</v>
      </c>
      <c r="B374" t="s">
        <v>4476</v>
      </c>
      <c r="C374" t="s">
        <v>42</v>
      </c>
      <c r="D374" s="7">
        <v>0.18</v>
      </c>
      <c r="E374" s="2">
        <v>3472</v>
      </c>
      <c r="F374" s="2">
        <v>624.96</v>
      </c>
    </row>
    <row r="375" spans="1:6" x14ac:dyDescent="0.25">
      <c r="A375" t="s">
        <v>4049</v>
      </c>
      <c r="B375" t="s">
        <v>4050</v>
      </c>
      <c r="C375" t="s">
        <v>4051</v>
      </c>
      <c r="D375" s="7">
        <v>2.21</v>
      </c>
      <c r="E375" s="2">
        <v>9037.33</v>
      </c>
      <c r="F375" s="2">
        <v>19972.5</v>
      </c>
    </row>
    <row r="376" spans="1:6" x14ac:dyDescent="0.25">
      <c r="A376" t="s">
        <v>4049</v>
      </c>
      <c r="B376" t="s">
        <v>4073</v>
      </c>
      <c r="C376" t="s">
        <v>4051</v>
      </c>
      <c r="D376" s="7">
        <v>2.21</v>
      </c>
      <c r="E376" s="2">
        <v>15517.89</v>
      </c>
      <c r="F376" s="2">
        <v>34294.54</v>
      </c>
    </row>
    <row r="377" spans="1:6" x14ac:dyDescent="0.25">
      <c r="A377" t="s">
        <v>4052</v>
      </c>
      <c r="B377" t="s">
        <v>4053</v>
      </c>
      <c r="C377" t="s">
        <v>4054</v>
      </c>
      <c r="D377" s="7">
        <v>3.3</v>
      </c>
      <c r="E377" s="2">
        <v>54267.04</v>
      </c>
      <c r="F377" s="2">
        <v>1790.81</v>
      </c>
    </row>
    <row r="378" spans="1:6" x14ac:dyDescent="0.25">
      <c r="A378" t="s">
        <v>4055</v>
      </c>
      <c r="D378" s="7"/>
      <c r="E378" s="2"/>
      <c r="F378" s="2">
        <f>SUBTOTAL(109,A_1_04_32[VALOR PARCIAL])</f>
      </c>
    </row>
    <row r="380" ht="30" customHeight="1" spans="1:6" x14ac:dyDescent="0.25">
      <c r="A380" s="5" t="s">
        <v>4581</v>
      </c>
      <c r="B380" s="5"/>
      <c r="C380" s="5"/>
      <c r="D380" s="5"/>
      <c r="E380" s="5"/>
      <c r="F380" s="5"/>
    </row>
    <row r="381" ht="42" customHeight="1" spans="1:6" x14ac:dyDescent="0.25">
      <c r="A381" s="6" t="s">
        <v>4582</v>
      </c>
      <c r="B381" s="6"/>
      <c r="C381" s="6"/>
      <c r="D381" s="6"/>
      <c r="E381" s="6"/>
      <c r="F381" s="6"/>
    </row>
    <row r="382" spans="1:6" x14ac:dyDescent="0.25">
      <c r="A382" t="s">
        <v>4044</v>
      </c>
      <c r="B382" t="s">
        <v>4045</v>
      </c>
      <c r="C382" t="s">
        <v>5</v>
      </c>
      <c r="D382" t="s">
        <v>4046</v>
      </c>
      <c r="E382" t="s">
        <v>4047</v>
      </c>
      <c r="F382" t="s">
        <v>4048</v>
      </c>
    </row>
    <row r="383" spans="1:6" x14ac:dyDescent="0.25">
      <c r="A383" t="s">
        <v>4062</v>
      </c>
      <c r="B383" t="s">
        <v>4492</v>
      </c>
      <c r="C383" t="s">
        <v>34</v>
      </c>
      <c r="D383" s="7">
        <v>0.05</v>
      </c>
      <c r="E383" s="2">
        <v>68425</v>
      </c>
      <c r="F383" s="2">
        <v>3421.25</v>
      </c>
    </row>
    <row r="384" spans="1:6" x14ac:dyDescent="0.25">
      <c r="A384" t="s">
        <v>4062</v>
      </c>
      <c r="B384" t="s">
        <v>4475</v>
      </c>
      <c r="C384" t="s">
        <v>231</v>
      </c>
      <c r="D384" s="7">
        <v>3</v>
      </c>
      <c r="E384" s="2">
        <v>730</v>
      </c>
      <c r="F384" s="2">
        <v>2190</v>
      </c>
    </row>
    <row r="385" spans="1:6" x14ac:dyDescent="0.25">
      <c r="A385" t="s">
        <v>4062</v>
      </c>
      <c r="B385" t="s">
        <v>4494</v>
      </c>
      <c r="C385" t="s">
        <v>63</v>
      </c>
      <c r="D385" s="7">
        <v>16</v>
      </c>
      <c r="E385" s="2">
        <v>794</v>
      </c>
      <c r="F385" s="2">
        <v>12704</v>
      </c>
    </row>
    <row r="386" spans="1:6" x14ac:dyDescent="0.25">
      <c r="A386" t="s">
        <v>4062</v>
      </c>
      <c r="B386" t="s">
        <v>4076</v>
      </c>
      <c r="C386" t="s">
        <v>3963</v>
      </c>
      <c r="D386" s="7">
        <v>7.5</v>
      </c>
      <c r="E386" s="2">
        <v>21</v>
      </c>
      <c r="F386" s="2">
        <v>157.5</v>
      </c>
    </row>
    <row r="387" spans="1:6" x14ac:dyDescent="0.25">
      <c r="A387" t="s">
        <v>4049</v>
      </c>
      <c r="B387" t="s">
        <v>4487</v>
      </c>
      <c r="C387" t="s">
        <v>4236</v>
      </c>
      <c r="D387" s="7">
        <v>0.88</v>
      </c>
      <c r="E387" s="2">
        <v>24555.22</v>
      </c>
      <c r="F387" s="2">
        <v>21608.59</v>
      </c>
    </row>
    <row r="388" spans="1:6" x14ac:dyDescent="0.25">
      <c r="A388" t="s">
        <v>4052</v>
      </c>
      <c r="B388" t="s">
        <v>4053</v>
      </c>
      <c r="C388" t="s">
        <v>4054</v>
      </c>
      <c r="D388" s="7">
        <v>3</v>
      </c>
      <c r="E388" s="2">
        <v>21608.59</v>
      </c>
      <c r="F388" s="2">
        <v>648.26</v>
      </c>
    </row>
    <row r="389" spans="1:6" x14ac:dyDescent="0.25">
      <c r="A389" t="s">
        <v>4055</v>
      </c>
      <c r="D389" s="7"/>
      <c r="E389" s="2"/>
      <c r="F389" s="2">
        <f>SUBTOTAL(109,A_1_04_33[VALOR PARCIAL])</f>
      </c>
    </row>
    <row r="391" ht="30" customHeight="1" spans="1:6" x14ac:dyDescent="0.25">
      <c r="A391" s="5" t="s">
        <v>4583</v>
      </c>
      <c r="B391" s="5"/>
      <c r="C391" s="5"/>
      <c r="D391" s="5"/>
      <c r="E391" s="5"/>
      <c r="F391" s="5"/>
    </row>
    <row r="392" ht="42" customHeight="1" spans="1:6" x14ac:dyDescent="0.25">
      <c r="A392" s="6" t="s">
        <v>4584</v>
      </c>
      <c r="B392" s="6"/>
      <c r="C392" s="6"/>
      <c r="D392" s="6"/>
      <c r="E392" s="6"/>
      <c r="F392" s="6"/>
    </row>
    <row r="393" spans="1:6" x14ac:dyDescent="0.25">
      <c r="A393" t="s">
        <v>4044</v>
      </c>
      <c r="B393" t="s">
        <v>4045</v>
      </c>
      <c r="C393" t="s">
        <v>5</v>
      </c>
      <c r="D393" t="s">
        <v>4046</v>
      </c>
      <c r="E393" t="s">
        <v>4047</v>
      </c>
      <c r="F393" t="s">
        <v>4048</v>
      </c>
    </row>
    <row r="394" spans="1:6" x14ac:dyDescent="0.25">
      <c r="A394" t="s">
        <v>4062</v>
      </c>
      <c r="B394" t="s">
        <v>4262</v>
      </c>
      <c r="C394" t="s">
        <v>63</v>
      </c>
      <c r="D394" s="7">
        <v>12</v>
      </c>
      <c r="E394" s="2">
        <v>415</v>
      </c>
      <c r="F394" s="2">
        <v>4980</v>
      </c>
    </row>
    <row r="395" spans="1:6" x14ac:dyDescent="0.25">
      <c r="A395" t="s">
        <v>4062</v>
      </c>
      <c r="B395" t="s">
        <v>3978</v>
      </c>
      <c r="C395" t="s">
        <v>34</v>
      </c>
      <c r="D395" s="7">
        <v>0.05</v>
      </c>
      <c r="E395" s="2">
        <v>409741.65</v>
      </c>
      <c r="F395" s="2">
        <v>20487.08</v>
      </c>
    </row>
    <row r="396" spans="1:6" x14ac:dyDescent="0.25">
      <c r="A396" t="s">
        <v>4062</v>
      </c>
      <c r="B396" t="s">
        <v>4544</v>
      </c>
      <c r="C396" t="s">
        <v>231</v>
      </c>
      <c r="D396" s="7">
        <v>0.35</v>
      </c>
      <c r="E396" s="2">
        <v>25521</v>
      </c>
      <c r="F396" s="2">
        <v>8932.35</v>
      </c>
    </row>
    <row r="397" spans="1:6" x14ac:dyDescent="0.25">
      <c r="A397" t="s">
        <v>4049</v>
      </c>
      <c r="B397" t="s">
        <v>4050</v>
      </c>
      <c r="C397" t="s">
        <v>4051</v>
      </c>
      <c r="D397" s="7">
        <v>0.8</v>
      </c>
      <c r="E397" s="2">
        <v>9037.33</v>
      </c>
      <c r="F397" s="2">
        <v>7229.86</v>
      </c>
    </row>
    <row r="398" spans="1:6" x14ac:dyDescent="0.25">
      <c r="A398" t="s">
        <v>4049</v>
      </c>
      <c r="B398" t="s">
        <v>4073</v>
      </c>
      <c r="C398" t="s">
        <v>4051</v>
      </c>
      <c r="D398" s="7">
        <v>0.8</v>
      </c>
      <c r="E398" s="2">
        <v>15517.89</v>
      </c>
      <c r="F398" s="2">
        <v>12414.31</v>
      </c>
    </row>
    <row r="399" spans="1:6" x14ac:dyDescent="0.25">
      <c r="A399" t="s">
        <v>4052</v>
      </c>
      <c r="B399" t="s">
        <v>4053</v>
      </c>
      <c r="C399" t="s">
        <v>4054</v>
      </c>
      <c r="D399" s="7">
        <v>3.3</v>
      </c>
      <c r="E399" s="2">
        <v>19644.17</v>
      </c>
      <c r="F399" s="2">
        <v>648.26</v>
      </c>
    </row>
    <row r="400" spans="1:6" x14ac:dyDescent="0.25">
      <c r="A400" t="s">
        <v>4055</v>
      </c>
      <c r="D400" s="7"/>
      <c r="E400" s="2"/>
      <c r="F400" s="2">
        <f>SUBTOTAL(109,A_1_04_34[VALOR PARCIAL])</f>
      </c>
    </row>
    <row r="402" ht="30" customHeight="1" spans="1:6" x14ac:dyDescent="0.25">
      <c r="A402" s="5" t="s">
        <v>4585</v>
      </c>
      <c r="B402" s="5"/>
      <c r="C402" s="5"/>
      <c r="D402" s="5"/>
      <c r="E402" s="5"/>
      <c r="F402" s="5"/>
    </row>
    <row r="403" ht="42" customHeight="1" spans="1:6" x14ac:dyDescent="0.25">
      <c r="A403" s="6" t="s">
        <v>4586</v>
      </c>
      <c r="B403" s="6"/>
      <c r="C403" s="6"/>
      <c r="D403" s="6"/>
      <c r="E403" s="6"/>
      <c r="F403" s="6"/>
    </row>
    <row r="404" spans="1:6" x14ac:dyDescent="0.25">
      <c r="A404" t="s">
        <v>4044</v>
      </c>
      <c r="B404" t="s">
        <v>4045</v>
      </c>
      <c r="C404" t="s">
        <v>5</v>
      </c>
      <c r="D404" t="s">
        <v>4046</v>
      </c>
      <c r="E404" t="s">
        <v>4047</v>
      </c>
      <c r="F404" t="s">
        <v>4048</v>
      </c>
    </row>
    <row r="405" spans="1:6" x14ac:dyDescent="0.25">
      <c r="A405" t="s">
        <v>4062</v>
      </c>
      <c r="B405" t="s">
        <v>4587</v>
      </c>
      <c r="C405" t="s">
        <v>34</v>
      </c>
      <c r="D405" s="7">
        <v>0.04</v>
      </c>
      <c r="E405" s="2">
        <v>82125</v>
      </c>
      <c r="F405" s="2">
        <v>3285</v>
      </c>
    </row>
    <row r="406" spans="1:6" x14ac:dyDescent="0.25">
      <c r="A406" t="s">
        <v>4062</v>
      </c>
      <c r="B406" t="s">
        <v>4475</v>
      </c>
      <c r="C406" t="s">
        <v>231</v>
      </c>
      <c r="D406" s="7">
        <v>12</v>
      </c>
      <c r="E406" s="2">
        <v>730</v>
      </c>
      <c r="F406" s="2">
        <v>8760</v>
      </c>
    </row>
    <row r="407" spans="1:6" x14ac:dyDescent="0.25">
      <c r="A407" t="s">
        <v>4062</v>
      </c>
      <c r="B407" t="s">
        <v>4588</v>
      </c>
      <c r="C407" t="s">
        <v>63</v>
      </c>
      <c r="D407" s="7">
        <v>24.21</v>
      </c>
      <c r="E407" s="2">
        <v>487</v>
      </c>
      <c r="F407" s="2">
        <v>11790.27</v>
      </c>
    </row>
    <row r="408" spans="1:6" x14ac:dyDescent="0.25">
      <c r="A408" t="s">
        <v>4062</v>
      </c>
      <c r="B408" t="s">
        <v>4076</v>
      </c>
      <c r="C408" t="s">
        <v>3963</v>
      </c>
      <c r="D408" s="7">
        <v>2.5</v>
      </c>
      <c r="E408" s="2">
        <v>21</v>
      </c>
      <c r="F408" s="2">
        <v>52.5</v>
      </c>
    </row>
    <row r="409" spans="1:6" x14ac:dyDescent="0.25">
      <c r="A409" t="s">
        <v>4062</v>
      </c>
      <c r="B409" t="s">
        <v>4589</v>
      </c>
      <c r="C409" t="s">
        <v>231</v>
      </c>
      <c r="D409" s="7">
        <v>0.53</v>
      </c>
      <c r="E409" s="2">
        <v>22349</v>
      </c>
      <c r="F409" s="2">
        <v>11844.97</v>
      </c>
    </row>
    <row r="410" spans="1:6" x14ac:dyDescent="0.25">
      <c r="A410" t="s">
        <v>4049</v>
      </c>
      <c r="B410" t="s">
        <v>4487</v>
      </c>
      <c r="C410" t="s">
        <v>4236</v>
      </c>
      <c r="D410" s="7">
        <v>1.12</v>
      </c>
      <c r="E410" s="2">
        <v>24555.22</v>
      </c>
      <c r="F410" s="2">
        <v>27501.85</v>
      </c>
    </row>
    <row r="411" spans="1:6" x14ac:dyDescent="0.25">
      <c r="A411" t="s">
        <v>4052</v>
      </c>
      <c r="B411" t="s">
        <v>4053</v>
      </c>
      <c r="C411" t="s">
        <v>4054</v>
      </c>
      <c r="D411" s="7">
        <v>3.3</v>
      </c>
      <c r="E411" s="2">
        <v>27501.85</v>
      </c>
      <c r="F411" s="2">
        <v>907.56</v>
      </c>
    </row>
    <row r="412" spans="1:6" x14ac:dyDescent="0.25">
      <c r="A412" t="s">
        <v>4055</v>
      </c>
      <c r="D412" s="7"/>
      <c r="E412" s="2"/>
      <c r="F412" s="2">
        <f>SUBTOTAL(109,A_1_04_35[VALOR PARCIAL])</f>
      </c>
    </row>
    <row r="414" ht="30" customHeight="1" spans="1:6" x14ac:dyDescent="0.25">
      <c r="A414" s="5" t="s">
        <v>4590</v>
      </c>
      <c r="B414" s="5"/>
      <c r="C414" s="5"/>
      <c r="D414" s="5"/>
      <c r="E414" s="5"/>
      <c r="F414" s="5"/>
    </row>
    <row r="415" ht="42" customHeight="1" spans="1:6" x14ac:dyDescent="0.25">
      <c r="A415" s="6" t="s">
        <v>4591</v>
      </c>
      <c r="B415" s="6"/>
      <c r="C415" s="6"/>
      <c r="D415" s="6"/>
      <c r="E415" s="6"/>
      <c r="F415" s="6"/>
    </row>
    <row r="416" spans="1:6" x14ac:dyDescent="0.25">
      <c r="A416" t="s">
        <v>4044</v>
      </c>
      <c r="B416" t="s">
        <v>4045</v>
      </c>
      <c r="C416" t="s">
        <v>5</v>
      </c>
      <c r="D416" t="s">
        <v>4046</v>
      </c>
      <c r="E416" t="s">
        <v>4047</v>
      </c>
      <c r="F416" t="s">
        <v>4048</v>
      </c>
    </row>
    <row r="417" spans="1:6" x14ac:dyDescent="0.25">
      <c r="A417" t="s">
        <v>4062</v>
      </c>
      <c r="B417" t="s">
        <v>4262</v>
      </c>
      <c r="C417" t="s">
        <v>63</v>
      </c>
      <c r="D417" s="7">
        <v>24.21</v>
      </c>
      <c r="E417" s="2">
        <v>415</v>
      </c>
      <c r="F417" s="2">
        <v>10047.15</v>
      </c>
    </row>
    <row r="418" spans="1:6" x14ac:dyDescent="0.25">
      <c r="A418" t="s">
        <v>4062</v>
      </c>
      <c r="B418" t="s">
        <v>3978</v>
      </c>
      <c r="C418" t="s">
        <v>34</v>
      </c>
      <c r="D418" s="7">
        <v>0.06</v>
      </c>
      <c r="E418" s="2">
        <v>409741.65</v>
      </c>
      <c r="F418" s="2">
        <v>24584.5</v>
      </c>
    </row>
    <row r="419" spans="1:6" x14ac:dyDescent="0.25">
      <c r="A419" t="s">
        <v>4062</v>
      </c>
      <c r="B419" t="s">
        <v>4544</v>
      </c>
      <c r="C419" t="s">
        <v>231</v>
      </c>
      <c r="D419" s="7">
        <v>0.53</v>
      </c>
      <c r="E419" s="2">
        <v>25521</v>
      </c>
      <c r="F419" s="2">
        <v>13526.13</v>
      </c>
    </row>
    <row r="420" spans="1:6" x14ac:dyDescent="0.25">
      <c r="A420" t="s">
        <v>4049</v>
      </c>
      <c r="B420" t="s">
        <v>4050</v>
      </c>
      <c r="C420" t="s">
        <v>4051</v>
      </c>
      <c r="D420" s="7">
        <v>1.12</v>
      </c>
      <c r="E420" s="2">
        <v>9037.33</v>
      </c>
      <c r="F420" s="2">
        <v>10121.81</v>
      </c>
    </row>
    <row r="421" spans="1:6" x14ac:dyDescent="0.25">
      <c r="A421" t="s">
        <v>4049</v>
      </c>
      <c r="B421" t="s">
        <v>4073</v>
      </c>
      <c r="C421" t="s">
        <v>4051</v>
      </c>
      <c r="D421" s="7">
        <v>1.12</v>
      </c>
      <c r="E421" s="2">
        <v>15517.89</v>
      </c>
      <c r="F421" s="2">
        <v>17380.04</v>
      </c>
    </row>
    <row r="422" spans="1:6" x14ac:dyDescent="0.25">
      <c r="A422" t="s">
        <v>4052</v>
      </c>
      <c r="B422" t="s">
        <v>4053</v>
      </c>
      <c r="C422" t="s">
        <v>4054</v>
      </c>
      <c r="D422" s="7">
        <v>3.3</v>
      </c>
      <c r="E422" s="2">
        <v>27501.85</v>
      </c>
      <c r="F422" s="2">
        <v>907.56</v>
      </c>
    </row>
    <row r="423" spans="1:6" x14ac:dyDescent="0.25">
      <c r="A423" t="s">
        <v>4055</v>
      </c>
      <c r="D423" s="7"/>
      <c r="E423" s="2"/>
      <c r="F423" s="2">
        <f>SUBTOTAL(109,A_1_04_36[VALOR PARCIAL])</f>
      </c>
    </row>
    <row r="425" ht="30" customHeight="1" spans="1:6" x14ac:dyDescent="0.25">
      <c r="A425" s="5" t="s">
        <v>4592</v>
      </c>
      <c r="B425" s="5"/>
      <c r="C425" s="5"/>
      <c r="D425" s="5"/>
      <c r="E425" s="5"/>
      <c r="F425" s="5"/>
    </row>
    <row r="426" ht="42" customHeight="1" spans="1:6" x14ac:dyDescent="0.25">
      <c r="A426" s="6" t="s">
        <v>4593</v>
      </c>
      <c r="B426" s="6"/>
      <c r="C426" s="6"/>
      <c r="D426" s="6"/>
      <c r="E426" s="6"/>
      <c r="F426" s="6"/>
    </row>
    <row r="427" spans="1:6" x14ac:dyDescent="0.25">
      <c r="A427" t="s">
        <v>4044</v>
      </c>
      <c r="B427" t="s">
        <v>4045</v>
      </c>
      <c r="C427" t="s">
        <v>5</v>
      </c>
      <c r="D427" t="s">
        <v>4046</v>
      </c>
      <c r="E427" t="s">
        <v>4047</v>
      </c>
      <c r="F427" t="s">
        <v>4048</v>
      </c>
    </row>
    <row r="428" spans="1:6" x14ac:dyDescent="0.25">
      <c r="A428" t="s">
        <v>4062</v>
      </c>
      <c r="B428" t="s">
        <v>4594</v>
      </c>
      <c r="C428" t="s">
        <v>63</v>
      </c>
      <c r="D428" s="7">
        <v>4</v>
      </c>
      <c r="E428" s="2">
        <v>336</v>
      </c>
      <c r="F428" s="2">
        <v>1344</v>
      </c>
    </row>
    <row r="429" spans="1:6" x14ac:dyDescent="0.25">
      <c r="A429" t="s">
        <v>4062</v>
      </c>
      <c r="B429" t="s">
        <v>4526</v>
      </c>
      <c r="C429" t="s">
        <v>63</v>
      </c>
      <c r="D429" s="7">
        <v>16</v>
      </c>
      <c r="E429" s="2">
        <v>25</v>
      </c>
      <c r="F429" s="2">
        <v>400</v>
      </c>
    </row>
    <row r="430" spans="1:6" x14ac:dyDescent="0.25">
      <c r="A430" t="s">
        <v>4062</v>
      </c>
      <c r="B430" t="s">
        <v>4595</v>
      </c>
      <c r="C430" t="s">
        <v>63</v>
      </c>
      <c r="D430" s="7">
        <v>16</v>
      </c>
      <c r="E430" s="2">
        <v>26</v>
      </c>
      <c r="F430" s="2">
        <v>416</v>
      </c>
    </row>
    <row r="431" spans="1:6" x14ac:dyDescent="0.25">
      <c r="A431" t="s">
        <v>4062</v>
      </c>
      <c r="B431" t="s">
        <v>4596</v>
      </c>
      <c r="C431" t="s">
        <v>42</v>
      </c>
      <c r="D431" s="7">
        <v>2</v>
      </c>
      <c r="E431" s="2">
        <v>5226.48</v>
      </c>
      <c r="F431" s="2">
        <v>10452.96</v>
      </c>
    </row>
    <row r="432" spans="1:6" x14ac:dyDescent="0.25">
      <c r="A432" t="s">
        <v>4062</v>
      </c>
      <c r="B432" t="s">
        <v>4597</v>
      </c>
      <c r="C432" t="s">
        <v>42</v>
      </c>
      <c r="D432" s="7">
        <v>2</v>
      </c>
      <c r="E432" s="2">
        <v>2021.86</v>
      </c>
      <c r="F432" s="2">
        <v>4043.72</v>
      </c>
    </row>
    <row r="433" spans="1:6" x14ac:dyDescent="0.25">
      <c r="A433" t="s">
        <v>4062</v>
      </c>
      <c r="B433" t="s">
        <v>4598</v>
      </c>
      <c r="C433" t="s">
        <v>42</v>
      </c>
      <c r="D433" s="7">
        <v>4</v>
      </c>
      <c r="E433" s="2">
        <v>164.11</v>
      </c>
      <c r="F433" s="2">
        <v>656.44</v>
      </c>
    </row>
    <row r="434" spans="1:6" x14ac:dyDescent="0.25">
      <c r="A434" t="s">
        <v>4062</v>
      </c>
      <c r="B434" t="s">
        <v>4599</v>
      </c>
      <c r="C434" t="s">
        <v>63</v>
      </c>
      <c r="D434" s="7">
        <v>0.69</v>
      </c>
      <c r="E434" s="2">
        <v>63949.67</v>
      </c>
      <c r="F434" s="2">
        <v>44125.27</v>
      </c>
    </row>
    <row r="435" spans="1:6" x14ac:dyDescent="0.25">
      <c r="A435" t="s">
        <v>4062</v>
      </c>
      <c r="B435" t="s">
        <v>4600</v>
      </c>
      <c r="C435" t="s">
        <v>63</v>
      </c>
      <c r="D435" s="7">
        <v>0.26</v>
      </c>
      <c r="E435" s="2">
        <v>1195</v>
      </c>
      <c r="F435" s="2">
        <v>310.7</v>
      </c>
    </row>
    <row r="436" spans="1:6" x14ac:dyDescent="0.25">
      <c r="A436" t="s">
        <v>4062</v>
      </c>
      <c r="B436" t="s">
        <v>4536</v>
      </c>
      <c r="C436" t="s">
        <v>63</v>
      </c>
      <c r="D436" s="7">
        <v>0.19</v>
      </c>
      <c r="E436" s="2">
        <v>37625</v>
      </c>
      <c r="F436" s="2">
        <v>7220.24</v>
      </c>
    </row>
    <row r="437" spans="1:6" x14ac:dyDescent="0.25">
      <c r="A437" t="s">
        <v>4062</v>
      </c>
      <c r="B437" t="s">
        <v>4601</v>
      </c>
      <c r="C437" t="s">
        <v>63</v>
      </c>
      <c r="D437" s="7">
        <v>4</v>
      </c>
      <c r="E437" s="2">
        <v>199</v>
      </c>
      <c r="F437" s="2">
        <v>796</v>
      </c>
    </row>
    <row r="438" spans="1:6" x14ac:dyDescent="0.25">
      <c r="A438" t="s">
        <v>4062</v>
      </c>
      <c r="B438" t="s">
        <v>4602</v>
      </c>
      <c r="C438" t="s">
        <v>4377</v>
      </c>
      <c r="D438" s="7">
        <v>0.08</v>
      </c>
      <c r="E438" s="2">
        <v>41112</v>
      </c>
      <c r="F438" s="2">
        <v>3161.51</v>
      </c>
    </row>
    <row r="439" spans="1:6" x14ac:dyDescent="0.25">
      <c r="A439" t="s">
        <v>4049</v>
      </c>
      <c r="B439" t="s">
        <v>4603</v>
      </c>
      <c r="C439" t="s">
        <v>21</v>
      </c>
      <c r="D439" s="7">
        <v>1</v>
      </c>
      <c r="E439" s="2">
        <v>29781.96</v>
      </c>
      <c r="F439" s="2">
        <v>29781.96</v>
      </c>
    </row>
    <row r="440" spans="1:6" x14ac:dyDescent="0.25">
      <c r="A440" t="s">
        <v>4052</v>
      </c>
      <c r="B440" t="s">
        <v>4053</v>
      </c>
      <c r="C440" t="s">
        <v>4054</v>
      </c>
      <c r="D440" s="7">
        <v>3.3</v>
      </c>
      <c r="E440" s="2">
        <v>29781.96</v>
      </c>
      <c r="F440" s="2">
        <v>982.8</v>
      </c>
    </row>
    <row r="441" spans="1:6" x14ac:dyDescent="0.25">
      <c r="A441" t="s">
        <v>4055</v>
      </c>
      <c r="D441" s="7"/>
      <c r="E441" s="2"/>
      <c r="F441" s="2">
        <f>SUBTOTAL(109,A_1_04_37[VALOR PARCIAL])</f>
      </c>
    </row>
  </sheetData>
  <mergeCells count="74">
    <mergeCell ref="A4:F4"/>
    <mergeCell ref="A5:F5"/>
    <mergeCell ref="A19:F19"/>
    <mergeCell ref="A20:F20"/>
    <mergeCell ref="A34:F34"/>
    <mergeCell ref="A35:F35"/>
    <mergeCell ref="A44:F44"/>
    <mergeCell ref="A45:F45"/>
    <mergeCell ref="A57:F57"/>
    <mergeCell ref="A58:F58"/>
    <mergeCell ref="A70:F70"/>
    <mergeCell ref="A71:F71"/>
    <mergeCell ref="A83:F83"/>
    <mergeCell ref="A84:F84"/>
    <mergeCell ref="A93:F93"/>
    <mergeCell ref="A94:F94"/>
    <mergeCell ref="A107:F107"/>
    <mergeCell ref="A108:F108"/>
    <mergeCell ref="A117:F117"/>
    <mergeCell ref="A118:F118"/>
    <mergeCell ref="A132:F132"/>
    <mergeCell ref="A133:F133"/>
    <mergeCell ref="A141:F141"/>
    <mergeCell ref="A142:F142"/>
    <mergeCell ref="A150:F150"/>
    <mergeCell ref="A151:F151"/>
    <mergeCell ref="A160:F160"/>
    <mergeCell ref="A161:F161"/>
    <mergeCell ref="A170:F170"/>
    <mergeCell ref="A171:F171"/>
    <mergeCell ref="A180:F180"/>
    <mergeCell ref="A181:F181"/>
    <mergeCell ref="A190:F190"/>
    <mergeCell ref="A191:F191"/>
    <mergeCell ref="A208:F208"/>
    <mergeCell ref="A209:F209"/>
    <mergeCell ref="A226:F226"/>
    <mergeCell ref="A227:F227"/>
    <mergeCell ref="A240:F240"/>
    <mergeCell ref="A241:F241"/>
    <mergeCell ref="A253:F253"/>
    <mergeCell ref="A254:F254"/>
    <mergeCell ref="A263:F263"/>
    <mergeCell ref="A264:F264"/>
    <mergeCell ref="A272:F272"/>
    <mergeCell ref="A273:F273"/>
    <mergeCell ref="A281:F281"/>
    <mergeCell ref="A282:F282"/>
    <mergeCell ref="A291:F291"/>
    <mergeCell ref="A292:F292"/>
    <mergeCell ref="A301:F301"/>
    <mergeCell ref="A302:F302"/>
    <mergeCell ref="A311:F311"/>
    <mergeCell ref="A312:F312"/>
    <mergeCell ref="A321:F321"/>
    <mergeCell ref="A322:F322"/>
    <mergeCell ref="A335:F335"/>
    <mergeCell ref="A336:F336"/>
    <mergeCell ref="A345:F345"/>
    <mergeCell ref="A346:F346"/>
    <mergeCell ref="A355:F355"/>
    <mergeCell ref="A356:F356"/>
    <mergeCell ref="A365:F365"/>
    <mergeCell ref="A366:F366"/>
    <mergeCell ref="A380:F380"/>
    <mergeCell ref="A381:F381"/>
    <mergeCell ref="A391:F391"/>
    <mergeCell ref="A392:F392"/>
    <mergeCell ref="A402:F402"/>
    <mergeCell ref="A403:F403"/>
    <mergeCell ref="A414:F414"/>
    <mergeCell ref="A415:F415"/>
    <mergeCell ref="A425:F425"/>
    <mergeCell ref="A426:F426"/>
  </mergeCells>
  <pageMargins left="0.7" right="0.7" top="0.75" bottom="0.75" header="0.3" footer="0.3"/>
  <pageSetup orientation="portrait" horizontalDpi="4294967295" verticalDpi="4294967295" scale="100" fitToWidth="1" fitToHeight="1"/>
  <tableParts count="3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4604</v>
      </c>
    </row>
    <row r="2" spans="1:1" x14ac:dyDescent="0.25">
      <c r="A2" s="4" t="s">
        <v>4605</v>
      </c>
    </row>
    <row r="4" ht="30" customHeight="1" spans="1:6" x14ac:dyDescent="0.25">
      <c r="A4" s="5" t="s">
        <v>4606</v>
      </c>
      <c r="B4" s="5"/>
      <c r="C4" s="5"/>
      <c r="D4" s="5"/>
      <c r="E4" s="5"/>
      <c r="F4" s="5"/>
    </row>
    <row r="5" ht="42" customHeight="1" spans="1:6" x14ac:dyDescent="0.25">
      <c r="A5" s="6" t="s">
        <v>4607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4065</v>
      </c>
      <c r="C7" t="s">
        <v>4066</v>
      </c>
      <c r="D7" s="7">
        <v>0.08</v>
      </c>
      <c r="E7" s="2">
        <v>3433</v>
      </c>
      <c r="F7" s="2">
        <v>274.64</v>
      </c>
    </row>
    <row r="8" spans="1:6" x14ac:dyDescent="0.25">
      <c r="A8" t="s">
        <v>4062</v>
      </c>
      <c r="B8" t="s">
        <v>4322</v>
      </c>
      <c r="C8" t="s">
        <v>42</v>
      </c>
      <c r="D8" s="7">
        <v>2.16</v>
      </c>
      <c r="E8" s="2">
        <v>5304</v>
      </c>
      <c r="F8" s="2">
        <v>11456.64</v>
      </c>
    </row>
    <row r="9" spans="1:6" x14ac:dyDescent="0.25">
      <c r="A9" t="s">
        <v>4049</v>
      </c>
      <c r="B9" t="s">
        <v>4487</v>
      </c>
      <c r="C9" t="s">
        <v>4236</v>
      </c>
      <c r="D9" s="7">
        <v>0.55</v>
      </c>
      <c r="E9" s="2">
        <v>24555.22</v>
      </c>
      <c r="F9" s="2">
        <v>13505.37</v>
      </c>
    </row>
    <row r="10" spans="1:6" x14ac:dyDescent="0.25">
      <c r="A10" t="s">
        <v>4052</v>
      </c>
      <c r="B10" t="s">
        <v>4053</v>
      </c>
      <c r="C10" t="s">
        <v>4054</v>
      </c>
      <c r="D10" s="7">
        <v>3.3</v>
      </c>
      <c r="E10" s="2">
        <v>13505.37</v>
      </c>
      <c r="F10" s="2">
        <v>445.68</v>
      </c>
    </row>
    <row r="11" spans="1:6" x14ac:dyDescent="0.25">
      <c r="A11" t="s">
        <v>4055</v>
      </c>
      <c r="D11" s="7"/>
      <c r="E11" s="2"/>
      <c r="F11" s="2">
        <f>SUBTOTAL(109,A_1_05_01[VALOR PARCIAL])</f>
      </c>
    </row>
    <row r="13" ht="30" customHeight="1" spans="1:6" x14ac:dyDescent="0.25">
      <c r="A13" s="5" t="s">
        <v>4608</v>
      </c>
      <c r="B13" s="5"/>
      <c r="C13" s="5"/>
      <c r="D13" s="5"/>
      <c r="E13" s="5"/>
      <c r="F13" s="5"/>
    </row>
    <row r="14" ht="42" customHeight="1" spans="1:6" x14ac:dyDescent="0.25">
      <c r="A14" s="6" t="s">
        <v>4609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3978</v>
      </c>
      <c r="C16" t="s">
        <v>34</v>
      </c>
      <c r="D16" s="7">
        <v>0.01</v>
      </c>
      <c r="E16" s="2">
        <v>409741.65</v>
      </c>
      <c r="F16" s="2">
        <v>4097.42</v>
      </c>
    </row>
    <row r="17" spans="1:6" x14ac:dyDescent="0.25">
      <c r="A17" t="s">
        <v>4062</v>
      </c>
      <c r="B17" t="s">
        <v>4076</v>
      </c>
      <c r="C17" t="s">
        <v>3963</v>
      </c>
      <c r="D17" s="7">
        <v>1</v>
      </c>
      <c r="E17" s="2">
        <v>21</v>
      </c>
      <c r="F17" s="2">
        <v>21</v>
      </c>
    </row>
    <row r="18" spans="1:6" x14ac:dyDescent="0.25">
      <c r="A18" t="s">
        <v>4049</v>
      </c>
      <c r="B18" t="s">
        <v>4050</v>
      </c>
      <c r="C18" t="s">
        <v>4051</v>
      </c>
      <c r="D18" s="7">
        <v>0.15</v>
      </c>
      <c r="E18" s="2">
        <v>9037.33</v>
      </c>
      <c r="F18" s="2">
        <v>1355.6</v>
      </c>
    </row>
    <row r="19" spans="1:6" x14ac:dyDescent="0.25">
      <c r="A19" t="s">
        <v>4049</v>
      </c>
      <c r="B19" t="s">
        <v>4073</v>
      </c>
      <c r="C19" t="s">
        <v>4051</v>
      </c>
      <c r="D19" s="7">
        <v>0.15</v>
      </c>
      <c r="E19" s="2">
        <v>15517.89</v>
      </c>
      <c r="F19" s="2">
        <v>2327.68</v>
      </c>
    </row>
    <row r="20" spans="1:6" x14ac:dyDescent="0.25">
      <c r="A20" t="s">
        <v>4052</v>
      </c>
      <c r="B20" t="s">
        <v>4053</v>
      </c>
      <c r="C20" t="s">
        <v>4054</v>
      </c>
      <c r="D20" s="7">
        <v>5.5</v>
      </c>
      <c r="E20" s="2">
        <v>3683.28</v>
      </c>
      <c r="F20" s="2">
        <v>202.58</v>
      </c>
    </row>
    <row r="21" spans="1:6" x14ac:dyDescent="0.25">
      <c r="A21" t="s">
        <v>4055</v>
      </c>
      <c r="D21" s="7"/>
      <c r="E21" s="2"/>
      <c r="F21" s="2">
        <f>SUBTOTAL(109,A_1_05_02[VALOR PARCIAL])</f>
      </c>
    </row>
    <row r="23" ht="30" customHeight="1" spans="1:6" x14ac:dyDescent="0.25">
      <c r="A23" s="5" t="s">
        <v>4610</v>
      </c>
      <c r="B23" s="5"/>
      <c r="C23" s="5"/>
      <c r="D23" s="5"/>
      <c r="E23" s="5"/>
      <c r="F23" s="5"/>
    </row>
    <row r="24" ht="42" customHeight="1" spans="1:6" x14ac:dyDescent="0.25">
      <c r="A24" s="6" t="s">
        <v>4611</v>
      </c>
      <c r="B24" s="6"/>
      <c r="C24" s="6"/>
      <c r="D24" s="6"/>
      <c r="E24" s="6"/>
      <c r="F24" s="6"/>
    </row>
    <row r="25" spans="1:6" x14ac:dyDescent="0.25">
      <c r="A25" t="s">
        <v>4044</v>
      </c>
      <c r="B25" t="s">
        <v>4045</v>
      </c>
      <c r="C25" t="s">
        <v>5</v>
      </c>
      <c r="D25" t="s">
        <v>4046</v>
      </c>
      <c r="E25" t="s">
        <v>4047</v>
      </c>
      <c r="F25" t="s">
        <v>4048</v>
      </c>
    </row>
    <row r="26" spans="1:6" x14ac:dyDescent="0.25">
      <c r="A26" t="s">
        <v>4062</v>
      </c>
      <c r="B26" t="s">
        <v>3978</v>
      </c>
      <c r="C26" t="s">
        <v>34</v>
      </c>
      <c r="D26" s="7">
        <v>0.01</v>
      </c>
      <c r="E26" s="2">
        <v>409741.65</v>
      </c>
      <c r="F26" s="2">
        <v>4097.42</v>
      </c>
    </row>
    <row r="27" spans="1:6" x14ac:dyDescent="0.25">
      <c r="A27" t="s">
        <v>4062</v>
      </c>
      <c r="B27" t="s">
        <v>4076</v>
      </c>
      <c r="C27" t="s">
        <v>3963</v>
      </c>
      <c r="D27" s="7">
        <v>1</v>
      </c>
      <c r="E27" s="2">
        <v>21</v>
      </c>
      <c r="F27" s="2">
        <v>21</v>
      </c>
    </row>
    <row r="28" spans="1:6" x14ac:dyDescent="0.25">
      <c r="A28" t="s">
        <v>4049</v>
      </c>
      <c r="B28" t="s">
        <v>4050</v>
      </c>
      <c r="C28" t="s">
        <v>4051</v>
      </c>
      <c r="D28" s="7">
        <v>0.23</v>
      </c>
      <c r="E28" s="2">
        <v>9037.33</v>
      </c>
      <c r="F28" s="2">
        <v>2078.59</v>
      </c>
    </row>
    <row r="29" spans="1:6" x14ac:dyDescent="0.25">
      <c r="A29" t="s">
        <v>4049</v>
      </c>
      <c r="B29" t="s">
        <v>4073</v>
      </c>
      <c r="C29" t="s">
        <v>4051</v>
      </c>
      <c r="D29" s="7">
        <v>0.23</v>
      </c>
      <c r="E29" s="2">
        <v>15517.89</v>
      </c>
      <c r="F29" s="2">
        <v>3569.11</v>
      </c>
    </row>
    <row r="30" spans="1:6" x14ac:dyDescent="0.25">
      <c r="A30" t="s">
        <v>4052</v>
      </c>
      <c r="B30" t="s">
        <v>4053</v>
      </c>
      <c r="C30" t="s">
        <v>4054</v>
      </c>
      <c r="D30" s="7">
        <v>5.5</v>
      </c>
      <c r="E30" s="2">
        <v>5647.7</v>
      </c>
      <c r="F30" s="2">
        <v>310.62</v>
      </c>
    </row>
    <row r="31" spans="1:6" x14ac:dyDescent="0.25">
      <c r="A31" t="s">
        <v>4055</v>
      </c>
      <c r="D31" s="7"/>
      <c r="E31" s="2"/>
      <c r="F31" s="2">
        <f>SUBTOTAL(109,A_1_05_03[VALOR PARCIAL])</f>
      </c>
    </row>
    <row r="33" ht="30" customHeight="1" spans="1:6" x14ac:dyDescent="0.25">
      <c r="A33" s="5" t="s">
        <v>4612</v>
      </c>
      <c r="B33" s="5"/>
      <c r="C33" s="5"/>
      <c r="D33" s="5"/>
      <c r="E33" s="5"/>
      <c r="F33" s="5"/>
    </row>
    <row r="34" ht="42" customHeight="1" spans="1:6" x14ac:dyDescent="0.25">
      <c r="A34" s="6" t="s">
        <v>4613</v>
      </c>
      <c r="B34" s="6"/>
      <c r="C34" s="6"/>
      <c r="D34" s="6"/>
      <c r="E34" s="6"/>
      <c r="F34" s="6"/>
    </row>
    <row r="35" spans="1:6" x14ac:dyDescent="0.25">
      <c r="A35" t="s">
        <v>4044</v>
      </c>
      <c r="B35" t="s">
        <v>4045</v>
      </c>
      <c r="C35" t="s">
        <v>5</v>
      </c>
      <c r="D35" t="s">
        <v>4046</v>
      </c>
      <c r="E35" t="s">
        <v>4047</v>
      </c>
      <c r="F35" t="s">
        <v>4048</v>
      </c>
    </row>
    <row r="36" spans="1:6" x14ac:dyDescent="0.25">
      <c r="A36" t="s">
        <v>4062</v>
      </c>
      <c r="B36" t="s">
        <v>4614</v>
      </c>
      <c r="C36" t="s">
        <v>231</v>
      </c>
      <c r="D36" s="7">
        <v>0.05</v>
      </c>
      <c r="E36" s="2">
        <v>4706</v>
      </c>
      <c r="F36" s="2">
        <v>235.3</v>
      </c>
    </row>
    <row r="37" spans="1:6" x14ac:dyDescent="0.25">
      <c r="A37" t="s">
        <v>4062</v>
      </c>
      <c r="B37" t="s">
        <v>4321</v>
      </c>
      <c r="C37" t="s">
        <v>21</v>
      </c>
      <c r="D37" s="7">
        <v>1</v>
      </c>
      <c r="E37" s="2">
        <v>8777.33</v>
      </c>
      <c r="F37" s="2">
        <v>8777.33</v>
      </c>
    </row>
    <row r="38" spans="1:6" x14ac:dyDescent="0.25">
      <c r="A38" t="s">
        <v>4062</v>
      </c>
      <c r="B38" t="s">
        <v>4065</v>
      </c>
      <c r="C38" t="s">
        <v>4066</v>
      </c>
      <c r="D38" s="7">
        <v>0.2</v>
      </c>
      <c r="E38" s="2">
        <v>3433</v>
      </c>
      <c r="F38" s="2">
        <v>686.6</v>
      </c>
    </row>
    <row r="39" spans="1:6" x14ac:dyDescent="0.25">
      <c r="A39" t="s">
        <v>4049</v>
      </c>
      <c r="B39" t="s">
        <v>4487</v>
      </c>
      <c r="C39" t="s">
        <v>4236</v>
      </c>
      <c r="D39" s="7">
        <v>0.5</v>
      </c>
      <c r="E39" s="2">
        <v>24555.22</v>
      </c>
      <c r="F39" s="2">
        <v>12277.61</v>
      </c>
    </row>
    <row r="40" spans="1:6" x14ac:dyDescent="0.25">
      <c r="A40" t="s">
        <v>4052</v>
      </c>
      <c r="B40" t="s">
        <v>4053</v>
      </c>
      <c r="C40" t="s">
        <v>4054</v>
      </c>
      <c r="D40" s="7">
        <v>3.3</v>
      </c>
      <c r="E40" s="2">
        <v>12277.61</v>
      </c>
      <c r="F40" s="2">
        <v>405.16</v>
      </c>
    </row>
    <row r="41" spans="1:6" x14ac:dyDescent="0.25">
      <c r="A41" t="s">
        <v>4055</v>
      </c>
      <c r="D41" s="7"/>
      <c r="E41" s="2"/>
      <c r="F41" s="2">
        <f>SUBTOTAL(109,A_1_05_04[VALOR PARCIAL])</f>
      </c>
    </row>
    <row r="43" ht="30" customHeight="1" spans="1:6" x14ac:dyDescent="0.25">
      <c r="A43" s="5" t="s">
        <v>4615</v>
      </c>
      <c r="B43" s="5"/>
      <c r="C43" s="5"/>
      <c r="D43" s="5"/>
      <c r="E43" s="5"/>
      <c r="F43" s="5"/>
    </row>
    <row r="44" ht="42" customHeight="1" spans="1:6" x14ac:dyDescent="0.25">
      <c r="A44" s="6" t="s">
        <v>4616</v>
      </c>
      <c r="B44" s="6"/>
      <c r="C44" s="6"/>
      <c r="D44" s="6"/>
      <c r="E44" s="6"/>
      <c r="F44" s="6"/>
    </row>
    <row r="45" spans="1:6" x14ac:dyDescent="0.25">
      <c r="A45" t="s">
        <v>4044</v>
      </c>
      <c r="B45" t="s">
        <v>4045</v>
      </c>
      <c r="C45" t="s">
        <v>5</v>
      </c>
      <c r="D45" t="s">
        <v>4046</v>
      </c>
      <c r="E45" t="s">
        <v>4047</v>
      </c>
      <c r="F45" t="s">
        <v>4048</v>
      </c>
    </row>
    <row r="46" spans="1:6" x14ac:dyDescent="0.25">
      <c r="A46" t="s">
        <v>4062</v>
      </c>
      <c r="B46" t="s">
        <v>4617</v>
      </c>
      <c r="C46" t="s">
        <v>63</v>
      </c>
      <c r="D46" s="7">
        <v>0.88</v>
      </c>
      <c r="E46" s="2">
        <v>4964</v>
      </c>
      <c r="F46" s="2">
        <v>4368.32</v>
      </c>
    </row>
    <row r="47" spans="1:6" x14ac:dyDescent="0.25">
      <c r="A47" t="s">
        <v>4062</v>
      </c>
      <c r="B47" t="s">
        <v>4065</v>
      </c>
      <c r="C47" t="s">
        <v>4066</v>
      </c>
      <c r="D47" s="7">
        <v>0.04</v>
      </c>
      <c r="E47" s="2">
        <v>3433</v>
      </c>
      <c r="F47" s="2">
        <v>137.32</v>
      </c>
    </row>
    <row r="48" spans="1:6" x14ac:dyDescent="0.25">
      <c r="A48" t="s">
        <v>4049</v>
      </c>
      <c r="B48" t="s">
        <v>4487</v>
      </c>
      <c r="C48" t="s">
        <v>4236</v>
      </c>
      <c r="D48" s="7">
        <v>0.4</v>
      </c>
      <c r="E48" s="2">
        <v>24555.22</v>
      </c>
      <c r="F48" s="2">
        <v>9822.09</v>
      </c>
    </row>
    <row r="49" spans="1:6" x14ac:dyDescent="0.25">
      <c r="A49" t="s">
        <v>4052</v>
      </c>
      <c r="B49" t="s">
        <v>4053</v>
      </c>
      <c r="C49" t="s">
        <v>4054</v>
      </c>
      <c r="D49" s="7">
        <v>3.3</v>
      </c>
      <c r="E49" s="2">
        <v>9822.09</v>
      </c>
      <c r="F49" s="2">
        <v>324.13</v>
      </c>
    </row>
    <row r="50" spans="1:6" x14ac:dyDescent="0.25">
      <c r="A50" t="s">
        <v>4055</v>
      </c>
      <c r="D50" s="7"/>
      <c r="E50" s="2"/>
      <c r="F50" s="2">
        <f>SUBTOTAL(109,A_1_05_05[VALOR PARCIAL])</f>
      </c>
    </row>
    <row r="52" ht="30" customHeight="1" spans="1:6" x14ac:dyDescent="0.25">
      <c r="A52" s="5" t="s">
        <v>4618</v>
      </c>
      <c r="B52" s="5"/>
      <c r="C52" s="5"/>
      <c r="D52" s="5"/>
      <c r="E52" s="5"/>
      <c r="F52" s="5"/>
    </row>
    <row r="53" ht="42" customHeight="1" spans="1:6" x14ac:dyDescent="0.25">
      <c r="A53" s="6" t="s">
        <v>4619</v>
      </c>
      <c r="B53" s="6"/>
      <c r="C53" s="6"/>
      <c r="D53" s="6"/>
      <c r="E53" s="6"/>
      <c r="F53" s="6"/>
    </row>
    <row r="54" spans="1:6" x14ac:dyDescent="0.25">
      <c r="A54" t="s">
        <v>4044</v>
      </c>
      <c r="B54" t="s">
        <v>4045</v>
      </c>
      <c r="C54" t="s">
        <v>5</v>
      </c>
      <c r="D54" t="s">
        <v>4046</v>
      </c>
      <c r="E54" t="s">
        <v>4047</v>
      </c>
      <c r="F54" t="s">
        <v>4048</v>
      </c>
    </row>
    <row r="55" spans="1:6" x14ac:dyDescent="0.25">
      <c r="A55" t="s">
        <v>4062</v>
      </c>
      <c r="B55" t="s">
        <v>4492</v>
      </c>
      <c r="C55" t="s">
        <v>34</v>
      </c>
      <c r="D55" s="7">
        <v>0.03</v>
      </c>
      <c r="E55" s="2">
        <v>68425</v>
      </c>
      <c r="F55" s="2">
        <v>2052.75</v>
      </c>
    </row>
    <row r="56" spans="1:6" x14ac:dyDescent="0.25">
      <c r="A56" t="s">
        <v>4062</v>
      </c>
      <c r="B56" t="s">
        <v>4475</v>
      </c>
      <c r="C56" t="s">
        <v>231</v>
      </c>
      <c r="D56" s="7">
        <v>8.45</v>
      </c>
      <c r="E56" s="2">
        <v>730</v>
      </c>
      <c r="F56" s="2">
        <v>6168.5</v>
      </c>
    </row>
    <row r="57" spans="1:6" x14ac:dyDescent="0.25">
      <c r="A57" t="s">
        <v>4062</v>
      </c>
      <c r="B57" t="s">
        <v>4076</v>
      </c>
      <c r="C57" t="s">
        <v>3963</v>
      </c>
      <c r="D57" s="7">
        <v>4.17</v>
      </c>
      <c r="E57" s="2">
        <v>21</v>
      </c>
      <c r="F57" s="2">
        <v>87.57</v>
      </c>
    </row>
    <row r="58" spans="1:6" x14ac:dyDescent="0.25">
      <c r="A58" t="s">
        <v>4049</v>
      </c>
      <c r="B58" t="s">
        <v>4487</v>
      </c>
      <c r="C58" t="s">
        <v>4236</v>
      </c>
      <c r="D58" s="7">
        <v>0.6</v>
      </c>
      <c r="E58" s="2">
        <v>24555.22</v>
      </c>
      <c r="F58" s="2">
        <v>14733.13</v>
      </c>
    </row>
    <row r="59" spans="1:6" x14ac:dyDescent="0.25">
      <c r="A59" t="s">
        <v>4052</v>
      </c>
      <c r="B59" t="s">
        <v>4053</v>
      </c>
      <c r="C59" t="s">
        <v>4054</v>
      </c>
      <c r="D59" s="7">
        <v>3.3</v>
      </c>
      <c r="E59" s="2">
        <v>14733.13</v>
      </c>
      <c r="F59" s="2">
        <v>486.19</v>
      </c>
    </row>
    <row r="60" spans="1:6" x14ac:dyDescent="0.25">
      <c r="A60" t="s">
        <v>4055</v>
      </c>
      <c r="D60" s="7"/>
      <c r="E60" s="2"/>
      <c r="F60" s="2">
        <f>SUBTOTAL(109,A_1_05_06[VALOR PARCIAL])</f>
      </c>
    </row>
    <row r="62" ht="30" customHeight="1" spans="1:6" x14ac:dyDescent="0.25">
      <c r="A62" s="5" t="s">
        <v>4620</v>
      </c>
      <c r="B62" s="5"/>
      <c r="C62" s="5"/>
      <c r="D62" s="5"/>
      <c r="E62" s="5"/>
      <c r="F62" s="5"/>
    </row>
    <row r="63" ht="42" customHeight="1" spans="1:6" x14ac:dyDescent="0.25">
      <c r="A63" s="6" t="s">
        <v>4621</v>
      </c>
      <c r="B63" s="6"/>
      <c r="C63" s="6"/>
      <c r="D63" s="6"/>
      <c r="E63" s="6"/>
      <c r="F63" s="6"/>
    </row>
    <row r="64" spans="1:6" x14ac:dyDescent="0.25">
      <c r="A64" t="s">
        <v>4044</v>
      </c>
      <c r="B64" t="s">
        <v>4045</v>
      </c>
      <c r="C64" t="s">
        <v>5</v>
      </c>
      <c r="D64" t="s">
        <v>4046</v>
      </c>
      <c r="E64" t="s">
        <v>4047</v>
      </c>
      <c r="F64" t="s">
        <v>4048</v>
      </c>
    </row>
    <row r="65" spans="1:6" x14ac:dyDescent="0.25">
      <c r="A65" t="s">
        <v>4062</v>
      </c>
      <c r="B65" t="s">
        <v>4492</v>
      </c>
      <c r="C65" t="s">
        <v>34</v>
      </c>
      <c r="D65" s="7">
        <v>0.03</v>
      </c>
      <c r="E65" s="2">
        <v>68425</v>
      </c>
      <c r="F65" s="2">
        <v>2052.75</v>
      </c>
    </row>
    <row r="66" spans="1:6" x14ac:dyDescent="0.25">
      <c r="A66" t="s">
        <v>4062</v>
      </c>
      <c r="B66" t="s">
        <v>4475</v>
      </c>
      <c r="C66" t="s">
        <v>231</v>
      </c>
      <c r="D66" s="7">
        <v>7.3</v>
      </c>
      <c r="E66" s="2">
        <v>730</v>
      </c>
      <c r="F66" s="2">
        <v>5329</v>
      </c>
    </row>
    <row r="67" spans="1:6" x14ac:dyDescent="0.25">
      <c r="A67" t="s">
        <v>4062</v>
      </c>
      <c r="B67" t="s">
        <v>4076</v>
      </c>
      <c r="C67" t="s">
        <v>3963</v>
      </c>
      <c r="D67" s="7">
        <v>3.6</v>
      </c>
      <c r="E67" s="2">
        <v>21</v>
      </c>
      <c r="F67" s="2">
        <v>75.6</v>
      </c>
    </row>
    <row r="68" spans="1:6" x14ac:dyDescent="0.25">
      <c r="A68" t="s">
        <v>4049</v>
      </c>
      <c r="B68" t="s">
        <v>4487</v>
      </c>
      <c r="C68" t="s">
        <v>4236</v>
      </c>
      <c r="D68" s="7">
        <v>0.6</v>
      </c>
      <c r="E68" s="2">
        <v>24555.22</v>
      </c>
      <c r="F68" s="2">
        <v>14733.13</v>
      </c>
    </row>
    <row r="69" spans="1:6" x14ac:dyDescent="0.25">
      <c r="A69" t="s">
        <v>4052</v>
      </c>
      <c r="B69" t="s">
        <v>4053</v>
      </c>
      <c r="C69" t="s">
        <v>4054</v>
      </c>
      <c r="D69" s="7">
        <v>3.3</v>
      </c>
      <c r="E69" s="2">
        <v>14733.13</v>
      </c>
      <c r="F69" s="2">
        <v>486.19</v>
      </c>
    </row>
    <row r="70" spans="1:6" x14ac:dyDescent="0.25">
      <c r="A70" t="s">
        <v>4055</v>
      </c>
      <c r="D70" s="7"/>
      <c r="E70" s="2"/>
      <c r="F70" s="2">
        <f>SUBTOTAL(109,A_1_05_07[VALOR PARCIAL])</f>
      </c>
    </row>
    <row r="72" ht="30" customHeight="1" spans="1:6" x14ac:dyDescent="0.25">
      <c r="A72" s="5" t="s">
        <v>4622</v>
      </c>
      <c r="B72" s="5"/>
      <c r="C72" s="5"/>
      <c r="D72" s="5"/>
      <c r="E72" s="5"/>
      <c r="F72" s="5"/>
    </row>
    <row r="73" ht="42" customHeight="1" spans="1:6" x14ac:dyDescent="0.25">
      <c r="A73" s="6" t="s">
        <v>4623</v>
      </c>
      <c r="B73" s="6"/>
      <c r="C73" s="6"/>
      <c r="D73" s="6"/>
      <c r="E73" s="6"/>
      <c r="F73" s="6"/>
    </row>
    <row r="74" spans="1:6" x14ac:dyDescent="0.25">
      <c r="A74" t="s">
        <v>4044</v>
      </c>
      <c r="B74" t="s">
        <v>4045</v>
      </c>
      <c r="C74" t="s">
        <v>5</v>
      </c>
      <c r="D74" t="s">
        <v>4046</v>
      </c>
      <c r="E74" t="s">
        <v>4047</v>
      </c>
      <c r="F74" t="s">
        <v>4048</v>
      </c>
    </row>
    <row r="75" spans="1:6" x14ac:dyDescent="0.25">
      <c r="A75" t="s">
        <v>4062</v>
      </c>
      <c r="B75" t="s">
        <v>4492</v>
      </c>
      <c r="C75" t="s">
        <v>34</v>
      </c>
      <c r="D75" s="7">
        <v>0.03</v>
      </c>
      <c r="E75" s="2">
        <v>68425</v>
      </c>
      <c r="F75" s="2">
        <v>2052.75</v>
      </c>
    </row>
    <row r="76" spans="1:6" x14ac:dyDescent="0.25">
      <c r="A76" t="s">
        <v>4062</v>
      </c>
      <c r="B76" t="s">
        <v>4475</v>
      </c>
      <c r="C76" t="s">
        <v>231</v>
      </c>
      <c r="D76" s="7">
        <v>10</v>
      </c>
      <c r="E76" s="2">
        <v>730</v>
      </c>
      <c r="F76" s="2">
        <v>7300</v>
      </c>
    </row>
    <row r="77" spans="1:6" x14ac:dyDescent="0.25">
      <c r="A77" t="s">
        <v>4062</v>
      </c>
      <c r="B77" t="s">
        <v>4076</v>
      </c>
      <c r="C77" t="s">
        <v>3963</v>
      </c>
      <c r="D77" s="7">
        <v>3.63</v>
      </c>
      <c r="E77" s="2">
        <v>21</v>
      </c>
      <c r="F77" s="2">
        <v>76.23</v>
      </c>
    </row>
    <row r="78" spans="1:6" x14ac:dyDescent="0.25">
      <c r="A78" t="s">
        <v>4062</v>
      </c>
      <c r="B78" t="s">
        <v>4624</v>
      </c>
      <c r="C78" t="s">
        <v>231</v>
      </c>
      <c r="D78" s="7">
        <v>0.05</v>
      </c>
      <c r="E78" s="2">
        <v>8600</v>
      </c>
      <c r="F78" s="2">
        <v>430</v>
      </c>
    </row>
    <row r="79" spans="1:6" x14ac:dyDescent="0.25">
      <c r="A79" t="s">
        <v>4049</v>
      </c>
      <c r="B79" t="s">
        <v>4050</v>
      </c>
      <c r="C79" t="s">
        <v>4051</v>
      </c>
      <c r="D79" s="7">
        <v>0.56</v>
      </c>
      <c r="E79" s="2">
        <v>9037.33</v>
      </c>
      <c r="F79" s="2">
        <v>5060.9</v>
      </c>
    </row>
    <row r="80" spans="1:6" x14ac:dyDescent="0.25">
      <c r="A80" t="s">
        <v>4049</v>
      </c>
      <c r="B80" t="s">
        <v>4073</v>
      </c>
      <c r="C80" t="s">
        <v>4051</v>
      </c>
      <c r="D80" s="7">
        <v>0.56</v>
      </c>
      <c r="E80" s="2">
        <v>15517.89</v>
      </c>
      <c r="F80" s="2">
        <v>8690.02</v>
      </c>
    </row>
    <row r="81" spans="1:6" x14ac:dyDescent="0.25">
      <c r="A81" t="s">
        <v>4052</v>
      </c>
      <c r="B81" t="s">
        <v>4053</v>
      </c>
      <c r="C81" t="s">
        <v>4054</v>
      </c>
      <c r="D81" s="7">
        <v>0.45</v>
      </c>
      <c r="E81" s="2">
        <v>13750.92</v>
      </c>
      <c r="F81" s="2">
        <v>61.88</v>
      </c>
    </row>
    <row r="82" spans="1:6" x14ac:dyDescent="0.25">
      <c r="A82" t="s">
        <v>4055</v>
      </c>
      <c r="D82" s="7"/>
      <c r="E82" s="2"/>
      <c r="F82" s="2">
        <f>SUBTOTAL(109,A_1_05_08[VALOR PARCIAL])</f>
      </c>
    </row>
    <row r="84" ht="30" customHeight="1" spans="1:6" x14ac:dyDescent="0.25">
      <c r="A84" s="5" t="s">
        <v>4625</v>
      </c>
      <c r="B84" s="5"/>
      <c r="C84" s="5"/>
      <c r="D84" s="5"/>
      <c r="E84" s="5"/>
      <c r="F84" s="5"/>
    </row>
    <row r="85" ht="42" customHeight="1" spans="1:6" x14ac:dyDescent="0.25">
      <c r="A85" s="6" t="s">
        <v>4626</v>
      </c>
      <c r="B85" s="6"/>
      <c r="C85" s="6"/>
      <c r="D85" s="6"/>
      <c r="E85" s="6"/>
      <c r="F85" s="6"/>
    </row>
    <row r="86" spans="1:6" x14ac:dyDescent="0.25">
      <c r="A86" t="s">
        <v>4044</v>
      </c>
      <c r="B86" t="s">
        <v>4045</v>
      </c>
      <c r="C86" t="s">
        <v>5</v>
      </c>
      <c r="D86" t="s">
        <v>4046</v>
      </c>
      <c r="E86" t="s">
        <v>4047</v>
      </c>
      <c r="F86" t="s">
        <v>4048</v>
      </c>
    </row>
    <row r="87" spans="1:6" x14ac:dyDescent="0.25">
      <c r="A87" t="s">
        <v>4062</v>
      </c>
      <c r="B87" t="s">
        <v>4492</v>
      </c>
      <c r="C87" t="s">
        <v>34</v>
      </c>
      <c r="D87" s="7">
        <v>0.03</v>
      </c>
      <c r="E87" s="2">
        <v>68425</v>
      </c>
      <c r="F87" s="2">
        <v>1984.33</v>
      </c>
    </row>
    <row r="88" spans="1:6" x14ac:dyDescent="0.25">
      <c r="A88" t="s">
        <v>4062</v>
      </c>
      <c r="B88" t="s">
        <v>4475</v>
      </c>
      <c r="C88" t="s">
        <v>231</v>
      </c>
      <c r="D88" s="7">
        <v>9.1</v>
      </c>
      <c r="E88" s="2">
        <v>730</v>
      </c>
      <c r="F88" s="2">
        <v>6643</v>
      </c>
    </row>
    <row r="89" spans="1:6" x14ac:dyDescent="0.25">
      <c r="A89" t="s">
        <v>4062</v>
      </c>
      <c r="B89" t="s">
        <v>4076</v>
      </c>
      <c r="C89" t="s">
        <v>3963</v>
      </c>
      <c r="D89" s="7">
        <v>5.5</v>
      </c>
      <c r="E89" s="2">
        <v>21</v>
      </c>
      <c r="F89" s="2">
        <v>115.5</v>
      </c>
    </row>
    <row r="90" spans="1:6" x14ac:dyDescent="0.25">
      <c r="A90" t="s">
        <v>4049</v>
      </c>
      <c r="B90" t="s">
        <v>4050</v>
      </c>
      <c r="C90" t="s">
        <v>4051</v>
      </c>
      <c r="D90" s="7">
        <v>0.48</v>
      </c>
      <c r="E90" s="2">
        <v>9037.33</v>
      </c>
      <c r="F90" s="2">
        <v>4337.92</v>
      </c>
    </row>
    <row r="91" spans="1:6" x14ac:dyDescent="0.25">
      <c r="A91" t="s">
        <v>4049</v>
      </c>
      <c r="B91" t="s">
        <v>4073</v>
      </c>
      <c r="C91" t="s">
        <v>4051</v>
      </c>
      <c r="D91" s="7">
        <v>0.48</v>
      </c>
      <c r="E91" s="2">
        <v>15517.89</v>
      </c>
      <c r="F91" s="2">
        <v>7448.59</v>
      </c>
    </row>
    <row r="92" spans="1:6" x14ac:dyDescent="0.25">
      <c r="A92" t="s">
        <v>4052</v>
      </c>
      <c r="B92" t="s">
        <v>4105</v>
      </c>
      <c r="C92" t="s">
        <v>4106</v>
      </c>
      <c r="D92" s="7">
        <v>0.25</v>
      </c>
      <c r="E92" s="2">
        <v>25125</v>
      </c>
      <c r="F92" s="2">
        <v>6281.25</v>
      </c>
    </row>
    <row r="93" spans="1:6" x14ac:dyDescent="0.25">
      <c r="A93" t="s">
        <v>4052</v>
      </c>
      <c r="B93" t="s">
        <v>4053</v>
      </c>
      <c r="C93" t="s">
        <v>4054</v>
      </c>
      <c r="D93" s="7">
        <v>5.5</v>
      </c>
      <c r="E93" s="2">
        <v>11786.51</v>
      </c>
      <c r="F93" s="2">
        <v>648.26</v>
      </c>
    </row>
    <row r="94" spans="1:6" x14ac:dyDescent="0.25">
      <c r="A94" t="s">
        <v>4055</v>
      </c>
      <c r="D94" s="7"/>
      <c r="E94" s="2"/>
      <c r="F94" s="2">
        <f>SUBTOTAL(109,A_1_05_09[VALOR PARCIAL])</f>
      </c>
    </row>
    <row r="96" ht="30" customHeight="1" spans="1:6" x14ac:dyDescent="0.25">
      <c r="A96" s="5" t="s">
        <v>4627</v>
      </c>
      <c r="B96" s="5"/>
      <c r="C96" s="5"/>
      <c r="D96" s="5"/>
      <c r="E96" s="5"/>
      <c r="F96" s="5"/>
    </row>
    <row r="97" ht="42" customHeight="1" spans="1:6" x14ac:dyDescent="0.25">
      <c r="A97" s="6" t="s">
        <v>4628</v>
      </c>
      <c r="B97" s="6"/>
      <c r="C97" s="6"/>
      <c r="D97" s="6"/>
      <c r="E97" s="6"/>
      <c r="F97" s="6"/>
    </row>
    <row r="98" spans="1:6" x14ac:dyDescent="0.25">
      <c r="A98" t="s">
        <v>4044</v>
      </c>
      <c r="B98" t="s">
        <v>4045</v>
      </c>
      <c r="C98" t="s">
        <v>5</v>
      </c>
      <c r="D98" t="s">
        <v>4046</v>
      </c>
      <c r="E98" t="s">
        <v>4047</v>
      </c>
      <c r="F98" t="s">
        <v>4048</v>
      </c>
    </row>
    <row r="99" spans="1:6" x14ac:dyDescent="0.25">
      <c r="A99" t="s">
        <v>4062</v>
      </c>
      <c r="B99" t="s">
        <v>3978</v>
      </c>
      <c r="C99" t="s">
        <v>34</v>
      </c>
      <c r="D99" s="7">
        <v>0.03</v>
      </c>
      <c r="E99" s="2">
        <v>409741.65</v>
      </c>
      <c r="F99" s="2">
        <v>10243.54</v>
      </c>
    </row>
    <row r="100" spans="1:6" x14ac:dyDescent="0.25">
      <c r="A100" t="s">
        <v>4062</v>
      </c>
      <c r="B100" t="s">
        <v>4076</v>
      </c>
      <c r="C100" t="s">
        <v>3963</v>
      </c>
      <c r="D100" s="7">
        <v>4</v>
      </c>
      <c r="E100" s="2">
        <v>21</v>
      </c>
      <c r="F100" s="2">
        <v>84</v>
      </c>
    </row>
    <row r="101" spans="1:6" x14ac:dyDescent="0.25">
      <c r="A101" t="s">
        <v>4049</v>
      </c>
      <c r="B101" t="s">
        <v>4105</v>
      </c>
      <c r="C101" t="s">
        <v>4106</v>
      </c>
      <c r="D101" s="7">
        <v>0.2</v>
      </c>
      <c r="E101" s="2">
        <v>25125</v>
      </c>
      <c r="F101" s="2">
        <v>5025</v>
      </c>
    </row>
    <row r="102" spans="1:6" x14ac:dyDescent="0.25">
      <c r="A102" t="s">
        <v>4049</v>
      </c>
      <c r="B102" t="s">
        <v>4050</v>
      </c>
      <c r="C102" t="s">
        <v>4051</v>
      </c>
      <c r="D102" s="7">
        <v>0.6</v>
      </c>
      <c r="E102" s="2">
        <v>9037.33</v>
      </c>
      <c r="F102" s="2">
        <v>5422.4</v>
      </c>
    </row>
    <row r="103" spans="1:6" x14ac:dyDescent="0.25">
      <c r="A103" t="s">
        <v>4049</v>
      </c>
      <c r="B103" t="s">
        <v>4073</v>
      </c>
      <c r="C103" t="s">
        <v>4051</v>
      </c>
      <c r="D103" s="7">
        <v>0.6</v>
      </c>
      <c r="E103" s="2">
        <v>15517.89</v>
      </c>
      <c r="F103" s="2">
        <v>9310.73</v>
      </c>
    </row>
    <row r="104" spans="1:6" x14ac:dyDescent="0.25">
      <c r="A104" t="s">
        <v>4052</v>
      </c>
      <c r="B104" t="s">
        <v>4053</v>
      </c>
      <c r="C104" t="s">
        <v>4054</v>
      </c>
      <c r="D104" s="7">
        <v>5.5</v>
      </c>
      <c r="E104" s="2">
        <v>14733.13</v>
      </c>
      <c r="F104" s="2">
        <v>810.32</v>
      </c>
    </row>
    <row r="105" spans="1:6" x14ac:dyDescent="0.25">
      <c r="A105" t="s">
        <v>4055</v>
      </c>
      <c r="D105" s="7"/>
      <c r="E105" s="2"/>
      <c r="F105" s="2">
        <f>SUBTOTAL(109,A_1_05_10[VALOR PARCIAL])</f>
      </c>
    </row>
    <row r="107" ht="30" customHeight="1" spans="1:6" x14ac:dyDescent="0.25">
      <c r="A107" s="5" t="s">
        <v>4629</v>
      </c>
      <c r="B107" s="5"/>
      <c r="C107" s="5"/>
      <c r="D107" s="5"/>
      <c r="E107" s="5"/>
      <c r="F107" s="5"/>
    </row>
    <row r="108" ht="42" customHeight="1" spans="1:6" x14ac:dyDescent="0.25">
      <c r="A108" s="6" t="s">
        <v>4630</v>
      </c>
      <c r="B108" s="6"/>
      <c r="C108" s="6"/>
      <c r="D108" s="6"/>
      <c r="E108" s="6"/>
      <c r="F108" s="6"/>
    </row>
    <row r="109" spans="1:6" x14ac:dyDescent="0.25">
      <c r="A109" t="s">
        <v>4044</v>
      </c>
      <c r="B109" t="s">
        <v>4045</v>
      </c>
      <c r="C109" t="s">
        <v>5</v>
      </c>
      <c r="D109" t="s">
        <v>4046</v>
      </c>
      <c r="E109" t="s">
        <v>4047</v>
      </c>
      <c r="F109" t="s">
        <v>4048</v>
      </c>
    </row>
    <row r="110" spans="1:6" x14ac:dyDescent="0.25">
      <c r="A110" t="s">
        <v>4062</v>
      </c>
      <c r="B110" t="s">
        <v>3978</v>
      </c>
      <c r="C110" t="s">
        <v>34</v>
      </c>
      <c r="D110" s="7">
        <v>0.03</v>
      </c>
      <c r="E110" s="2">
        <v>409741.65</v>
      </c>
      <c r="F110" s="2">
        <v>10243.54</v>
      </c>
    </row>
    <row r="111" spans="1:6" x14ac:dyDescent="0.25">
      <c r="A111" t="s">
        <v>4062</v>
      </c>
      <c r="B111" t="s">
        <v>4076</v>
      </c>
      <c r="C111" t="s">
        <v>3963</v>
      </c>
      <c r="D111" s="7">
        <v>4</v>
      </c>
      <c r="E111" s="2">
        <v>21</v>
      </c>
      <c r="F111" s="2">
        <v>84</v>
      </c>
    </row>
    <row r="112" spans="1:6" x14ac:dyDescent="0.25">
      <c r="A112" t="s">
        <v>4049</v>
      </c>
      <c r="B112" t="s">
        <v>4050</v>
      </c>
      <c r="C112" t="s">
        <v>4051</v>
      </c>
      <c r="D112" s="7">
        <v>0.52</v>
      </c>
      <c r="E112" s="2">
        <v>9037.33</v>
      </c>
      <c r="F112" s="2">
        <v>4699.41</v>
      </c>
    </row>
    <row r="113" spans="1:6" x14ac:dyDescent="0.25">
      <c r="A113" t="s">
        <v>4049</v>
      </c>
      <c r="B113" t="s">
        <v>4073</v>
      </c>
      <c r="C113" t="s">
        <v>4051</v>
      </c>
      <c r="D113" s="7">
        <v>0.52</v>
      </c>
      <c r="E113" s="2">
        <v>15517.89</v>
      </c>
      <c r="F113" s="2">
        <v>8069.3</v>
      </c>
    </row>
    <row r="114" spans="1:6" x14ac:dyDescent="0.25">
      <c r="A114" t="s">
        <v>4052</v>
      </c>
      <c r="B114" t="s">
        <v>4105</v>
      </c>
      <c r="C114" t="s">
        <v>4106</v>
      </c>
      <c r="D114" s="7">
        <v>0.3</v>
      </c>
      <c r="E114" s="2">
        <v>25125</v>
      </c>
      <c r="F114" s="2">
        <v>7537.5</v>
      </c>
    </row>
    <row r="115" spans="1:6" x14ac:dyDescent="0.25">
      <c r="A115" t="s">
        <v>4052</v>
      </c>
      <c r="B115" t="s">
        <v>4053</v>
      </c>
      <c r="C115" t="s">
        <v>4054</v>
      </c>
      <c r="D115" s="7">
        <v>5.5</v>
      </c>
      <c r="E115" s="2">
        <v>12768.71</v>
      </c>
      <c r="F115" s="2">
        <v>702.28</v>
      </c>
    </row>
    <row r="116" spans="1:6" x14ac:dyDescent="0.25">
      <c r="A116" t="s">
        <v>4055</v>
      </c>
      <c r="D116" s="7"/>
      <c r="E116" s="2"/>
      <c r="F116" s="2">
        <f>SUBTOTAL(109,A_1_05_11[VALOR PARCIAL])</f>
      </c>
    </row>
    <row r="118" ht="30" customHeight="1" spans="1:6" x14ac:dyDescent="0.25">
      <c r="A118" s="5" t="s">
        <v>4631</v>
      </c>
      <c r="B118" s="5"/>
      <c r="C118" s="5"/>
      <c r="D118" s="5"/>
      <c r="E118" s="5"/>
      <c r="F118" s="5"/>
    </row>
    <row r="119" ht="42" customHeight="1" spans="1:6" x14ac:dyDescent="0.25">
      <c r="A119" s="6" t="s">
        <v>4632</v>
      </c>
      <c r="B119" s="6"/>
      <c r="C119" s="6"/>
      <c r="D119" s="6"/>
      <c r="E119" s="6"/>
      <c r="F119" s="6"/>
    </row>
    <row r="120" spans="1:6" x14ac:dyDescent="0.25">
      <c r="A120" t="s">
        <v>4044</v>
      </c>
      <c r="B120" t="s">
        <v>4045</v>
      </c>
      <c r="C120" t="s">
        <v>5</v>
      </c>
      <c r="D120" t="s">
        <v>4046</v>
      </c>
      <c r="E120" t="s">
        <v>4047</v>
      </c>
      <c r="F120" t="s">
        <v>4048</v>
      </c>
    </row>
    <row r="121" spans="1:6" x14ac:dyDescent="0.25">
      <c r="A121" t="s">
        <v>4062</v>
      </c>
      <c r="B121" t="s">
        <v>4076</v>
      </c>
      <c r="C121" t="s">
        <v>3963</v>
      </c>
      <c r="D121" s="7">
        <v>4</v>
      </c>
      <c r="E121" s="2">
        <v>21</v>
      </c>
      <c r="F121" s="2">
        <v>84</v>
      </c>
    </row>
    <row r="122" spans="1:6" x14ac:dyDescent="0.25">
      <c r="A122" t="s">
        <v>4062</v>
      </c>
      <c r="B122" t="s">
        <v>3981</v>
      </c>
      <c r="C122" t="s">
        <v>34</v>
      </c>
      <c r="D122" s="7">
        <v>0.03</v>
      </c>
      <c r="E122" s="2">
        <v>365704.15</v>
      </c>
      <c r="F122" s="2">
        <v>10751.7</v>
      </c>
    </row>
    <row r="123" spans="1:6" x14ac:dyDescent="0.25">
      <c r="A123" t="s">
        <v>4049</v>
      </c>
      <c r="B123" t="s">
        <v>4050</v>
      </c>
      <c r="C123" t="s">
        <v>4051</v>
      </c>
      <c r="D123" s="7">
        <v>0.52</v>
      </c>
      <c r="E123" s="2">
        <v>9037.33</v>
      </c>
      <c r="F123" s="2">
        <v>4699.41</v>
      </c>
    </row>
    <row r="124" spans="1:6" x14ac:dyDescent="0.25">
      <c r="A124" t="s">
        <v>4049</v>
      </c>
      <c r="B124" t="s">
        <v>4073</v>
      </c>
      <c r="C124" t="s">
        <v>4051</v>
      </c>
      <c r="D124" s="7">
        <v>0.52</v>
      </c>
      <c r="E124" s="2">
        <v>15517.89</v>
      </c>
      <c r="F124" s="2">
        <v>8069.3</v>
      </c>
    </row>
    <row r="125" spans="1:6" x14ac:dyDescent="0.25">
      <c r="A125" t="s">
        <v>4052</v>
      </c>
      <c r="B125" t="s">
        <v>4105</v>
      </c>
      <c r="C125" t="s">
        <v>4106</v>
      </c>
      <c r="D125" s="7">
        <v>0.3</v>
      </c>
      <c r="E125" s="2">
        <v>25125</v>
      </c>
      <c r="F125" s="2">
        <v>7537.5</v>
      </c>
    </row>
    <row r="126" spans="1:6" x14ac:dyDescent="0.25">
      <c r="A126" t="s">
        <v>4052</v>
      </c>
      <c r="B126" t="s">
        <v>4053</v>
      </c>
      <c r="C126" t="s">
        <v>4054</v>
      </c>
      <c r="D126" s="7">
        <v>5.5</v>
      </c>
      <c r="E126" s="2">
        <v>12768.71</v>
      </c>
      <c r="F126" s="2">
        <v>702.28</v>
      </c>
    </row>
    <row r="127" spans="1:6" x14ac:dyDescent="0.25">
      <c r="A127" t="s">
        <v>4055</v>
      </c>
      <c r="D127" s="7"/>
      <c r="E127" s="2"/>
      <c r="F127" s="2">
        <f>SUBTOTAL(109,A_1_05_12[VALOR PARCIAL])</f>
      </c>
    </row>
    <row r="129" ht="30" customHeight="1" spans="1:6" x14ac:dyDescent="0.25">
      <c r="A129" s="5" t="s">
        <v>4633</v>
      </c>
      <c r="B129" s="5"/>
      <c r="C129" s="5"/>
      <c r="D129" s="5"/>
      <c r="E129" s="5"/>
      <c r="F129" s="5"/>
    </row>
    <row r="130" ht="42" customHeight="1" spans="1:6" x14ac:dyDescent="0.25">
      <c r="A130" s="6" t="s">
        <v>4634</v>
      </c>
      <c r="B130" s="6"/>
      <c r="C130" s="6"/>
      <c r="D130" s="6"/>
      <c r="E130" s="6"/>
      <c r="F130" s="6"/>
    </row>
    <row r="131" spans="1:6" x14ac:dyDescent="0.25">
      <c r="A131" t="s">
        <v>4044</v>
      </c>
      <c r="B131" t="s">
        <v>4045</v>
      </c>
      <c r="C131" t="s">
        <v>5</v>
      </c>
      <c r="D131" t="s">
        <v>4046</v>
      </c>
      <c r="E131" t="s">
        <v>4047</v>
      </c>
      <c r="F131" t="s">
        <v>4048</v>
      </c>
    </row>
    <row r="132" spans="1:6" x14ac:dyDescent="0.25">
      <c r="A132" t="s">
        <v>4062</v>
      </c>
      <c r="B132" t="s">
        <v>3978</v>
      </c>
      <c r="C132" t="s">
        <v>34</v>
      </c>
      <c r="D132" s="7">
        <v>0.02</v>
      </c>
      <c r="E132" s="2">
        <v>409741.65</v>
      </c>
      <c r="F132" s="2">
        <v>8194.83</v>
      </c>
    </row>
    <row r="133" spans="1:6" x14ac:dyDescent="0.25">
      <c r="A133" t="s">
        <v>4062</v>
      </c>
      <c r="B133" t="s">
        <v>4076</v>
      </c>
      <c r="C133" t="s">
        <v>3963</v>
      </c>
      <c r="D133" s="7">
        <v>3.63</v>
      </c>
      <c r="E133" s="2">
        <v>21</v>
      </c>
      <c r="F133" s="2">
        <v>76.23</v>
      </c>
    </row>
    <row r="134" spans="1:6" x14ac:dyDescent="0.25">
      <c r="A134" t="s">
        <v>4049</v>
      </c>
      <c r="B134" t="s">
        <v>4050</v>
      </c>
      <c r="C134" t="s">
        <v>4051</v>
      </c>
      <c r="D134" s="7">
        <v>0.46</v>
      </c>
      <c r="E134" s="2">
        <v>9037.33</v>
      </c>
      <c r="F134" s="2">
        <v>4157.17</v>
      </c>
    </row>
    <row r="135" spans="1:6" x14ac:dyDescent="0.25">
      <c r="A135" t="s">
        <v>4049</v>
      </c>
      <c r="B135" t="s">
        <v>4073</v>
      </c>
      <c r="C135" t="s">
        <v>4051</v>
      </c>
      <c r="D135" s="7">
        <v>0.46</v>
      </c>
      <c r="E135" s="2">
        <v>15517.89</v>
      </c>
      <c r="F135" s="2">
        <v>7138.23</v>
      </c>
    </row>
    <row r="136" spans="1:6" x14ac:dyDescent="0.25">
      <c r="A136" t="s">
        <v>4052</v>
      </c>
      <c r="B136" t="s">
        <v>4053</v>
      </c>
      <c r="C136" t="s">
        <v>4054</v>
      </c>
      <c r="D136" s="7">
        <v>5.5</v>
      </c>
      <c r="E136" s="2">
        <v>11295.4</v>
      </c>
      <c r="F136" s="2">
        <v>621.25</v>
      </c>
    </row>
    <row r="137" spans="1:6" x14ac:dyDescent="0.25">
      <c r="A137" t="s">
        <v>4055</v>
      </c>
      <c r="D137" s="7"/>
      <c r="E137" s="2"/>
      <c r="F137" s="2">
        <f>SUBTOTAL(109,A_1_05_13[VALOR PARCIAL])</f>
      </c>
    </row>
    <row r="139" ht="30" customHeight="1" spans="1:6" x14ac:dyDescent="0.25">
      <c r="A139" s="5" t="s">
        <v>4635</v>
      </c>
      <c r="B139" s="5"/>
      <c r="C139" s="5"/>
      <c r="D139" s="5"/>
      <c r="E139" s="5"/>
      <c r="F139" s="5"/>
    </row>
    <row r="140" ht="42" customHeight="1" spans="1:6" x14ac:dyDescent="0.25">
      <c r="A140" s="6" t="s">
        <v>4636</v>
      </c>
      <c r="B140" s="6"/>
      <c r="C140" s="6"/>
      <c r="D140" s="6"/>
      <c r="E140" s="6"/>
      <c r="F140" s="6"/>
    </row>
    <row r="141" spans="1:6" x14ac:dyDescent="0.25">
      <c r="A141" t="s">
        <v>4044</v>
      </c>
      <c r="B141" t="s">
        <v>4045</v>
      </c>
      <c r="C141" t="s">
        <v>5</v>
      </c>
      <c r="D141" t="s">
        <v>4046</v>
      </c>
      <c r="E141" t="s">
        <v>4047</v>
      </c>
      <c r="F141" t="s">
        <v>4048</v>
      </c>
    </row>
    <row r="142" spans="1:6" x14ac:dyDescent="0.25">
      <c r="A142" t="s">
        <v>4062</v>
      </c>
      <c r="B142" t="s">
        <v>4076</v>
      </c>
      <c r="C142" t="s">
        <v>3963</v>
      </c>
      <c r="D142" s="7">
        <v>3.63</v>
      </c>
      <c r="E142" s="2">
        <v>21</v>
      </c>
      <c r="F142" s="2">
        <v>76.23</v>
      </c>
    </row>
    <row r="143" spans="1:6" x14ac:dyDescent="0.25">
      <c r="A143" t="s">
        <v>4062</v>
      </c>
      <c r="B143" t="s">
        <v>3981</v>
      </c>
      <c r="C143" t="s">
        <v>34</v>
      </c>
      <c r="D143" s="7">
        <v>0.02</v>
      </c>
      <c r="E143" s="2">
        <v>365704.15</v>
      </c>
      <c r="F143" s="2">
        <v>7314.08</v>
      </c>
    </row>
    <row r="144" spans="1:6" x14ac:dyDescent="0.25">
      <c r="A144" t="s">
        <v>4049</v>
      </c>
      <c r="B144" t="s">
        <v>4050</v>
      </c>
      <c r="C144" t="s">
        <v>4051</v>
      </c>
      <c r="D144" s="7">
        <v>0.46</v>
      </c>
      <c r="E144" s="2">
        <v>9037.33</v>
      </c>
      <c r="F144" s="2">
        <v>4157.17</v>
      </c>
    </row>
    <row r="145" spans="1:6" x14ac:dyDescent="0.25">
      <c r="A145" t="s">
        <v>4049</v>
      </c>
      <c r="B145" t="s">
        <v>4073</v>
      </c>
      <c r="C145" t="s">
        <v>4051</v>
      </c>
      <c r="D145" s="7">
        <v>0.46</v>
      </c>
      <c r="E145" s="2">
        <v>15517.89</v>
      </c>
      <c r="F145" s="2">
        <v>7138.23</v>
      </c>
    </row>
    <row r="146" spans="1:6" x14ac:dyDescent="0.25">
      <c r="A146" t="s">
        <v>4052</v>
      </c>
      <c r="B146" t="s">
        <v>4053</v>
      </c>
      <c r="C146" t="s">
        <v>4054</v>
      </c>
      <c r="D146" s="7">
        <v>5.5</v>
      </c>
      <c r="E146" s="2">
        <v>11295.4</v>
      </c>
      <c r="F146" s="2">
        <v>621.25</v>
      </c>
    </row>
    <row r="147" spans="1:6" x14ac:dyDescent="0.25">
      <c r="A147" t="s">
        <v>4055</v>
      </c>
      <c r="D147" s="7"/>
      <c r="E147" s="2"/>
      <c r="F147" s="2">
        <f>SUBTOTAL(109,A_1_05_14[VALOR PARCIAL])</f>
      </c>
    </row>
    <row r="149" ht="30" customHeight="1" spans="1:6" x14ac:dyDescent="0.25">
      <c r="A149" s="5" t="s">
        <v>4637</v>
      </c>
      <c r="B149" s="5"/>
      <c r="C149" s="5"/>
      <c r="D149" s="5"/>
      <c r="E149" s="5"/>
      <c r="F149" s="5"/>
    </row>
    <row r="150" ht="42" customHeight="1" spans="1:6" x14ac:dyDescent="0.25">
      <c r="A150" s="6" t="s">
        <v>4638</v>
      </c>
      <c r="B150" s="6"/>
      <c r="C150" s="6"/>
      <c r="D150" s="6"/>
      <c r="E150" s="6"/>
      <c r="F150" s="6"/>
    </row>
    <row r="151" spans="1:6" x14ac:dyDescent="0.25">
      <c r="A151" t="s">
        <v>4044</v>
      </c>
      <c r="B151" t="s">
        <v>4045</v>
      </c>
      <c r="C151" t="s">
        <v>5</v>
      </c>
      <c r="D151" t="s">
        <v>4046</v>
      </c>
      <c r="E151" t="s">
        <v>4047</v>
      </c>
      <c r="F151" t="s">
        <v>4048</v>
      </c>
    </row>
    <row r="152" spans="1:6" x14ac:dyDescent="0.25">
      <c r="A152" t="s">
        <v>4062</v>
      </c>
      <c r="B152" t="s">
        <v>4076</v>
      </c>
      <c r="C152" t="s">
        <v>3963</v>
      </c>
      <c r="D152" s="7">
        <v>4</v>
      </c>
      <c r="E152" s="2">
        <v>21</v>
      </c>
      <c r="F152" s="2">
        <v>84</v>
      </c>
    </row>
    <row r="153" spans="1:6" x14ac:dyDescent="0.25">
      <c r="A153" t="s">
        <v>4062</v>
      </c>
      <c r="B153" t="s">
        <v>3981</v>
      </c>
      <c r="C153" t="s">
        <v>34</v>
      </c>
      <c r="D153" s="7">
        <v>0.02</v>
      </c>
      <c r="E153" s="2">
        <v>365704.15</v>
      </c>
      <c r="F153" s="2">
        <v>7314.08</v>
      </c>
    </row>
    <row r="154" spans="1:6" x14ac:dyDescent="0.25">
      <c r="A154" t="s">
        <v>4049</v>
      </c>
      <c r="B154" t="s">
        <v>4050</v>
      </c>
      <c r="C154" t="s">
        <v>4051</v>
      </c>
      <c r="D154" s="7">
        <v>0.56</v>
      </c>
      <c r="E154" s="2">
        <v>9037.33</v>
      </c>
      <c r="F154" s="2">
        <v>5060.9</v>
      </c>
    </row>
    <row r="155" spans="1:6" x14ac:dyDescent="0.25">
      <c r="A155" t="s">
        <v>4049</v>
      </c>
      <c r="B155" t="s">
        <v>4073</v>
      </c>
      <c r="C155" t="s">
        <v>4051</v>
      </c>
      <c r="D155" s="7">
        <v>0.56</v>
      </c>
      <c r="E155" s="2">
        <v>15517.89</v>
      </c>
      <c r="F155" s="2">
        <v>8690.02</v>
      </c>
    </row>
    <row r="156" spans="1:6" x14ac:dyDescent="0.25">
      <c r="A156" t="s">
        <v>4052</v>
      </c>
      <c r="B156" t="s">
        <v>4105</v>
      </c>
      <c r="C156" t="s">
        <v>4106</v>
      </c>
      <c r="D156" s="7">
        <v>0.2</v>
      </c>
      <c r="E156" s="2">
        <v>25125</v>
      </c>
      <c r="F156" s="2">
        <v>5025</v>
      </c>
    </row>
    <row r="157" spans="1:6" x14ac:dyDescent="0.25">
      <c r="A157" t="s">
        <v>4052</v>
      </c>
      <c r="B157" t="s">
        <v>4053</v>
      </c>
      <c r="C157" t="s">
        <v>4054</v>
      </c>
      <c r="D157" s="7">
        <v>5.5</v>
      </c>
      <c r="E157" s="2">
        <v>13750.92</v>
      </c>
      <c r="F157" s="2">
        <v>756.3</v>
      </c>
    </row>
    <row r="158" spans="1:6" x14ac:dyDescent="0.25">
      <c r="A158" t="s">
        <v>4055</v>
      </c>
      <c r="D158" s="7"/>
      <c r="E158" s="2"/>
      <c r="F158" s="2">
        <f>SUBTOTAL(109,A_1_05_15[VALOR PARCIAL])</f>
      </c>
    </row>
    <row r="160" ht="30" customHeight="1" spans="1:6" x14ac:dyDescent="0.25">
      <c r="A160" s="5" t="s">
        <v>4639</v>
      </c>
      <c r="B160" s="5"/>
      <c r="C160" s="5"/>
      <c r="D160" s="5"/>
      <c r="E160" s="5"/>
      <c r="F160" s="5"/>
    </row>
    <row r="161" ht="42" customHeight="1" spans="1:6" x14ac:dyDescent="0.25">
      <c r="A161" s="6" t="s">
        <v>4640</v>
      </c>
      <c r="B161" s="6"/>
      <c r="C161" s="6"/>
      <c r="D161" s="6"/>
      <c r="E161" s="6"/>
      <c r="F161" s="6"/>
    </row>
    <row r="162" spans="1:6" x14ac:dyDescent="0.25">
      <c r="A162" t="s">
        <v>4044</v>
      </c>
      <c r="B162" t="s">
        <v>4045</v>
      </c>
      <c r="C162" t="s">
        <v>5</v>
      </c>
      <c r="D162" t="s">
        <v>4046</v>
      </c>
      <c r="E162" t="s">
        <v>4047</v>
      </c>
      <c r="F162" t="s">
        <v>4048</v>
      </c>
    </row>
    <row r="163" spans="1:6" x14ac:dyDescent="0.25">
      <c r="A163" t="s">
        <v>4062</v>
      </c>
      <c r="B163" t="s">
        <v>4492</v>
      </c>
      <c r="C163" t="s">
        <v>34</v>
      </c>
      <c r="D163" s="7">
        <v>0.04</v>
      </c>
      <c r="E163" s="2">
        <v>68425</v>
      </c>
      <c r="F163" s="2">
        <v>2737</v>
      </c>
    </row>
    <row r="164" spans="1:6" x14ac:dyDescent="0.25">
      <c r="A164" t="s">
        <v>4062</v>
      </c>
      <c r="B164" t="s">
        <v>4475</v>
      </c>
      <c r="C164" t="s">
        <v>231</v>
      </c>
      <c r="D164" s="7">
        <v>9.5</v>
      </c>
      <c r="E164" s="2">
        <v>730</v>
      </c>
      <c r="F164" s="2">
        <v>6935</v>
      </c>
    </row>
    <row r="165" spans="1:6" x14ac:dyDescent="0.25">
      <c r="A165" t="s">
        <v>4062</v>
      </c>
      <c r="B165" t="s">
        <v>4076</v>
      </c>
      <c r="C165" t="s">
        <v>3963</v>
      </c>
      <c r="D165" s="7">
        <v>7.2</v>
      </c>
      <c r="E165" s="2">
        <v>21</v>
      </c>
      <c r="F165" s="2">
        <v>151.2</v>
      </c>
    </row>
    <row r="166" spans="1:6" x14ac:dyDescent="0.25">
      <c r="A166" t="s">
        <v>4049</v>
      </c>
      <c r="B166" t="s">
        <v>4487</v>
      </c>
      <c r="C166" t="s">
        <v>4236</v>
      </c>
      <c r="D166" s="7">
        <v>0.61</v>
      </c>
      <c r="E166" s="2">
        <v>24555.22</v>
      </c>
      <c r="F166" s="2">
        <v>14978.68</v>
      </c>
    </row>
    <row r="167" spans="1:6" x14ac:dyDescent="0.25">
      <c r="A167" t="s">
        <v>4052</v>
      </c>
      <c r="B167" t="s">
        <v>4053</v>
      </c>
      <c r="C167" t="s">
        <v>4054</v>
      </c>
      <c r="D167" s="7">
        <v>3.3</v>
      </c>
      <c r="E167" s="2">
        <v>14978.68</v>
      </c>
      <c r="F167" s="2">
        <v>494.3</v>
      </c>
    </row>
    <row r="168" spans="1:6" x14ac:dyDescent="0.25">
      <c r="A168" t="s">
        <v>4055</v>
      </c>
      <c r="D168" s="7"/>
      <c r="E168" s="2"/>
      <c r="F168" s="2">
        <f>SUBTOTAL(109,A_1_05_16[VALOR PARCIAL])</f>
      </c>
    </row>
  </sheetData>
  <mergeCells count="32">
    <mergeCell ref="A4:F4"/>
    <mergeCell ref="A5:F5"/>
    <mergeCell ref="A13:F13"/>
    <mergeCell ref="A14:F14"/>
    <mergeCell ref="A23:F23"/>
    <mergeCell ref="A24:F24"/>
    <mergeCell ref="A33:F33"/>
    <mergeCell ref="A34:F34"/>
    <mergeCell ref="A43:F43"/>
    <mergeCell ref="A44:F44"/>
    <mergeCell ref="A52:F52"/>
    <mergeCell ref="A53:F53"/>
    <mergeCell ref="A62:F62"/>
    <mergeCell ref="A63:F63"/>
    <mergeCell ref="A72:F72"/>
    <mergeCell ref="A73:F73"/>
    <mergeCell ref="A84:F84"/>
    <mergeCell ref="A85:F85"/>
    <mergeCell ref="A96:F96"/>
    <mergeCell ref="A97:F97"/>
    <mergeCell ref="A107:F107"/>
    <mergeCell ref="A108:F108"/>
    <mergeCell ref="A118:F118"/>
    <mergeCell ref="A119:F119"/>
    <mergeCell ref="A129:F129"/>
    <mergeCell ref="A130:F130"/>
    <mergeCell ref="A139:F139"/>
    <mergeCell ref="A140:F140"/>
    <mergeCell ref="A149:F149"/>
    <mergeCell ref="A150:F150"/>
    <mergeCell ref="A160:F160"/>
    <mergeCell ref="A161:F161"/>
  </mergeCells>
  <pageMargins left="0.7" right="0.7" top="0.75" bottom="0.75" header="0.3" footer="0.3"/>
  <pageSetup orientation="portrait" horizontalDpi="4294967295" verticalDpi="4294967295" scale="100" fitToWidth="1" fitToHeight="1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4641</v>
      </c>
    </row>
    <row r="2" spans="1:1" x14ac:dyDescent="0.25">
      <c r="A2" s="4" t="s">
        <v>4642</v>
      </c>
    </row>
    <row r="4" ht="30" customHeight="1" spans="1:6" x14ac:dyDescent="0.25">
      <c r="A4" s="5" t="s">
        <v>4643</v>
      </c>
      <c r="B4" s="5"/>
      <c r="C4" s="5"/>
      <c r="D4" s="5"/>
      <c r="E4" s="5"/>
      <c r="F4" s="5"/>
    </row>
    <row r="5" ht="42" customHeight="1" spans="1:6" x14ac:dyDescent="0.25">
      <c r="A5" s="6" t="s">
        <v>4644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4645</v>
      </c>
      <c r="C7" t="s">
        <v>63</v>
      </c>
      <c r="D7" s="7">
        <v>1</v>
      </c>
      <c r="E7" s="2">
        <v>104211</v>
      </c>
      <c r="F7" s="2">
        <v>104211</v>
      </c>
    </row>
    <row r="8" spans="1:6" x14ac:dyDescent="0.25">
      <c r="A8" t="s">
        <v>4062</v>
      </c>
      <c r="B8" t="s">
        <v>4375</v>
      </c>
      <c r="C8" t="s">
        <v>63</v>
      </c>
      <c r="D8" s="7">
        <v>0</v>
      </c>
      <c r="E8" s="2">
        <v>7657</v>
      </c>
      <c r="F8" s="2">
        <v>30.63</v>
      </c>
    </row>
    <row r="9" spans="1:6" x14ac:dyDescent="0.25">
      <c r="A9" t="s">
        <v>4062</v>
      </c>
      <c r="B9" t="s">
        <v>4376</v>
      </c>
      <c r="C9" t="s">
        <v>4377</v>
      </c>
      <c r="D9" s="7">
        <v>0</v>
      </c>
      <c r="E9" s="2">
        <v>72237.67</v>
      </c>
      <c r="F9" s="2">
        <v>288.95</v>
      </c>
    </row>
    <row r="10" spans="1:6" x14ac:dyDescent="0.25">
      <c r="A10" t="s">
        <v>4049</v>
      </c>
      <c r="B10" t="s">
        <v>4050</v>
      </c>
      <c r="C10" t="s">
        <v>4051</v>
      </c>
      <c r="D10" s="7">
        <v>1.4</v>
      </c>
      <c r="E10" s="2">
        <v>9037.33</v>
      </c>
      <c r="F10" s="2">
        <v>12652.26</v>
      </c>
    </row>
    <row r="11" spans="1:6" x14ac:dyDescent="0.25">
      <c r="A11" t="s">
        <v>4049</v>
      </c>
      <c r="B11" t="s">
        <v>4242</v>
      </c>
      <c r="C11" t="s">
        <v>4051</v>
      </c>
      <c r="D11" s="7">
        <v>0.7</v>
      </c>
      <c r="E11" s="2">
        <v>17069.53</v>
      </c>
      <c r="F11" s="2">
        <v>11948.67</v>
      </c>
    </row>
    <row r="12" spans="1:6" x14ac:dyDescent="0.25">
      <c r="A12" t="s">
        <v>4052</v>
      </c>
      <c r="B12" t="s">
        <v>4053</v>
      </c>
      <c r="C12" t="s">
        <v>4054</v>
      </c>
      <c r="D12" s="7">
        <v>4</v>
      </c>
      <c r="E12" s="2">
        <v>24600.93</v>
      </c>
      <c r="F12" s="2">
        <v>984.04</v>
      </c>
    </row>
    <row r="13" spans="1:6" x14ac:dyDescent="0.25">
      <c r="A13" t="s">
        <v>4055</v>
      </c>
      <c r="D13" s="7"/>
      <c r="E13" s="2"/>
      <c r="F13" s="2">
        <f>SUBTOTAL(109,A_1_06_01[VALOR PARCIAL])</f>
      </c>
    </row>
    <row r="15" ht="30" customHeight="1" spans="1:6" x14ac:dyDescent="0.25">
      <c r="A15" s="5" t="s">
        <v>4646</v>
      </c>
      <c r="B15" s="5"/>
      <c r="C15" s="5"/>
      <c r="D15" s="5"/>
      <c r="E15" s="5"/>
      <c r="F15" s="5"/>
    </row>
    <row r="16" ht="42" customHeight="1" spans="1:6" x14ac:dyDescent="0.25">
      <c r="A16" s="6" t="s">
        <v>4647</v>
      </c>
      <c r="B16" s="6"/>
      <c r="C16" s="6"/>
      <c r="D16" s="6"/>
      <c r="E16" s="6"/>
      <c r="F16" s="6"/>
    </row>
    <row r="17" spans="1:6" x14ac:dyDescent="0.25">
      <c r="A17" t="s">
        <v>4044</v>
      </c>
      <c r="B17" t="s">
        <v>4045</v>
      </c>
      <c r="C17" t="s">
        <v>5</v>
      </c>
      <c r="D17" t="s">
        <v>4046</v>
      </c>
      <c r="E17" t="s">
        <v>4047</v>
      </c>
      <c r="F17" t="s">
        <v>4048</v>
      </c>
    </row>
    <row r="18" spans="1:6" x14ac:dyDescent="0.25">
      <c r="A18" t="s">
        <v>4062</v>
      </c>
      <c r="B18" t="s">
        <v>4375</v>
      </c>
      <c r="C18" t="s">
        <v>63</v>
      </c>
      <c r="D18" s="7">
        <v>0</v>
      </c>
      <c r="E18" s="2">
        <v>7657</v>
      </c>
      <c r="F18" s="2">
        <v>30.63</v>
      </c>
    </row>
    <row r="19" spans="1:6" x14ac:dyDescent="0.25">
      <c r="A19" t="s">
        <v>4062</v>
      </c>
      <c r="B19" t="s">
        <v>4648</v>
      </c>
      <c r="C19" t="s">
        <v>63</v>
      </c>
      <c r="D19" s="7">
        <v>1.03</v>
      </c>
      <c r="E19" s="2">
        <v>18544</v>
      </c>
      <c r="F19" s="2">
        <v>19100.32</v>
      </c>
    </row>
    <row r="20" spans="1:6" x14ac:dyDescent="0.25">
      <c r="A20" t="s">
        <v>4062</v>
      </c>
      <c r="B20" t="s">
        <v>4376</v>
      </c>
      <c r="C20" t="s">
        <v>4377</v>
      </c>
      <c r="D20" s="7">
        <v>0</v>
      </c>
      <c r="E20" s="2">
        <v>72237.67</v>
      </c>
      <c r="F20" s="2">
        <v>288.95</v>
      </c>
    </row>
    <row r="21" spans="1:6" x14ac:dyDescent="0.25">
      <c r="A21" t="s">
        <v>4049</v>
      </c>
      <c r="B21" t="s">
        <v>4050</v>
      </c>
      <c r="C21" t="s">
        <v>4051</v>
      </c>
      <c r="D21" s="7">
        <v>1.2</v>
      </c>
      <c r="E21" s="2">
        <v>9037.33</v>
      </c>
      <c r="F21" s="2">
        <v>10844.8</v>
      </c>
    </row>
    <row r="22" spans="1:6" x14ac:dyDescent="0.25">
      <c r="A22" t="s">
        <v>4049</v>
      </c>
      <c r="B22" t="s">
        <v>4242</v>
      </c>
      <c r="C22" t="s">
        <v>4051</v>
      </c>
      <c r="D22" s="7">
        <v>0.6</v>
      </c>
      <c r="E22" s="2">
        <v>17069.53</v>
      </c>
      <c r="F22" s="2">
        <v>10241.72</v>
      </c>
    </row>
    <row r="23" spans="1:6" x14ac:dyDescent="0.25">
      <c r="A23" t="s">
        <v>4052</v>
      </c>
      <c r="B23" t="s">
        <v>4053</v>
      </c>
      <c r="C23" t="s">
        <v>4054</v>
      </c>
      <c r="D23" s="7">
        <v>4</v>
      </c>
      <c r="E23" s="2">
        <v>21086.52</v>
      </c>
      <c r="F23" s="2">
        <v>843.46</v>
      </c>
    </row>
    <row r="24" spans="1:6" x14ac:dyDescent="0.25">
      <c r="A24" t="s">
        <v>4055</v>
      </c>
      <c r="D24" s="7"/>
      <c r="E24" s="2"/>
      <c r="F24" s="2">
        <f>SUBTOTAL(109,A_1_06_02[VALOR PARCIAL])</f>
      </c>
    </row>
    <row r="26" ht="30" customHeight="1" spans="1:6" x14ac:dyDescent="0.25">
      <c r="A26" s="5" t="s">
        <v>4649</v>
      </c>
      <c r="B26" s="5"/>
      <c r="C26" s="5"/>
      <c r="D26" s="5"/>
      <c r="E26" s="5"/>
      <c r="F26" s="5"/>
    </row>
    <row r="27" ht="42" customHeight="1" spans="1:6" x14ac:dyDescent="0.25">
      <c r="A27" s="6" t="s">
        <v>4650</v>
      </c>
      <c r="B27" s="6"/>
      <c r="C27" s="6"/>
      <c r="D27" s="6"/>
      <c r="E27" s="6"/>
      <c r="F27" s="6"/>
    </row>
    <row r="28" spans="1:6" x14ac:dyDescent="0.25">
      <c r="A28" t="s">
        <v>4044</v>
      </c>
      <c r="B28" t="s">
        <v>4045</v>
      </c>
      <c r="C28" t="s">
        <v>5</v>
      </c>
      <c r="D28" t="s">
        <v>4046</v>
      </c>
      <c r="E28" t="s">
        <v>4047</v>
      </c>
      <c r="F28" t="s">
        <v>4048</v>
      </c>
    </row>
    <row r="29" spans="1:6" x14ac:dyDescent="0.25">
      <c r="A29" t="s">
        <v>4062</v>
      </c>
      <c r="B29" t="s">
        <v>4651</v>
      </c>
      <c r="C29" t="s">
        <v>63</v>
      </c>
      <c r="D29" s="7">
        <v>0.34</v>
      </c>
      <c r="E29" s="2">
        <v>5074</v>
      </c>
      <c r="F29" s="2">
        <v>1725.16</v>
      </c>
    </row>
    <row r="30" spans="1:6" x14ac:dyDescent="0.25">
      <c r="A30" t="s">
        <v>4062</v>
      </c>
      <c r="B30" t="s">
        <v>4652</v>
      </c>
      <c r="C30" t="s">
        <v>42</v>
      </c>
      <c r="D30" s="7">
        <v>1.05</v>
      </c>
      <c r="E30" s="2">
        <v>30496</v>
      </c>
      <c r="F30" s="2">
        <v>32020.8</v>
      </c>
    </row>
    <row r="31" spans="1:6" x14ac:dyDescent="0.25">
      <c r="A31" t="s">
        <v>4062</v>
      </c>
      <c r="B31" t="s">
        <v>4653</v>
      </c>
      <c r="C31" t="s">
        <v>63</v>
      </c>
      <c r="D31" s="7">
        <v>0.06</v>
      </c>
      <c r="E31" s="2">
        <v>4702.4</v>
      </c>
      <c r="F31" s="2">
        <v>282.14</v>
      </c>
    </row>
    <row r="32" spans="1:6" x14ac:dyDescent="0.25">
      <c r="A32" t="s">
        <v>4062</v>
      </c>
      <c r="B32" t="s">
        <v>4654</v>
      </c>
      <c r="C32" t="s">
        <v>63</v>
      </c>
      <c r="D32" s="7">
        <v>2.74</v>
      </c>
      <c r="E32" s="2">
        <v>2400</v>
      </c>
      <c r="F32" s="2">
        <v>6576</v>
      </c>
    </row>
    <row r="33" spans="1:6" x14ac:dyDescent="0.25">
      <c r="A33" t="s">
        <v>4049</v>
      </c>
      <c r="B33" t="s">
        <v>4241</v>
      </c>
      <c r="C33" t="s">
        <v>4051</v>
      </c>
      <c r="D33" s="7">
        <v>0.9</v>
      </c>
      <c r="E33" s="2">
        <v>9941.22</v>
      </c>
      <c r="F33" s="2">
        <v>8907.33</v>
      </c>
    </row>
    <row r="34" spans="1:6" x14ac:dyDescent="0.25">
      <c r="A34" t="s">
        <v>4049</v>
      </c>
      <c r="B34" t="s">
        <v>4242</v>
      </c>
      <c r="C34" t="s">
        <v>4051</v>
      </c>
      <c r="D34" s="7">
        <v>0.89</v>
      </c>
      <c r="E34" s="2">
        <v>17069.53</v>
      </c>
      <c r="F34" s="2">
        <v>15191.88</v>
      </c>
    </row>
    <row r="35" spans="1:6" x14ac:dyDescent="0.25">
      <c r="A35" t="s">
        <v>4052</v>
      </c>
      <c r="B35" t="s">
        <v>4053</v>
      </c>
      <c r="C35" t="s">
        <v>4054</v>
      </c>
      <c r="D35" s="7">
        <v>2</v>
      </c>
      <c r="E35" s="2">
        <v>24099.21</v>
      </c>
      <c r="F35" s="2">
        <v>481.98</v>
      </c>
    </row>
    <row r="36" spans="1:6" x14ac:dyDescent="0.25">
      <c r="A36" t="s">
        <v>4055</v>
      </c>
      <c r="D36" s="7"/>
      <c r="E36" s="2"/>
      <c r="F36" s="2">
        <f>SUBTOTAL(109,A_1_06_03[VALOR PARCIAL])</f>
      </c>
    </row>
    <row r="38" ht="30" customHeight="1" spans="1:6" x14ac:dyDescent="0.25">
      <c r="A38" s="5" t="s">
        <v>4655</v>
      </c>
      <c r="B38" s="5"/>
      <c r="C38" s="5"/>
      <c r="D38" s="5"/>
      <c r="E38" s="5"/>
      <c r="F38" s="5"/>
    </row>
    <row r="39" ht="42" customHeight="1" spans="1:6" x14ac:dyDescent="0.25">
      <c r="A39" s="6" t="s">
        <v>4656</v>
      </c>
      <c r="B39" s="6"/>
      <c r="C39" s="6"/>
      <c r="D39" s="6"/>
      <c r="E39" s="6"/>
      <c r="F39" s="6"/>
    </row>
    <row r="40" spans="1:6" x14ac:dyDescent="0.25">
      <c r="A40" t="s">
        <v>4044</v>
      </c>
      <c r="B40" t="s">
        <v>4045</v>
      </c>
      <c r="C40" t="s">
        <v>5</v>
      </c>
      <c r="D40" t="s">
        <v>4046</v>
      </c>
      <c r="E40" t="s">
        <v>4047</v>
      </c>
      <c r="F40" t="s">
        <v>4048</v>
      </c>
    </row>
    <row r="41" spans="1:6" x14ac:dyDescent="0.25">
      <c r="A41" t="s">
        <v>4062</v>
      </c>
      <c r="B41" t="s">
        <v>4657</v>
      </c>
      <c r="C41" t="s">
        <v>42</v>
      </c>
      <c r="D41" s="7">
        <v>1.05</v>
      </c>
      <c r="E41" s="2">
        <v>16641</v>
      </c>
      <c r="F41" s="2">
        <v>17473.05</v>
      </c>
    </row>
    <row r="42" spans="1:6" x14ac:dyDescent="0.25">
      <c r="A42" t="s">
        <v>4062</v>
      </c>
      <c r="B42" t="s">
        <v>4658</v>
      </c>
      <c r="C42" t="s">
        <v>63</v>
      </c>
      <c r="D42" s="7">
        <v>0.06</v>
      </c>
      <c r="E42" s="2">
        <v>13724.66</v>
      </c>
      <c r="F42" s="2">
        <v>823.48</v>
      </c>
    </row>
    <row r="43" spans="1:6" x14ac:dyDescent="0.25">
      <c r="A43" t="s">
        <v>4062</v>
      </c>
      <c r="B43" t="s">
        <v>4659</v>
      </c>
      <c r="C43" t="s">
        <v>4377</v>
      </c>
      <c r="D43" s="7">
        <v>0.03</v>
      </c>
      <c r="E43" s="2">
        <v>31500</v>
      </c>
      <c r="F43" s="2">
        <v>945</v>
      </c>
    </row>
    <row r="44" spans="1:6" x14ac:dyDescent="0.25">
      <c r="A44" t="s">
        <v>4062</v>
      </c>
      <c r="B44" t="s">
        <v>4376</v>
      </c>
      <c r="C44" t="s">
        <v>4377</v>
      </c>
      <c r="D44" s="7">
        <v>0.03</v>
      </c>
      <c r="E44" s="2">
        <v>72237.67</v>
      </c>
      <c r="F44" s="2">
        <v>2167.13</v>
      </c>
    </row>
    <row r="45" spans="1:6" x14ac:dyDescent="0.25">
      <c r="A45" t="s">
        <v>4049</v>
      </c>
      <c r="B45" t="s">
        <v>4241</v>
      </c>
      <c r="C45" t="s">
        <v>4051</v>
      </c>
      <c r="D45" s="7">
        <v>0.7</v>
      </c>
      <c r="E45" s="2">
        <v>9941.22</v>
      </c>
      <c r="F45" s="2">
        <v>6958.85</v>
      </c>
    </row>
    <row r="46" spans="1:6" x14ac:dyDescent="0.25">
      <c r="A46" t="s">
        <v>4049</v>
      </c>
      <c r="B46" t="s">
        <v>4242</v>
      </c>
      <c r="C46" t="s">
        <v>4051</v>
      </c>
      <c r="D46" s="7">
        <v>0.7</v>
      </c>
      <c r="E46" s="2">
        <v>17069.53</v>
      </c>
      <c r="F46" s="2">
        <v>11948.67</v>
      </c>
    </row>
    <row r="47" spans="1:6" x14ac:dyDescent="0.25">
      <c r="A47" t="s">
        <v>4052</v>
      </c>
      <c r="B47" t="s">
        <v>4053</v>
      </c>
      <c r="C47" t="s">
        <v>4054</v>
      </c>
      <c r="D47" s="7">
        <v>2</v>
      </c>
      <c r="E47" s="2">
        <v>18907.52</v>
      </c>
      <c r="F47" s="2">
        <v>378.15</v>
      </c>
    </row>
    <row r="48" spans="1:6" x14ac:dyDescent="0.25">
      <c r="A48" t="s">
        <v>4055</v>
      </c>
      <c r="D48" s="7"/>
      <c r="E48" s="2"/>
      <c r="F48" s="2">
        <f>SUBTOTAL(109,A_1_06_04[VALOR PARCIAL])</f>
      </c>
    </row>
    <row r="50" ht="30" customHeight="1" spans="1:6" x14ac:dyDescent="0.25">
      <c r="A50" s="5" t="s">
        <v>4660</v>
      </c>
      <c r="B50" s="5"/>
      <c r="C50" s="5"/>
      <c r="D50" s="5"/>
      <c r="E50" s="5"/>
      <c r="F50" s="5"/>
    </row>
    <row r="51" ht="42" customHeight="1" spans="1:6" x14ac:dyDescent="0.25">
      <c r="A51" s="6" t="s">
        <v>4661</v>
      </c>
      <c r="B51" s="6"/>
      <c r="C51" s="6"/>
      <c r="D51" s="6"/>
      <c r="E51" s="6"/>
      <c r="F51" s="6"/>
    </row>
    <row r="52" spans="1:6" x14ac:dyDescent="0.25">
      <c r="A52" t="s">
        <v>4044</v>
      </c>
      <c r="B52" t="s">
        <v>4045</v>
      </c>
      <c r="C52" t="s">
        <v>5</v>
      </c>
      <c r="D52" t="s">
        <v>4046</v>
      </c>
      <c r="E52" t="s">
        <v>4047</v>
      </c>
      <c r="F52" t="s">
        <v>4048</v>
      </c>
    </row>
    <row r="53" spans="1:6" x14ac:dyDescent="0.25">
      <c r="A53" t="s">
        <v>4062</v>
      </c>
      <c r="B53" t="s">
        <v>4662</v>
      </c>
      <c r="C53" t="s">
        <v>42</v>
      </c>
      <c r="D53" s="7">
        <v>1.05</v>
      </c>
      <c r="E53" s="2">
        <v>16664</v>
      </c>
      <c r="F53" s="2">
        <v>17497.2</v>
      </c>
    </row>
    <row r="54" spans="1:6" x14ac:dyDescent="0.25">
      <c r="A54" t="s">
        <v>4062</v>
      </c>
      <c r="B54" t="s">
        <v>4663</v>
      </c>
      <c r="C54" t="s">
        <v>63</v>
      </c>
      <c r="D54" s="7">
        <v>0.06</v>
      </c>
      <c r="E54" s="2">
        <v>5259</v>
      </c>
      <c r="F54" s="2">
        <v>315.54</v>
      </c>
    </row>
    <row r="55" spans="1:6" x14ac:dyDescent="0.25">
      <c r="A55" t="s">
        <v>4062</v>
      </c>
      <c r="B55" t="s">
        <v>4659</v>
      </c>
      <c r="C55" t="s">
        <v>4377</v>
      </c>
      <c r="D55" s="7">
        <v>0.01</v>
      </c>
      <c r="E55" s="2">
        <v>31500</v>
      </c>
      <c r="F55" s="2">
        <v>315</v>
      </c>
    </row>
    <row r="56" spans="1:6" x14ac:dyDescent="0.25">
      <c r="A56" t="s">
        <v>4062</v>
      </c>
      <c r="B56" t="s">
        <v>4376</v>
      </c>
      <c r="C56" t="s">
        <v>4377</v>
      </c>
      <c r="D56" s="7">
        <v>0.01</v>
      </c>
      <c r="E56" s="2">
        <v>72237.67</v>
      </c>
      <c r="F56" s="2">
        <v>722.38</v>
      </c>
    </row>
    <row r="57" spans="1:6" x14ac:dyDescent="0.25">
      <c r="A57" t="s">
        <v>4049</v>
      </c>
      <c r="B57" t="s">
        <v>4241</v>
      </c>
      <c r="C57" t="s">
        <v>4051</v>
      </c>
      <c r="D57" s="7">
        <v>0.6</v>
      </c>
      <c r="E57" s="2">
        <v>9941.22</v>
      </c>
      <c r="F57" s="2">
        <v>5916.02</v>
      </c>
    </row>
    <row r="58" spans="1:6" x14ac:dyDescent="0.25">
      <c r="A58" t="s">
        <v>4049</v>
      </c>
      <c r="B58" t="s">
        <v>4242</v>
      </c>
      <c r="C58" t="s">
        <v>4051</v>
      </c>
      <c r="D58" s="7">
        <v>0.6</v>
      </c>
      <c r="E58" s="2">
        <v>17069.53</v>
      </c>
      <c r="F58" s="2">
        <v>10158.08</v>
      </c>
    </row>
    <row r="59" spans="1:6" x14ac:dyDescent="0.25">
      <c r="A59" t="s">
        <v>4052</v>
      </c>
      <c r="B59" t="s">
        <v>4053</v>
      </c>
      <c r="C59" t="s">
        <v>4054</v>
      </c>
      <c r="D59" s="7">
        <v>2</v>
      </c>
      <c r="E59" s="2">
        <v>16074.1</v>
      </c>
      <c r="F59" s="2">
        <v>321.48</v>
      </c>
    </row>
    <row r="60" spans="1:6" x14ac:dyDescent="0.25">
      <c r="A60" t="s">
        <v>4055</v>
      </c>
      <c r="D60" s="7"/>
      <c r="E60" s="2"/>
      <c r="F60" s="2">
        <f>SUBTOTAL(109,A_1_06_05[VALOR PARCIAL])</f>
      </c>
    </row>
    <row r="62" ht="30" customHeight="1" spans="1:6" x14ac:dyDescent="0.25">
      <c r="A62" s="5" t="s">
        <v>4664</v>
      </c>
      <c r="B62" s="5"/>
      <c r="C62" s="5"/>
      <c r="D62" s="5"/>
      <c r="E62" s="5"/>
      <c r="F62" s="5"/>
    </row>
    <row r="63" ht="42" customHeight="1" spans="1:6" x14ac:dyDescent="0.25">
      <c r="A63" s="6" t="s">
        <v>4665</v>
      </c>
      <c r="B63" s="6"/>
      <c r="C63" s="6"/>
      <c r="D63" s="6"/>
      <c r="E63" s="6"/>
      <c r="F63" s="6"/>
    </row>
    <row r="64" spans="1:6" x14ac:dyDescent="0.25">
      <c r="A64" t="s">
        <v>4044</v>
      </c>
      <c r="B64" t="s">
        <v>4045</v>
      </c>
      <c r="C64" t="s">
        <v>5</v>
      </c>
      <c r="D64" t="s">
        <v>4046</v>
      </c>
      <c r="E64" t="s">
        <v>4047</v>
      </c>
      <c r="F64" t="s">
        <v>4048</v>
      </c>
    </row>
    <row r="65" spans="1:6" x14ac:dyDescent="0.25">
      <c r="A65" t="s">
        <v>4062</v>
      </c>
      <c r="B65" t="s">
        <v>4380</v>
      </c>
      <c r="C65" t="s">
        <v>42</v>
      </c>
      <c r="D65" s="7">
        <v>1.05</v>
      </c>
      <c r="E65" s="2">
        <v>16665</v>
      </c>
      <c r="F65" s="2">
        <v>17498.25</v>
      </c>
    </row>
    <row r="66" spans="1:6" x14ac:dyDescent="0.25">
      <c r="A66" t="s">
        <v>4062</v>
      </c>
      <c r="B66" t="s">
        <v>4663</v>
      </c>
      <c r="C66" t="s">
        <v>63</v>
      </c>
      <c r="D66" s="7">
        <v>0.06</v>
      </c>
      <c r="E66" s="2">
        <v>5259</v>
      </c>
      <c r="F66" s="2">
        <v>315.54</v>
      </c>
    </row>
    <row r="67" spans="1:6" x14ac:dyDescent="0.25">
      <c r="A67" t="s">
        <v>4062</v>
      </c>
      <c r="B67" t="s">
        <v>4659</v>
      </c>
      <c r="C67" t="s">
        <v>4377</v>
      </c>
      <c r="D67" s="7">
        <v>0.01</v>
      </c>
      <c r="E67" s="2">
        <v>31500</v>
      </c>
      <c r="F67" s="2">
        <v>315</v>
      </c>
    </row>
    <row r="68" spans="1:6" x14ac:dyDescent="0.25">
      <c r="A68" t="s">
        <v>4062</v>
      </c>
      <c r="B68" t="s">
        <v>4376</v>
      </c>
      <c r="C68" t="s">
        <v>4377</v>
      </c>
      <c r="D68" s="7">
        <v>0.01</v>
      </c>
      <c r="E68" s="2">
        <v>72237.67</v>
      </c>
      <c r="F68" s="2">
        <v>722.38</v>
      </c>
    </row>
    <row r="69" spans="1:6" x14ac:dyDescent="0.25">
      <c r="A69" t="s">
        <v>4049</v>
      </c>
      <c r="B69" t="s">
        <v>4241</v>
      </c>
      <c r="C69" t="s">
        <v>4051</v>
      </c>
      <c r="D69" s="7">
        <v>0.5</v>
      </c>
      <c r="E69" s="2">
        <v>9941.22</v>
      </c>
      <c r="F69" s="2">
        <v>4970.61</v>
      </c>
    </row>
    <row r="70" spans="1:6" x14ac:dyDescent="0.25">
      <c r="A70" t="s">
        <v>4049</v>
      </c>
      <c r="B70" t="s">
        <v>4242</v>
      </c>
      <c r="C70" t="s">
        <v>4051</v>
      </c>
      <c r="D70" s="7">
        <v>0.5</v>
      </c>
      <c r="E70" s="2">
        <v>17069.53</v>
      </c>
      <c r="F70" s="2">
        <v>8534.76</v>
      </c>
    </row>
    <row r="71" spans="1:6" x14ac:dyDescent="0.25">
      <c r="A71" t="s">
        <v>4052</v>
      </c>
      <c r="B71" t="s">
        <v>4053</v>
      </c>
      <c r="C71" t="s">
        <v>4054</v>
      </c>
      <c r="D71" s="7">
        <v>2</v>
      </c>
      <c r="E71" s="2">
        <v>13505.37</v>
      </c>
      <c r="F71" s="2">
        <v>270.11</v>
      </c>
    </row>
    <row r="72" spans="1:6" x14ac:dyDescent="0.25">
      <c r="A72" t="s">
        <v>4055</v>
      </c>
      <c r="D72" s="7"/>
      <c r="E72" s="2"/>
      <c r="F72" s="2">
        <f>SUBTOTAL(109,A_1_06_06[VALOR PARCIAL])</f>
      </c>
    </row>
    <row r="74" ht="30" customHeight="1" spans="1:6" x14ac:dyDescent="0.25">
      <c r="A74" s="5" t="s">
        <v>4666</v>
      </c>
      <c r="B74" s="5"/>
      <c r="C74" s="5"/>
      <c r="D74" s="5"/>
      <c r="E74" s="5"/>
      <c r="F74" s="5"/>
    </row>
    <row r="75" ht="42" customHeight="1" spans="1:6" x14ac:dyDescent="0.25">
      <c r="A75" s="6" t="s">
        <v>4667</v>
      </c>
      <c r="B75" s="6"/>
      <c r="C75" s="6"/>
      <c r="D75" s="6"/>
      <c r="E75" s="6"/>
      <c r="F75" s="6"/>
    </row>
    <row r="76" spans="1:6" x14ac:dyDescent="0.25">
      <c r="A76" t="s">
        <v>4044</v>
      </c>
      <c r="B76" t="s">
        <v>4045</v>
      </c>
      <c r="C76" t="s">
        <v>5</v>
      </c>
      <c r="D76" t="s">
        <v>4046</v>
      </c>
      <c r="E76" t="s">
        <v>4047</v>
      </c>
      <c r="F76" t="s">
        <v>4048</v>
      </c>
    </row>
    <row r="77" spans="1:6" x14ac:dyDescent="0.25">
      <c r="A77" t="s">
        <v>4062</v>
      </c>
      <c r="B77" t="s">
        <v>4386</v>
      </c>
      <c r="C77" t="s">
        <v>42</v>
      </c>
      <c r="D77" s="7">
        <v>1.05</v>
      </c>
      <c r="E77" s="2">
        <v>23228</v>
      </c>
      <c r="F77" s="2">
        <v>24389.4</v>
      </c>
    </row>
    <row r="78" spans="1:6" x14ac:dyDescent="0.25">
      <c r="A78" t="s">
        <v>4062</v>
      </c>
      <c r="B78" t="s">
        <v>4658</v>
      </c>
      <c r="C78" t="s">
        <v>63</v>
      </c>
      <c r="D78" s="7">
        <v>0.06</v>
      </c>
      <c r="E78" s="2">
        <v>13724.66</v>
      </c>
      <c r="F78" s="2">
        <v>823.48</v>
      </c>
    </row>
    <row r="79" spans="1:6" x14ac:dyDescent="0.25">
      <c r="A79" t="s">
        <v>4062</v>
      </c>
      <c r="B79" t="s">
        <v>4659</v>
      </c>
      <c r="C79" t="s">
        <v>4377</v>
      </c>
      <c r="D79" s="7">
        <v>0.01</v>
      </c>
      <c r="E79" s="2">
        <v>31500</v>
      </c>
      <c r="F79" s="2">
        <v>315</v>
      </c>
    </row>
    <row r="80" spans="1:6" x14ac:dyDescent="0.25">
      <c r="A80" t="s">
        <v>4062</v>
      </c>
      <c r="B80" t="s">
        <v>4376</v>
      </c>
      <c r="C80" t="s">
        <v>4377</v>
      </c>
      <c r="D80" s="7">
        <v>0.01</v>
      </c>
      <c r="E80" s="2">
        <v>72237.67</v>
      </c>
      <c r="F80" s="2">
        <v>722.38</v>
      </c>
    </row>
    <row r="81" spans="1:6" x14ac:dyDescent="0.25">
      <c r="A81" t="s">
        <v>4049</v>
      </c>
      <c r="B81" t="s">
        <v>4241</v>
      </c>
      <c r="C81" t="s">
        <v>4051</v>
      </c>
      <c r="D81" s="7">
        <v>0.73</v>
      </c>
      <c r="E81" s="2">
        <v>9941.22</v>
      </c>
      <c r="F81" s="2">
        <v>7231.24</v>
      </c>
    </row>
    <row r="82" spans="1:6" x14ac:dyDescent="0.25">
      <c r="A82" t="s">
        <v>4049</v>
      </c>
      <c r="B82" t="s">
        <v>4242</v>
      </c>
      <c r="C82" t="s">
        <v>4051</v>
      </c>
      <c r="D82" s="7">
        <v>0.73</v>
      </c>
      <c r="E82" s="2">
        <v>17069.53</v>
      </c>
      <c r="F82" s="2">
        <v>12416.38</v>
      </c>
    </row>
    <row r="83" spans="1:6" x14ac:dyDescent="0.25">
      <c r="A83" t="s">
        <v>4052</v>
      </c>
      <c r="B83" t="s">
        <v>4053</v>
      </c>
      <c r="C83" t="s">
        <v>4054</v>
      </c>
      <c r="D83" s="7">
        <v>2</v>
      </c>
      <c r="E83" s="2">
        <v>19647.62</v>
      </c>
      <c r="F83" s="2">
        <v>392.95</v>
      </c>
    </row>
    <row r="84" spans="1:6" x14ac:dyDescent="0.25">
      <c r="A84" t="s">
        <v>4055</v>
      </c>
      <c r="D84" s="7"/>
      <c r="E84" s="2"/>
      <c r="F84" s="2">
        <f>SUBTOTAL(109,A_1_06_07[VALOR PARCIAL])</f>
      </c>
    </row>
    <row r="86" ht="30" customHeight="1" spans="1:6" x14ac:dyDescent="0.25">
      <c r="A86" s="5" t="s">
        <v>4668</v>
      </c>
      <c r="B86" s="5"/>
      <c r="C86" s="5"/>
      <c r="D86" s="5"/>
      <c r="E86" s="5"/>
      <c r="F86" s="5"/>
    </row>
    <row r="87" ht="42" customHeight="1" spans="1:6" x14ac:dyDescent="0.25">
      <c r="A87" s="6" t="s">
        <v>4669</v>
      </c>
      <c r="B87" s="6"/>
      <c r="C87" s="6"/>
      <c r="D87" s="6"/>
      <c r="E87" s="6"/>
      <c r="F87" s="6"/>
    </row>
    <row r="88" spans="1:6" x14ac:dyDescent="0.25">
      <c r="A88" t="s">
        <v>4044</v>
      </c>
      <c r="B88" t="s">
        <v>4045</v>
      </c>
      <c r="C88" t="s">
        <v>5</v>
      </c>
      <c r="D88" t="s">
        <v>4046</v>
      </c>
      <c r="E88" t="s">
        <v>4047</v>
      </c>
      <c r="F88" t="s">
        <v>4048</v>
      </c>
    </row>
    <row r="89" spans="1:6" x14ac:dyDescent="0.25">
      <c r="A89" t="s">
        <v>4062</v>
      </c>
      <c r="B89" t="s">
        <v>4670</v>
      </c>
      <c r="C89" t="s">
        <v>42</v>
      </c>
      <c r="D89" s="7">
        <v>1.05</v>
      </c>
      <c r="E89" s="2">
        <v>49179</v>
      </c>
      <c r="F89" s="2">
        <v>51637.95</v>
      </c>
    </row>
    <row r="90" spans="1:6" x14ac:dyDescent="0.25">
      <c r="A90" t="s">
        <v>4062</v>
      </c>
      <c r="B90" t="s">
        <v>4671</v>
      </c>
      <c r="C90" t="s">
        <v>63</v>
      </c>
      <c r="D90" s="7">
        <v>0.06</v>
      </c>
      <c r="E90" s="2">
        <v>53525</v>
      </c>
      <c r="F90" s="2">
        <v>3211.5</v>
      </c>
    </row>
    <row r="91" spans="1:6" x14ac:dyDescent="0.25">
      <c r="A91" t="s">
        <v>4062</v>
      </c>
      <c r="B91" t="s">
        <v>4659</v>
      </c>
      <c r="C91" t="s">
        <v>4377</v>
      </c>
      <c r="D91" s="7">
        <v>0.01</v>
      </c>
      <c r="E91" s="2">
        <v>31500</v>
      </c>
      <c r="F91" s="2">
        <v>315</v>
      </c>
    </row>
    <row r="92" spans="1:6" x14ac:dyDescent="0.25">
      <c r="A92" t="s">
        <v>4062</v>
      </c>
      <c r="B92" t="s">
        <v>4376</v>
      </c>
      <c r="C92" t="s">
        <v>4377</v>
      </c>
      <c r="D92" s="7">
        <v>0.02</v>
      </c>
      <c r="E92" s="2">
        <v>72237.67</v>
      </c>
      <c r="F92" s="2">
        <v>1444.75</v>
      </c>
    </row>
    <row r="93" spans="1:6" x14ac:dyDescent="0.25">
      <c r="A93" t="s">
        <v>4049</v>
      </c>
      <c r="B93" t="s">
        <v>4241</v>
      </c>
      <c r="C93" t="s">
        <v>4051</v>
      </c>
      <c r="D93" s="7">
        <v>0.7</v>
      </c>
      <c r="E93" s="2">
        <v>9941.22</v>
      </c>
      <c r="F93" s="2">
        <v>6958.85</v>
      </c>
    </row>
    <row r="94" spans="1:6" x14ac:dyDescent="0.25">
      <c r="A94" t="s">
        <v>4049</v>
      </c>
      <c r="B94" t="s">
        <v>4242</v>
      </c>
      <c r="C94" t="s">
        <v>4051</v>
      </c>
      <c r="D94" s="7">
        <v>0.7</v>
      </c>
      <c r="E94" s="2">
        <v>17069.53</v>
      </c>
      <c r="F94" s="2">
        <v>11948.67</v>
      </c>
    </row>
    <row r="95" spans="1:6" x14ac:dyDescent="0.25">
      <c r="A95" t="s">
        <v>4052</v>
      </c>
      <c r="B95" t="s">
        <v>4053</v>
      </c>
      <c r="C95" t="s">
        <v>4054</v>
      </c>
      <c r="D95" s="7">
        <v>5</v>
      </c>
      <c r="E95" s="2">
        <v>18907.52</v>
      </c>
      <c r="F95" s="2">
        <v>945.38</v>
      </c>
    </row>
    <row r="96" spans="1:6" x14ac:dyDescent="0.25">
      <c r="A96" t="s">
        <v>4055</v>
      </c>
      <c r="D96" s="7"/>
      <c r="E96" s="2"/>
      <c r="F96" s="2">
        <f>SUBTOTAL(109,A_1_06_08[VALOR PARCIAL])</f>
      </c>
    </row>
    <row r="98" ht="30" customHeight="1" spans="1:6" x14ac:dyDescent="0.25">
      <c r="A98" s="5" t="s">
        <v>4672</v>
      </c>
      <c r="B98" s="5"/>
      <c r="C98" s="5"/>
      <c r="D98" s="5"/>
      <c r="E98" s="5"/>
      <c r="F98" s="5"/>
    </row>
    <row r="99" ht="42" customHeight="1" spans="1:6" x14ac:dyDescent="0.25">
      <c r="A99" s="6" t="s">
        <v>4673</v>
      </c>
      <c r="B99" s="6"/>
      <c r="C99" s="6"/>
      <c r="D99" s="6"/>
      <c r="E99" s="6"/>
      <c r="F99" s="6"/>
    </row>
    <row r="100" spans="1:6" x14ac:dyDescent="0.25">
      <c r="A100" t="s">
        <v>4044</v>
      </c>
      <c r="B100" t="s">
        <v>4045</v>
      </c>
      <c r="C100" t="s">
        <v>5</v>
      </c>
      <c r="D100" t="s">
        <v>4046</v>
      </c>
      <c r="E100" t="s">
        <v>4047</v>
      </c>
      <c r="F100" t="s">
        <v>4048</v>
      </c>
    </row>
    <row r="101" spans="1:6" x14ac:dyDescent="0.25">
      <c r="A101" t="s">
        <v>4062</v>
      </c>
      <c r="B101" t="s">
        <v>4674</v>
      </c>
      <c r="C101" t="s">
        <v>42</v>
      </c>
      <c r="D101" s="7">
        <v>1</v>
      </c>
      <c r="E101" s="2">
        <v>36010</v>
      </c>
      <c r="F101" s="2">
        <v>36010</v>
      </c>
    </row>
    <row r="102" spans="1:6" x14ac:dyDescent="0.25">
      <c r="A102" t="s">
        <v>4062</v>
      </c>
      <c r="B102" t="s">
        <v>4675</v>
      </c>
      <c r="C102" t="s">
        <v>4171</v>
      </c>
      <c r="D102" s="7">
        <v>1.75</v>
      </c>
      <c r="E102" s="2">
        <v>1106.41</v>
      </c>
      <c r="F102" s="2">
        <v>1936.22</v>
      </c>
    </row>
    <row r="103" spans="1:6" x14ac:dyDescent="0.25">
      <c r="A103" t="s">
        <v>4062</v>
      </c>
      <c r="B103" t="s">
        <v>4676</v>
      </c>
      <c r="C103" t="s">
        <v>63</v>
      </c>
      <c r="D103" s="7">
        <v>0.25</v>
      </c>
      <c r="E103" s="2">
        <v>14766.67</v>
      </c>
      <c r="F103" s="2">
        <v>3691.67</v>
      </c>
    </row>
    <row r="104" spans="1:6" x14ac:dyDescent="0.25">
      <c r="A104" t="s">
        <v>4049</v>
      </c>
      <c r="B104" t="s">
        <v>4241</v>
      </c>
      <c r="C104" t="s">
        <v>4051</v>
      </c>
      <c r="D104" s="7">
        <v>1.5</v>
      </c>
      <c r="E104" s="2">
        <v>9941.22</v>
      </c>
      <c r="F104" s="2">
        <v>14911.83</v>
      </c>
    </row>
    <row r="105" spans="1:6" x14ac:dyDescent="0.25">
      <c r="A105" t="s">
        <v>4049</v>
      </c>
      <c r="B105" t="s">
        <v>4242</v>
      </c>
      <c r="C105" t="s">
        <v>4051</v>
      </c>
      <c r="D105" s="7">
        <v>1</v>
      </c>
      <c r="E105" s="2">
        <v>17069.53</v>
      </c>
      <c r="F105" s="2">
        <v>17069.53</v>
      </c>
    </row>
    <row r="106" spans="1:6" x14ac:dyDescent="0.25">
      <c r="A106" t="s">
        <v>4052</v>
      </c>
      <c r="B106" t="s">
        <v>4053</v>
      </c>
      <c r="C106" t="s">
        <v>4054</v>
      </c>
      <c r="D106" s="7">
        <v>5</v>
      </c>
      <c r="E106" s="2">
        <v>31981.36</v>
      </c>
      <c r="F106" s="2">
        <v>1599.07</v>
      </c>
    </row>
    <row r="107" spans="1:6" x14ac:dyDescent="0.25">
      <c r="A107" t="s">
        <v>4055</v>
      </c>
      <c r="D107" s="7"/>
      <c r="E107" s="2"/>
      <c r="F107" s="2">
        <f>SUBTOTAL(109,A_1_06_09[VALOR PARCIAL])</f>
      </c>
    </row>
    <row r="109" ht="30" customHeight="1" spans="1:6" x14ac:dyDescent="0.25">
      <c r="A109" s="5" t="s">
        <v>4677</v>
      </c>
      <c r="B109" s="5"/>
      <c r="C109" s="5"/>
      <c r="D109" s="5"/>
      <c r="E109" s="5"/>
      <c r="F109" s="5"/>
    </row>
    <row r="110" ht="42" customHeight="1" spans="1:6" x14ac:dyDescent="0.25">
      <c r="A110" s="6" t="s">
        <v>4678</v>
      </c>
      <c r="B110" s="6"/>
      <c r="C110" s="6"/>
      <c r="D110" s="6"/>
      <c r="E110" s="6"/>
      <c r="F110" s="6"/>
    </row>
    <row r="111" spans="1:6" x14ac:dyDescent="0.25">
      <c r="A111" t="s">
        <v>4044</v>
      </c>
      <c r="B111" t="s">
        <v>4045</v>
      </c>
      <c r="C111" t="s">
        <v>5</v>
      </c>
      <c r="D111" t="s">
        <v>4046</v>
      </c>
      <c r="E111" t="s">
        <v>4047</v>
      </c>
      <c r="F111" t="s">
        <v>4048</v>
      </c>
    </row>
    <row r="112" spans="1:6" x14ac:dyDescent="0.25">
      <c r="A112" t="s">
        <v>4062</v>
      </c>
      <c r="B112" t="s">
        <v>4675</v>
      </c>
      <c r="C112" t="s">
        <v>4171</v>
      </c>
      <c r="D112" s="7">
        <v>1.25</v>
      </c>
      <c r="E112" s="2">
        <v>1106.41</v>
      </c>
      <c r="F112" s="2">
        <v>1383.01</v>
      </c>
    </row>
    <row r="113" spans="1:6" x14ac:dyDescent="0.25">
      <c r="A113" t="s">
        <v>4062</v>
      </c>
      <c r="B113" t="s">
        <v>4679</v>
      </c>
      <c r="C113" t="s">
        <v>63</v>
      </c>
      <c r="D113" s="7">
        <v>0.8</v>
      </c>
      <c r="E113" s="2">
        <v>41500</v>
      </c>
      <c r="F113" s="2">
        <v>33200</v>
      </c>
    </row>
    <row r="114" spans="1:6" x14ac:dyDescent="0.25">
      <c r="A114" t="s">
        <v>4062</v>
      </c>
      <c r="B114" t="s">
        <v>4676</v>
      </c>
      <c r="C114" t="s">
        <v>63</v>
      </c>
      <c r="D114" s="7">
        <v>0.2</v>
      </c>
      <c r="E114" s="2">
        <v>14766.67</v>
      </c>
      <c r="F114" s="2">
        <v>2953.33</v>
      </c>
    </row>
    <row r="115" spans="1:6" x14ac:dyDescent="0.25">
      <c r="A115" t="s">
        <v>4049</v>
      </c>
      <c r="B115" t="s">
        <v>4241</v>
      </c>
      <c r="C115" t="s">
        <v>4051</v>
      </c>
      <c r="D115" s="7">
        <v>1</v>
      </c>
      <c r="E115" s="2">
        <v>9941.22</v>
      </c>
      <c r="F115" s="2">
        <v>9941.22</v>
      </c>
    </row>
    <row r="116" spans="1:6" x14ac:dyDescent="0.25">
      <c r="A116" t="s">
        <v>4049</v>
      </c>
      <c r="B116" t="s">
        <v>4242</v>
      </c>
      <c r="C116" t="s">
        <v>4051</v>
      </c>
      <c r="D116" s="7">
        <v>1</v>
      </c>
      <c r="E116" s="2">
        <v>17069.53</v>
      </c>
      <c r="F116" s="2">
        <v>17069.53</v>
      </c>
    </row>
    <row r="117" spans="1:6" x14ac:dyDescent="0.25">
      <c r="A117" t="s">
        <v>4052</v>
      </c>
      <c r="B117" t="s">
        <v>4053</v>
      </c>
      <c r="C117" t="s">
        <v>4054</v>
      </c>
      <c r="D117" s="7">
        <v>5</v>
      </c>
      <c r="E117" s="2">
        <v>27010.75</v>
      </c>
      <c r="F117" s="2">
        <v>1350.54</v>
      </c>
    </row>
    <row r="118" spans="1:6" x14ac:dyDescent="0.25">
      <c r="A118" t="s">
        <v>4055</v>
      </c>
      <c r="D118" s="7"/>
      <c r="E118" s="2"/>
      <c r="F118" s="2">
        <f>SUBTOTAL(109,A_1_06_10[VALOR PARCIAL])</f>
      </c>
    </row>
    <row r="120" ht="30" customHeight="1" spans="1:6" x14ac:dyDescent="0.25">
      <c r="A120" s="5" t="s">
        <v>4680</v>
      </c>
      <c r="B120" s="5"/>
      <c r="C120" s="5"/>
      <c r="D120" s="5"/>
      <c r="E120" s="5"/>
      <c r="F120" s="5"/>
    </row>
    <row r="121" ht="42" customHeight="1" spans="1:6" x14ac:dyDescent="0.25">
      <c r="A121" s="6" t="s">
        <v>4681</v>
      </c>
      <c r="B121" s="6"/>
      <c r="C121" s="6"/>
      <c r="D121" s="6"/>
      <c r="E121" s="6"/>
      <c r="F121" s="6"/>
    </row>
    <row r="122" spans="1:6" x14ac:dyDescent="0.25">
      <c r="A122" t="s">
        <v>4044</v>
      </c>
      <c r="B122" t="s">
        <v>4045</v>
      </c>
      <c r="C122" t="s">
        <v>5</v>
      </c>
      <c r="D122" t="s">
        <v>4046</v>
      </c>
      <c r="E122" t="s">
        <v>4047</v>
      </c>
      <c r="F122" t="s">
        <v>4048</v>
      </c>
    </row>
    <row r="123" spans="1:6" x14ac:dyDescent="0.25">
      <c r="A123" t="s">
        <v>4062</v>
      </c>
      <c r="B123" t="s">
        <v>4682</v>
      </c>
      <c r="C123" t="s">
        <v>63</v>
      </c>
      <c r="D123" s="7">
        <v>2.75</v>
      </c>
      <c r="E123" s="2">
        <v>13300</v>
      </c>
      <c r="F123" s="2">
        <v>36575</v>
      </c>
    </row>
    <row r="124" spans="1:6" x14ac:dyDescent="0.25">
      <c r="A124" t="s">
        <v>4062</v>
      </c>
      <c r="B124" t="s">
        <v>4683</v>
      </c>
      <c r="C124" t="s">
        <v>42</v>
      </c>
      <c r="D124" s="7">
        <v>3</v>
      </c>
      <c r="E124" s="2">
        <v>16056</v>
      </c>
      <c r="F124" s="2">
        <v>48168</v>
      </c>
    </row>
    <row r="125" spans="1:6" x14ac:dyDescent="0.25">
      <c r="A125" t="s">
        <v>4062</v>
      </c>
      <c r="B125" t="s">
        <v>4684</v>
      </c>
      <c r="C125" t="s">
        <v>63</v>
      </c>
      <c r="D125" s="7">
        <v>3</v>
      </c>
      <c r="E125" s="2">
        <v>4293</v>
      </c>
      <c r="F125" s="2">
        <v>12879</v>
      </c>
    </row>
    <row r="126" spans="1:6" x14ac:dyDescent="0.25">
      <c r="A126" t="s">
        <v>4062</v>
      </c>
      <c r="B126" t="s">
        <v>4685</v>
      </c>
      <c r="C126" t="s">
        <v>63</v>
      </c>
      <c r="D126" s="7">
        <v>1</v>
      </c>
      <c r="E126" s="2">
        <v>19280</v>
      </c>
      <c r="F126" s="2">
        <v>19280</v>
      </c>
    </row>
    <row r="127" spans="1:6" x14ac:dyDescent="0.25">
      <c r="A127" t="s">
        <v>4062</v>
      </c>
      <c r="B127" t="s">
        <v>4686</v>
      </c>
      <c r="C127" t="s">
        <v>63</v>
      </c>
      <c r="D127" s="7">
        <v>2.5</v>
      </c>
      <c r="E127" s="2">
        <v>8177.67</v>
      </c>
      <c r="F127" s="2">
        <v>20444.17</v>
      </c>
    </row>
    <row r="128" spans="1:6" x14ac:dyDescent="0.25">
      <c r="A128" t="s">
        <v>4062</v>
      </c>
      <c r="B128" t="s">
        <v>4659</v>
      </c>
      <c r="C128" t="s">
        <v>4377</v>
      </c>
      <c r="D128" s="7">
        <v>0.05</v>
      </c>
      <c r="E128" s="2">
        <v>31500</v>
      </c>
      <c r="F128" s="2">
        <v>1575</v>
      </c>
    </row>
    <row r="129" spans="1:6" x14ac:dyDescent="0.25">
      <c r="A129" t="s">
        <v>4062</v>
      </c>
      <c r="B129" t="s">
        <v>4687</v>
      </c>
      <c r="C129" t="s">
        <v>63</v>
      </c>
      <c r="D129" s="7">
        <v>1</v>
      </c>
      <c r="E129" s="2">
        <v>226403.53</v>
      </c>
      <c r="F129" s="2">
        <v>226403.53</v>
      </c>
    </row>
    <row r="130" spans="1:6" x14ac:dyDescent="0.25">
      <c r="A130" t="s">
        <v>4062</v>
      </c>
      <c r="B130" t="s">
        <v>4376</v>
      </c>
      <c r="C130" t="s">
        <v>4377</v>
      </c>
      <c r="D130" s="7">
        <v>0.05</v>
      </c>
      <c r="E130" s="2">
        <v>72237.67</v>
      </c>
      <c r="F130" s="2">
        <v>3611.88</v>
      </c>
    </row>
    <row r="131" spans="1:6" x14ac:dyDescent="0.25">
      <c r="A131" t="s">
        <v>4049</v>
      </c>
      <c r="B131" t="s">
        <v>4241</v>
      </c>
      <c r="C131" t="s">
        <v>4051</v>
      </c>
      <c r="D131" s="7">
        <v>4</v>
      </c>
      <c r="E131" s="2">
        <v>9941.22</v>
      </c>
      <c r="F131" s="2">
        <v>39764.88</v>
      </c>
    </row>
    <row r="132" spans="1:6" x14ac:dyDescent="0.25">
      <c r="A132" t="s">
        <v>4049</v>
      </c>
      <c r="B132" t="s">
        <v>4242</v>
      </c>
      <c r="C132" t="s">
        <v>4051</v>
      </c>
      <c r="D132" s="7">
        <v>4</v>
      </c>
      <c r="E132" s="2">
        <v>17069.53</v>
      </c>
      <c r="F132" s="2">
        <v>68278.12</v>
      </c>
    </row>
    <row r="133" spans="1:6" x14ac:dyDescent="0.25">
      <c r="A133" t="s">
        <v>4052</v>
      </c>
      <c r="B133" t="s">
        <v>4053</v>
      </c>
      <c r="C133" t="s">
        <v>4054</v>
      </c>
      <c r="D133" s="7">
        <v>12</v>
      </c>
      <c r="E133" s="2">
        <v>108043</v>
      </c>
      <c r="F133" s="2">
        <v>12965.16</v>
      </c>
    </row>
    <row r="134" spans="1:6" x14ac:dyDescent="0.25">
      <c r="A134" t="s">
        <v>4055</v>
      </c>
      <c r="D134" s="7"/>
      <c r="E134" s="2"/>
      <c r="F134" s="2">
        <f>SUBTOTAL(109,A_1_06_11[VALOR PARCIAL])</f>
      </c>
    </row>
    <row r="136" ht="30" customHeight="1" spans="1:6" x14ac:dyDescent="0.25">
      <c r="A136" s="5" t="s">
        <v>4688</v>
      </c>
      <c r="B136" s="5"/>
      <c r="C136" s="5"/>
      <c r="D136" s="5"/>
      <c r="E136" s="5"/>
      <c r="F136" s="5"/>
    </row>
    <row r="137" ht="42" customHeight="1" spans="1:6" x14ac:dyDescent="0.25">
      <c r="A137" s="6" t="s">
        <v>4689</v>
      </c>
      <c r="B137" s="6"/>
      <c r="C137" s="6"/>
      <c r="D137" s="6"/>
      <c r="E137" s="6"/>
      <c r="F137" s="6"/>
    </row>
    <row r="138" spans="1:6" x14ac:dyDescent="0.25">
      <c r="A138" t="s">
        <v>4044</v>
      </c>
      <c r="B138" t="s">
        <v>4045</v>
      </c>
      <c r="C138" t="s">
        <v>5</v>
      </c>
      <c r="D138" t="s">
        <v>4046</v>
      </c>
      <c r="E138" t="s">
        <v>4047</v>
      </c>
      <c r="F138" t="s">
        <v>4048</v>
      </c>
    </row>
    <row r="139" spans="1:6" x14ac:dyDescent="0.25">
      <c r="A139" t="s">
        <v>4062</v>
      </c>
      <c r="B139" t="s">
        <v>4690</v>
      </c>
      <c r="C139" t="s">
        <v>231</v>
      </c>
      <c r="D139" s="7">
        <v>0.75</v>
      </c>
      <c r="E139" s="2">
        <v>2025</v>
      </c>
      <c r="F139" s="2">
        <v>1518.75</v>
      </c>
    </row>
    <row r="140" spans="1:6" x14ac:dyDescent="0.25">
      <c r="A140" t="s">
        <v>4062</v>
      </c>
      <c r="B140" t="s">
        <v>4691</v>
      </c>
      <c r="C140" t="s">
        <v>4532</v>
      </c>
      <c r="D140" s="7">
        <v>1</v>
      </c>
      <c r="E140" s="2">
        <v>748</v>
      </c>
      <c r="F140" s="2">
        <v>748</v>
      </c>
    </row>
    <row r="141" spans="1:6" x14ac:dyDescent="0.25">
      <c r="A141" t="s">
        <v>4049</v>
      </c>
      <c r="B141" t="s">
        <v>4241</v>
      </c>
      <c r="C141" t="s">
        <v>4051</v>
      </c>
      <c r="D141" s="7">
        <v>2</v>
      </c>
      <c r="E141" s="2">
        <v>9941.22</v>
      </c>
      <c r="F141" s="2">
        <v>19882.44</v>
      </c>
    </row>
    <row r="142" spans="1:6" x14ac:dyDescent="0.25">
      <c r="A142" t="s">
        <v>4049</v>
      </c>
      <c r="B142" t="s">
        <v>4242</v>
      </c>
      <c r="C142" t="s">
        <v>4051</v>
      </c>
      <c r="D142" s="7">
        <v>2</v>
      </c>
      <c r="E142" s="2">
        <v>17069.53</v>
      </c>
      <c r="F142" s="2">
        <v>34139.06</v>
      </c>
    </row>
    <row r="143" spans="1:6" x14ac:dyDescent="0.25">
      <c r="A143" t="s">
        <v>4052</v>
      </c>
      <c r="B143" t="s">
        <v>4053</v>
      </c>
      <c r="C143" t="s">
        <v>4054</v>
      </c>
      <c r="D143" s="7">
        <v>5</v>
      </c>
      <c r="E143" s="2">
        <v>54021.5</v>
      </c>
      <c r="F143" s="2">
        <v>2701.07</v>
      </c>
    </row>
    <row r="144" spans="1:6" x14ac:dyDescent="0.25">
      <c r="A144" t="s">
        <v>4055</v>
      </c>
      <c r="D144" s="7"/>
      <c r="E144" s="2"/>
      <c r="F144" s="2">
        <f>SUBTOTAL(109,A_1_06_12[VALOR PARCIAL])</f>
      </c>
    </row>
    <row r="146" ht="30" customHeight="1" spans="1:6" x14ac:dyDescent="0.25">
      <c r="A146" s="5" t="s">
        <v>4692</v>
      </c>
      <c r="B146" s="5"/>
      <c r="C146" s="5"/>
      <c r="D146" s="5"/>
      <c r="E146" s="5"/>
      <c r="F146" s="5"/>
    </row>
    <row r="147" ht="42" customHeight="1" spans="1:6" x14ac:dyDescent="0.25">
      <c r="A147" s="6" t="s">
        <v>4693</v>
      </c>
      <c r="B147" s="6"/>
      <c r="C147" s="6"/>
      <c r="D147" s="6"/>
      <c r="E147" s="6"/>
      <c r="F147" s="6"/>
    </row>
    <row r="148" spans="1:6" x14ac:dyDescent="0.25">
      <c r="A148" t="s">
        <v>4044</v>
      </c>
      <c r="B148" t="s">
        <v>4045</v>
      </c>
      <c r="C148" t="s">
        <v>5</v>
      </c>
      <c r="D148" t="s">
        <v>4046</v>
      </c>
      <c r="E148" t="s">
        <v>4047</v>
      </c>
      <c r="F148" t="s">
        <v>4048</v>
      </c>
    </row>
    <row r="149" spans="1:6" x14ac:dyDescent="0.25">
      <c r="A149" t="s">
        <v>4062</v>
      </c>
      <c r="B149" t="s">
        <v>4694</v>
      </c>
      <c r="C149" t="s">
        <v>63</v>
      </c>
      <c r="D149" s="7">
        <v>3</v>
      </c>
      <c r="E149" s="2">
        <v>1386</v>
      </c>
      <c r="F149" s="2">
        <v>4158</v>
      </c>
    </row>
    <row r="150" spans="1:6" x14ac:dyDescent="0.25">
      <c r="A150" t="s">
        <v>4062</v>
      </c>
      <c r="B150" t="s">
        <v>4695</v>
      </c>
      <c r="C150" t="s">
        <v>42</v>
      </c>
      <c r="D150" s="7">
        <v>3.75</v>
      </c>
      <c r="E150" s="2">
        <v>7284</v>
      </c>
      <c r="F150" s="2">
        <v>27315</v>
      </c>
    </row>
    <row r="151" spans="1:6" x14ac:dyDescent="0.25">
      <c r="A151" t="s">
        <v>4062</v>
      </c>
      <c r="B151" t="s">
        <v>4691</v>
      </c>
      <c r="C151" t="s">
        <v>4532</v>
      </c>
      <c r="D151" s="7">
        <v>1</v>
      </c>
      <c r="E151" s="2">
        <v>748</v>
      </c>
      <c r="F151" s="2">
        <v>748</v>
      </c>
    </row>
    <row r="152" spans="1:6" x14ac:dyDescent="0.25">
      <c r="A152" t="s">
        <v>4062</v>
      </c>
      <c r="B152" t="s">
        <v>4696</v>
      </c>
      <c r="C152" t="s">
        <v>63</v>
      </c>
      <c r="D152" s="7">
        <v>3</v>
      </c>
      <c r="E152" s="2">
        <v>1047.4</v>
      </c>
      <c r="F152" s="2">
        <v>3142.2</v>
      </c>
    </row>
    <row r="153" spans="1:6" x14ac:dyDescent="0.25">
      <c r="A153" t="s">
        <v>4062</v>
      </c>
      <c r="B153" t="s">
        <v>4697</v>
      </c>
      <c r="C153" t="s">
        <v>63</v>
      </c>
      <c r="D153" s="7">
        <v>3</v>
      </c>
      <c r="E153" s="2">
        <v>1003.33</v>
      </c>
      <c r="F153" s="2">
        <v>3009.99</v>
      </c>
    </row>
    <row r="154" spans="1:6" x14ac:dyDescent="0.25">
      <c r="A154" t="s">
        <v>4062</v>
      </c>
      <c r="B154" t="s">
        <v>4698</v>
      </c>
      <c r="C154" t="s">
        <v>63</v>
      </c>
      <c r="D154" s="7">
        <v>3</v>
      </c>
      <c r="E154" s="2">
        <v>1675</v>
      </c>
      <c r="F154" s="2">
        <v>5025</v>
      </c>
    </row>
    <row r="155" spans="1:6" x14ac:dyDescent="0.25">
      <c r="A155" t="s">
        <v>4062</v>
      </c>
      <c r="B155" t="s">
        <v>4659</v>
      </c>
      <c r="C155" t="s">
        <v>4377</v>
      </c>
      <c r="D155" s="7">
        <v>0.04</v>
      </c>
      <c r="E155" s="2">
        <v>31500</v>
      </c>
      <c r="F155" s="2">
        <v>1260</v>
      </c>
    </row>
    <row r="156" spans="1:6" x14ac:dyDescent="0.25">
      <c r="A156" t="s">
        <v>4062</v>
      </c>
      <c r="B156" t="s">
        <v>4376</v>
      </c>
      <c r="C156" t="s">
        <v>4377</v>
      </c>
      <c r="D156" s="7">
        <v>0.04</v>
      </c>
      <c r="E156" s="2">
        <v>72237.67</v>
      </c>
      <c r="F156" s="2">
        <v>2889.51</v>
      </c>
    </row>
    <row r="157" spans="1:6" x14ac:dyDescent="0.25">
      <c r="A157" t="s">
        <v>4049</v>
      </c>
      <c r="B157" t="s">
        <v>4241</v>
      </c>
      <c r="C157" t="s">
        <v>4051</v>
      </c>
      <c r="D157" s="7">
        <v>3.5</v>
      </c>
      <c r="E157" s="2">
        <v>9941.22</v>
      </c>
      <c r="F157" s="2">
        <v>34794.27</v>
      </c>
    </row>
    <row r="158" spans="1:6" x14ac:dyDescent="0.25">
      <c r="A158" t="s">
        <v>4049</v>
      </c>
      <c r="B158" t="s">
        <v>4242</v>
      </c>
      <c r="C158" t="s">
        <v>4051</v>
      </c>
      <c r="D158" s="7">
        <v>1.75</v>
      </c>
      <c r="E158" s="2">
        <v>17069.53</v>
      </c>
      <c r="F158" s="2">
        <v>29871.68</v>
      </c>
    </row>
    <row r="159" spans="1:6" x14ac:dyDescent="0.25">
      <c r="A159" t="s">
        <v>4052</v>
      </c>
      <c r="B159" t="s">
        <v>4053</v>
      </c>
      <c r="C159" t="s">
        <v>4054</v>
      </c>
      <c r="D159" s="7">
        <v>5</v>
      </c>
      <c r="E159" s="2">
        <v>64665.95</v>
      </c>
      <c r="F159" s="2">
        <v>3233.3</v>
      </c>
    </row>
    <row r="160" spans="1:6" x14ac:dyDescent="0.25">
      <c r="A160" t="s">
        <v>4055</v>
      </c>
      <c r="D160" s="7"/>
      <c r="E160" s="2"/>
      <c r="F160" s="2">
        <f>SUBTOTAL(109,A_1_06_13[VALOR PARCIAL])</f>
      </c>
    </row>
    <row r="162" ht="30" customHeight="1" spans="1:6" x14ac:dyDescent="0.25">
      <c r="A162" s="5" t="s">
        <v>4699</v>
      </c>
      <c r="B162" s="5"/>
      <c r="C162" s="5"/>
      <c r="D162" s="5"/>
      <c r="E162" s="5"/>
      <c r="F162" s="5"/>
    </row>
    <row r="163" ht="42" customHeight="1" spans="1:6" x14ac:dyDescent="0.25">
      <c r="A163" s="6" t="s">
        <v>4700</v>
      </c>
      <c r="B163" s="6"/>
      <c r="C163" s="6"/>
      <c r="D163" s="6"/>
      <c r="E163" s="6"/>
      <c r="F163" s="6"/>
    </row>
    <row r="164" spans="1:6" x14ac:dyDescent="0.25">
      <c r="A164" t="s">
        <v>4044</v>
      </c>
      <c r="B164" t="s">
        <v>4045</v>
      </c>
      <c r="C164" t="s">
        <v>5</v>
      </c>
      <c r="D164" t="s">
        <v>4046</v>
      </c>
      <c r="E164" t="s">
        <v>4047</v>
      </c>
      <c r="F164" t="s">
        <v>4048</v>
      </c>
    </row>
    <row r="165" spans="1:6" x14ac:dyDescent="0.25">
      <c r="A165" t="s">
        <v>4062</v>
      </c>
      <c r="B165" t="s">
        <v>4694</v>
      </c>
      <c r="C165" t="s">
        <v>63</v>
      </c>
      <c r="D165" s="7">
        <v>1</v>
      </c>
      <c r="E165" s="2">
        <v>1386</v>
      </c>
      <c r="F165" s="2">
        <v>1386</v>
      </c>
    </row>
    <row r="166" spans="1:6" x14ac:dyDescent="0.25">
      <c r="A166" t="s">
        <v>4062</v>
      </c>
      <c r="B166" t="s">
        <v>4701</v>
      </c>
      <c r="C166" t="s">
        <v>42</v>
      </c>
      <c r="D166" s="7">
        <v>3.75</v>
      </c>
      <c r="E166" s="2">
        <v>3804</v>
      </c>
      <c r="F166" s="2">
        <v>14265</v>
      </c>
    </row>
    <row r="167" spans="1:6" x14ac:dyDescent="0.25">
      <c r="A167" t="s">
        <v>4062</v>
      </c>
      <c r="B167" t="s">
        <v>4691</v>
      </c>
      <c r="C167" t="s">
        <v>4532</v>
      </c>
      <c r="D167" s="7">
        <v>3</v>
      </c>
      <c r="E167" s="2">
        <v>748</v>
      </c>
      <c r="F167" s="2">
        <v>2244</v>
      </c>
    </row>
    <row r="168" spans="1:6" x14ac:dyDescent="0.25">
      <c r="A168" t="s">
        <v>4062</v>
      </c>
      <c r="B168" t="s">
        <v>4702</v>
      </c>
      <c r="C168" t="s">
        <v>63</v>
      </c>
      <c r="D168" s="7">
        <v>3</v>
      </c>
      <c r="E168" s="2">
        <v>1076.33</v>
      </c>
      <c r="F168" s="2">
        <v>3228.99</v>
      </c>
    </row>
    <row r="169" spans="1:6" x14ac:dyDescent="0.25">
      <c r="A169" t="s">
        <v>4062</v>
      </c>
      <c r="B169" t="s">
        <v>4703</v>
      </c>
      <c r="C169" t="s">
        <v>63</v>
      </c>
      <c r="D169" s="7">
        <v>3</v>
      </c>
      <c r="E169" s="2">
        <v>546</v>
      </c>
      <c r="F169" s="2">
        <v>1638</v>
      </c>
    </row>
    <row r="170" spans="1:6" x14ac:dyDescent="0.25">
      <c r="A170" t="s">
        <v>4062</v>
      </c>
      <c r="B170" t="s">
        <v>4704</v>
      </c>
      <c r="C170" t="s">
        <v>63</v>
      </c>
      <c r="D170" s="7">
        <v>3</v>
      </c>
      <c r="E170" s="2">
        <v>461</v>
      </c>
      <c r="F170" s="2">
        <v>1383</v>
      </c>
    </row>
    <row r="171" spans="1:6" x14ac:dyDescent="0.25">
      <c r="A171" t="s">
        <v>4062</v>
      </c>
      <c r="B171" t="s">
        <v>4705</v>
      </c>
      <c r="C171" t="s">
        <v>63</v>
      </c>
      <c r="D171" s="7">
        <v>3</v>
      </c>
      <c r="E171" s="2">
        <v>408</v>
      </c>
      <c r="F171" s="2">
        <v>1224</v>
      </c>
    </row>
    <row r="172" spans="1:6" x14ac:dyDescent="0.25">
      <c r="A172" t="s">
        <v>4062</v>
      </c>
      <c r="B172" t="s">
        <v>4659</v>
      </c>
      <c r="C172" t="s">
        <v>4377</v>
      </c>
      <c r="D172" s="7">
        <v>0.04</v>
      </c>
      <c r="E172" s="2">
        <v>31500</v>
      </c>
      <c r="F172" s="2">
        <v>1260</v>
      </c>
    </row>
    <row r="173" spans="1:6" x14ac:dyDescent="0.25">
      <c r="A173" t="s">
        <v>4062</v>
      </c>
      <c r="B173" t="s">
        <v>4376</v>
      </c>
      <c r="C173" t="s">
        <v>4377</v>
      </c>
      <c r="D173" s="7">
        <v>0.04</v>
      </c>
      <c r="E173" s="2">
        <v>72237.67</v>
      </c>
      <c r="F173" s="2">
        <v>2889.51</v>
      </c>
    </row>
    <row r="174" spans="1:6" x14ac:dyDescent="0.25">
      <c r="A174" t="s">
        <v>4049</v>
      </c>
      <c r="B174" t="s">
        <v>4241</v>
      </c>
      <c r="C174" t="s">
        <v>4051</v>
      </c>
      <c r="D174" s="7">
        <v>3</v>
      </c>
      <c r="E174" s="2">
        <v>9941.22</v>
      </c>
      <c r="F174" s="2">
        <v>29823.66</v>
      </c>
    </row>
    <row r="175" spans="1:6" x14ac:dyDescent="0.25">
      <c r="A175" t="s">
        <v>4049</v>
      </c>
      <c r="B175" t="s">
        <v>4242</v>
      </c>
      <c r="C175" t="s">
        <v>4051</v>
      </c>
      <c r="D175" s="7">
        <v>1.5</v>
      </c>
      <c r="E175" s="2">
        <v>17069.53</v>
      </c>
      <c r="F175" s="2">
        <v>25604.29</v>
      </c>
    </row>
    <row r="176" spans="1:6" x14ac:dyDescent="0.25">
      <c r="A176" t="s">
        <v>4052</v>
      </c>
      <c r="B176" t="s">
        <v>4053</v>
      </c>
      <c r="C176" t="s">
        <v>4054</v>
      </c>
      <c r="D176" s="7">
        <v>3.3</v>
      </c>
      <c r="E176" s="2">
        <v>55427.95</v>
      </c>
      <c r="F176" s="2">
        <v>1829.12</v>
      </c>
    </row>
    <row r="177" spans="1:6" x14ac:dyDescent="0.25">
      <c r="A177" t="s">
        <v>4055</v>
      </c>
      <c r="D177" s="7"/>
      <c r="E177" s="2"/>
      <c r="F177" s="2">
        <f>SUBTOTAL(109,A_1_06_14[VALOR PARCIAL])</f>
      </c>
    </row>
    <row r="179" ht="30" customHeight="1" spans="1:6" x14ac:dyDescent="0.25">
      <c r="A179" s="5" t="s">
        <v>4706</v>
      </c>
      <c r="B179" s="5"/>
      <c r="C179" s="5"/>
      <c r="D179" s="5"/>
      <c r="E179" s="5"/>
      <c r="F179" s="5"/>
    </row>
    <row r="180" ht="42" customHeight="1" spans="1:6" x14ac:dyDescent="0.25">
      <c r="A180" s="6" t="s">
        <v>4707</v>
      </c>
      <c r="B180" s="6"/>
      <c r="C180" s="6"/>
      <c r="D180" s="6"/>
      <c r="E180" s="6"/>
      <c r="F180" s="6"/>
    </row>
    <row r="181" spans="1:6" x14ac:dyDescent="0.25">
      <c r="A181" t="s">
        <v>4044</v>
      </c>
      <c r="B181" t="s">
        <v>4045</v>
      </c>
      <c r="C181" t="s">
        <v>5</v>
      </c>
      <c r="D181" t="s">
        <v>4046</v>
      </c>
      <c r="E181" t="s">
        <v>4047</v>
      </c>
      <c r="F181" t="s">
        <v>4048</v>
      </c>
    </row>
    <row r="182" spans="1:6" x14ac:dyDescent="0.25">
      <c r="A182" t="s">
        <v>4062</v>
      </c>
      <c r="B182" t="s">
        <v>4708</v>
      </c>
      <c r="C182" t="s">
        <v>42</v>
      </c>
      <c r="D182" s="7">
        <v>0.75</v>
      </c>
      <c r="E182" s="2">
        <v>9130</v>
      </c>
      <c r="F182" s="2">
        <v>6847.5</v>
      </c>
    </row>
    <row r="183" spans="1:6" x14ac:dyDescent="0.25">
      <c r="A183" t="s">
        <v>4062</v>
      </c>
      <c r="B183" t="s">
        <v>4709</v>
      </c>
      <c r="C183" t="s">
        <v>42</v>
      </c>
      <c r="D183" s="7">
        <v>0.58</v>
      </c>
      <c r="E183" s="2">
        <v>10902</v>
      </c>
      <c r="F183" s="2">
        <v>6323.16</v>
      </c>
    </row>
    <row r="184" spans="1:6" x14ac:dyDescent="0.25">
      <c r="A184" t="s">
        <v>4062</v>
      </c>
      <c r="B184" t="s">
        <v>4710</v>
      </c>
      <c r="C184" t="s">
        <v>42</v>
      </c>
      <c r="D184" s="7">
        <v>0.49</v>
      </c>
      <c r="E184" s="2">
        <v>15139</v>
      </c>
      <c r="F184" s="2">
        <v>7418.11</v>
      </c>
    </row>
    <row r="185" spans="1:6" x14ac:dyDescent="0.25">
      <c r="A185" t="s">
        <v>4062</v>
      </c>
      <c r="B185" t="s">
        <v>4711</v>
      </c>
      <c r="C185" t="s">
        <v>42</v>
      </c>
      <c r="D185" s="7">
        <v>0.43</v>
      </c>
      <c r="E185" s="2">
        <v>25286</v>
      </c>
      <c r="F185" s="2">
        <v>10872.98</v>
      </c>
    </row>
    <row r="186" spans="1:6" x14ac:dyDescent="0.25">
      <c r="A186" t="s">
        <v>4062</v>
      </c>
      <c r="B186" t="s">
        <v>4712</v>
      </c>
      <c r="C186" t="s">
        <v>63</v>
      </c>
      <c r="D186" s="7">
        <v>1.51</v>
      </c>
      <c r="E186" s="2">
        <v>4136</v>
      </c>
      <c r="F186" s="2">
        <v>6245.36</v>
      </c>
    </row>
    <row r="187" spans="1:6" x14ac:dyDescent="0.25">
      <c r="A187" t="s">
        <v>4062</v>
      </c>
      <c r="B187" t="s">
        <v>4713</v>
      </c>
      <c r="C187" t="s">
        <v>63</v>
      </c>
      <c r="D187" s="7">
        <v>2.46</v>
      </c>
      <c r="E187" s="2">
        <v>1647</v>
      </c>
      <c r="F187" s="2">
        <v>4051.62</v>
      </c>
    </row>
    <row r="188" spans="1:6" x14ac:dyDescent="0.25">
      <c r="A188" t="s">
        <v>4062</v>
      </c>
      <c r="B188" t="s">
        <v>4714</v>
      </c>
      <c r="C188" t="s">
        <v>63</v>
      </c>
      <c r="D188" s="7">
        <v>1.07</v>
      </c>
      <c r="E188" s="2">
        <v>3019</v>
      </c>
      <c r="F188" s="2">
        <v>3230.33</v>
      </c>
    </row>
    <row r="189" spans="1:6" x14ac:dyDescent="0.25">
      <c r="A189" t="s">
        <v>4062</v>
      </c>
      <c r="B189" t="s">
        <v>4715</v>
      </c>
      <c r="C189" t="s">
        <v>63</v>
      </c>
      <c r="D189" s="7">
        <v>0.5</v>
      </c>
      <c r="E189" s="2">
        <v>41000</v>
      </c>
      <c r="F189" s="2">
        <v>20500</v>
      </c>
    </row>
    <row r="190" spans="1:6" x14ac:dyDescent="0.25">
      <c r="A190" t="s">
        <v>4049</v>
      </c>
      <c r="B190" t="s">
        <v>4241</v>
      </c>
      <c r="C190" t="s">
        <v>4051</v>
      </c>
      <c r="D190" s="7">
        <v>1.8</v>
      </c>
      <c r="E190" s="2">
        <v>9941.22</v>
      </c>
      <c r="F190" s="2">
        <v>17894.2</v>
      </c>
    </row>
    <row r="191" spans="1:6" x14ac:dyDescent="0.25">
      <c r="A191" t="s">
        <v>4049</v>
      </c>
      <c r="B191" t="s">
        <v>4242</v>
      </c>
      <c r="C191" t="s">
        <v>4051</v>
      </c>
      <c r="D191" s="7">
        <v>1.8</v>
      </c>
      <c r="E191" s="2">
        <v>17069.53</v>
      </c>
      <c r="F191" s="2">
        <v>30725.15</v>
      </c>
    </row>
    <row r="192" spans="1:6" x14ac:dyDescent="0.25">
      <c r="A192" t="s">
        <v>4052</v>
      </c>
      <c r="B192" t="s">
        <v>4053</v>
      </c>
      <c r="C192" t="s">
        <v>4054</v>
      </c>
      <c r="D192" s="7">
        <v>5</v>
      </c>
      <c r="E192" s="2">
        <v>48619.35</v>
      </c>
      <c r="F192" s="2">
        <v>2430.97</v>
      </c>
    </row>
    <row r="193" spans="1:6" x14ac:dyDescent="0.25">
      <c r="A193" t="s">
        <v>4055</v>
      </c>
      <c r="D193" s="7"/>
      <c r="E193" s="2"/>
      <c r="F193" s="2">
        <f>SUBTOTAL(109,A_1_06_15[VALOR PARCIAL])</f>
      </c>
    </row>
    <row r="195" ht="30" customHeight="1" spans="1:6" x14ac:dyDescent="0.25">
      <c r="A195" s="5" t="s">
        <v>4716</v>
      </c>
      <c r="B195" s="5"/>
      <c r="C195" s="5"/>
      <c r="D195" s="5"/>
      <c r="E195" s="5"/>
      <c r="F195" s="5"/>
    </row>
    <row r="196" ht="42" customHeight="1" spans="1:6" x14ac:dyDescent="0.25">
      <c r="A196" s="6" t="s">
        <v>4717</v>
      </c>
      <c r="B196" s="6"/>
      <c r="C196" s="6"/>
      <c r="D196" s="6"/>
      <c r="E196" s="6"/>
      <c r="F196" s="6"/>
    </row>
    <row r="197" spans="1:6" x14ac:dyDescent="0.25">
      <c r="A197" t="s">
        <v>4044</v>
      </c>
      <c r="B197" t="s">
        <v>4045</v>
      </c>
      <c r="C197" t="s">
        <v>5</v>
      </c>
      <c r="D197" t="s">
        <v>4046</v>
      </c>
      <c r="E197" t="s">
        <v>4047</v>
      </c>
      <c r="F197" t="s">
        <v>4048</v>
      </c>
    </row>
    <row r="198" spans="1:6" x14ac:dyDescent="0.25">
      <c r="A198" t="s">
        <v>4062</v>
      </c>
      <c r="B198" t="s">
        <v>4718</v>
      </c>
      <c r="C198" t="s">
        <v>63</v>
      </c>
      <c r="D198" s="7">
        <v>0.5</v>
      </c>
      <c r="E198" s="2">
        <v>1127</v>
      </c>
      <c r="F198" s="2">
        <v>563.5</v>
      </c>
    </row>
    <row r="199" spans="1:6" x14ac:dyDescent="0.25">
      <c r="A199" t="s">
        <v>4062</v>
      </c>
      <c r="B199" t="s">
        <v>4695</v>
      </c>
      <c r="C199" t="s">
        <v>42</v>
      </c>
      <c r="D199" s="7">
        <v>1.05</v>
      </c>
      <c r="E199" s="2">
        <v>7284</v>
      </c>
      <c r="F199" s="2">
        <v>7648.2</v>
      </c>
    </row>
    <row r="200" spans="1:6" x14ac:dyDescent="0.25">
      <c r="A200" t="s">
        <v>4062</v>
      </c>
      <c r="B200" t="s">
        <v>4697</v>
      </c>
      <c r="C200" t="s">
        <v>63</v>
      </c>
      <c r="D200" s="7">
        <v>0.5</v>
      </c>
      <c r="E200" s="2">
        <v>1003.33</v>
      </c>
      <c r="F200" s="2">
        <v>501.67</v>
      </c>
    </row>
    <row r="201" spans="1:6" x14ac:dyDescent="0.25">
      <c r="A201" t="s">
        <v>4062</v>
      </c>
      <c r="B201" t="s">
        <v>4719</v>
      </c>
      <c r="C201" t="s">
        <v>63</v>
      </c>
      <c r="D201" s="7">
        <v>0.5</v>
      </c>
      <c r="E201" s="2">
        <v>1584</v>
      </c>
      <c r="F201" s="2">
        <v>792</v>
      </c>
    </row>
    <row r="202" spans="1:6" x14ac:dyDescent="0.25">
      <c r="A202" t="s">
        <v>4062</v>
      </c>
      <c r="B202" t="s">
        <v>4659</v>
      </c>
      <c r="C202" t="s">
        <v>4377</v>
      </c>
      <c r="D202" s="7">
        <v>0.01</v>
      </c>
      <c r="E202" s="2">
        <v>31500</v>
      </c>
      <c r="F202" s="2">
        <v>315</v>
      </c>
    </row>
    <row r="203" spans="1:6" x14ac:dyDescent="0.25">
      <c r="A203" t="s">
        <v>4062</v>
      </c>
      <c r="B203" t="s">
        <v>4376</v>
      </c>
      <c r="C203" t="s">
        <v>4377</v>
      </c>
      <c r="D203" s="7">
        <v>0.01</v>
      </c>
      <c r="E203" s="2">
        <v>72237.67</v>
      </c>
      <c r="F203" s="2">
        <v>722.38</v>
      </c>
    </row>
    <row r="204" spans="1:6" x14ac:dyDescent="0.25">
      <c r="A204" t="s">
        <v>4062</v>
      </c>
      <c r="B204" t="s">
        <v>4720</v>
      </c>
      <c r="C204" t="s">
        <v>63</v>
      </c>
      <c r="D204" s="7">
        <v>0.5</v>
      </c>
      <c r="E204" s="2">
        <v>1691</v>
      </c>
      <c r="F204" s="2">
        <v>845.5</v>
      </c>
    </row>
    <row r="205" spans="1:6" x14ac:dyDescent="0.25">
      <c r="A205" t="s">
        <v>4062</v>
      </c>
      <c r="B205" t="s">
        <v>4721</v>
      </c>
      <c r="C205" t="s">
        <v>42</v>
      </c>
      <c r="D205" s="7">
        <v>1.05</v>
      </c>
      <c r="E205" s="2">
        <v>11904</v>
      </c>
      <c r="F205" s="2">
        <v>12499.2</v>
      </c>
    </row>
    <row r="206" spans="1:6" x14ac:dyDescent="0.25">
      <c r="A206" t="s">
        <v>4062</v>
      </c>
      <c r="B206" t="s">
        <v>4722</v>
      </c>
      <c r="C206" t="s">
        <v>63</v>
      </c>
      <c r="D206" s="7">
        <v>0.5</v>
      </c>
      <c r="E206" s="2">
        <v>2042.67</v>
      </c>
      <c r="F206" s="2">
        <v>1021.34</v>
      </c>
    </row>
    <row r="207" spans="1:6" x14ac:dyDescent="0.25">
      <c r="A207" t="s">
        <v>4062</v>
      </c>
      <c r="B207" t="s">
        <v>4723</v>
      </c>
      <c r="C207" t="s">
        <v>63</v>
      </c>
      <c r="D207" s="7">
        <v>0.5</v>
      </c>
      <c r="E207" s="2">
        <v>680</v>
      </c>
      <c r="F207" s="2">
        <v>340</v>
      </c>
    </row>
    <row r="208" spans="1:6" x14ac:dyDescent="0.25">
      <c r="A208" t="s">
        <v>4049</v>
      </c>
      <c r="B208" t="s">
        <v>4241</v>
      </c>
      <c r="C208" t="s">
        <v>4051</v>
      </c>
      <c r="D208" s="7">
        <v>0.15</v>
      </c>
      <c r="E208" s="2">
        <v>9941.22</v>
      </c>
      <c r="F208" s="2">
        <v>1491.18</v>
      </c>
    </row>
    <row r="209" spans="1:6" x14ac:dyDescent="0.25">
      <c r="A209" t="s">
        <v>4049</v>
      </c>
      <c r="B209" t="s">
        <v>4242</v>
      </c>
      <c r="C209" t="s">
        <v>4051</v>
      </c>
      <c r="D209" s="7">
        <v>0.15</v>
      </c>
      <c r="E209" s="2">
        <v>17069.53</v>
      </c>
      <c r="F209" s="2">
        <v>2560.43</v>
      </c>
    </row>
    <row r="210" spans="1:6" x14ac:dyDescent="0.25">
      <c r="A210" t="s">
        <v>4049</v>
      </c>
      <c r="B210" t="s">
        <v>4241</v>
      </c>
      <c r="C210" t="s">
        <v>4051</v>
      </c>
      <c r="D210" s="7">
        <v>0.18</v>
      </c>
      <c r="E210" s="2">
        <v>9941.22</v>
      </c>
      <c r="F210" s="2">
        <v>1789.42</v>
      </c>
    </row>
    <row r="211" spans="1:6" x14ac:dyDescent="0.25">
      <c r="A211" t="s">
        <v>4049</v>
      </c>
      <c r="B211" t="s">
        <v>4242</v>
      </c>
      <c r="C211" t="s">
        <v>4051</v>
      </c>
      <c r="D211" s="7">
        <v>0.08</v>
      </c>
      <c r="E211" s="2">
        <v>17069.53</v>
      </c>
      <c r="F211" s="2">
        <v>1365.56</v>
      </c>
    </row>
    <row r="212" spans="1:6" x14ac:dyDescent="0.25">
      <c r="A212" t="s">
        <v>4052</v>
      </c>
      <c r="B212" t="s">
        <v>4053</v>
      </c>
      <c r="C212" t="s">
        <v>4054</v>
      </c>
      <c r="D212" s="7">
        <v>3.3</v>
      </c>
      <c r="E212" s="2">
        <v>4051.61</v>
      </c>
      <c r="F212" s="2">
        <v>133.7</v>
      </c>
    </row>
    <row r="213" spans="1:6" x14ac:dyDescent="0.25">
      <c r="A213" t="s">
        <v>4052</v>
      </c>
      <c r="B213" t="s">
        <v>4053</v>
      </c>
      <c r="C213" t="s">
        <v>4054</v>
      </c>
      <c r="D213" s="7">
        <v>3.3</v>
      </c>
      <c r="E213" s="2">
        <v>3154.98</v>
      </c>
      <c r="F213" s="2">
        <v>104.11</v>
      </c>
    </row>
    <row r="214" spans="1:6" x14ac:dyDescent="0.25">
      <c r="A214" t="s">
        <v>4055</v>
      </c>
      <c r="D214" s="7"/>
      <c r="E214" s="2"/>
      <c r="F214" s="2">
        <f>SUBTOTAL(109,A_1_06_16[VALOR PARCIAL])</f>
      </c>
    </row>
    <row r="216" ht="30" customHeight="1" spans="1:6" x14ac:dyDescent="0.25">
      <c r="A216" s="5" t="s">
        <v>4724</v>
      </c>
      <c r="B216" s="5"/>
      <c r="C216" s="5"/>
      <c r="D216" s="5"/>
      <c r="E216" s="5"/>
      <c r="F216" s="5"/>
    </row>
    <row r="217" ht="42" customHeight="1" spans="1:6" x14ac:dyDescent="0.25">
      <c r="A217" s="6" t="s">
        <v>4725</v>
      </c>
      <c r="B217" s="6"/>
      <c r="C217" s="6"/>
      <c r="D217" s="6"/>
      <c r="E217" s="6"/>
      <c r="F217" s="6"/>
    </row>
    <row r="218" spans="1:6" x14ac:dyDescent="0.25">
      <c r="A218" t="s">
        <v>4044</v>
      </c>
      <c r="B218" t="s">
        <v>4045</v>
      </c>
      <c r="C218" t="s">
        <v>5</v>
      </c>
      <c r="D218" t="s">
        <v>4046</v>
      </c>
      <c r="E218" t="s">
        <v>4047</v>
      </c>
      <c r="F218" t="s">
        <v>4048</v>
      </c>
    </row>
    <row r="219" spans="1:6" x14ac:dyDescent="0.25">
      <c r="A219" t="s">
        <v>4062</v>
      </c>
      <c r="B219" t="s">
        <v>4708</v>
      </c>
      <c r="C219" t="s">
        <v>42</v>
      </c>
      <c r="D219" s="7">
        <v>1.05</v>
      </c>
      <c r="E219" s="2">
        <v>9130</v>
      </c>
      <c r="F219" s="2">
        <v>9586.5</v>
      </c>
    </row>
    <row r="220" spans="1:6" x14ac:dyDescent="0.25">
      <c r="A220" t="s">
        <v>4062</v>
      </c>
      <c r="B220" t="s">
        <v>4713</v>
      </c>
      <c r="C220" t="s">
        <v>63</v>
      </c>
      <c r="D220" s="7">
        <v>1</v>
      </c>
      <c r="E220" s="2">
        <v>1647</v>
      </c>
      <c r="F220" s="2">
        <v>1647</v>
      </c>
    </row>
    <row r="221" spans="1:6" x14ac:dyDescent="0.25">
      <c r="A221" t="s">
        <v>4049</v>
      </c>
      <c r="B221" t="s">
        <v>4241</v>
      </c>
      <c r="C221" t="s">
        <v>4051</v>
      </c>
      <c r="D221" s="7">
        <v>1</v>
      </c>
      <c r="E221" s="2">
        <v>9941.22</v>
      </c>
      <c r="F221" s="2">
        <v>9941.22</v>
      </c>
    </row>
    <row r="222" spans="1:6" x14ac:dyDescent="0.25">
      <c r="A222" t="s">
        <v>4049</v>
      </c>
      <c r="B222" t="s">
        <v>4242</v>
      </c>
      <c r="C222" t="s">
        <v>4051</v>
      </c>
      <c r="D222" s="7">
        <v>0.5</v>
      </c>
      <c r="E222" s="2">
        <v>17069.53</v>
      </c>
      <c r="F222" s="2">
        <v>8534.76</v>
      </c>
    </row>
    <row r="223" spans="1:6" x14ac:dyDescent="0.25">
      <c r="A223" t="s">
        <v>4052</v>
      </c>
      <c r="B223" t="s">
        <v>4053</v>
      </c>
      <c r="C223" t="s">
        <v>4054</v>
      </c>
      <c r="D223" s="7">
        <v>5</v>
      </c>
      <c r="E223" s="2">
        <v>18475.98</v>
      </c>
      <c r="F223" s="2">
        <v>923.8</v>
      </c>
    </row>
    <row r="224" spans="1:6" x14ac:dyDescent="0.25">
      <c r="A224" t="s">
        <v>4055</v>
      </c>
      <c r="D224" s="7"/>
      <c r="E224" s="2"/>
      <c r="F224" s="2">
        <f>SUBTOTAL(109,A_1_06_18[VALOR PARCIAL])</f>
      </c>
    </row>
    <row r="226" ht="30" customHeight="1" spans="1:6" x14ac:dyDescent="0.25">
      <c r="A226" s="5" t="s">
        <v>4726</v>
      </c>
      <c r="B226" s="5"/>
      <c r="C226" s="5"/>
      <c r="D226" s="5"/>
      <c r="E226" s="5"/>
      <c r="F226" s="5"/>
    </row>
    <row r="227" ht="42" customHeight="1" spans="1:6" x14ac:dyDescent="0.25">
      <c r="A227" s="6" t="s">
        <v>4727</v>
      </c>
      <c r="B227" s="6"/>
      <c r="C227" s="6"/>
      <c r="D227" s="6"/>
      <c r="E227" s="6"/>
      <c r="F227" s="6"/>
    </row>
    <row r="228" spans="1:6" x14ac:dyDescent="0.25">
      <c r="A228" t="s">
        <v>4044</v>
      </c>
      <c r="B228" t="s">
        <v>4045</v>
      </c>
      <c r="C228" t="s">
        <v>5</v>
      </c>
      <c r="D228" t="s">
        <v>4046</v>
      </c>
      <c r="E228" t="s">
        <v>4047</v>
      </c>
      <c r="F228" t="s">
        <v>4048</v>
      </c>
    </row>
    <row r="229" spans="1:6" x14ac:dyDescent="0.25">
      <c r="A229" t="s">
        <v>4062</v>
      </c>
      <c r="B229" t="s">
        <v>4709</v>
      </c>
      <c r="C229" t="s">
        <v>42</v>
      </c>
      <c r="D229" s="7">
        <v>1.05</v>
      </c>
      <c r="E229" s="2">
        <v>10902</v>
      </c>
      <c r="F229" s="2">
        <v>11447.1</v>
      </c>
    </row>
    <row r="230" spans="1:6" x14ac:dyDescent="0.25">
      <c r="A230" t="s">
        <v>4062</v>
      </c>
      <c r="B230" t="s">
        <v>4714</v>
      </c>
      <c r="C230" t="s">
        <v>63</v>
      </c>
      <c r="D230" s="7">
        <v>1</v>
      </c>
      <c r="E230" s="2">
        <v>3019</v>
      </c>
      <c r="F230" s="2">
        <v>3019</v>
      </c>
    </row>
    <row r="231" spans="1:6" x14ac:dyDescent="0.25">
      <c r="A231" t="s">
        <v>4049</v>
      </c>
      <c r="B231" t="s">
        <v>4241</v>
      </c>
      <c r="C231" t="s">
        <v>4051</v>
      </c>
      <c r="D231" s="7">
        <v>1</v>
      </c>
      <c r="E231" s="2">
        <v>9941.22</v>
      </c>
      <c r="F231" s="2">
        <v>9941.22</v>
      </c>
    </row>
    <row r="232" spans="1:6" x14ac:dyDescent="0.25">
      <c r="A232" t="s">
        <v>4049</v>
      </c>
      <c r="B232" t="s">
        <v>4242</v>
      </c>
      <c r="C232" t="s">
        <v>4051</v>
      </c>
      <c r="D232" s="7">
        <v>0.6</v>
      </c>
      <c r="E232" s="2">
        <v>17069.53</v>
      </c>
      <c r="F232" s="2">
        <v>10241.72</v>
      </c>
    </row>
    <row r="233" spans="1:6" x14ac:dyDescent="0.25">
      <c r="A233" t="s">
        <v>4052</v>
      </c>
      <c r="B233" t="s">
        <v>4053</v>
      </c>
      <c r="C233" t="s">
        <v>4054</v>
      </c>
      <c r="D233" s="7">
        <v>5</v>
      </c>
      <c r="E233" s="2">
        <v>20182.94</v>
      </c>
      <c r="F233" s="2">
        <v>1009.15</v>
      </c>
    </row>
    <row r="234" spans="1:6" x14ac:dyDescent="0.25">
      <c r="A234" t="s">
        <v>4055</v>
      </c>
      <c r="D234" s="7"/>
      <c r="E234" s="2"/>
      <c r="F234" s="2">
        <f>SUBTOTAL(109,A_1_06_19[VALOR PARCIAL])</f>
      </c>
    </row>
    <row r="236" ht="30" customHeight="1" spans="1:6" x14ac:dyDescent="0.25">
      <c r="A236" s="5" t="s">
        <v>4728</v>
      </c>
      <c r="B236" s="5"/>
      <c r="C236" s="5"/>
      <c r="D236" s="5"/>
      <c r="E236" s="5"/>
      <c r="F236" s="5"/>
    </row>
    <row r="237" ht="42" customHeight="1" spans="1:6" x14ac:dyDescent="0.25">
      <c r="A237" s="6" t="s">
        <v>4729</v>
      </c>
      <c r="B237" s="6"/>
      <c r="C237" s="6"/>
      <c r="D237" s="6"/>
      <c r="E237" s="6"/>
      <c r="F237" s="6"/>
    </row>
    <row r="238" spans="1:6" x14ac:dyDescent="0.25">
      <c r="A238" t="s">
        <v>4044</v>
      </c>
      <c r="B238" t="s">
        <v>4045</v>
      </c>
      <c r="C238" t="s">
        <v>5</v>
      </c>
      <c r="D238" t="s">
        <v>4046</v>
      </c>
      <c r="E238" t="s">
        <v>4047</v>
      </c>
      <c r="F238" t="s">
        <v>4048</v>
      </c>
    </row>
    <row r="239" spans="1:6" x14ac:dyDescent="0.25">
      <c r="A239" t="s">
        <v>4062</v>
      </c>
      <c r="B239" t="s">
        <v>4730</v>
      </c>
      <c r="C239" t="s">
        <v>63</v>
      </c>
      <c r="D239" s="7">
        <v>2</v>
      </c>
      <c r="E239" s="2">
        <v>1255</v>
      </c>
      <c r="F239" s="2">
        <v>2510</v>
      </c>
    </row>
    <row r="240" spans="1:6" x14ac:dyDescent="0.25">
      <c r="A240" t="s">
        <v>4062</v>
      </c>
      <c r="B240" t="s">
        <v>4731</v>
      </c>
      <c r="C240" t="s">
        <v>42</v>
      </c>
      <c r="D240" s="7">
        <v>1.1</v>
      </c>
      <c r="E240" s="2">
        <v>16092.44</v>
      </c>
      <c r="F240" s="2">
        <v>17701.68</v>
      </c>
    </row>
    <row r="241" spans="1:6" x14ac:dyDescent="0.25">
      <c r="A241" t="s">
        <v>4062</v>
      </c>
      <c r="B241" t="s">
        <v>4732</v>
      </c>
      <c r="C241" t="s">
        <v>63</v>
      </c>
      <c r="D241" s="7">
        <v>1</v>
      </c>
      <c r="E241" s="2">
        <v>176.67</v>
      </c>
      <c r="F241" s="2">
        <v>176.67</v>
      </c>
    </row>
    <row r="242" spans="1:6" x14ac:dyDescent="0.25">
      <c r="A242" t="s">
        <v>4062</v>
      </c>
      <c r="B242" t="s">
        <v>4733</v>
      </c>
      <c r="C242" t="s">
        <v>4066</v>
      </c>
      <c r="D242" s="7">
        <v>0.04</v>
      </c>
      <c r="E242" s="2">
        <v>132697.24</v>
      </c>
      <c r="F242" s="2">
        <v>5307.89</v>
      </c>
    </row>
    <row r="243" spans="1:6" x14ac:dyDescent="0.25">
      <c r="A243" t="s">
        <v>4049</v>
      </c>
      <c r="B243" t="s">
        <v>4241</v>
      </c>
      <c r="C243" t="s">
        <v>4051</v>
      </c>
      <c r="D243" s="7">
        <v>1</v>
      </c>
      <c r="E243" s="2">
        <v>9941.22</v>
      </c>
      <c r="F243" s="2">
        <v>9941.22</v>
      </c>
    </row>
    <row r="244" spans="1:6" x14ac:dyDescent="0.25">
      <c r="A244" t="s">
        <v>4049</v>
      </c>
      <c r="B244" t="s">
        <v>4242</v>
      </c>
      <c r="C244" t="s">
        <v>4051</v>
      </c>
      <c r="D244" s="7">
        <v>1</v>
      </c>
      <c r="E244" s="2">
        <v>17069.53</v>
      </c>
      <c r="F244" s="2">
        <v>17069.53</v>
      </c>
    </row>
    <row r="245" spans="1:6" x14ac:dyDescent="0.25">
      <c r="A245" t="s">
        <v>4052</v>
      </c>
      <c r="B245" t="s">
        <v>4053</v>
      </c>
      <c r="C245" t="s">
        <v>4054</v>
      </c>
      <c r="D245" s="7">
        <v>5</v>
      </c>
      <c r="E245" s="2">
        <v>27010.75</v>
      </c>
      <c r="F245" s="2">
        <v>1350.54</v>
      </c>
    </row>
    <row r="246" spans="1:6" x14ac:dyDescent="0.25">
      <c r="A246" t="s">
        <v>4055</v>
      </c>
      <c r="D246" s="7"/>
      <c r="E246" s="2"/>
      <c r="F246" s="2">
        <f>SUBTOTAL(109,A_1_06_20[VALOR PARCIAL])</f>
      </c>
    </row>
    <row r="248" ht="30" customHeight="1" spans="1:6" x14ac:dyDescent="0.25">
      <c r="A248" s="5" t="s">
        <v>4734</v>
      </c>
      <c r="B248" s="5"/>
      <c r="C248" s="5"/>
      <c r="D248" s="5"/>
      <c r="E248" s="5"/>
      <c r="F248" s="5"/>
    </row>
    <row r="249" ht="42" customHeight="1" spans="1:6" x14ac:dyDescent="0.25">
      <c r="A249" s="6" t="s">
        <v>4735</v>
      </c>
      <c r="B249" s="6"/>
      <c r="C249" s="6"/>
      <c r="D249" s="6"/>
      <c r="E249" s="6"/>
      <c r="F249" s="6"/>
    </row>
    <row r="250" spans="1:6" x14ac:dyDescent="0.25">
      <c r="A250" t="s">
        <v>4044</v>
      </c>
      <c r="B250" t="s">
        <v>4045</v>
      </c>
      <c r="C250" t="s">
        <v>5</v>
      </c>
      <c r="D250" t="s">
        <v>4046</v>
      </c>
      <c r="E250" t="s">
        <v>4047</v>
      </c>
      <c r="F250" t="s">
        <v>4048</v>
      </c>
    </row>
    <row r="251" spans="1:6" x14ac:dyDescent="0.25">
      <c r="A251" t="s">
        <v>4062</v>
      </c>
      <c r="B251" t="s">
        <v>4736</v>
      </c>
      <c r="C251" t="s">
        <v>63</v>
      </c>
      <c r="D251" s="7">
        <v>0.25</v>
      </c>
      <c r="E251" s="2">
        <v>2318</v>
      </c>
      <c r="F251" s="2">
        <v>579.5</v>
      </c>
    </row>
    <row r="252" spans="1:6" x14ac:dyDescent="0.25">
      <c r="A252" t="s">
        <v>4062</v>
      </c>
      <c r="B252" t="s">
        <v>4737</v>
      </c>
      <c r="C252" t="s">
        <v>42</v>
      </c>
      <c r="D252" s="7">
        <v>1.05</v>
      </c>
      <c r="E252" s="2">
        <v>6446</v>
      </c>
      <c r="F252" s="2">
        <v>6768.3</v>
      </c>
    </row>
    <row r="253" spans="1:6" x14ac:dyDescent="0.25">
      <c r="A253" t="s">
        <v>4062</v>
      </c>
      <c r="B253" t="s">
        <v>4738</v>
      </c>
      <c r="C253" t="s">
        <v>63</v>
      </c>
      <c r="D253" s="7">
        <v>1</v>
      </c>
      <c r="E253" s="2">
        <v>1004</v>
      </c>
      <c r="F253" s="2">
        <v>1004</v>
      </c>
    </row>
    <row r="254" spans="1:6" x14ac:dyDescent="0.25">
      <c r="A254" t="s">
        <v>4062</v>
      </c>
      <c r="B254" t="s">
        <v>4739</v>
      </c>
      <c r="C254" t="s">
        <v>63</v>
      </c>
      <c r="D254" s="7">
        <v>0.25</v>
      </c>
      <c r="E254" s="2">
        <v>2066.07</v>
      </c>
      <c r="F254" s="2">
        <v>516.52</v>
      </c>
    </row>
    <row r="255" spans="1:6" x14ac:dyDescent="0.25">
      <c r="A255" t="s">
        <v>4062</v>
      </c>
      <c r="B255" t="s">
        <v>4740</v>
      </c>
      <c r="C255" t="s">
        <v>63</v>
      </c>
      <c r="D255" s="7">
        <v>0.5</v>
      </c>
      <c r="E255" s="2">
        <v>1249.07</v>
      </c>
      <c r="F255" s="2">
        <v>624.53</v>
      </c>
    </row>
    <row r="256" spans="1:6" x14ac:dyDescent="0.25">
      <c r="A256" t="s">
        <v>4062</v>
      </c>
      <c r="B256" t="s">
        <v>4659</v>
      </c>
      <c r="C256" t="s">
        <v>4377</v>
      </c>
      <c r="D256" s="7">
        <v>0.01</v>
      </c>
      <c r="E256" s="2">
        <v>31500</v>
      </c>
      <c r="F256" s="2">
        <v>315</v>
      </c>
    </row>
    <row r="257" spans="1:6" x14ac:dyDescent="0.25">
      <c r="A257" t="s">
        <v>4062</v>
      </c>
      <c r="B257" t="s">
        <v>4376</v>
      </c>
      <c r="C257" t="s">
        <v>4377</v>
      </c>
      <c r="D257" s="7">
        <v>0.01</v>
      </c>
      <c r="E257" s="2">
        <v>72237.67</v>
      </c>
      <c r="F257" s="2">
        <v>722.38</v>
      </c>
    </row>
    <row r="258" spans="1:6" x14ac:dyDescent="0.25">
      <c r="A258" t="s">
        <v>4049</v>
      </c>
      <c r="B258" t="s">
        <v>4241</v>
      </c>
      <c r="C258" t="s">
        <v>4051</v>
      </c>
      <c r="D258" s="7">
        <v>0.14</v>
      </c>
      <c r="E258" s="2">
        <v>9941.22</v>
      </c>
      <c r="F258" s="2">
        <v>1391.77</v>
      </c>
    </row>
    <row r="259" spans="1:6" x14ac:dyDescent="0.25">
      <c r="A259" t="s">
        <v>4049</v>
      </c>
      <c r="B259" t="s">
        <v>4242</v>
      </c>
      <c r="C259" t="s">
        <v>4051</v>
      </c>
      <c r="D259" s="7">
        <v>0.14</v>
      </c>
      <c r="E259" s="2">
        <v>17069.53</v>
      </c>
      <c r="F259" s="2">
        <v>2389.73</v>
      </c>
    </row>
    <row r="260" spans="1:6" x14ac:dyDescent="0.25">
      <c r="A260" t="s">
        <v>4052</v>
      </c>
      <c r="B260" t="s">
        <v>4053</v>
      </c>
      <c r="C260" t="s">
        <v>4054</v>
      </c>
      <c r="D260" s="7">
        <v>5</v>
      </c>
      <c r="E260" s="2">
        <v>3781.5</v>
      </c>
      <c r="F260" s="2">
        <v>189.07</v>
      </c>
    </row>
    <row r="261" spans="1:6" x14ac:dyDescent="0.25">
      <c r="A261" t="s">
        <v>4055</v>
      </c>
      <c r="D261" s="7"/>
      <c r="E261" s="2"/>
      <c r="F261" s="2">
        <f>SUBTOTAL(109,A_1_06_21[VALOR PARCIAL])</f>
      </c>
    </row>
    <row r="263" ht="30" customHeight="1" spans="1:6" x14ac:dyDescent="0.25">
      <c r="A263" s="5" t="s">
        <v>4741</v>
      </c>
      <c r="B263" s="5"/>
      <c r="C263" s="5"/>
      <c r="D263" s="5"/>
      <c r="E263" s="5"/>
      <c r="F263" s="5"/>
    </row>
    <row r="264" ht="42" customHeight="1" spans="1:6" x14ac:dyDescent="0.25">
      <c r="A264" s="6" t="s">
        <v>4742</v>
      </c>
      <c r="B264" s="6"/>
      <c r="C264" s="6"/>
      <c r="D264" s="6"/>
      <c r="E264" s="6"/>
      <c r="F264" s="6"/>
    </row>
    <row r="265" spans="1:6" x14ac:dyDescent="0.25">
      <c r="A265" t="s">
        <v>4044</v>
      </c>
      <c r="B265" t="s">
        <v>4045</v>
      </c>
      <c r="C265" t="s">
        <v>5</v>
      </c>
      <c r="D265" t="s">
        <v>4046</v>
      </c>
      <c r="E265" t="s">
        <v>4047</v>
      </c>
      <c r="F265" t="s">
        <v>4048</v>
      </c>
    </row>
    <row r="266" spans="1:6" x14ac:dyDescent="0.25">
      <c r="A266" t="s">
        <v>4062</v>
      </c>
      <c r="B266" t="s">
        <v>4743</v>
      </c>
      <c r="C266" t="s">
        <v>63</v>
      </c>
      <c r="D266" s="7">
        <v>1</v>
      </c>
      <c r="E266" s="2">
        <v>1107</v>
      </c>
      <c r="F266" s="2">
        <v>1107</v>
      </c>
    </row>
    <row r="267" spans="1:6" x14ac:dyDescent="0.25">
      <c r="A267" t="s">
        <v>4062</v>
      </c>
      <c r="B267" t="s">
        <v>4744</v>
      </c>
      <c r="C267" t="s">
        <v>42</v>
      </c>
      <c r="D267" s="7">
        <v>1.05</v>
      </c>
      <c r="E267" s="2">
        <v>4776</v>
      </c>
      <c r="F267" s="2">
        <v>5014.8</v>
      </c>
    </row>
    <row r="268" spans="1:6" x14ac:dyDescent="0.25">
      <c r="A268" t="s">
        <v>4062</v>
      </c>
      <c r="B268" t="s">
        <v>4745</v>
      </c>
      <c r="C268" t="s">
        <v>63</v>
      </c>
      <c r="D268" s="7">
        <v>1</v>
      </c>
      <c r="E268" s="2">
        <v>599</v>
      </c>
      <c r="F268" s="2">
        <v>599</v>
      </c>
    </row>
    <row r="269" spans="1:6" x14ac:dyDescent="0.25">
      <c r="A269" t="s">
        <v>4062</v>
      </c>
      <c r="B269" t="s">
        <v>4746</v>
      </c>
      <c r="C269" t="s">
        <v>63</v>
      </c>
      <c r="D269" s="7">
        <v>0.5</v>
      </c>
      <c r="E269" s="2">
        <v>1309.4</v>
      </c>
      <c r="F269" s="2">
        <v>654.7</v>
      </c>
    </row>
    <row r="270" spans="1:6" x14ac:dyDescent="0.25">
      <c r="A270" t="s">
        <v>4062</v>
      </c>
      <c r="B270" t="s">
        <v>4747</v>
      </c>
      <c r="C270" t="s">
        <v>63</v>
      </c>
      <c r="D270" s="7">
        <v>0.5</v>
      </c>
      <c r="E270" s="2">
        <v>584.73</v>
      </c>
      <c r="F270" s="2">
        <v>292.37</v>
      </c>
    </row>
    <row r="271" spans="1:6" x14ac:dyDescent="0.25">
      <c r="A271" t="s">
        <v>4062</v>
      </c>
      <c r="B271" t="s">
        <v>4659</v>
      </c>
      <c r="C271" t="s">
        <v>4377</v>
      </c>
      <c r="D271" s="7">
        <v>0.01</v>
      </c>
      <c r="E271" s="2">
        <v>31500</v>
      </c>
      <c r="F271" s="2">
        <v>315</v>
      </c>
    </row>
    <row r="272" spans="1:6" x14ac:dyDescent="0.25">
      <c r="A272" t="s">
        <v>4062</v>
      </c>
      <c r="B272" t="s">
        <v>4376</v>
      </c>
      <c r="C272" t="s">
        <v>4377</v>
      </c>
      <c r="D272" s="7">
        <v>0.01</v>
      </c>
      <c r="E272" s="2">
        <v>72237.67</v>
      </c>
      <c r="F272" s="2">
        <v>722.38</v>
      </c>
    </row>
    <row r="273" spans="1:6" x14ac:dyDescent="0.25">
      <c r="A273" t="s">
        <v>4049</v>
      </c>
      <c r="B273" t="s">
        <v>4241</v>
      </c>
      <c r="C273" t="s">
        <v>4051</v>
      </c>
      <c r="D273" s="7">
        <v>0.14</v>
      </c>
      <c r="E273" s="2">
        <v>9941.22</v>
      </c>
      <c r="F273" s="2">
        <v>1391.77</v>
      </c>
    </row>
    <row r="274" spans="1:6" x14ac:dyDescent="0.25">
      <c r="A274" t="s">
        <v>4049</v>
      </c>
      <c r="B274" t="s">
        <v>4242</v>
      </c>
      <c r="C274" t="s">
        <v>4051</v>
      </c>
      <c r="D274" s="7">
        <v>0.14</v>
      </c>
      <c r="E274" s="2">
        <v>17069.53</v>
      </c>
      <c r="F274" s="2">
        <v>2389.73</v>
      </c>
    </row>
    <row r="275" spans="1:6" x14ac:dyDescent="0.25">
      <c r="A275" t="s">
        <v>4052</v>
      </c>
      <c r="B275" t="s">
        <v>4053</v>
      </c>
      <c r="C275" t="s">
        <v>4054</v>
      </c>
      <c r="D275" s="7">
        <v>3.3</v>
      </c>
      <c r="E275" s="2">
        <v>3781.5</v>
      </c>
      <c r="F275" s="2">
        <v>124.79</v>
      </c>
    </row>
    <row r="276" spans="1:6" x14ac:dyDescent="0.25">
      <c r="A276" t="s">
        <v>4055</v>
      </c>
      <c r="D276" s="7"/>
      <c r="E276" s="2"/>
      <c r="F276" s="2">
        <f>SUBTOTAL(109,A_1_06_22[VALOR PARCIAL])</f>
      </c>
    </row>
    <row r="278" ht="30" customHeight="1" spans="1:6" x14ac:dyDescent="0.25">
      <c r="A278" s="5" t="s">
        <v>4748</v>
      </c>
      <c r="B278" s="5"/>
      <c r="C278" s="5"/>
      <c r="D278" s="5"/>
      <c r="E278" s="5"/>
      <c r="F278" s="5"/>
    </row>
    <row r="279" ht="42" customHeight="1" spans="1:6" x14ac:dyDescent="0.25">
      <c r="A279" s="6" t="s">
        <v>4749</v>
      </c>
      <c r="B279" s="6"/>
      <c r="C279" s="6"/>
      <c r="D279" s="6"/>
      <c r="E279" s="6"/>
      <c r="F279" s="6"/>
    </row>
    <row r="280" spans="1:6" x14ac:dyDescent="0.25">
      <c r="A280" t="s">
        <v>4044</v>
      </c>
      <c r="B280" t="s">
        <v>4045</v>
      </c>
      <c r="C280" t="s">
        <v>5</v>
      </c>
      <c r="D280" t="s">
        <v>4046</v>
      </c>
      <c r="E280" t="s">
        <v>4047</v>
      </c>
      <c r="F280" t="s">
        <v>4048</v>
      </c>
    </row>
    <row r="281" spans="1:6" x14ac:dyDescent="0.25">
      <c r="A281" t="s">
        <v>4062</v>
      </c>
      <c r="B281" t="s">
        <v>4750</v>
      </c>
      <c r="C281" t="s">
        <v>63</v>
      </c>
      <c r="D281" s="7">
        <v>1</v>
      </c>
      <c r="E281" s="2">
        <v>741</v>
      </c>
      <c r="F281" s="2">
        <v>741</v>
      </c>
    </row>
    <row r="282" spans="1:6" x14ac:dyDescent="0.25">
      <c r="A282" t="s">
        <v>4062</v>
      </c>
      <c r="B282" t="s">
        <v>4701</v>
      </c>
      <c r="C282" t="s">
        <v>42</v>
      </c>
      <c r="D282" s="7">
        <v>1.05</v>
      </c>
      <c r="E282" s="2">
        <v>3804</v>
      </c>
      <c r="F282" s="2">
        <v>3994.2</v>
      </c>
    </row>
    <row r="283" spans="1:6" x14ac:dyDescent="0.25">
      <c r="A283" t="s">
        <v>4062</v>
      </c>
      <c r="B283" t="s">
        <v>4751</v>
      </c>
      <c r="C283" t="s">
        <v>63</v>
      </c>
      <c r="D283" s="7">
        <v>1</v>
      </c>
      <c r="E283" s="2">
        <v>1237</v>
      </c>
      <c r="F283" s="2">
        <v>1237</v>
      </c>
    </row>
    <row r="284" spans="1:6" x14ac:dyDescent="0.25">
      <c r="A284" t="s">
        <v>4062</v>
      </c>
      <c r="B284" t="s">
        <v>4752</v>
      </c>
      <c r="C284" t="s">
        <v>63</v>
      </c>
      <c r="D284" s="7">
        <v>1</v>
      </c>
      <c r="E284" s="2">
        <v>382.07</v>
      </c>
      <c r="F284" s="2">
        <v>382.07</v>
      </c>
    </row>
    <row r="285" spans="1:6" x14ac:dyDescent="0.25">
      <c r="A285" t="s">
        <v>4062</v>
      </c>
      <c r="B285" t="s">
        <v>4659</v>
      </c>
      <c r="C285" t="s">
        <v>4377</v>
      </c>
      <c r="D285" s="7">
        <v>0.01</v>
      </c>
      <c r="E285" s="2">
        <v>31500</v>
      </c>
      <c r="F285" s="2">
        <v>315</v>
      </c>
    </row>
    <row r="286" spans="1:6" x14ac:dyDescent="0.25">
      <c r="A286" t="s">
        <v>4062</v>
      </c>
      <c r="B286" t="s">
        <v>4376</v>
      </c>
      <c r="C286" t="s">
        <v>4377</v>
      </c>
      <c r="D286" s="7">
        <v>0.01</v>
      </c>
      <c r="E286" s="2">
        <v>72237.67</v>
      </c>
      <c r="F286" s="2">
        <v>722.38</v>
      </c>
    </row>
    <row r="287" spans="1:6" x14ac:dyDescent="0.25">
      <c r="A287" t="s">
        <v>4049</v>
      </c>
      <c r="B287" t="s">
        <v>4241</v>
      </c>
      <c r="C287" t="s">
        <v>4051</v>
      </c>
      <c r="D287" s="7">
        <v>0.1</v>
      </c>
      <c r="E287" s="2">
        <v>9941.22</v>
      </c>
      <c r="F287" s="2">
        <v>994.12</v>
      </c>
    </row>
    <row r="288" spans="1:6" x14ac:dyDescent="0.25">
      <c r="A288" t="s">
        <v>4049</v>
      </c>
      <c r="B288" t="s">
        <v>4242</v>
      </c>
      <c r="C288" t="s">
        <v>4051</v>
      </c>
      <c r="D288" s="7">
        <v>0.1</v>
      </c>
      <c r="E288" s="2">
        <v>17069.53</v>
      </c>
      <c r="F288" s="2">
        <v>1706.95</v>
      </c>
    </row>
    <row r="289" spans="1:6" x14ac:dyDescent="0.25">
      <c r="A289" t="s">
        <v>4052</v>
      </c>
      <c r="B289" t="s">
        <v>4053</v>
      </c>
      <c r="C289" t="s">
        <v>4054</v>
      </c>
      <c r="D289" s="7">
        <v>3.3</v>
      </c>
      <c r="E289" s="2">
        <v>2701.07</v>
      </c>
      <c r="F289" s="2">
        <v>89.14</v>
      </c>
    </row>
    <row r="290" spans="1:6" x14ac:dyDescent="0.25">
      <c r="A290" t="s">
        <v>4055</v>
      </c>
      <c r="D290" s="7"/>
      <c r="E290" s="2"/>
      <c r="F290" s="2">
        <f>SUBTOTAL(109,A_1_06_23[VALOR PARCIAL])</f>
      </c>
    </row>
    <row r="292" ht="30" customHeight="1" spans="1:6" x14ac:dyDescent="0.25">
      <c r="A292" s="5" t="s">
        <v>4753</v>
      </c>
      <c r="B292" s="5"/>
      <c r="C292" s="5"/>
      <c r="D292" s="5"/>
      <c r="E292" s="5"/>
      <c r="F292" s="5"/>
    </row>
    <row r="293" ht="42" customHeight="1" spans="1:6" x14ac:dyDescent="0.25">
      <c r="A293" s="6" t="s">
        <v>4754</v>
      </c>
      <c r="B293" s="6"/>
      <c r="C293" s="6"/>
      <c r="D293" s="6"/>
      <c r="E293" s="6"/>
      <c r="F293" s="6"/>
    </row>
    <row r="294" spans="1:6" x14ac:dyDescent="0.25">
      <c r="A294" t="s">
        <v>4044</v>
      </c>
      <c r="B294" t="s">
        <v>4045</v>
      </c>
      <c r="C294" t="s">
        <v>5</v>
      </c>
      <c r="D294" t="s">
        <v>4046</v>
      </c>
      <c r="E294" t="s">
        <v>4047</v>
      </c>
      <c r="F294" t="s">
        <v>4048</v>
      </c>
    </row>
    <row r="295" spans="1:6" x14ac:dyDescent="0.25">
      <c r="A295" t="s">
        <v>4062</v>
      </c>
      <c r="B295" t="s">
        <v>4755</v>
      </c>
      <c r="C295" t="s">
        <v>63</v>
      </c>
      <c r="D295" s="7">
        <v>1</v>
      </c>
      <c r="E295" s="2">
        <v>32520</v>
      </c>
      <c r="F295" s="2">
        <v>32520</v>
      </c>
    </row>
    <row r="296" spans="1:6" x14ac:dyDescent="0.25">
      <c r="A296" t="s">
        <v>4049</v>
      </c>
      <c r="B296" t="s">
        <v>4241</v>
      </c>
      <c r="C296" t="s">
        <v>4051</v>
      </c>
      <c r="D296" s="7">
        <v>0.3</v>
      </c>
      <c r="E296" s="2">
        <v>9941.22</v>
      </c>
      <c r="F296" s="2">
        <v>2982.37</v>
      </c>
    </row>
    <row r="297" spans="1:6" x14ac:dyDescent="0.25">
      <c r="A297" t="s">
        <v>4049</v>
      </c>
      <c r="B297" t="s">
        <v>4242</v>
      </c>
      <c r="C297" t="s">
        <v>4051</v>
      </c>
      <c r="D297" s="7">
        <v>0.3</v>
      </c>
      <c r="E297" s="2">
        <v>17069.53</v>
      </c>
      <c r="F297" s="2">
        <v>5120.86</v>
      </c>
    </row>
    <row r="298" spans="1:6" x14ac:dyDescent="0.25">
      <c r="A298" t="s">
        <v>4052</v>
      </c>
      <c r="B298" t="s">
        <v>4053</v>
      </c>
      <c r="C298" t="s">
        <v>4054</v>
      </c>
      <c r="D298" s="7">
        <v>1</v>
      </c>
      <c r="E298" s="2">
        <v>8103.23</v>
      </c>
      <c r="F298" s="2">
        <v>81.03</v>
      </c>
    </row>
    <row r="299" spans="1:6" x14ac:dyDescent="0.25">
      <c r="A299" t="s">
        <v>4055</v>
      </c>
      <c r="D299" s="7"/>
      <c r="E299" s="2"/>
      <c r="F299" s="2">
        <f>SUBTOTAL(109,A_1_06_24[VALOR PARCIAL])</f>
      </c>
    </row>
    <row r="301" ht="30" customHeight="1" spans="1:6" x14ac:dyDescent="0.25">
      <c r="A301" s="5" t="s">
        <v>4756</v>
      </c>
      <c r="B301" s="5"/>
      <c r="C301" s="5"/>
      <c r="D301" s="5"/>
      <c r="E301" s="5"/>
      <c r="F301" s="5"/>
    </row>
    <row r="302" ht="42" customHeight="1" spans="1:6" x14ac:dyDescent="0.25">
      <c r="A302" s="6" t="s">
        <v>4757</v>
      </c>
      <c r="B302" s="6"/>
      <c r="C302" s="6"/>
      <c r="D302" s="6"/>
      <c r="E302" s="6"/>
      <c r="F302" s="6"/>
    </row>
    <row r="303" spans="1:6" x14ac:dyDescent="0.25">
      <c r="A303" t="s">
        <v>4044</v>
      </c>
      <c r="B303" t="s">
        <v>4045</v>
      </c>
      <c r="C303" t="s">
        <v>5</v>
      </c>
      <c r="D303" t="s">
        <v>4046</v>
      </c>
      <c r="E303" t="s">
        <v>4047</v>
      </c>
      <c r="F303" t="s">
        <v>4048</v>
      </c>
    </row>
    <row r="304" spans="1:6" x14ac:dyDescent="0.25">
      <c r="A304" t="s">
        <v>4062</v>
      </c>
      <c r="B304" t="s">
        <v>4758</v>
      </c>
      <c r="C304" t="s">
        <v>63</v>
      </c>
      <c r="D304" s="7">
        <v>1</v>
      </c>
      <c r="E304" s="2">
        <v>61320</v>
      </c>
      <c r="F304" s="2">
        <v>61320</v>
      </c>
    </row>
    <row r="305" spans="1:6" x14ac:dyDescent="0.25">
      <c r="A305" t="s">
        <v>4049</v>
      </c>
      <c r="B305" t="s">
        <v>4241</v>
      </c>
      <c r="C305" t="s">
        <v>4051</v>
      </c>
      <c r="D305" s="7">
        <v>0.7</v>
      </c>
      <c r="E305" s="2">
        <v>9941.22</v>
      </c>
      <c r="F305" s="2">
        <v>6958.85</v>
      </c>
    </row>
    <row r="306" spans="1:6" x14ac:dyDescent="0.25">
      <c r="A306" t="s">
        <v>4049</v>
      </c>
      <c r="B306" t="s">
        <v>4242</v>
      </c>
      <c r="C306" t="s">
        <v>4051</v>
      </c>
      <c r="D306" s="7">
        <v>0.7</v>
      </c>
      <c r="E306" s="2">
        <v>17069.53</v>
      </c>
      <c r="F306" s="2">
        <v>11948.67</v>
      </c>
    </row>
    <row r="307" spans="1:6" x14ac:dyDescent="0.25">
      <c r="A307" t="s">
        <v>4052</v>
      </c>
      <c r="B307" t="s">
        <v>4053</v>
      </c>
      <c r="C307" t="s">
        <v>4054</v>
      </c>
      <c r="D307" s="7">
        <v>5</v>
      </c>
      <c r="E307" s="2">
        <v>18907.52</v>
      </c>
      <c r="F307" s="2">
        <v>945.38</v>
      </c>
    </row>
    <row r="308" spans="1:6" x14ac:dyDescent="0.25">
      <c r="A308" t="s">
        <v>4055</v>
      </c>
      <c r="D308" s="7"/>
      <c r="E308" s="2"/>
      <c r="F308" s="2">
        <f>SUBTOTAL(109,A_1_06_25[VALOR PARCIAL])</f>
      </c>
    </row>
    <row r="310" ht="30" customHeight="1" spans="1:6" x14ac:dyDescent="0.25">
      <c r="A310" s="5" t="s">
        <v>4759</v>
      </c>
      <c r="B310" s="5"/>
      <c r="C310" s="5"/>
      <c r="D310" s="5"/>
      <c r="E310" s="5"/>
      <c r="F310" s="5"/>
    </row>
    <row r="311" ht="42" customHeight="1" spans="1:6" x14ac:dyDescent="0.25">
      <c r="A311" s="6" t="s">
        <v>4760</v>
      </c>
      <c r="B311" s="6"/>
      <c r="C311" s="6"/>
      <c r="D311" s="6"/>
      <c r="E311" s="6"/>
      <c r="F311" s="6"/>
    </row>
    <row r="312" spans="1:6" x14ac:dyDescent="0.25">
      <c r="A312" t="s">
        <v>4044</v>
      </c>
      <c r="B312" t="s">
        <v>4045</v>
      </c>
      <c r="C312" t="s">
        <v>5</v>
      </c>
      <c r="D312" t="s">
        <v>4046</v>
      </c>
      <c r="E312" t="s">
        <v>4047</v>
      </c>
      <c r="F312" t="s">
        <v>4048</v>
      </c>
    </row>
    <row r="313" spans="1:6" x14ac:dyDescent="0.25">
      <c r="A313" t="s">
        <v>4062</v>
      </c>
      <c r="B313" t="s">
        <v>4715</v>
      </c>
      <c r="C313" t="s">
        <v>63</v>
      </c>
      <c r="D313" s="7">
        <v>1</v>
      </c>
      <c r="E313" s="2">
        <v>41000</v>
      </c>
      <c r="F313" s="2">
        <v>41000</v>
      </c>
    </row>
    <row r="314" spans="1:6" x14ac:dyDescent="0.25">
      <c r="A314" t="s">
        <v>4049</v>
      </c>
      <c r="B314" t="s">
        <v>4241</v>
      </c>
      <c r="C314" t="s">
        <v>4051</v>
      </c>
      <c r="D314" s="7">
        <v>0.55</v>
      </c>
      <c r="E314" s="2">
        <v>9941.22</v>
      </c>
      <c r="F314" s="2">
        <v>5467.67</v>
      </c>
    </row>
    <row r="315" spans="1:6" x14ac:dyDescent="0.25">
      <c r="A315" t="s">
        <v>4049</v>
      </c>
      <c r="B315" t="s">
        <v>4242</v>
      </c>
      <c r="C315" t="s">
        <v>4051</v>
      </c>
      <c r="D315" s="7">
        <v>0.55</v>
      </c>
      <c r="E315" s="2">
        <v>17069.53</v>
      </c>
      <c r="F315" s="2">
        <v>9388.24</v>
      </c>
    </row>
    <row r="316" spans="1:6" x14ac:dyDescent="0.25">
      <c r="A316" t="s">
        <v>4052</v>
      </c>
      <c r="B316" t="s">
        <v>4053</v>
      </c>
      <c r="C316" t="s">
        <v>4054</v>
      </c>
      <c r="D316" s="7">
        <v>5</v>
      </c>
      <c r="E316" s="2">
        <v>14855.91</v>
      </c>
      <c r="F316" s="2">
        <v>742.8</v>
      </c>
    </row>
    <row r="317" spans="1:6" x14ac:dyDescent="0.25">
      <c r="A317" t="s">
        <v>4055</v>
      </c>
      <c r="D317" s="7"/>
      <c r="E317" s="2"/>
      <c r="F317" s="2">
        <f>SUBTOTAL(109,A_1_06_26[VALOR PARCIAL])</f>
      </c>
    </row>
    <row r="319" ht="30" customHeight="1" spans="1:6" x14ac:dyDescent="0.25">
      <c r="A319" s="5" t="s">
        <v>4761</v>
      </c>
      <c r="B319" s="5"/>
      <c r="C319" s="5"/>
      <c r="D319" s="5"/>
      <c r="E319" s="5"/>
      <c r="F319" s="5"/>
    </row>
    <row r="320" ht="42" customHeight="1" spans="1:6" x14ac:dyDescent="0.25">
      <c r="A320" s="6" t="s">
        <v>4762</v>
      </c>
      <c r="B320" s="6"/>
      <c r="C320" s="6"/>
      <c r="D320" s="6"/>
      <c r="E320" s="6"/>
      <c r="F320" s="6"/>
    </row>
    <row r="321" spans="1:6" x14ac:dyDescent="0.25">
      <c r="A321" t="s">
        <v>4044</v>
      </c>
      <c r="B321" t="s">
        <v>4045</v>
      </c>
      <c r="C321" t="s">
        <v>5</v>
      </c>
      <c r="D321" t="s">
        <v>4046</v>
      </c>
      <c r="E321" t="s">
        <v>4047</v>
      </c>
      <c r="F321" t="s">
        <v>4048</v>
      </c>
    </row>
    <row r="322" spans="1:6" x14ac:dyDescent="0.25">
      <c r="A322" t="s">
        <v>4062</v>
      </c>
      <c r="B322" t="s">
        <v>4763</v>
      </c>
      <c r="C322" t="s">
        <v>42</v>
      </c>
      <c r="D322" s="7">
        <v>1.05</v>
      </c>
      <c r="E322" s="2">
        <v>10275</v>
      </c>
      <c r="F322" s="2">
        <v>10788.75</v>
      </c>
    </row>
    <row r="323" spans="1:6" x14ac:dyDescent="0.25">
      <c r="A323" t="s">
        <v>4062</v>
      </c>
      <c r="B323" t="s">
        <v>4663</v>
      </c>
      <c r="C323" t="s">
        <v>63</v>
      </c>
      <c r="D323" s="7">
        <v>0.25</v>
      </c>
      <c r="E323" s="2">
        <v>5259</v>
      </c>
      <c r="F323" s="2">
        <v>1314.75</v>
      </c>
    </row>
    <row r="324" spans="1:6" x14ac:dyDescent="0.25">
      <c r="A324" t="s">
        <v>4062</v>
      </c>
      <c r="B324" t="s">
        <v>4659</v>
      </c>
      <c r="C324" t="s">
        <v>4377</v>
      </c>
      <c r="D324" s="7">
        <v>0.01</v>
      </c>
      <c r="E324" s="2">
        <v>31500</v>
      </c>
      <c r="F324" s="2">
        <v>315</v>
      </c>
    </row>
    <row r="325" spans="1:6" x14ac:dyDescent="0.25">
      <c r="A325" t="s">
        <v>4062</v>
      </c>
      <c r="B325" t="s">
        <v>4376</v>
      </c>
      <c r="C325" t="s">
        <v>4377</v>
      </c>
      <c r="D325" s="7">
        <v>0.01</v>
      </c>
      <c r="E325" s="2">
        <v>72237.67</v>
      </c>
      <c r="F325" s="2">
        <v>722.38</v>
      </c>
    </row>
    <row r="326" spans="1:6" x14ac:dyDescent="0.25">
      <c r="A326" t="s">
        <v>4049</v>
      </c>
      <c r="B326" t="s">
        <v>4241</v>
      </c>
      <c r="C326" t="s">
        <v>4051</v>
      </c>
      <c r="D326" s="7">
        <v>0.4</v>
      </c>
      <c r="E326" s="2">
        <v>9941.22</v>
      </c>
      <c r="F326" s="2">
        <v>3976.49</v>
      </c>
    </row>
    <row r="327" spans="1:6" x14ac:dyDescent="0.25">
      <c r="A327" t="s">
        <v>4049</v>
      </c>
      <c r="B327" t="s">
        <v>4242</v>
      </c>
      <c r="C327" t="s">
        <v>4051</v>
      </c>
      <c r="D327" s="7">
        <v>0.4</v>
      </c>
      <c r="E327" s="2">
        <v>17069.53</v>
      </c>
      <c r="F327" s="2">
        <v>6827.81</v>
      </c>
    </row>
    <row r="328" spans="1:6" x14ac:dyDescent="0.25">
      <c r="A328" t="s">
        <v>4052</v>
      </c>
      <c r="B328" t="s">
        <v>4053</v>
      </c>
      <c r="C328" t="s">
        <v>4054</v>
      </c>
      <c r="D328" s="7">
        <v>5</v>
      </c>
      <c r="E328" s="2">
        <v>10804.3</v>
      </c>
      <c r="F328" s="2">
        <v>540.22</v>
      </c>
    </row>
    <row r="329" spans="1:6" x14ac:dyDescent="0.25">
      <c r="A329" t="s">
        <v>4055</v>
      </c>
      <c r="D329" s="7"/>
      <c r="E329" s="2"/>
      <c r="F329" s="2">
        <f>SUBTOTAL(109,A_1_06_27[VALOR PARCIAL])</f>
      </c>
    </row>
    <row r="331" ht="30" customHeight="1" spans="1:6" x14ac:dyDescent="0.25">
      <c r="A331" s="5" t="s">
        <v>4764</v>
      </c>
      <c r="B331" s="5"/>
      <c r="C331" s="5"/>
      <c r="D331" s="5"/>
      <c r="E331" s="5"/>
      <c r="F331" s="5"/>
    </row>
    <row r="332" ht="42" customHeight="1" spans="1:6" x14ac:dyDescent="0.25">
      <c r="A332" s="6" t="s">
        <v>4765</v>
      </c>
      <c r="B332" s="6"/>
      <c r="C332" s="6"/>
      <c r="D332" s="6"/>
      <c r="E332" s="6"/>
      <c r="F332" s="6"/>
    </row>
    <row r="333" spans="1:6" x14ac:dyDescent="0.25">
      <c r="A333" t="s">
        <v>4044</v>
      </c>
      <c r="B333" t="s">
        <v>4045</v>
      </c>
      <c r="C333" t="s">
        <v>5</v>
      </c>
      <c r="D333" t="s">
        <v>4046</v>
      </c>
      <c r="E333" t="s">
        <v>4047</v>
      </c>
      <c r="F333" t="s">
        <v>4048</v>
      </c>
    </row>
    <row r="334" spans="1:6" x14ac:dyDescent="0.25">
      <c r="A334" t="s">
        <v>4062</v>
      </c>
      <c r="B334" t="s">
        <v>4380</v>
      </c>
      <c r="C334" t="s">
        <v>42</v>
      </c>
      <c r="D334" s="7">
        <v>2.75</v>
      </c>
      <c r="E334" s="2">
        <v>16665</v>
      </c>
      <c r="F334" s="2">
        <v>45828.75</v>
      </c>
    </row>
    <row r="335" spans="1:6" x14ac:dyDescent="0.25">
      <c r="A335" t="s">
        <v>4062</v>
      </c>
      <c r="B335" t="s">
        <v>4766</v>
      </c>
      <c r="C335" t="s">
        <v>63</v>
      </c>
      <c r="D335" s="7">
        <v>1</v>
      </c>
      <c r="E335" s="2">
        <v>14405</v>
      </c>
      <c r="F335" s="2">
        <v>14405</v>
      </c>
    </row>
    <row r="336" spans="1:6" x14ac:dyDescent="0.25">
      <c r="A336" t="s">
        <v>4062</v>
      </c>
      <c r="B336" t="s">
        <v>4663</v>
      </c>
      <c r="C336" t="s">
        <v>63</v>
      </c>
      <c r="D336" s="7">
        <v>1</v>
      </c>
      <c r="E336" s="2">
        <v>5259</v>
      </c>
      <c r="F336" s="2">
        <v>5259</v>
      </c>
    </row>
    <row r="337" spans="1:6" x14ac:dyDescent="0.25">
      <c r="A337" t="s">
        <v>4062</v>
      </c>
      <c r="B337" t="s">
        <v>4767</v>
      </c>
      <c r="C337" t="s">
        <v>63</v>
      </c>
      <c r="D337" s="7">
        <v>1</v>
      </c>
      <c r="E337" s="2">
        <v>7248</v>
      </c>
      <c r="F337" s="2">
        <v>7248</v>
      </c>
    </row>
    <row r="338" spans="1:6" x14ac:dyDescent="0.25">
      <c r="A338" t="s">
        <v>4062</v>
      </c>
      <c r="B338" t="s">
        <v>4659</v>
      </c>
      <c r="C338" t="s">
        <v>4377</v>
      </c>
      <c r="D338" s="7">
        <v>0.05</v>
      </c>
      <c r="E338" s="2">
        <v>31500</v>
      </c>
      <c r="F338" s="2">
        <v>1575</v>
      </c>
    </row>
    <row r="339" spans="1:6" x14ac:dyDescent="0.25">
      <c r="A339" t="s">
        <v>4062</v>
      </c>
      <c r="B339" t="s">
        <v>4376</v>
      </c>
      <c r="C339" t="s">
        <v>4377</v>
      </c>
      <c r="D339" s="7">
        <v>0.1</v>
      </c>
      <c r="E339" s="2">
        <v>72237.67</v>
      </c>
      <c r="F339" s="2">
        <v>7223.77</v>
      </c>
    </row>
    <row r="340" spans="1:6" x14ac:dyDescent="0.25">
      <c r="A340" t="s">
        <v>4049</v>
      </c>
      <c r="B340" t="s">
        <v>4241</v>
      </c>
      <c r="C340" t="s">
        <v>4051</v>
      </c>
      <c r="D340" s="7">
        <v>2</v>
      </c>
      <c r="E340" s="2">
        <v>9941.22</v>
      </c>
      <c r="F340" s="2">
        <v>19882.44</v>
      </c>
    </row>
    <row r="341" spans="1:6" x14ac:dyDescent="0.25">
      <c r="A341" t="s">
        <v>4049</v>
      </c>
      <c r="B341" t="s">
        <v>4242</v>
      </c>
      <c r="C341" t="s">
        <v>4051</v>
      </c>
      <c r="D341" s="7">
        <v>1</v>
      </c>
      <c r="E341" s="2">
        <v>17069.53</v>
      </c>
      <c r="F341" s="2">
        <v>17069.53</v>
      </c>
    </row>
    <row r="342" spans="1:6" x14ac:dyDescent="0.25">
      <c r="A342" t="s">
        <v>4052</v>
      </c>
      <c r="B342" t="s">
        <v>4053</v>
      </c>
      <c r="C342" t="s">
        <v>4054</v>
      </c>
      <c r="D342" s="7">
        <v>5</v>
      </c>
      <c r="E342" s="2">
        <v>36951.97</v>
      </c>
      <c r="F342" s="2">
        <v>1847.6</v>
      </c>
    </row>
    <row r="343" spans="1:6" x14ac:dyDescent="0.25">
      <c r="A343" t="s">
        <v>4055</v>
      </c>
      <c r="D343" s="7"/>
      <c r="E343" s="2"/>
      <c r="F343" s="2">
        <f>SUBTOTAL(109,A_1_06_28[VALOR PARCIAL])</f>
      </c>
    </row>
    <row r="345" ht="30" customHeight="1" spans="1:6" x14ac:dyDescent="0.25">
      <c r="A345" s="5" t="s">
        <v>4768</v>
      </c>
      <c r="B345" s="5"/>
      <c r="C345" s="5"/>
      <c r="D345" s="5"/>
      <c r="E345" s="5"/>
      <c r="F345" s="5"/>
    </row>
    <row r="346" ht="42" customHeight="1" spans="1:6" x14ac:dyDescent="0.25">
      <c r="A346" s="6" t="s">
        <v>4769</v>
      </c>
      <c r="B346" s="6"/>
      <c r="C346" s="6"/>
      <c r="D346" s="6"/>
      <c r="E346" s="6"/>
      <c r="F346" s="6"/>
    </row>
    <row r="347" spans="1:6" x14ac:dyDescent="0.25">
      <c r="A347" t="s">
        <v>4044</v>
      </c>
      <c r="B347" t="s">
        <v>4045</v>
      </c>
      <c r="C347" t="s">
        <v>5</v>
      </c>
      <c r="D347" t="s">
        <v>4046</v>
      </c>
      <c r="E347" t="s">
        <v>4047</v>
      </c>
      <c r="F347" t="s">
        <v>4048</v>
      </c>
    </row>
    <row r="348" spans="1:6" x14ac:dyDescent="0.25">
      <c r="A348" t="s">
        <v>4062</v>
      </c>
      <c r="B348" t="s">
        <v>4770</v>
      </c>
      <c r="C348" t="s">
        <v>63</v>
      </c>
      <c r="D348" s="7">
        <v>1</v>
      </c>
      <c r="E348" s="2">
        <v>15486</v>
      </c>
      <c r="F348" s="2">
        <v>15486</v>
      </c>
    </row>
    <row r="349" spans="1:6" x14ac:dyDescent="0.25">
      <c r="A349" t="s">
        <v>4062</v>
      </c>
      <c r="B349" t="s">
        <v>4771</v>
      </c>
      <c r="C349" t="s">
        <v>63</v>
      </c>
      <c r="D349" s="7">
        <v>1</v>
      </c>
      <c r="E349" s="2">
        <v>168980.07</v>
      </c>
      <c r="F349" s="2">
        <v>168980.07</v>
      </c>
    </row>
    <row r="350" spans="1:6" x14ac:dyDescent="0.25">
      <c r="A350" t="s">
        <v>4049</v>
      </c>
      <c r="B350" t="s">
        <v>4241</v>
      </c>
      <c r="C350" t="s">
        <v>4051</v>
      </c>
      <c r="D350" s="7">
        <v>0.5</v>
      </c>
      <c r="E350" s="2">
        <v>9941.22</v>
      </c>
      <c r="F350" s="2">
        <v>4970.61</v>
      </c>
    </row>
    <row r="351" spans="1:6" x14ac:dyDescent="0.25">
      <c r="A351" t="s">
        <v>4049</v>
      </c>
      <c r="B351" t="s">
        <v>4242</v>
      </c>
      <c r="C351" t="s">
        <v>4051</v>
      </c>
      <c r="D351" s="7">
        <v>0.5</v>
      </c>
      <c r="E351" s="2">
        <v>17069.53</v>
      </c>
      <c r="F351" s="2">
        <v>8534.76</v>
      </c>
    </row>
    <row r="352" spans="1:6" x14ac:dyDescent="0.25">
      <c r="A352" t="s">
        <v>4052</v>
      </c>
      <c r="B352" t="s">
        <v>4053</v>
      </c>
      <c r="C352" t="s">
        <v>4054</v>
      </c>
      <c r="D352" s="7">
        <v>5</v>
      </c>
      <c r="E352" s="2">
        <v>13505.37</v>
      </c>
      <c r="F352" s="2">
        <v>675.27</v>
      </c>
    </row>
    <row r="353" spans="1:6" x14ac:dyDescent="0.25">
      <c r="A353" t="s">
        <v>4055</v>
      </c>
      <c r="D353" s="7"/>
      <c r="E353" s="2"/>
      <c r="F353" s="2">
        <f>SUBTOTAL(109,A_1_06_29[VALOR PARCIAL])</f>
      </c>
    </row>
    <row r="355" ht="30" customHeight="1" spans="1:6" x14ac:dyDescent="0.25">
      <c r="A355" s="5" t="s">
        <v>4772</v>
      </c>
      <c r="B355" s="5"/>
      <c r="C355" s="5"/>
      <c r="D355" s="5"/>
      <c r="E355" s="5"/>
      <c r="F355" s="5"/>
    </row>
    <row r="356" ht="42" customHeight="1" spans="1:6" x14ac:dyDescent="0.25">
      <c r="A356" s="6" t="s">
        <v>4773</v>
      </c>
      <c r="B356" s="6"/>
      <c r="C356" s="6"/>
      <c r="D356" s="6"/>
      <c r="E356" s="6"/>
      <c r="F356" s="6"/>
    </row>
    <row r="357" spans="1:6" x14ac:dyDescent="0.25">
      <c r="A357" t="s">
        <v>4044</v>
      </c>
      <c r="B357" t="s">
        <v>4045</v>
      </c>
      <c r="C357" t="s">
        <v>5</v>
      </c>
      <c r="D357" t="s">
        <v>4046</v>
      </c>
      <c r="E357" t="s">
        <v>4047</v>
      </c>
      <c r="F357" t="s">
        <v>4048</v>
      </c>
    </row>
    <row r="358" spans="1:6" x14ac:dyDescent="0.25">
      <c r="A358" t="s">
        <v>4062</v>
      </c>
      <c r="B358" t="s">
        <v>4774</v>
      </c>
      <c r="C358" t="s">
        <v>63</v>
      </c>
      <c r="D358" s="7">
        <v>1</v>
      </c>
      <c r="E358" s="2">
        <v>13135</v>
      </c>
      <c r="F358" s="2">
        <v>13135</v>
      </c>
    </row>
    <row r="359" spans="1:6" x14ac:dyDescent="0.25">
      <c r="A359" t="s">
        <v>4062</v>
      </c>
      <c r="B359" t="s">
        <v>4775</v>
      </c>
      <c r="C359" t="s">
        <v>63</v>
      </c>
      <c r="D359" s="7">
        <v>1</v>
      </c>
      <c r="E359" s="2">
        <v>72871</v>
      </c>
      <c r="F359" s="2">
        <v>72871</v>
      </c>
    </row>
    <row r="360" spans="1:6" x14ac:dyDescent="0.25">
      <c r="A360" t="s">
        <v>4049</v>
      </c>
      <c r="B360" t="s">
        <v>4241</v>
      </c>
      <c r="C360" t="s">
        <v>4051</v>
      </c>
      <c r="D360" s="7">
        <v>0.5</v>
      </c>
      <c r="E360" s="2">
        <v>9941.22</v>
      </c>
      <c r="F360" s="2">
        <v>4970.61</v>
      </c>
    </row>
    <row r="361" spans="1:6" x14ac:dyDescent="0.25">
      <c r="A361" t="s">
        <v>4049</v>
      </c>
      <c r="B361" t="s">
        <v>4242</v>
      </c>
      <c r="C361" t="s">
        <v>4051</v>
      </c>
      <c r="D361" s="7">
        <v>0.5</v>
      </c>
      <c r="E361" s="2">
        <v>17069.53</v>
      </c>
      <c r="F361" s="2">
        <v>8534.76</v>
      </c>
    </row>
    <row r="362" spans="1:6" x14ac:dyDescent="0.25">
      <c r="A362" t="s">
        <v>4052</v>
      </c>
      <c r="B362" t="s">
        <v>4053</v>
      </c>
      <c r="C362" t="s">
        <v>4054</v>
      </c>
      <c r="D362" s="7">
        <v>3</v>
      </c>
      <c r="E362" s="2">
        <v>13505.37</v>
      </c>
      <c r="F362" s="2">
        <v>405.16</v>
      </c>
    </row>
    <row r="363" spans="1:6" x14ac:dyDescent="0.25">
      <c r="A363" t="s">
        <v>4055</v>
      </c>
      <c r="D363" s="7"/>
      <c r="E363" s="2"/>
      <c r="F363" s="2">
        <f>SUBTOTAL(109,A_1_06_30[VALOR PARCIAL])</f>
      </c>
    </row>
    <row r="365" ht="30" customHeight="1" spans="1:6" x14ac:dyDescent="0.25">
      <c r="A365" s="5" t="s">
        <v>4776</v>
      </c>
      <c r="B365" s="5"/>
      <c r="C365" s="5"/>
      <c r="D365" s="5"/>
      <c r="E365" s="5"/>
      <c r="F365" s="5"/>
    </row>
    <row r="366" ht="42" customHeight="1" spans="1:6" x14ac:dyDescent="0.25">
      <c r="A366" s="6" t="s">
        <v>4777</v>
      </c>
      <c r="B366" s="6"/>
      <c r="C366" s="6"/>
      <c r="D366" s="6"/>
      <c r="E366" s="6"/>
      <c r="F366" s="6"/>
    </row>
    <row r="367" spans="1:6" x14ac:dyDescent="0.25">
      <c r="A367" t="s">
        <v>4044</v>
      </c>
      <c r="B367" t="s">
        <v>4045</v>
      </c>
      <c r="C367" t="s">
        <v>5</v>
      </c>
      <c r="D367" t="s">
        <v>4046</v>
      </c>
      <c r="E367" t="s">
        <v>4047</v>
      </c>
      <c r="F367" t="s">
        <v>4048</v>
      </c>
    </row>
    <row r="368" spans="1:6" x14ac:dyDescent="0.25">
      <c r="A368" t="s">
        <v>4062</v>
      </c>
      <c r="B368" t="s">
        <v>4778</v>
      </c>
      <c r="C368" t="s">
        <v>63</v>
      </c>
      <c r="D368" s="7">
        <v>1</v>
      </c>
      <c r="E368" s="2">
        <v>38463</v>
      </c>
      <c r="F368" s="2">
        <v>38463</v>
      </c>
    </row>
    <row r="369" spans="1:6" x14ac:dyDescent="0.25">
      <c r="A369" t="s">
        <v>4062</v>
      </c>
      <c r="B369" t="s">
        <v>4779</v>
      </c>
      <c r="C369" t="s">
        <v>63</v>
      </c>
      <c r="D369" s="7">
        <v>1</v>
      </c>
      <c r="E369" s="2">
        <v>701.4</v>
      </c>
      <c r="F369" s="2">
        <v>701.4</v>
      </c>
    </row>
    <row r="370" spans="1:6" x14ac:dyDescent="0.25">
      <c r="A370" t="s">
        <v>4062</v>
      </c>
      <c r="B370" t="s">
        <v>4780</v>
      </c>
      <c r="C370" t="s">
        <v>63</v>
      </c>
      <c r="D370" s="7">
        <v>1</v>
      </c>
      <c r="E370" s="2">
        <v>832</v>
      </c>
      <c r="F370" s="2">
        <v>832</v>
      </c>
    </row>
    <row r="371" spans="1:6" x14ac:dyDescent="0.25">
      <c r="A371" t="s">
        <v>4062</v>
      </c>
      <c r="B371" t="s">
        <v>4781</v>
      </c>
      <c r="C371" t="s">
        <v>63</v>
      </c>
      <c r="D371" s="7">
        <v>1</v>
      </c>
      <c r="E371" s="2">
        <v>7783</v>
      </c>
      <c r="F371" s="2">
        <v>7783</v>
      </c>
    </row>
    <row r="372" spans="1:6" x14ac:dyDescent="0.25">
      <c r="A372" t="s">
        <v>4062</v>
      </c>
      <c r="B372" t="s">
        <v>4782</v>
      </c>
      <c r="C372" t="s">
        <v>63</v>
      </c>
      <c r="D372" s="7">
        <v>2</v>
      </c>
      <c r="E372" s="2">
        <v>3493</v>
      </c>
      <c r="F372" s="2">
        <v>6986</v>
      </c>
    </row>
    <row r="373" spans="1:6" x14ac:dyDescent="0.25">
      <c r="A373" t="s">
        <v>4062</v>
      </c>
      <c r="B373" t="s">
        <v>4783</v>
      </c>
      <c r="C373" t="s">
        <v>63</v>
      </c>
      <c r="D373" s="7">
        <v>1</v>
      </c>
      <c r="E373" s="2">
        <v>59357</v>
      </c>
      <c r="F373" s="2">
        <v>59357</v>
      </c>
    </row>
    <row r="374" spans="1:6" x14ac:dyDescent="0.25">
      <c r="A374" t="s">
        <v>4062</v>
      </c>
      <c r="B374" t="s">
        <v>4784</v>
      </c>
      <c r="C374" t="s">
        <v>42</v>
      </c>
      <c r="D374" s="7">
        <v>6</v>
      </c>
      <c r="E374" s="2">
        <v>4511</v>
      </c>
      <c r="F374" s="2">
        <v>27066</v>
      </c>
    </row>
    <row r="375" spans="1:6" x14ac:dyDescent="0.25">
      <c r="A375" t="s">
        <v>4062</v>
      </c>
      <c r="B375" t="s">
        <v>4785</v>
      </c>
      <c r="C375" t="s">
        <v>63</v>
      </c>
      <c r="D375" s="7">
        <v>1</v>
      </c>
      <c r="E375" s="2">
        <v>71721.91</v>
      </c>
      <c r="F375" s="2">
        <v>71721.91</v>
      </c>
    </row>
    <row r="376" spans="1:6" x14ac:dyDescent="0.25">
      <c r="A376" t="s">
        <v>4049</v>
      </c>
      <c r="B376" t="s">
        <v>4241</v>
      </c>
      <c r="C376" t="s">
        <v>4051</v>
      </c>
      <c r="D376" s="7">
        <v>1</v>
      </c>
      <c r="E376" s="2">
        <v>9941.22</v>
      </c>
      <c r="F376" s="2">
        <v>9941.22</v>
      </c>
    </row>
    <row r="377" spans="1:6" x14ac:dyDescent="0.25">
      <c r="A377" t="s">
        <v>4049</v>
      </c>
      <c r="B377" t="s">
        <v>4242</v>
      </c>
      <c r="C377" t="s">
        <v>4051</v>
      </c>
      <c r="D377" s="7">
        <v>1</v>
      </c>
      <c r="E377" s="2">
        <v>17069.53</v>
      </c>
      <c r="F377" s="2">
        <v>17069.53</v>
      </c>
    </row>
    <row r="378" spans="1:6" x14ac:dyDescent="0.25">
      <c r="A378" t="s">
        <v>4052</v>
      </c>
      <c r="B378" t="s">
        <v>4053</v>
      </c>
      <c r="C378" t="s">
        <v>4054</v>
      </c>
      <c r="D378" s="7">
        <v>1</v>
      </c>
      <c r="E378" s="2">
        <v>27010.75</v>
      </c>
      <c r="F378" s="2">
        <v>270.11</v>
      </c>
    </row>
    <row r="379" spans="1:6" x14ac:dyDescent="0.25">
      <c r="A379" t="s">
        <v>4055</v>
      </c>
      <c r="D379" s="7"/>
      <c r="E379" s="2"/>
      <c r="F379" s="2">
        <f>SUBTOTAL(109,A_1_06_31[VALOR PARCIAL])</f>
      </c>
    </row>
    <row r="381" ht="30" customHeight="1" spans="1:6" x14ac:dyDescent="0.25">
      <c r="A381" s="5" t="s">
        <v>4786</v>
      </c>
      <c r="B381" s="5"/>
      <c r="C381" s="5"/>
      <c r="D381" s="5"/>
      <c r="E381" s="5"/>
      <c r="F381" s="5"/>
    </row>
    <row r="382" ht="42" customHeight="1" spans="1:6" x14ac:dyDescent="0.25">
      <c r="A382" s="6" t="s">
        <v>4787</v>
      </c>
      <c r="B382" s="6"/>
      <c r="C382" s="6"/>
      <c r="D382" s="6"/>
      <c r="E382" s="6"/>
      <c r="F382" s="6"/>
    </row>
    <row r="383" spans="1:6" x14ac:dyDescent="0.25">
      <c r="A383" t="s">
        <v>4044</v>
      </c>
      <c r="B383" t="s">
        <v>4045</v>
      </c>
      <c r="C383" t="s">
        <v>5</v>
      </c>
      <c r="D383" t="s">
        <v>4046</v>
      </c>
      <c r="E383" t="s">
        <v>4047</v>
      </c>
      <c r="F383" t="s">
        <v>4048</v>
      </c>
    </row>
    <row r="384" spans="1:6" x14ac:dyDescent="0.25">
      <c r="A384" t="s">
        <v>4062</v>
      </c>
      <c r="B384" t="s">
        <v>4788</v>
      </c>
      <c r="C384" t="s">
        <v>63</v>
      </c>
      <c r="D384" s="7">
        <v>1</v>
      </c>
      <c r="E384" s="2">
        <v>647</v>
      </c>
      <c r="F384" s="2">
        <v>647</v>
      </c>
    </row>
    <row r="385" spans="1:6" x14ac:dyDescent="0.25">
      <c r="A385" t="s">
        <v>4062</v>
      </c>
      <c r="B385" t="s">
        <v>4704</v>
      </c>
      <c r="C385" t="s">
        <v>63</v>
      </c>
      <c r="D385" s="7">
        <v>1</v>
      </c>
      <c r="E385" s="2">
        <v>461</v>
      </c>
      <c r="F385" s="2">
        <v>461</v>
      </c>
    </row>
    <row r="386" spans="1:6" x14ac:dyDescent="0.25">
      <c r="A386" t="s">
        <v>4062</v>
      </c>
      <c r="B386" t="s">
        <v>4789</v>
      </c>
      <c r="C386" t="s">
        <v>63</v>
      </c>
      <c r="D386" s="7">
        <v>1</v>
      </c>
      <c r="E386" s="2">
        <v>10300</v>
      </c>
      <c r="F386" s="2">
        <v>10300</v>
      </c>
    </row>
    <row r="387" spans="1:6" x14ac:dyDescent="0.25">
      <c r="A387" t="s">
        <v>4062</v>
      </c>
      <c r="B387" t="s">
        <v>4790</v>
      </c>
      <c r="C387" t="s">
        <v>63</v>
      </c>
      <c r="D387" s="7">
        <v>2</v>
      </c>
      <c r="E387" s="2">
        <v>2000</v>
      </c>
      <c r="F387" s="2">
        <v>4000</v>
      </c>
    </row>
    <row r="388" spans="1:6" x14ac:dyDescent="0.25">
      <c r="A388" t="s">
        <v>4062</v>
      </c>
      <c r="B388" t="s">
        <v>4791</v>
      </c>
      <c r="C388" t="s">
        <v>63</v>
      </c>
      <c r="D388" s="7">
        <v>1</v>
      </c>
      <c r="E388" s="2">
        <v>23550</v>
      </c>
      <c r="F388" s="2">
        <v>23550</v>
      </c>
    </row>
    <row r="389" spans="1:6" x14ac:dyDescent="0.25">
      <c r="A389" t="s">
        <v>4062</v>
      </c>
      <c r="B389" t="s">
        <v>4792</v>
      </c>
      <c r="C389" t="s">
        <v>42</v>
      </c>
      <c r="D389" s="7">
        <v>6</v>
      </c>
      <c r="E389" s="2">
        <v>2294</v>
      </c>
      <c r="F389" s="2">
        <v>13764</v>
      </c>
    </row>
    <row r="390" spans="1:6" x14ac:dyDescent="0.25">
      <c r="A390" t="s">
        <v>4062</v>
      </c>
      <c r="B390" t="s">
        <v>4793</v>
      </c>
      <c r="C390" t="s">
        <v>63</v>
      </c>
      <c r="D390" s="7">
        <v>1</v>
      </c>
      <c r="E390" s="2">
        <v>19610.34</v>
      </c>
      <c r="F390" s="2">
        <v>19610.34</v>
      </c>
    </row>
    <row r="391" spans="1:6" x14ac:dyDescent="0.25">
      <c r="A391" t="s">
        <v>4049</v>
      </c>
      <c r="B391" t="s">
        <v>4241</v>
      </c>
      <c r="C391" t="s">
        <v>4051</v>
      </c>
      <c r="D391" s="7">
        <v>1</v>
      </c>
      <c r="E391" s="2">
        <v>9941.22</v>
      </c>
      <c r="F391" s="2">
        <v>9941.22</v>
      </c>
    </row>
    <row r="392" spans="1:6" x14ac:dyDescent="0.25">
      <c r="A392" t="s">
        <v>4049</v>
      </c>
      <c r="B392" t="s">
        <v>4242</v>
      </c>
      <c r="C392" t="s">
        <v>4051</v>
      </c>
      <c r="D392" s="7">
        <v>1</v>
      </c>
      <c r="E392" s="2">
        <v>17069.53</v>
      </c>
      <c r="F392" s="2">
        <v>17069.53</v>
      </c>
    </row>
    <row r="393" spans="1:6" x14ac:dyDescent="0.25">
      <c r="A393" t="s">
        <v>4052</v>
      </c>
      <c r="B393" t="s">
        <v>4053</v>
      </c>
      <c r="C393" t="s">
        <v>4054</v>
      </c>
      <c r="D393" s="7">
        <v>1</v>
      </c>
      <c r="E393" s="2">
        <v>27010.75</v>
      </c>
      <c r="F393" s="2">
        <v>270.11</v>
      </c>
    </row>
    <row r="394" spans="1:6" x14ac:dyDescent="0.25">
      <c r="A394" t="s">
        <v>4055</v>
      </c>
      <c r="D394" s="7"/>
      <c r="E394" s="2"/>
      <c r="F394" s="2">
        <f>SUBTOTAL(109,A_1_06_32[VALOR PARCIAL])</f>
      </c>
    </row>
    <row r="396" ht="30" customHeight="1" spans="1:6" x14ac:dyDescent="0.25">
      <c r="A396" s="5" t="s">
        <v>4794</v>
      </c>
      <c r="B396" s="5"/>
      <c r="C396" s="5"/>
      <c r="D396" s="5"/>
      <c r="E396" s="5"/>
      <c r="F396" s="5"/>
    </row>
    <row r="397" ht="42" customHeight="1" spans="1:6" x14ac:dyDescent="0.25">
      <c r="A397" s="6" t="s">
        <v>4795</v>
      </c>
      <c r="B397" s="6"/>
      <c r="C397" s="6"/>
      <c r="D397" s="6"/>
      <c r="E397" s="6"/>
      <c r="F397" s="6"/>
    </row>
    <row r="398" spans="1:6" x14ac:dyDescent="0.25">
      <c r="A398" t="s">
        <v>4044</v>
      </c>
      <c r="B398" t="s">
        <v>4045</v>
      </c>
      <c r="C398" t="s">
        <v>5</v>
      </c>
      <c r="D398" t="s">
        <v>4046</v>
      </c>
      <c r="E398" t="s">
        <v>4047</v>
      </c>
      <c r="F398" t="s">
        <v>4048</v>
      </c>
    </row>
    <row r="399" spans="1:6" x14ac:dyDescent="0.25">
      <c r="A399" t="s">
        <v>4062</v>
      </c>
      <c r="B399" t="s">
        <v>4778</v>
      </c>
      <c r="C399" t="s">
        <v>63</v>
      </c>
      <c r="D399" s="7">
        <v>1</v>
      </c>
      <c r="E399" s="2">
        <v>38463</v>
      </c>
      <c r="F399" s="2">
        <v>38463</v>
      </c>
    </row>
    <row r="400" spans="1:6" x14ac:dyDescent="0.25">
      <c r="A400" t="s">
        <v>4062</v>
      </c>
      <c r="B400" t="s">
        <v>4779</v>
      </c>
      <c r="C400" t="s">
        <v>63</v>
      </c>
      <c r="D400" s="7">
        <v>1</v>
      </c>
      <c r="E400" s="2">
        <v>701.4</v>
      </c>
      <c r="F400" s="2">
        <v>701.4</v>
      </c>
    </row>
    <row r="401" spans="1:6" x14ac:dyDescent="0.25">
      <c r="A401" t="s">
        <v>4062</v>
      </c>
      <c r="B401" t="s">
        <v>4780</v>
      </c>
      <c r="C401" t="s">
        <v>63</v>
      </c>
      <c r="D401" s="7">
        <v>1</v>
      </c>
      <c r="E401" s="2">
        <v>832</v>
      </c>
      <c r="F401" s="2">
        <v>832</v>
      </c>
    </row>
    <row r="402" spans="1:6" x14ac:dyDescent="0.25">
      <c r="A402" t="s">
        <v>4062</v>
      </c>
      <c r="B402" t="s">
        <v>4796</v>
      </c>
      <c r="C402" t="s">
        <v>63</v>
      </c>
      <c r="D402" s="7">
        <v>1</v>
      </c>
      <c r="E402" s="2">
        <v>16666.66</v>
      </c>
      <c r="F402" s="2">
        <v>16666.66</v>
      </c>
    </row>
    <row r="403" spans="1:6" x14ac:dyDescent="0.25">
      <c r="A403" t="s">
        <v>4062</v>
      </c>
      <c r="B403" t="s">
        <v>4782</v>
      </c>
      <c r="C403" t="s">
        <v>63</v>
      </c>
      <c r="D403" s="7">
        <v>2</v>
      </c>
      <c r="E403" s="2">
        <v>3493</v>
      </c>
      <c r="F403" s="2">
        <v>6986</v>
      </c>
    </row>
    <row r="404" spans="1:6" x14ac:dyDescent="0.25">
      <c r="A404" t="s">
        <v>4062</v>
      </c>
      <c r="B404" t="s">
        <v>4783</v>
      </c>
      <c r="C404" t="s">
        <v>63</v>
      </c>
      <c r="D404" s="7">
        <v>1</v>
      </c>
      <c r="E404" s="2">
        <v>59357</v>
      </c>
      <c r="F404" s="2">
        <v>59357</v>
      </c>
    </row>
    <row r="405" spans="1:6" x14ac:dyDescent="0.25">
      <c r="A405" t="s">
        <v>4062</v>
      </c>
      <c r="B405" t="s">
        <v>4784</v>
      </c>
      <c r="C405" t="s">
        <v>42</v>
      </c>
      <c r="D405" s="7">
        <v>6</v>
      </c>
      <c r="E405" s="2">
        <v>4511</v>
      </c>
      <c r="F405" s="2">
        <v>27066</v>
      </c>
    </row>
    <row r="406" spans="1:6" x14ac:dyDescent="0.25">
      <c r="A406" t="s">
        <v>4062</v>
      </c>
      <c r="B406" t="s">
        <v>4785</v>
      </c>
      <c r="C406" t="s">
        <v>63</v>
      </c>
      <c r="D406" s="7">
        <v>1</v>
      </c>
      <c r="E406" s="2">
        <v>71721.91</v>
      </c>
      <c r="F406" s="2">
        <v>71721.91</v>
      </c>
    </row>
    <row r="407" spans="1:6" x14ac:dyDescent="0.25">
      <c r="A407" t="s">
        <v>4049</v>
      </c>
      <c r="B407" t="s">
        <v>4241</v>
      </c>
      <c r="C407" t="s">
        <v>4051</v>
      </c>
      <c r="D407" s="7">
        <v>1</v>
      </c>
      <c r="E407" s="2">
        <v>9941.22</v>
      </c>
      <c r="F407" s="2">
        <v>9941.22</v>
      </c>
    </row>
    <row r="408" spans="1:6" x14ac:dyDescent="0.25">
      <c r="A408" t="s">
        <v>4049</v>
      </c>
      <c r="B408" t="s">
        <v>4242</v>
      </c>
      <c r="C408" t="s">
        <v>4051</v>
      </c>
      <c r="D408" s="7">
        <v>1</v>
      </c>
      <c r="E408" s="2">
        <v>17069.53</v>
      </c>
      <c r="F408" s="2">
        <v>17069.53</v>
      </c>
    </row>
    <row r="409" spans="1:6" x14ac:dyDescent="0.25">
      <c r="A409" t="s">
        <v>4052</v>
      </c>
      <c r="B409" t="s">
        <v>4053</v>
      </c>
      <c r="C409" t="s">
        <v>4054</v>
      </c>
      <c r="D409" s="7">
        <v>1</v>
      </c>
      <c r="E409" s="2">
        <v>27010.75</v>
      </c>
      <c r="F409" s="2">
        <v>270.11</v>
      </c>
    </row>
    <row r="410" spans="1:6" x14ac:dyDescent="0.25">
      <c r="A410" t="s">
        <v>4055</v>
      </c>
      <c r="D410" s="7"/>
      <c r="E410" s="2"/>
      <c r="F410" s="2">
        <f>SUBTOTAL(109,A_1_06_33[VALOR PARCIAL])</f>
      </c>
    </row>
    <row r="412" ht="30" customHeight="1" spans="1:6" x14ac:dyDescent="0.25">
      <c r="A412" s="5" t="s">
        <v>4797</v>
      </c>
      <c r="B412" s="5"/>
      <c r="C412" s="5"/>
      <c r="D412" s="5"/>
      <c r="E412" s="5"/>
      <c r="F412" s="5"/>
    </row>
    <row r="413" ht="42" customHeight="1" spans="1:6" x14ac:dyDescent="0.25">
      <c r="A413" s="6" t="s">
        <v>4798</v>
      </c>
      <c r="B413" s="6"/>
      <c r="C413" s="6"/>
      <c r="D413" s="6"/>
      <c r="E413" s="6"/>
      <c r="F413" s="6"/>
    </row>
    <row r="414" spans="1:6" x14ac:dyDescent="0.25">
      <c r="A414" t="s">
        <v>4044</v>
      </c>
      <c r="B414" t="s">
        <v>4045</v>
      </c>
      <c r="C414" t="s">
        <v>5</v>
      </c>
      <c r="D414" t="s">
        <v>4046</v>
      </c>
      <c r="E414" t="s">
        <v>4047</v>
      </c>
      <c r="F414" t="s">
        <v>4048</v>
      </c>
    </row>
    <row r="415" spans="1:6" x14ac:dyDescent="0.25">
      <c r="A415" t="s">
        <v>4062</v>
      </c>
      <c r="B415" t="s">
        <v>4788</v>
      </c>
      <c r="C415" t="s">
        <v>63</v>
      </c>
      <c r="D415" s="7">
        <v>1</v>
      </c>
      <c r="E415" s="2">
        <v>647</v>
      </c>
      <c r="F415" s="2">
        <v>647</v>
      </c>
    </row>
    <row r="416" spans="1:6" x14ac:dyDescent="0.25">
      <c r="A416" t="s">
        <v>4062</v>
      </c>
      <c r="B416" t="s">
        <v>4704</v>
      </c>
      <c r="C416" t="s">
        <v>63</v>
      </c>
      <c r="D416" s="7">
        <v>1</v>
      </c>
      <c r="E416" s="2">
        <v>461</v>
      </c>
      <c r="F416" s="2">
        <v>461</v>
      </c>
    </row>
    <row r="417" spans="1:6" x14ac:dyDescent="0.25">
      <c r="A417" t="s">
        <v>4062</v>
      </c>
      <c r="B417" t="s">
        <v>4799</v>
      </c>
      <c r="C417" t="s">
        <v>63</v>
      </c>
      <c r="D417" s="7">
        <v>1</v>
      </c>
      <c r="E417" s="2">
        <v>13414.67</v>
      </c>
      <c r="F417" s="2">
        <v>13414.67</v>
      </c>
    </row>
    <row r="418" spans="1:6" x14ac:dyDescent="0.25">
      <c r="A418" t="s">
        <v>4062</v>
      </c>
      <c r="B418" t="s">
        <v>4790</v>
      </c>
      <c r="C418" t="s">
        <v>63</v>
      </c>
      <c r="D418" s="7">
        <v>1</v>
      </c>
      <c r="E418" s="2">
        <v>2000</v>
      </c>
      <c r="F418" s="2">
        <v>2000</v>
      </c>
    </row>
    <row r="419" spans="1:6" x14ac:dyDescent="0.25">
      <c r="A419" t="s">
        <v>4062</v>
      </c>
      <c r="B419" t="s">
        <v>4791</v>
      </c>
      <c r="C419" t="s">
        <v>63</v>
      </c>
      <c r="D419" s="7">
        <v>1</v>
      </c>
      <c r="E419" s="2">
        <v>23550</v>
      </c>
      <c r="F419" s="2">
        <v>23550</v>
      </c>
    </row>
    <row r="420" spans="1:6" x14ac:dyDescent="0.25">
      <c r="A420" t="s">
        <v>4062</v>
      </c>
      <c r="B420" t="s">
        <v>4792</v>
      </c>
      <c r="C420" t="s">
        <v>42</v>
      </c>
      <c r="D420" s="7">
        <v>6</v>
      </c>
      <c r="E420" s="2">
        <v>2294</v>
      </c>
      <c r="F420" s="2">
        <v>13764</v>
      </c>
    </row>
    <row r="421" spans="1:6" x14ac:dyDescent="0.25">
      <c r="A421" t="s">
        <v>4062</v>
      </c>
      <c r="B421" t="s">
        <v>4793</v>
      </c>
      <c r="C421" t="s">
        <v>63</v>
      </c>
      <c r="D421" s="7">
        <v>1</v>
      </c>
      <c r="E421" s="2">
        <v>19610.34</v>
      </c>
      <c r="F421" s="2">
        <v>19610.34</v>
      </c>
    </row>
    <row r="422" spans="1:6" x14ac:dyDescent="0.25">
      <c r="A422" t="s">
        <v>4049</v>
      </c>
      <c r="B422" t="s">
        <v>4241</v>
      </c>
      <c r="C422" t="s">
        <v>4051</v>
      </c>
      <c r="D422" s="7">
        <v>1</v>
      </c>
      <c r="E422" s="2">
        <v>9941.22</v>
      </c>
      <c r="F422" s="2">
        <v>9941.22</v>
      </c>
    </row>
    <row r="423" spans="1:6" x14ac:dyDescent="0.25">
      <c r="A423" t="s">
        <v>4049</v>
      </c>
      <c r="B423" t="s">
        <v>4242</v>
      </c>
      <c r="C423" t="s">
        <v>4051</v>
      </c>
      <c r="D423" s="7">
        <v>1</v>
      </c>
      <c r="E423" s="2">
        <v>17069.53</v>
      </c>
      <c r="F423" s="2">
        <v>17069.53</v>
      </c>
    </row>
    <row r="424" spans="1:6" x14ac:dyDescent="0.25">
      <c r="A424" t="s">
        <v>4052</v>
      </c>
      <c r="B424" t="s">
        <v>4053</v>
      </c>
      <c r="C424" t="s">
        <v>4054</v>
      </c>
      <c r="D424" s="7">
        <v>1</v>
      </c>
      <c r="E424" s="2">
        <v>27010.75</v>
      </c>
      <c r="F424" s="2">
        <v>270.11</v>
      </c>
    </row>
    <row r="425" spans="1:6" x14ac:dyDescent="0.25">
      <c r="A425" t="s">
        <v>4055</v>
      </c>
      <c r="D425" s="7"/>
      <c r="E425" s="2"/>
      <c r="F425" s="2">
        <f>SUBTOTAL(109,A_1_06_34[VALOR PARCIAL])</f>
      </c>
    </row>
    <row r="427" ht="30" customHeight="1" spans="1:6" x14ac:dyDescent="0.25">
      <c r="A427" s="5" t="s">
        <v>4800</v>
      </c>
      <c r="B427" s="5"/>
      <c r="C427" s="5"/>
      <c r="D427" s="5"/>
      <c r="E427" s="5"/>
      <c r="F427" s="5"/>
    </row>
    <row r="428" ht="42" customHeight="1" spans="1:6" x14ac:dyDescent="0.25">
      <c r="A428" s="6" t="s">
        <v>4801</v>
      </c>
      <c r="B428" s="6"/>
      <c r="C428" s="6"/>
      <c r="D428" s="6"/>
      <c r="E428" s="6"/>
      <c r="F428" s="6"/>
    </row>
    <row r="429" spans="1:6" x14ac:dyDescent="0.25">
      <c r="A429" t="s">
        <v>4044</v>
      </c>
      <c r="B429" t="s">
        <v>4045</v>
      </c>
      <c r="C429" t="s">
        <v>5</v>
      </c>
      <c r="D429" t="s">
        <v>4046</v>
      </c>
      <c r="E429" t="s">
        <v>4047</v>
      </c>
      <c r="F429" t="s">
        <v>4048</v>
      </c>
    </row>
    <row r="430" spans="1:6" x14ac:dyDescent="0.25">
      <c r="A430" t="s">
        <v>4062</v>
      </c>
      <c r="B430" t="s">
        <v>4802</v>
      </c>
      <c r="C430" t="s">
        <v>63</v>
      </c>
      <c r="D430" s="7">
        <v>1</v>
      </c>
      <c r="E430" s="2">
        <v>300950</v>
      </c>
      <c r="F430" s="2">
        <v>300950</v>
      </c>
    </row>
    <row r="431" spans="1:6" x14ac:dyDescent="0.25">
      <c r="A431" t="s">
        <v>4062</v>
      </c>
      <c r="B431" t="s">
        <v>4737</v>
      </c>
      <c r="C431" t="s">
        <v>42</v>
      </c>
      <c r="D431" s="7">
        <v>1.05</v>
      </c>
      <c r="E431" s="2">
        <v>6446</v>
      </c>
      <c r="F431" s="2">
        <v>6768.3</v>
      </c>
    </row>
    <row r="432" spans="1:6" x14ac:dyDescent="0.25">
      <c r="A432" t="s">
        <v>4062</v>
      </c>
      <c r="B432" t="s">
        <v>4683</v>
      </c>
      <c r="C432" t="s">
        <v>42</v>
      </c>
      <c r="D432" s="7">
        <v>1.05</v>
      </c>
      <c r="E432" s="2">
        <v>16056</v>
      </c>
      <c r="F432" s="2">
        <v>16858.8</v>
      </c>
    </row>
    <row r="433" spans="1:6" x14ac:dyDescent="0.25">
      <c r="A433" t="s">
        <v>4062</v>
      </c>
      <c r="B433" t="s">
        <v>4691</v>
      </c>
      <c r="C433" t="s">
        <v>4532</v>
      </c>
      <c r="D433" s="7">
        <v>1</v>
      </c>
      <c r="E433" s="2">
        <v>748</v>
      </c>
      <c r="F433" s="2">
        <v>748</v>
      </c>
    </row>
    <row r="434" spans="1:6" x14ac:dyDescent="0.25">
      <c r="A434" t="s">
        <v>4062</v>
      </c>
      <c r="B434" t="s">
        <v>4740</v>
      </c>
      <c r="C434" t="s">
        <v>63</v>
      </c>
      <c r="D434" s="7">
        <v>2.1</v>
      </c>
      <c r="E434" s="2">
        <v>1249.07</v>
      </c>
      <c r="F434" s="2">
        <v>2623.05</v>
      </c>
    </row>
    <row r="435" spans="1:6" x14ac:dyDescent="0.25">
      <c r="A435" t="s">
        <v>4062</v>
      </c>
      <c r="B435" t="s">
        <v>4686</v>
      </c>
      <c r="C435" t="s">
        <v>63</v>
      </c>
      <c r="D435" s="7">
        <v>2.1</v>
      </c>
      <c r="E435" s="2">
        <v>8177.67</v>
      </c>
      <c r="F435" s="2">
        <v>17173.11</v>
      </c>
    </row>
    <row r="436" spans="1:6" x14ac:dyDescent="0.25">
      <c r="A436" t="s">
        <v>4062</v>
      </c>
      <c r="B436" t="s">
        <v>4659</v>
      </c>
      <c r="C436" t="s">
        <v>4377</v>
      </c>
      <c r="D436" s="7">
        <v>0.01</v>
      </c>
      <c r="E436" s="2">
        <v>31500</v>
      </c>
      <c r="F436" s="2">
        <v>315</v>
      </c>
    </row>
    <row r="437" spans="1:6" x14ac:dyDescent="0.25">
      <c r="A437" t="s">
        <v>4062</v>
      </c>
      <c r="B437" t="s">
        <v>4376</v>
      </c>
      <c r="C437" t="s">
        <v>4377</v>
      </c>
      <c r="D437" s="7">
        <v>0.05</v>
      </c>
      <c r="E437" s="2">
        <v>72237.67</v>
      </c>
      <c r="F437" s="2">
        <v>3611.88</v>
      </c>
    </row>
    <row r="438" spans="1:6" x14ac:dyDescent="0.25">
      <c r="A438" t="s">
        <v>4049</v>
      </c>
      <c r="B438" t="s">
        <v>4241</v>
      </c>
      <c r="C438" t="s">
        <v>4051</v>
      </c>
      <c r="D438" s="7">
        <v>4</v>
      </c>
      <c r="E438" s="2">
        <v>9941.22</v>
      </c>
      <c r="F438" s="2">
        <v>39764.88</v>
      </c>
    </row>
    <row r="439" spans="1:6" x14ac:dyDescent="0.25">
      <c r="A439" t="s">
        <v>4049</v>
      </c>
      <c r="B439" t="s">
        <v>4242</v>
      </c>
      <c r="C439" t="s">
        <v>4051</v>
      </c>
      <c r="D439" s="7">
        <v>2</v>
      </c>
      <c r="E439" s="2">
        <v>17069.53</v>
      </c>
      <c r="F439" s="2">
        <v>34139.06</v>
      </c>
    </row>
    <row r="440" spans="1:6" x14ac:dyDescent="0.25">
      <c r="A440" t="s">
        <v>4052</v>
      </c>
      <c r="B440" t="s">
        <v>4053</v>
      </c>
      <c r="C440" t="s">
        <v>4054</v>
      </c>
      <c r="D440" s="7">
        <v>12</v>
      </c>
      <c r="E440" s="2">
        <v>73903.94</v>
      </c>
      <c r="F440" s="2">
        <v>8868.47</v>
      </c>
    </row>
    <row r="441" spans="1:6" x14ac:dyDescent="0.25">
      <c r="A441" t="s">
        <v>4055</v>
      </c>
      <c r="D441" s="7"/>
      <c r="E441" s="2"/>
      <c r="F441" s="2">
        <f>SUBTOTAL(109,A_1_06_35[VALOR PARCIAL])</f>
      </c>
    </row>
    <row r="443" ht="30" customHeight="1" spans="1:6" x14ac:dyDescent="0.25">
      <c r="A443" s="5" t="s">
        <v>4803</v>
      </c>
      <c r="B443" s="5"/>
      <c r="C443" s="5"/>
      <c r="D443" s="5"/>
      <c r="E443" s="5"/>
      <c r="F443" s="5"/>
    </row>
    <row r="444" ht="42" customHeight="1" spans="1:6" x14ac:dyDescent="0.25">
      <c r="A444" s="6" t="s">
        <v>4804</v>
      </c>
      <c r="B444" s="6"/>
      <c r="C444" s="6"/>
      <c r="D444" s="6"/>
      <c r="E444" s="6"/>
      <c r="F444" s="6"/>
    </row>
    <row r="445" spans="1:6" x14ac:dyDescent="0.25">
      <c r="A445" t="s">
        <v>4044</v>
      </c>
      <c r="B445" t="s">
        <v>4045</v>
      </c>
      <c r="C445" t="s">
        <v>5</v>
      </c>
      <c r="D445" t="s">
        <v>4046</v>
      </c>
      <c r="E445" t="s">
        <v>4047</v>
      </c>
      <c r="F445" t="s">
        <v>4048</v>
      </c>
    </row>
    <row r="446" spans="1:6" x14ac:dyDescent="0.25">
      <c r="A446" t="s">
        <v>4062</v>
      </c>
      <c r="B446" t="s">
        <v>4805</v>
      </c>
      <c r="C446" t="s">
        <v>63</v>
      </c>
      <c r="D446" s="7">
        <v>1</v>
      </c>
      <c r="E446" s="2">
        <v>565500</v>
      </c>
      <c r="F446" s="2">
        <v>565500</v>
      </c>
    </row>
    <row r="447" spans="1:6" x14ac:dyDescent="0.25">
      <c r="A447" t="s">
        <v>4062</v>
      </c>
      <c r="B447" t="s">
        <v>4737</v>
      </c>
      <c r="C447" t="s">
        <v>42</v>
      </c>
      <c r="D447" s="7">
        <v>1.05</v>
      </c>
      <c r="E447" s="2">
        <v>6446</v>
      </c>
      <c r="F447" s="2">
        <v>6768.3</v>
      </c>
    </row>
    <row r="448" spans="1:6" x14ac:dyDescent="0.25">
      <c r="A448" t="s">
        <v>4062</v>
      </c>
      <c r="B448" t="s">
        <v>4683</v>
      </c>
      <c r="C448" t="s">
        <v>42</v>
      </c>
      <c r="D448" s="7">
        <v>1.05</v>
      </c>
      <c r="E448" s="2">
        <v>16056</v>
      </c>
      <c r="F448" s="2">
        <v>16858.8</v>
      </c>
    </row>
    <row r="449" spans="1:6" x14ac:dyDescent="0.25">
      <c r="A449" t="s">
        <v>4062</v>
      </c>
      <c r="B449" t="s">
        <v>4691</v>
      </c>
      <c r="C449" t="s">
        <v>4532</v>
      </c>
      <c r="D449" s="7">
        <v>1</v>
      </c>
      <c r="E449" s="2">
        <v>748</v>
      </c>
      <c r="F449" s="2">
        <v>748</v>
      </c>
    </row>
    <row r="450" spans="1:6" x14ac:dyDescent="0.25">
      <c r="A450" t="s">
        <v>4062</v>
      </c>
      <c r="B450" t="s">
        <v>4740</v>
      </c>
      <c r="C450" t="s">
        <v>63</v>
      </c>
      <c r="D450" s="7">
        <v>2.1</v>
      </c>
      <c r="E450" s="2">
        <v>1249.07</v>
      </c>
      <c r="F450" s="2">
        <v>2623.05</v>
      </c>
    </row>
    <row r="451" spans="1:6" x14ac:dyDescent="0.25">
      <c r="A451" t="s">
        <v>4062</v>
      </c>
      <c r="B451" t="s">
        <v>4686</v>
      </c>
      <c r="C451" t="s">
        <v>63</v>
      </c>
      <c r="D451" s="7">
        <v>2.1</v>
      </c>
      <c r="E451" s="2">
        <v>8177.67</v>
      </c>
      <c r="F451" s="2">
        <v>17173.11</v>
      </c>
    </row>
    <row r="452" spans="1:6" x14ac:dyDescent="0.25">
      <c r="A452" t="s">
        <v>4062</v>
      </c>
      <c r="B452" t="s">
        <v>4659</v>
      </c>
      <c r="C452" t="s">
        <v>4377</v>
      </c>
      <c r="D452" s="7">
        <v>0.01</v>
      </c>
      <c r="E452" s="2">
        <v>31500</v>
      </c>
      <c r="F452" s="2">
        <v>315</v>
      </c>
    </row>
    <row r="453" spans="1:6" x14ac:dyDescent="0.25">
      <c r="A453" t="s">
        <v>4062</v>
      </c>
      <c r="B453" t="s">
        <v>4376</v>
      </c>
      <c r="C453" t="s">
        <v>4377</v>
      </c>
      <c r="D453" s="7">
        <v>0.05</v>
      </c>
      <c r="E453" s="2">
        <v>72237.67</v>
      </c>
      <c r="F453" s="2">
        <v>3611.88</v>
      </c>
    </row>
    <row r="454" spans="1:6" x14ac:dyDescent="0.25">
      <c r="A454" t="s">
        <v>4049</v>
      </c>
      <c r="B454" t="s">
        <v>4241</v>
      </c>
      <c r="C454" t="s">
        <v>4051</v>
      </c>
      <c r="D454" s="7">
        <v>4</v>
      </c>
      <c r="E454" s="2">
        <v>9941.22</v>
      </c>
      <c r="F454" s="2">
        <v>39764.88</v>
      </c>
    </row>
    <row r="455" spans="1:6" x14ac:dyDescent="0.25">
      <c r="A455" t="s">
        <v>4049</v>
      </c>
      <c r="B455" t="s">
        <v>4242</v>
      </c>
      <c r="C455" t="s">
        <v>4051</v>
      </c>
      <c r="D455" s="7">
        <v>2</v>
      </c>
      <c r="E455" s="2">
        <v>17069.53</v>
      </c>
      <c r="F455" s="2">
        <v>34139.06</v>
      </c>
    </row>
    <row r="456" spans="1:6" x14ac:dyDescent="0.25">
      <c r="A456" t="s">
        <v>4052</v>
      </c>
      <c r="B456" t="s">
        <v>4053</v>
      </c>
      <c r="C456" t="s">
        <v>4054</v>
      </c>
      <c r="D456" s="7">
        <v>12</v>
      </c>
      <c r="E456" s="2">
        <v>73903.94</v>
      </c>
      <c r="F456" s="2">
        <v>8868.47</v>
      </c>
    </row>
    <row r="457" spans="1:6" x14ac:dyDescent="0.25">
      <c r="A457" t="s">
        <v>4055</v>
      </c>
      <c r="D457" s="7"/>
      <c r="E457" s="2"/>
      <c r="F457" s="2">
        <f>SUBTOTAL(109,A_1_06_36[VALOR PARCIAL])</f>
      </c>
    </row>
    <row r="459" ht="30" customHeight="1" spans="1:6" x14ac:dyDescent="0.25">
      <c r="A459" s="5" t="s">
        <v>4806</v>
      </c>
      <c r="B459" s="5"/>
      <c r="C459" s="5"/>
      <c r="D459" s="5"/>
      <c r="E459" s="5"/>
      <c r="F459" s="5"/>
    </row>
    <row r="460" ht="42" customHeight="1" spans="1:6" x14ac:dyDescent="0.25">
      <c r="A460" s="6" t="s">
        <v>4807</v>
      </c>
      <c r="B460" s="6"/>
      <c r="C460" s="6"/>
      <c r="D460" s="6"/>
      <c r="E460" s="6"/>
      <c r="F460" s="6"/>
    </row>
    <row r="461" spans="1:6" x14ac:dyDescent="0.25">
      <c r="A461" t="s">
        <v>4044</v>
      </c>
      <c r="B461" t="s">
        <v>4045</v>
      </c>
      <c r="C461" t="s">
        <v>5</v>
      </c>
      <c r="D461" t="s">
        <v>4046</v>
      </c>
      <c r="E461" t="s">
        <v>4047</v>
      </c>
      <c r="F461" t="s">
        <v>4048</v>
      </c>
    </row>
    <row r="462" spans="1:6" x14ac:dyDescent="0.25">
      <c r="A462" t="s">
        <v>4062</v>
      </c>
      <c r="B462" t="s">
        <v>4808</v>
      </c>
      <c r="C462" t="s">
        <v>63</v>
      </c>
      <c r="D462" s="7">
        <v>1</v>
      </c>
      <c r="E462" s="2">
        <v>117400</v>
      </c>
      <c r="F462" s="2">
        <v>117400</v>
      </c>
    </row>
    <row r="463" spans="1:6" x14ac:dyDescent="0.25">
      <c r="A463" t="s">
        <v>4062</v>
      </c>
      <c r="B463" t="s">
        <v>4737</v>
      </c>
      <c r="C463" t="s">
        <v>42</v>
      </c>
      <c r="D463" s="7">
        <v>1.05</v>
      </c>
      <c r="E463" s="2">
        <v>6446</v>
      </c>
      <c r="F463" s="2">
        <v>6768.3</v>
      </c>
    </row>
    <row r="464" spans="1:6" x14ac:dyDescent="0.25">
      <c r="A464" t="s">
        <v>4062</v>
      </c>
      <c r="B464" t="s">
        <v>4683</v>
      </c>
      <c r="C464" t="s">
        <v>42</v>
      </c>
      <c r="D464" s="7">
        <v>1.05</v>
      </c>
      <c r="E464" s="2">
        <v>16056</v>
      </c>
      <c r="F464" s="2">
        <v>16858.8</v>
      </c>
    </row>
    <row r="465" spans="1:6" x14ac:dyDescent="0.25">
      <c r="A465" t="s">
        <v>4062</v>
      </c>
      <c r="B465" t="s">
        <v>4691</v>
      </c>
      <c r="C465" t="s">
        <v>4532</v>
      </c>
      <c r="D465" s="7">
        <v>0.7</v>
      </c>
      <c r="E465" s="2">
        <v>748</v>
      </c>
      <c r="F465" s="2">
        <v>523.6</v>
      </c>
    </row>
    <row r="466" spans="1:6" x14ac:dyDescent="0.25">
      <c r="A466" t="s">
        <v>4062</v>
      </c>
      <c r="B466" t="s">
        <v>4740</v>
      </c>
      <c r="C466" t="s">
        <v>63</v>
      </c>
      <c r="D466" s="7">
        <v>2.1</v>
      </c>
      <c r="E466" s="2">
        <v>1249.07</v>
      </c>
      <c r="F466" s="2">
        <v>2623.05</v>
      </c>
    </row>
    <row r="467" spans="1:6" x14ac:dyDescent="0.25">
      <c r="A467" t="s">
        <v>4062</v>
      </c>
      <c r="B467" t="s">
        <v>4686</v>
      </c>
      <c r="C467" t="s">
        <v>63</v>
      </c>
      <c r="D467" s="7">
        <v>2.1</v>
      </c>
      <c r="E467" s="2">
        <v>8177.67</v>
      </c>
      <c r="F467" s="2">
        <v>17173.11</v>
      </c>
    </row>
    <row r="468" spans="1:6" x14ac:dyDescent="0.25">
      <c r="A468" t="s">
        <v>4062</v>
      </c>
      <c r="B468" t="s">
        <v>4659</v>
      </c>
      <c r="C468" t="s">
        <v>4377</v>
      </c>
      <c r="D468" s="7">
        <v>0.01</v>
      </c>
      <c r="E468" s="2">
        <v>31500</v>
      </c>
      <c r="F468" s="2">
        <v>315</v>
      </c>
    </row>
    <row r="469" spans="1:6" x14ac:dyDescent="0.25">
      <c r="A469" t="s">
        <v>4062</v>
      </c>
      <c r="B469" t="s">
        <v>4376</v>
      </c>
      <c r="C469" t="s">
        <v>4377</v>
      </c>
      <c r="D469" s="7">
        <v>0.05</v>
      </c>
      <c r="E469" s="2">
        <v>72237.67</v>
      </c>
      <c r="F469" s="2">
        <v>3611.88</v>
      </c>
    </row>
    <row r="470" spans="1:6" x14ac:dyDescent="0.25">
      <c r="A470" t="s">
        <v>4049</v>
      </c>
      <c r="B470" t="s">
        <v>4241</v>
      </c>
      <c r="C470" t="s">
        <v>4051</v>
      </c>
      <c r="D470" s="7">
        <v>2.8</v>
      </c>
      <c r="E470" s="2">
        <v>9941.22</v>
      </c>
      <c r="F470" s="2">
        <v>27835.42</v>
      </c>
    </row>
    <row r="471" spans="1:6" x14ac:dyDescent="0.25">
      <c r="A471" t="s">
        <v>4049</v>
      </c>
      <c r="B471" t="s">
        <v>4242</v>
      </c>
      <c r="C471" t="s">
        <v>4051</v>
      </c>
      <c r="D471" s="7">
        <v>1.3</v>
      </c>
      <c r="E471" s="2">
        <v>17069.53</v>
      </c>
      <c r="F471" s="2">
        <v>22190.39</v>
      </c>
    </row>
    <row r="472" spans="1:6" x14ac:dyDescent="0.25">
      <c r="A472" t="s">
        <v>4052</v>
      </c>
      <c r="B472" t="s">
        <v>4053</v>
      </c>
      <c r="C472" t="s">
        <v>4054</v>
      </c>
      <c r="D472" s="7">
        <v>12</v>
      </c>
      <c r="E472" s="2">
        <v>50025.81</v>
      </c>
      <c r="F472" s="2">
        <v>6003.1</v>
      </c>
    </row>
    <row r="473" spans="1:6" x14ac:dyDescent="0.25">
      <c r="A473" t="s">
        <v>4055</v>
      </c>
      <c r="D473" s="7"/>
      <c r="E473" s="2"/>
      <c r="F473" s="2">
        <f>SUBTOTAL(109,A_1_06_37[VALOR PARCIAL])</f>
      </c>
    </row>
    <row r="475" ht="30" customHeight="1" spans="1:6" x14ac:dyDescent="0.25">
      <c r="A475" s="5" t="s">
        <v>4809</v>
      </c>
      <c r="B475" s="5"/>
      <c r="C475" s="5"/>
      <c r="D475" s="5"/>
      <c r="E475" s="5"/>
      <c r="F475" s="5"/>
    </row>
    <row r="476" ht="42" customHeight="1" spans="1:6" x14ac:dyDescent="0.25">
      <c r="A476" s="6" t="s">
        <v>4810</v>
      </c>
      <c r="B476" s="6"/>
      <c r="C476" s="6"/>
      <c r="D476" s="6"/>
      <c r="E476" s="6"/>
      <c r="F476" s="6"/>
    </row>
    <row r="477" spans="1:6" x14ac:dyDescent="0.25">
      <c r="A477" t="s">
        <v>4044</v>
      </c>
      <c r="B477" t="s">
        <v>4045</v>
      </c>
      <c r="C477" t="s">
        <v>5</v>
      </c>
      <c r="D477" t="s">
        <v>4046</v>
      </c>
      <c r="E477" t="s">
        <v>4047</v>
      </c>
      <c r="F477" t="s">
        <v>4048</v>
      </c>
    </row>
    <row r="478" spans="1:6" x14ac:dyDescent="0.25">
      <c r="A478" t="s">
        <v>4062</v>
      </c>
      <c r="B478" t="s">
        <v>4811</v>
      </c>
      <c r="C478" t="s">
        <v>63</v>
      </c>
      <c r="D478" s="7">
        <v>1</v>
      </c>
      <c r="E478" s="2">
        <v>158200</v>
      </c>
      <c r="F478" s="2">
        <v>158200</v>
      </c>
    </row>
    <row r="479" spans="1:6" x14ac:dyDescent="0.25">
      <c r="A479" t="s">
        <v>4062</v>
      </c>
      <c r="B479" t="s">
        <v>4737</v>
      </c>
      <c r="C479" t="s">
        <v>42</v>
      </c>
      <c r="D479" s="7">
        <v>1.05</v>
      </c>
      <c r="E479" s="2">
        <v>6446</v>
      </c>
      <c r="F479" s="2">
        <v>6768.3</v>
      </c>
    </row>
    <row r="480" spans="1:6" x14ac:dyDescent="0.25">
      <c r="A480" t="s">
        <v>4062</v>
      </c>
      <c r="B480" t="s">
        <v>4683</v>
      </c>
      <c r="C480" t="s">
        <v>42</v>
      </c>
      <c r="D480" s="7">
        <v>1.05</v>
      </c>
      <c r="E480" s="2">
        <v>16056</v>
      </c>
      <c r="F480" s="2">
        <v>16858.8</v>
      </c>
    </row>
    <row r="481" spans="1:6" x14ac:dyDescent="0.25">
      <c r="A481" t="s">
        <v>4062</v>
      </c>
      <c r="B481" t="s">
        <v>4691</v>
      </c>
      <c r="C481" t="s">
        <v>4532</v>
      </c>
      <c r="D481" s="7">
        <v>1</v>
      </c>
      <c r="E481" s="2">
        <v>748</v>
      </c>
      <c r="F481" s="2">
        <v>748</v>
      </c>
    </row>
    <row r="482" spans="1:6" x14ac:dyDescent="0.25">
      <c r="A482" t="s">
        <v>4062</v>
      </c>
      <c r="B482" t="s">
        <v>4740</v>
      </c>
      <c r="C482" t="s">
        <v>63</v>
      </c>
      <c r="D482" s="7">
        <v>2.1</v>
      </c>
      <c r="E482" s="2">
        <v>1249.07</v>
      </c>
      <c r="F482" s="2">
        <v>2623.05</v>
      </c>
    </row>
    <row r="483" spans="1:6" x14ac:dyDescent="0.25">
      <c r="A483" t="s">
        <v>4062</v>
      </c>
      <c r="B483" t="s">
        <v>4686</v>
      </c>
      <c r="C483" t="s">
        <v>63</v>
      </c>
      <c r="D483" s="7">
        <v>2.1</v>
      </c>
      <c r="E483" s="2">
        <v>8177.67</v>
      </c>
      <c r="F483" s="2">
        <v>17173.11</v>
      </c>
    </row>
    <row r="484" spans="1:6" x14ac:dyDescent="0.25">
      <c r="A484" t="s">
        <v>4062</v>
      </c>
      <c r="B484" t="s">
        <v>4659</v>
      </c>
      <c r="C484" t="s">
        <v>4377</v>
      </c>
      <c r="D484" s="7">
        <v>0.01</v>
      </c>
      <c r="E484" s="2">
        <v>31500</v>
      </c>
      <c r="F484" s="2">
        <v>315</v>
      </c>
    </row>
    <row r="485" spans="1:6" x14ac:dyDescent="0.25">
      <c r="A485" t="s">
        <v>4062</v>
      </c>
      <c r="B485" t="s">
        <v>4376</v>
      </c>
      <c r="C485" t="s">
        <v>4377</v>
      </c>
      <c r="D485" s="7">
        <v>0.05</v>
      </c>
      <c r="E485" s="2">
        <v>72237.67</v>
      </c>
      <c r="F485" s="2">
        <v>3611.88</v>
      </c>
    </row>
    <row r="486" spans="1:6" x14ac:dyDescent="0.25">
      <c r="A486" t="s">
        <v>4049</v>
      </c>
      <c r="B486" t="s">
        <v>4241</v>
      </c>
      <c r="C486" t="s">
        <v>4051</v>
      </c>
      <c r="D486" s="7">
        <v>4</v>
      </c>
      <c r="E486" s="2">
        <v>9941.22</v>
      </c>
      <c r="F486" s="2">
        <v>39764.88</v>
      </c>
    </row>
    <row r="487" spans="1:6" x14ac:dyDescent="0.25">
      <c r="A487" t="s">
        <v>4049</v>
      </c>
      <c r="B487" t="s">
        <v>4242</v>
      </c>
      <c r="C487" t="s">
        <v>4051</v>
      </c>
      <c r="D487" s="7">
        <v>2</v>
      </c>
      <c r="E487" s="2">
        <v>17069.53</v>
      </c>
      <c r="F487" s="2">
        <v>34139.06</v>
      </c>
    </row>
    <row r="488" spans="1:6" x14ac:dyDescent="0.25">
      <c r="A488" t="s">
        <v>4052</v>
      </c>
      <c r="B488" t="s">
        <v>4053</v>
      </c>
      <c r="C488" t="s">
        <v>4054</v>
      </c>
      <c r="D488" s="7">
        <v>12</v>
      </c>
      <c r="E488" s="2">
        <v>73903.94</v>
      </c>
      <c r="F488" s="2">
        <v>8868.47</v>
      </c>
    </row>
    <row r="489" spans="1:6" x14ac:dyDescent="0.25">
      <c r="A489" t="s">
        <v>4055</v>
      </c>
      <c r="D489" s="7"/>
      <c r="E489" s="2"/>
      <c r="F489" s="2">
        <f>SUBTOTAL(109,A_1_06_38[VALOR PARCIAL])</f>
      </c>
    </row>
    <row r="491" ht="30" customHeight="1" spans="1:6" x14ac:dyDescent="0.25">
      <c r="A491" s="5" t="s">
        <v>4812</v>
      </c>
      <c r="B491" s="5"/>
      <c r="C491" s="5"/>
      <c r="D491" s="5"/>
      <c r="E491" s="5"/>
      <c r="F491" s="5"/>
    </row>
    <row r="492" ht="42" customHeight="1" spans="1:6" x14ac:dyDescent="0.25">
      <c r="A492" s="6" t="s">
        <v>4813</v>
      </c>
      <c r="B492" s="6"/>
      <c r="C492" s="6"/>
      <c r="D492" s="6"/>
      <c r="E492" s="6"/>
      <c r="F492" s="6"/>
    </row>
    <row r="493" spans="1:6" x14ac:dyDescent="0.25">
      <c r="A493" t="s">
        <v>4044</v>
      </c>
      <c r="B493" t="s">
        <v>4045</v>
      </c>
      <c r="C493" t="s">
        <v>5</v>
      </c>
      <c r="D493" t="s">
        <v>4046</v>
      </c>
      <c r="E493" t="s">
        <v>4047</v>
      </c>
      <c r="F493" t="s">
        <v>4048</v>
      </c>
    </row>
    <row r="494" spans="1:6" x14ac:dyDescent="0.25">
      <c r="A494" t="s">
        <v>4062</v>
      </c>
      <c r="B494" t="s">
        <v>4814</v>
      </c>
      <c r="C494" t="s">
        <v>63</v>
      </c>
      <c r="D494" s="7">
        <v>1</v>
      </c>
      <c r="E494" s="2">
        <v>2325450</v>
      </c>
      <c r="F494" s="2">
        <v>2325450</v>
      </c>
    </row>
    <row r="495" spans="1:6" x14ac:dyDescent="0.25">
      <c r="A495" t="s">
        <v>4062</v>
      </c>
      <c r="B495" t="s">
        <v>4737</v>
      </c>
      <c r="C495" t="s">
        <v>42</v>
      </c>
      <c r="D495" s="7">
        <v>1.05</v>
      </c>
      <c r="E495" s="2">
        <v>6446</v>
      </c>
      <c r="F495" s="2">
        <v>6768.3</v>
      </c>
    </row>
    <row r="496" spans="1:6" x14ac:dyDescent="0.25">
      <c r="A496" t="s">
        <v>4062</v>
      </c>
      <c r="B496" t="s">
        <v>4683</v>
      </c>
      <c r="C496" t="s">
        <v>42</v>
      </c>
      <c r="D496" s="7">
        <v>1.05</v>
      </c>
      <c r="E496" s="2">
        <v>16056</v>
      </c>
      <c r="F496" s="2">
        <v>16858.8</v>
      </c>
    </row>
    <row r="497" spans="1:6" x14ac:dyDescent="0.25">
      <c r="A497" t="s">
        <v>4062</v>
      </c>
      <c r="B497" t="s">
        <v>4691</v>
      </c>
      <c r="C497" t="s">
        <v>4532</v>
      </c>
      <c r="D497" s="7">
        <v>1</v>
      </c>
      <c r="E497" s="2">
        <v>748</v>
      </c>
      <c r="F497" s="2">
        <v>748</v>
      </c>
    </row>
    <row r="498" spans="1:6" x14ac:dyDescent="0.25">
      <c r="A498" t="s">
        <v>4062</v>
      </c>
      <c r="B498" t="s">
        <v>4740</v>
      </c>
      <c r="C498" t="s">
        <v>63</v>
      </c>
      <c r="D498" s="7">
        <v>2.1</v>
      </c>
      <c r="E498" s="2">
        <v>1249.07</v>
      </c>
      <c r="F498" s="2">
        <v>2623.05</v>
      </c>
    </row>
    <row r="499" spans="1:6" x14ac:dyDescent="0.25">
      <c r="A499" t="s">
        <v>4062</v>
      </c>
      <c r="B499" t="s">
        <v>4686</v>
      </c>
      <c r="C499" t="s">
        <v>63</v>
      </c>
      <c r="D499" s="7">
        <v>2.1</v>
      </c>
      <c r="E499" s="2">
        <v>8177.67</v>
      </c>
      <c r="F499" s="2">
        <v>17173.11</v>
      </c>
    </row>
    <row r="500" spans="1:6" x14ac:dyDescent="0.25">
      <c r="A500" t="s">
        <v>4062</v>
      </c>
      <c r="B500" t="s">
        <v>4659</v>
      </c>
      <c r="C500" t="s">
        <v>4377</v>
      </c>
      <c r="D500" s="7">
        <v>0.01</v>
      </c>
      <c r="E500" s="2">
        <v>31500</v>
      </c>
      <c r="F500" s="2">
        <v>315</v>
      </c>
    </row>
    <row r="501" spans="1:6" x14ac:dyDescent="0.25">
      <c r="A501" t="s">
        <v>4062</v>
      </c>
      <c r="B501" t="s">
        <v>4376</v>
      </c>
      <c r="C501" t="s">
        <v>4377</v>
      </c>
      <c r="D501" s="7">
        <v>0.05</v>
      </c>
      <c r="E501" s="2">
        <v>72237.67</v>
      </c>
      <c r="F501" s="2">
        <v>3611.88</v>
      </c>
    </row>
    <row r="502" spans="1:6" x14ac:dyDescent="0.25">
      <c r="A502" t="s">
        <v>4049</v>
      </c>
      <c r="B502" t="s">
        <v>4241</v>
      </c>
      <c r="C502" t="s">
        <v>4051</v>
      </c>
      <c r="D502" s="7">
        <v>9</v>
      </c>
      <c r="E502" s="2">
        <v>9941.22</v>
      </c>
      <c r="F502" s="2">
        <v>89470.98</v>
      </c>
    </row>
    <row r="503" spans="1:6" x14ac:dyDescent="0.25">
      <c r="A503" t="s">
        <v>4049</v>
      </c>
      <c r="B503" t="s">
        <v>4242</v>
      </c>
      <c r="C503" t="s">
        <v>4051</v>
      </c>
      <c r="D503" s="7">
        <v>3</v>
      </c>
      <c r="E503" s="2">
        <v>17069.53</v>
      </c>
      <c r="F503" s="2">
        <v>51208.59</v>
      </c>
    </row>
    <row r="504" spans="1:6" x14ac:dyDescent="0.25">
      <c r="A504" t="s">
        <v>4052</v>
      </c>
      <c r="B504" t="s">
        <v>4053</v>
      </c>
      <c r="C504" t="s">
        <v>4054</v>
      </c>
      <c r="D504" s="7">
        <v>12</v>
      </c>
      <c r="E504" s="2">
        <v>140679.57</v>
      </c>
      <c r="F504" s="2">
        <v>16881.55</v>
      </c>
    </row>
    <row r="505" spans="1:6" x14ac:dyDescent="0.25">
      <c r="A505" t="s">
        <v>4055</v>
      </c>
      <c r="D505" s="7"/>
      <c r="E505" s="2"/>
      <c r="F505" s="2">
        <f>SUBTOTAL(109,A_1_06_39[VALOR PARCIAL])</f>
      </c>
    </row>
    <row r="507" ht="30" customHeight="1" spans="1:6" x14ac:dyDescent="0.25">
      <c r="A507" s="5" t="s">
        <v>4815</v>
      </c>
      <c r="B507" s="5"/>
      <c r="C507" s="5"/>
      <c r="D507" s="5"/>
      <c r="E507" s="5"/>
      <c r="F507" s="5"/>
    </row>
    <row r="508" ht="42" customHeight="1" spans="1:6" x14ac:dyDescent="0.25">
      <c r="A508" s="6" t="s">
        <v>4816</v>
      </c>
      <c r="B508" s="6"/>
      <c r="C508" s="6"/>
      <c r="D508" s="6"/>
      <c r="E508" s="6"/>
      <c r="F508" s="6"/>
    </row>
    <row r="509" spans="1:6" x14ac:dyDescent="0.25">
      <c r="A509" t="s">
        <v>4044</v>
      </c>
      <c r="B509" t="s">
        <v>4045</v>
      </c>
      <c r="C509" t="s">
        <v>5</v>
      </c>
      <c r="D509" t="s">
        <v>4046</v>
      </c>
      <c r="E509" t="s">
        <v>4047</v>
      </c>
      <c r="F509" t="s">
        <v>4048</v>
      </c>
    </row>
    <row r="510" spans="1:6" x14ac:dyDescent="0.25">
      <c r="A510" t="s">
        <v>4062</v>
      </c>
      <c r="B510" t="s">
        <v>4817</v>
      </c>
      <c r="C510" t="s">
        <v>42</v>
      </c>
      <c r="D510" s="7">
        <v>1.03</v>
      </c>
      <c r="E510" s="2">
        <v>23224</v>
      </c>
      <c r="F510" s="2">
        <v>23920.72</v>
      </c>
    </row>
    <row r="511" spans="1:6" x14ac:dyDescent="0.25">
      <c r="A511" t="s">
        <v>4062</v>
      </c>
      <c r="B511" t="s">
        <v>4375</v>
      </c>
      <c r="C511" t="s">
        <v>63</v>
      </c>
      <c r="D511" s="7">
        <v>0.21</v>
      </c>
      <c r="E511" s="2">
        <v>7657</v>
      </c>
      <c r="F511" s="2">
        <v>1607.97</v>
      </c>
    </row>
    <row r="512" spans="1:6" x14ac:dyDescent="0.25">
      <c r="A512" t="s">
        <v>4062</v>
      </c>
      <c r="B512" t="s">
        <v>4376</v>
      </c>
      <c r="C512" t="s">
        <v>4377</v>
      </c>
      <c r="D512" s="7">
        <v>0.02</v>
      </c>
      <c r="E512" s="2">
        <v>72237.67</v>
      </c>
      <c r="F512" s="2">
        <v>1516.99</v>
      </c>
    </row>
    <row r="513" spans="1:6" x14ac:dyDescent="0.25">
      <c r="A513" t="s">
        <v>4049</v>
      </c>
      <c r="B513" t="s">
        <v>4241</v>
      </c>
      <c r="C513" t="s">
        <v>4051</v>
      </c>
      <c r="D513" s="7">
        <v>0.12</v>
      </c>
      <c r="E513" s="2">
        <v>9941.22</v>
      </c>
      <c r="F513" s="2">
        <v>1202.89</v>
      </c>
    </row>
    <row r="514" spans="1:6" x14ac:dyDescent="0.25">
      <c r="A514" t="s">
        <v>4049</v>
      </c>
      <c r="B514" t="s">
        <v>4242</v>
      </c>
      <c r="C514" t="s">
        <v>4051</v>
      </c>
      <c r="D514" s="7">
        <v>0.12</v>
      </c>
      <c r="E514" s="2">
        <v>17069.53</v>
      </c>
      <c r="F514" s="2">
        <v>2065.41</v>
      </c>
    </row>
    <row r="515" spans="1:6" x14ac:dyDescent="0.25">
      <c r="A515" t="s">
        <v>4052</v>
      </c>
      <c r="B515" t="s">
        <v>4053</v>
      </c>
      <c r="C515" t="s">
        <v>4054</v>
      </c>
      <c r="D515" s="7">
        <v>2.2</v>
      </c>
      <c r="E515" s="2">
        <v>3268.3</v>
      </c>
      <c r="F515" s="2">
        <v>71.9</v>
      </c>
    </row>
    <row r="516" spans="1:6" x14ac:dyDescent="0.25">
      <c r="A516" t="s">
        <v>4055</v>
      </c>
      <c r="D516" s="7"/>
      <c r="E516" s="2"/>
      <c r="F516" s="2">
        <f>SUBTOTAL(109,A_1_06_40[VALOR PARCIAL])</f>
      </c>
    </row>
    <row r="518" ht="30" customHeight="1" spans="1:6" x14ac:dyDescent="0.25">
      <c r="A518" s="5" t="s">
        <v>4818</v>
      </c>
      <c r="B518" s="5"/>
      <c r="C518" s="5"/>
      <c r="D518" s="5"/>
      <c r="E518" s="5"/>
      <c r="F518" s="5"/>
    </row>
    <row r="519" ht="42" customHeight="1" spans="1:6" x14ac:dyDescent="0.25">
      <c r="A519" s="6" t="s">
        <v>4819</v>
      </c>
      <c r="B519" s="6"/>
      <c r="C519" s="6"/>
      <c r="D519" s="6"/>
      <c r="E519" s="6"/>
      <c r="F519" s="6"/>
    </row>
    <row r="520" spans="1:6" x14ac:dyDescent="0.25">
      <c r="A520" t="s">
        <v>4044</v>
      </c>
      <c r="B520" t="s">
        <v>4045</v>
      </c>
      <c r="C520" t="s">
        <v>5</v>
      </c>
      <c r="D520" t="s">
        <v>4046</v>
      </c>
      <c r="E520" t="s">
        <v>4047</v>
      </c>
      <c r="F520" t="s">
        <v>4048</v>
      </c>
    </row>
    <row r="521" spans="1:6" x14ac:dyDescent="0.25">
      <c r="A521" t="s">
        <v>4062</v>
      </c>
      <c r="B521" t="s">
        <v>4820</v>
      </c>
      <c r="C521" t="s">
        <v>42</v>
      </c>
      <c r="D521" s="7">
        <v>1</v>
      </c>
      <c r="E521" s="2">
        <v>49179</v>
      </c>
      <c r="F521" s="2">
        <v>49179</v>
      </c>
    </row>
    <row r="522" spans="1:6" x14ac:dyDescent="0.25">
      <c r="A522" t="s">
        <v>4062</v>
      </c>
      <c r="B522" t="s">
        <v>4659</v>
      </c>
      <c r="C522" t="s">
        <v>4377</v>
      </c>
      <c r="D522" s="7">
        <v>0.04</v>
      </c>
      <c r="E522" s="2">
        <v>31500</v>
      </c>
      <c r="F522" s="2">
        <v>1260</v>
      </c>
    </row>
    <row r="523" spans="1:6" x14ac:dyDescent="0.25">
      <c r="A523" t="s">
        <v>4062</v>
      </c>
      <c r="B523" t="s">
        <v>4376</v>
      </c>
      <c r="C523" t="s">
        <v>4377</v>
      </c>
      <c r="D523" s="7">
        <v>0.04</v>
      </c>
      <c r="E523" s="2">
        <v>72237.67</v>
      </c>
      <c r="F523" s="2">
        <v>2889.51</v>
      </c>
    </row>
    <row r="524" spans="1:6" x14ac:dyDescent="0.25">
      <c r="A524" t="s">
        <v>4049</v>
      </c>
      <c r="B524" t="s">
        <v>4241</v>
      </c>
      <c r="C524" t="s">
        <v>4051</v>
      </c>
      <c r="D524" s="7">
        <v>0.13</v>
      </c>
      <c r="E524" s="2">
        <v>9941.22</v>
      </c>
      <c r="F524" s="2">
        <v>1292.36</v>
      </c>
    </row>
    <row r="525" spans="1:6" x14ac:dyDescent="0.25">
      <c r="A525" t="s">
        <v>4049</v>
      </c>
      <c r="B525" t="s">
        <v>4242</v>
      </c>
      <c r="C525" t="s">
        <v>4051</v>
      </c>
      <c r="D525" s="7">
        <v>0.13</v>
      </c>
      <c r="E525" s="2">
        <v>17069.53</v>
      </c>
      <c r="F525" s="2">
        <v>2219.04</v>
      </c>
    </row>
    <row r="526" spans="1:6" x14ac:dyDescent="0.25">
      <c r="A526" t="s">
        <v>4052</v>
      </c>
      <c r="B526" t="s">
        <v>4053</v>
      </c>
      <c r="C526" t="s">
        <v>4054</v>
      </c>
      <c r="D526" s="7">
        <v>2.2</v>
      </c>
      <c r="E526" s="2">
        <v>3511.4</v>
      </c>
      <c r="F526" s="2">
        <v>77.25</v>
      </c>
    </row>
    <row r="527" spans="1:6" x14ac:dyDescent="0.25">
      <c r="A527" t="s">
        <v>4055</v>
      </c>
      <c r="D527" s="7"/>
      <c r="E527" s="2"/>
      <c r="F527" s="2">
        <f>SUBTOTAL(109,A_1_06_41[VALOR PARCIAL])</f>
      </c>
    </row>
    <row r="529" ht="30" customHeight="1" spans="1:6" x14ac:dyDescent="0.25">
      <c r="A529" s="5" t="s">
        <v>4821</v>
      </c>
      <c r="B529" s="5"/>
      <c r="C529" s="5"/>
      <c r="D529" s="5"/>
      <c r="E529" s="5"/>
      <c r="F529" s="5"/>
    </row>
    <row r="530" ht="42" customHeight="1" spans="1:6" x14ac:dyDescent="0.25">
      <c r="A530" s="6" t="s">
        <v>4822</v>
      </c>
      <c r="B530" s="6"/>
      <c r="C530" s="6"/>
      <c r="D530" s="6"/>
      <c r="E530" s="6"/>
      <c r="F530" s="6"/>
    </row>
    <row r="531" spans="1:6" x14ac:dyDescent="0.25">
      <c r="A531" t="s">
        <v>4044</v>
      </c>
      <c r="B531" t="s">
        <v>4045</v>
      </c>
      <c r="C531" t="s">
        <v>5</v>
      </c>
      <c r="D531" t="s">
        <v>4046</v>
      </c>
      <c r="E531" t="s">
        <v>4047</v>
      </c>
      <c r="F531" t="s">
        <v>4048</v>
      </c>
    </row>
    <row r="532" spans="1:6" x14ac:dyDescent="0.25">
      <c r="A532" t="s">
        <v>4062</v>
      </c>
      <c r="B532" t="s">
        <v>4820</v>
      </c>
      <c r="C532" t="s">
        <v>42</v>
      </c>
      <c r="D532" s="7">
        <v>1</v>
      </c>
      <c r="E532" s="2">
        <v>49179</v>
      </c>
      <c r="F532" s="2">
        <v>49179</v>
      </c>
    </row>
    <row r="533" spans="1:6" x14ac:dyDescent="0.25">
      <c r="A533" t="s">
        <v>4062</v>
      </c>
      <c r="B533" t="s">
        <v>4823</v>
      </c>
      <c r="C533" t="s">
        <v>63</v>
      </c>
      <c r="D533" s="7">
        <v>0.18</v>
      </c>
      <c r="E533" s="2">
        <v>3799</v>
      </c>
      <c r="F533" s="2">
        <v>672.42</v>
      </c>
    </row>
    <row r="534" spans="1:6" x14ac:dyDescent="0.25">
      <c r="A534" t="s">
        <v>4062</v>
      </c>
      <c r="B534" t="s">
        <v>4824</v>
      </c>
      <c r="C534" t="s">
        <v>4377</v>
      </c>
      <c r="D534" s="7">
        <v>0.03</v>
      </c>
      <c r="E534" s="2">
        <v>139384</v>
      </c>
      <c r="F534" s="2">
        <v>4460.29</v>
      </c>
    </row>
    <row r="535" spans="1:6" x14ac:dyDescent="0.25">
      <c r="A535" t="s">
        <v>4049</v>
      </c>
      <c r="B535" t="s">
        <v>4050</v>
      </c>
      <c r="C535" t="s">
        <v>4051</v>
      </c>
      <c r="D535" s="7">
        <v>0.4</v>
      </c>
      <c r="E535" s="2">
        <v>9037.33</v>
      </c>
      <c r="F535" s="2">
        <v>3614.93</v>
      </c>
    </row>
    <row r="536" spans="1:6" x14ac:dyDescent="0.25">
      <c r="A536" t="s">
        <v>4049</v>
      </c>
      <c r="B536" t="s">
        <v>4241</v>
      </c>
      <c r="C536" t="s">
        <v>4051</v>
      </c>
      <c r="D536" s="7">
        <v>0.4</v>
      </c>
      <c r="E536" s="2">
        <v>9941.22</v>
      </c>
      <c r="F536" s="2">
        <v>3976.49</v>
      </c>
    </row>
    <row r="537" spans="1:6" x14ac:dyDescent="0.25">
      <c r="A537" t="s">
        <v>4049</v>
      </c>
      <c r="B537" t="s">
        <v>4242</v>
      </c>
      <c r="C537" t="s">
        <v>4051</v>
      </c>
      <c r="D537" s="7">
        <v>0.4</v>
      </c>
      <c r="E537" s="2">
        <v>17069.53</v>
      </c>
      <c r="F537" s="2">
        <v>6827.81</v>
      </c>
    </row>
    <row r="538" spans="1:6" x14ac:dyDescent="0.25">
      <c r="A538" t="s">
        <v>4052</v>
      </c>
      <c r="B538" t="s">
        <v>4053</v>
      </c>
      <c r="C538" t="s">
        <v>4054</v>
      </c>
      <c r="D538" s="7">
        <v>5</v>
      </c>
      <c r="E538" s="2">
        <v>14419.23</v>
      </c>
      <c r="F538" s="2">
        <v>720.96</v>
      </c>
    </row>
    <row r="539" spans="1:6" x14ac:dyDescent="0.25">
      <c r="A539" t="s">
        <v>4055</v>
      </c>
      <c r="D539" s="7"/>
      <c r="E539" s="2"/>
      <c r="F539" s="2">
        <f>SUBTOTAL(109,A_1_06_42[VALOR PARCIAL])</f>
      </c>
    </row>
  </sheetData>
  <mergeCells count="82">
    <mergeCell ref="A4:F4"/>
    <mergeCell ref="A5:F5"/>
    <mergeCell ref="A15:F15"/>
    <mergeCell ref="A16:F16"/>
    <mergeCell ref="A26:F26"/>
    <mergeCell ref="A27:F27"/>
    <mergeCell ref="A38:F38"/>
    <mergeCell ref="A39:F39"/>
    <mergeCell ref="A50:F50"/>
    <mergeCell ref="A51:F51"/>
    <mergeCell ref="A62:F62"/>
    <mergeCell ref="A63:F63"/>
    <mergeCell ref="A74:F74"/>
    <mergeCell ref="A75:F75"/>
    <mergeCell ref="A86:F86"/>
    <mergeCell ref="A87:F87"/>
    <mergeCell ref="A98:F98"/>
    <mergeCell ref="A99:F99"/>
    <mergeCell ref="A109:F109"/>
    <mergeCell ref="A110:F110"/>
    <mergeCell ref="A120:F120"/>
    <mergeCell ref="A121:F121"/>
    <mergeCell ref="A136:F136"/>
    <mergeCell ref="A137:F137"/>
    <mergeCell ref="A146:F146"/>
    <mergeCell ref="A147:F147"/>
    <mergeCell ref="A162:F162"/>
    <mergeCell ref="A163:F163"/>
    <mergeCell ref="A179:F179"/>
    <mergeCell ref="A180:F180"/>
    <mergeCell ref="A195:F195"/>
    <mergeCell ref="A196:F196"/>
    <mergeCell ref="A216:F216"/>
    <mergeCell ref="A217:F217"/>
    <mergeCell ref="A226:F226"/>
    <mergeCell ref="A227:F227"/>
    <mergeCell ref="A236:F236"/>
    <mergeCell ref="A237:F237"/>
    <mergeCell ref="A248:F248"/>
    <mergeCell ref="A249:F249"/>
    <mergeCell ref="A263:F263"/>
    <mergeCell ref="A264:F264"/>
    <mergeCell ref="A278:F278"/>
    <mergeCell ref="A279:F279"/>
    <mergeCell ref="A292:F292"/>
    <mergeCell ref="A293:F293"/>
    <mergeCell ref="A301:F301"/>
    <mergeCell ref="A302:F302"/>
    <mergeCell ref="A310:F310"/>
    <mergeCell ref="A311:F311"/>
    <mergeCell ref="A319:F319"/>
    <mergeCell ref="A320:F320"/>
    <mergeCell ref="A331:F331"/>
    <mergeCell ref="A332:F332"/>
    <mergeCell ref="A345:F345"/>
    <mergeCell ref="A346:F346"/>
    <mergeCell ref="A355:F355"/>
    <mergeCell ref="A356:F356"/>
    <mergeCell ref="A365:F365"/>
    <mergeCell ref="A366:F366"/>
    <mergeCell ref="A381:F381"/>
    <mergeCell ref="A382:F382"/>
    <mergeCell ref="A396:F396"/>
    <mergeCell ref="A397:F397"/>
    <mergeCell ref="A412:F412"/>
    <mergeCell ref="A413:F413"/>
    <mergeCell ref="A427:F427"/>
    <mergeCell ref="A428:F428"/>
    <mergeCell ref="A443:F443"/>
    <mergeCell ref="A444:F444"/>
    <mergeCell ref="A459:F459"/>
    <mergeCell ref="A460:F460"/>
    <mergeCell ref="A475:F475"/>
    <mergeCell ref="A476:F476"/>
    <mergeCell ref="A491:F491"/>
    <mergeCell ref="A492:F492"/>
    <mergeCell ref="A507:F507"/>
    <mergeCell ref="A508:F508"/>
    <mergeCell ref="A518:F518"/>
    <mergeCell ref="A519:F519"/>
    <mergeCell ref="A529:F529"/>
    <mergeCell ref="A530:F530"/>
  </mergeCells>
  <pageMargins left="0.7" right="0.7" top="0.75" bottom="0.75" header="0.3" footer="0.3"/>
  <pageSetup orientation="portrait" horizontalDpi="4294967295" verticalDpi="4294967295" scale="100" fitToWidth="1" fitToHeight="1"/>
  <tableParts count="4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4825</v>
      </c>
    </row>
    <row r="2" spans="1:1" x14ac:dyDescent="0.25">
      <c r="A2" s="4" t="s">
        <v>4826</v>
      </c>
    </row>
    <row r="4" ht="30" customHeight="1" spans="1:6" x14ac:dyDescent="0.25">
      <c r="A4" s="5" t="s">
        <v>4827</v>
      </c>
      <c r="B4" s="5"/>
      <c r="C4" s="5"/>
      <c r="D4" s="5"/>
      <c r="E4" s="5"/>
      <c r="F4" s="5"/>
    </row>
    <row r="5" ht="42" customHeight="1" spans="1:6" x14ac:dyDescent="0.25">
      <c r="A5" s="6" t="s">
        <v>4828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4829</v>
      </c>
      <c r="C7" t="s">
        <v>42</v>
      </c>
      <c r="D7" s="7">
        <v>6.3</v>
      </c>
      <c r="E7" s="2">
        <v>2293</v>
      </c>
      <c r="F7" s="2">
        <v>14445.9</v>
      </c>
    </row>
    <row r="8" spans="1:6" x14ac:dyDescent="0.25">
      <c r="A8" t="s">
        <v>4062</v>
      </c>
      <c r="B8" t="s">
        <v>4830</v>
      </c>
      <c r="C8" t="s">
        <v>42</v>
      </c>
      <c r="D8" s="7">
        <v>6.3</v>
      </c>
      <c r="E8" s="2">
        <v>4934</v>
      </c>
      <c r="F8" s="2">
        <v>31084.2</v>
      </c>
    </row>
    <row r="9" spans="1:6" x14ac:dyDescent="0.25">
      <c r="A9" t="s">
        <v>4062</v>
      </c>
      <c r="B9" t="s">
        <v>4831</v>
      </c>
      <c r="C9" t="s">
        <v>63</v>
      </c>
      <c r="D9" s="7">
        <v>1</v>
      </c>
      <c r="E9" s="2">
        <v>135347.4</v>
      </c>
      <c r="F9" s="2">
        <v>135347.4</v>
      </c>
    </row>
    <row r="10" spans="1:6" x14ac:dyDescent="0.25">
      <c r="A10" t="s">
        <v>4062</v>
      </c>
      <c r="B10" t="s">
        <v>4832</v>
      </c>
      <c r="C10" t="s">
        <v>63</v>
      </c>
      <c r="D10" s="7">
        <v>3</v>
      </c>
      <c r="E10" s="2">
        <v>1143</v>
      </c>
      <c r="F10" s="2">
        <v>3429</v>
      </c>
    </row>
    <row r="11" spans="1:6" x14ac:dyDescent="0.25">
      <c r="A11" t="s">
        <v>4062</v>
      </c>
      <c r="B11" t="s">
        <v>4833</v>
      </c>
      <c r="C11" t="s">
        <v>63</v>
      </c>
      <c r="D11" s="7">
        <v>4</v>
      </c>
      <c r="E11" s="2">
        <v>404</v>
      </c>
      <c r="F11" s="2">
        <v>1616</v>
      </c>
    </row>
    <row r="12" spans="1:6" x14ac:dyDescent="0.25">
      <c r="A12" t="s">
        <v>4062</v>
      </c>
      <c r="B12" t="s">
        <v>4659</v>
      </c>
      <c r="C12" t="s">
        <v>4377</v>
      </c>
      <c r="D12" s="7">
        <v>0.01</v>
      </c>
      <c r="E12" s="2">
        <v>31500</v>
      </c>
      <c r="F12" s="2">
        <v>315</v>
      </c>
    </row>
    <row r="13" spans="1:6" x14ac:dyDescent="0.25">
      <c r="A13" t="s">
        <v>4062</v>
      </c>
      <c r="B13" t="s">
        <v>4834</v>
      </c>
      <c r="C13" t="s">
        <v>42</v>
      </c>
      <c r="D13" s="7">
        <v>19</v>
      </c>
      <c r="E13" s="2">
        <v>1966</v>
      </c>
      <c r="F13" s="2">
        <v>37354</v>
      </c>
    </row>
    <row r="14" spans="1:6" x14ac:dyDescent="0.25">
      <c r="A14" t="s">
        <v>4062</v>
      </c>
      <c r="B14" t="s">
        <v>4835</v>
      </c>
      <c r="C14" t="s">
        <v>42</v>
      </c>
      <c r="D14" s="7">
        <v>25</v>
      </c>
      <c r="E14" s="2">
        <v>1854</v>
      </c>
      <c r="F14" s="2">
        <v>46350</v>
      </c>
    </row>
    <row r="15" spans="1:6" x14ac:dyDescent="0.25">
      <c r="A15" t="s">
        <v>4062</v>
      </c>
      <c r="B15" t="s">
        <v>4376</v>
      </c>
      <c r="C15" t="s">
        <v>4377</v>
      </c>
      <c r="D15" s="7">
        <v>0.04</v>
      </c>
      <c r="E15" s="2">
        <v>72237.67</v>
      </c>
      <c r="F15" s="2">
        <v>2889.51</v>
      </c>
    </row>
    <row r="16" spans="1:6" x14ac:dyDescent="0.25">
      <c r="A16" t="s">
        <v>4049</v>
      </c>
      <c r="B16" t="s">
        <v>4241</v>
      </c>
      <c r="C16" t="s">
        <v>4051</v>
      </c>
      <c r="D16" s="7">
        <v>6</v>
      </c>
      <c r="E16" s="2">
        <v>9941.22</v>
      </c>
      <c r="F16" s="2">
        <v>59647.32</v>
      </c>
    </row>
    <row r="17" spans="1:6" x14ac:dyDescent="0.25">
      <c r="A17" t="s">
        <v>4049</v>
      </c>
      <c r="B17" t="s">
        <v>4242</v>
      </c>
      <c r="C17" t="s">
        <v>4051</v>
      </c>
      <c r="D17" s="7">
        <v>6</v>
      </c>
      <c r="E17" s="2">
        <v>17069.53</v>
      </c>
      <c r="F17" s="2">
        <v>102417.18</v>
      </c>
    </row>
    <row r="18" spans="1:6" x14ac:dyDescent="0.25">
      <c r="A18" t="s">
        <v>4052</v>
      </c>
      <c r="B18" t="s">
        <v>4053</v>
      </c>
      <c r="C18" t="s">
        <v>4054</v>
      </c>
      <c r="D18" s="7">
        <v>3.3</v>
      </c>
      <c r="E18" s="2">
        <v>162064.5</v>
      </c>
      <c r="F18" s="2">
        <v>5348.13</v>
      </c>
    </row>
    <row r="19" spans="1:6" x14ac:dyDescent="0.25">
      <c r="A19" t="s">
        <v>4055</v>
      </c>
      <c r="D19" s="7"/>
      <c r="E19" s="2"/>
      <c r="F19" s="2">
        <f>SUBTOTAL(109,A_1_07_01[VALOR PARCIAL])</f>
      </c>
    </row>
    <row r="21" ht="30" customHeight="1" spans="1:6" x14ac:dyDescent="0.25">
      <c r="A21" s="5" t="s">
        <v>4836</v>
      </c>
      <c r="B21" s="5"/>
      <c r="C21" s="5"/>
      <c r="D21" s="5"/>
      <c r="E21" s="5"/>
      <c r="F21" s="5"/>
    </row>
    <row r="22" ht="42" customHeight="1" spans="1:6" x14ac:dyDescent="0.25">
      <c r="A22" s="6" t="s">
        <v>4837</v>
      </c>
      <c r="B22" s="6"/>
      <c r="C22" s="6"/>
      <c r="D22" s="6"/>
      <c r="E22" s="6"/>
      <c r="F22" s="6"/>
    </row>
    <row r="23" spans="1:6" x14ac:dyDescent="0.25">
      <c r="A23" t="s">
        <v>4044</v>
      </c>
      <c r="B23" t="s">
        <v>4045</v>
      </c>
      <c r="C23" t="s">
        <v>5</v>
      </c>
      <c r="D23" t="s">
        <v>4046</v>
      </c>
      <c r="E23" t="s">
        <v>4047</v>
      </c>
      <c r="F23" t="s">
        <v>4048</v>
      </c>
    </row>
    <row r="24" spans="1:6" x14ac:dyDescent="0.25">
      <c r="A24" t="s">
        <v>4062</v>
      </c>
      <c r="B24" t="s">
        <v>4838</v>
      </c>
      <c r="C24" t="s">
        <v>63</v>
      </c>
      <c r="D24" s="7">
        <v>1</v>
      </c>
      <c r="E24" s="2">
        <v>1783</v>
      </c>
      <c r="F24" s="2">
        <v>1783</v>
      </c>
    </row>
    <row r="25" spans="1:6" x14ac:dyDescent="0.25">
      <c r="A25" t="s">
        <v>4062</v>
      </c>
      <c r="B25" t="s">
        <v>4839</v>
      </c>
      <c r="C25" t="s">
        <v>63</v>
      </c>
      <c r="D25" s="7">
        <v>1</v>
      </c>
      <c r="E25" s="2">
        <v>6352</v>
      </c>
      <c r="F25" s="2">
        <v>6352</v>
      </c>
    </row>
    <row r="26" spans="1:6" x14ac:dyDescent="0.25">
      <c r="A26" t="s">
        <v>4062</v>
      </c>
      <c r="B26" t="s">
        <v>4840</v>
      </c>
      <c r="C26" t="s">
        <v>42</v>
      </c>
      <c r="D26" s="7">
        <v>6</v>
      </c>
      <c r="E26" s="2">
        <v>8451</v>
      </c>
      <c r="F26" s="2">
        <v>50706</v>
      </c>
    </row>
    <row r="27" spans="1:6" x14ac:dyDescent="0.25">
      <c r="A27" t="s">
        <v>4062</v>
      </c>
      <c r="B27" t="s">
        <v>4841</v>
      </c>
      <c r="C27" t="s">
        <v>63</v>
      </c>
      <c r="D27" s="7">
        <v>2</v>
      </c>
      <c r="E27" s="2">
        <v>1147</v>
      </c>
      <c r="F27" s="2">
        <v>2294</v>
      </c>
    </row>
    <row r="28" spans="1:6" x14ac:dyDescent="0.25">
      <c r="A28" t="s">
        <v>4062</v>
      </c>
      <c r="B28" t="s">
        <v>4842</v>
      </c>
      <c r="C28" t="s">
        <v>63</v>
      </c>
      <c r="D28" s="7">
        <v>1</v>
      </c>
      <c r="E28" s="2">
        <v>1951</v>
      </c>
      <c r="F28" s="2">
        <v>1951</v>
      </c>
    </row>
    <row r="29" spans="1:6" x14ac:dyDescent="0.25">
      <c r="A29" t="s">
        <v>4062</v>
      </c>
      <c r="B29" t="s">
        <v>4843</v>
      </c>
      <c r="C29" t="s">
        <v>63</v>
      </c>
      <c r="D29" s="7">
        <v>1</v>
      </c>
      <c r="E29" s="2">
        <v>1163</v>
      </c>
      <c r="F29" s="2">
        <v>1163</v>
      </c>
    </row>
    <row r="30" spans="1:6" x14ac:dyDescent="0.25">
      <c r="A30" t="s">
        <v>4062</v>
      </c>
      <c r="B30" t="s">
        <v>4844</v>
      </c>
      <c r="C30" t="s">
        <v>63</v>
      </c>
      <c r="D30" s="7">
        <v>1</v>
      </c>
      <c r="E30" s="2">
        <v>674</v>
      </c>
      <c r="F30" s="2">
        <v>674</v>
      </c>
    </row>
    <row r="31" spans="1:6" x14ac:dyDescent="0.25">
      <c r="A31" t="s">
        <v>4062</v>
      </c>
      <c r="B31" t="s">
        <v>4835</v>
      </c>
      <c r="C31" t="s">
        <v>42</v>
      </c>
      <c r="D31" s="7">
        <v>12.5</v>
      </c>
      <c r="E31" s="2">
        <v>2850</v>
      </c>
      <c r="F31" s="2">
        <v>35625</v>
      </c>
    </row>
    <row r="32" spans="1:6" x14ac:dyDescent="0.25">
      <c r="A32" t="s">
        <v>4049</v>
      </c>
      <c r="B32" t="s">
        <v>4241</v>
      </c>
      <c r="C32" t="s">
        <v>4051</v>
      </c>
      <c r="D32" s="7">
        <v>4</v>
      </c>
      <c r="E32" s="2">
        <v>9941.22</v>
      </c>
      <c r="F32" s="2">
        <v>39764.88</v>
      </c>
    </row>
    <row r="33" spans="1:6" x14ac:dyDescent="0.25">
      <c r="A33" t="s">
        <v>4049</v>
      </c>
      <c r="B33" t="s">
        <v>4242</v>
      </c>
      <c r="C33" t="s">
        <v>4051</v>
      </c>
      <c r="D33" s="7">
        <v>4</v>
      </c>
      <c r="E33" s="2">
        <v>17069.53</v>
      </c>
      <c r="F33" s="2">
        <v>68278.12</v>
      </c>
    </row>
    <row r="34" spans="1:6" x14ac:dyDescent="0.25">
      <c r="A34" t="s">
        <v>4052</v>
      </c>
      <c r="B34" t="s">
        <v>4053</v>
      </c>
      <c r="C34" t="s">
        <v>4054</v>
      </c>
      <c r="D34" s="7">
        <v>5</v>
      </c>
      <c r="E34" s="2">
        <v>108043</v>
      </c>
      <c r="F34" s="2">
        <v>5402.15</v>
      </c>
    </row>
    <row r="35" spans="1:6" x14ac:dyDescent="0.25">
      <c r="A35" t="s">
        <v>4055</v>
      </c>
      <c r="D35" s="7"/>
      <c r="E35" s="2"/>
      <c r="F35" s="2">
        <f>SUBTOTAL(109,A_1_07_02[VALOR PARCIAL])</f>
      </c>
    </row>
    <row r="37" ht="30" customHeight="1" spans="1:6" x14ac:dyDescent="0.25">
      <c r="A37" s="5" t="s">
        <v>4845</v>
      </c>
      <c r="B37" s="5"/>
      <c r="C37" s="5"/>
      <c r="D37" s="5"/>
      <c r="E37" s="5"/>
      <c r="F37" s="5"/>
    </row>
    <row r="38" ht="42" customHeight="1" spans="1:6" x14ac:dyDescent="0.25">
      <c r="A38" s="6" t="s">
        <v>4846</v>
      </c>
      <c r="B38" s="6"/>
      <c r="C38" s="6"/>
      <c r="D38" s="6"/>
      <c r="E38" s="6"/>
      <c r="F38" s="6"/>
    </row>
    <row r="39" spans="1:6" x14ac:dyDescent="0.25">
      <c r="A39" t="s">
        <v>4044</v>
      </c>
      <c r="B39" t="s">
        <v>4045</v>
      </c>
      <c r="C39" t="s">
        <v>5</v>
      </c>
      <c r="D39" t="s">
        <v>4046</v>
      </c>
      <c r="E39" t="s">
        <v>4047</v>
      </c>
      <c r="F39" t="s">
        <v>4048</v>
      </c>
    </row>
    <row r="40" spans="1:6" x14ac:dyDescent="0.25">
      <c r="A40" t="s">
        <v>4062</v>
      </c>
      <c r="B40" t="s">
        <v>4847</v>
      </c>
      <c r="C40" t="s">
        <v>63</v>
      </c>
      <c r="D40" s="7">
        <v>1</v>
      </c>
      <c r="E40" s="2">
        <v>17700</v>
      </c>
      <c r="F40" s="2">
        <v>17700</v>
      </c>
    </row>
    <row r="41" spans="1:6" x14ac:dyDescent="0.25">
      <c r="A41" t="s">
        <v>4062</v>
      </c>
      <c r="B41" t="s">
        <v>4848</v>
      </c>
      <c r="C41" t="s">
        <v>63</v>
      </c>
      <c r="D41" s="7">
        <v>1</v>
      </c>
      <c r="E41" s="2">
        <v>6561.5</v>
      </c>
      <c r="F41" s="2">
        <v>6561.5</v>
      </c>
    </row>
    <row r="42" spans="1:6" x14ac:dyDescent="0.25">
      <c r="A42" t="s">
        <v>4062</v>
      </c>
      <c r="B42" t="s">
        <v>4849</v>
      </c>
      <c r="C42" t="s">
        <v>63</v>
      </c>
      <c r="D42" s="7">
        <v>1</v>
      </c>
      <c r="E42" s="2">
        <v>2298</v>
      </c>
      <c r="F42" s="2">
        <v>2298</v>
      </c>
    </row>
    <row r="43" spans="1:6" x14ac:dyDescent="0.25">
      <c r="A43" t="s">
        <v>4049</v>
      </c>
      <c r="B43" t="s">
        <v>4241</v>
      </c>
      <c r="C43" t="s">
        <v>4051</v>
      </c>
      <c r="D43" s="7">
        <v>0.53</v>
      </c>
      <c r="E43" s="2">
        <v>9941.22</v>
      </c>
      <c r="F43" s="2">
        <v>5268.85</v>
      </c>
    </row>
    <row r="44" spans="1:6" x14ac:dyDescent="0.25">
      <c r="A44" t="s">
        <v>4049</v>
      </c>
      <c r="B44" t="s">
        <v>4242</v>
      </c>
      <c r="C44" t="s">
        <v>4051</v>
      </c>
      <c r="D44" s="7">
        <v>0.53</v>
      </c>
      <c r="E44" s="2">
        <v>17069.53</v>
      </c>
      <c r="F44" s="2">
        <v>9046.85</v>
      </c>
    </row>
    <row r="45" spans="1:6" x14ac:dyDescent="0.25">
      <c r="A45" t="s">
        <v>4052</v>
      </c>
      <c r="B45" t="s">
        <v>4053</v>
      </c>
      <c r="C45" t="s">
        <v>4054</v>
      </c>
      <c r="D45" s="7">
        <v>5</v>
      </c>
      <c r="E45" s="2">
        <v>14315.7</v>
      </c>
      <c r="F45" s="2">
        <v>715.78</v>
      </c>
    </row>
    <row r="46" spans="1:6" x14ac:dyDescent="0.25">
      <c r="A46" t="s">
        <v>4055</v>
      </c>
      <c r="D46" s="7"/>
      <c r="E46" s="2"/>
      <c r="F46" s="2">
        <f>SUBTOTAL(109,A_1_07_03[VALOR PARCIAL])</f>
      </c>
    </row>
    <row r="48" ht="30" customHeight="1" spans="1:6" x14ac:dyDescent="0.25">
      <c r="A48" s="5" t="s">
        <v>4850</v>
      </c>
      <c r="B48" s="5"/>
      <c r="C48" s="5"/>
      <c r="D48" s="5"/>
      <c r="E48" s="5"/>
      <c r="F48" s="5"/>
    </row>
    <row r="49" ht="42" customHeight="1" spans="1:6" x14ac:dyDescent="0.25">
      <c r="A49" s="6" t="s">
        <v>4851</v>
      </c>
      <c r="B49" s="6"/>
      <c r="C49" s="6"/>
      <c r="D49" s="6"/>
      <c r="E49" s="6"/>
      <c r="F49" s="6"/>
    </row>
    <row r="50" spans="1:6" x14ac:dyDescent="0.25">
      <c r="A50" t="s">
        <v>4044</v>
      </c>
      <c r="B50" t="s">
        <v>4045</v>
      </c>
      <c r="C50" t="s">
        <v>5</v>
      </c>
      <c r="D50" t="s">
        <v>4046</v>
      </c>
      <c r="E50" t="s">
        <v>4047</v>
      </c>
      <c r="F50" t="s">
        <v>4048</v>
      </c>
    </row>
    <row r="51" spans="1:6" x14ac:dyDescent="0.25">
      <c r="A51" t="s">
        <v>4062</v>
      </c>
      <c r="B51" t="s">
        <v>4829</v>
      </c>
      <c r="C51" t="s">
        <v>42</v>
      </c>
      <c r="D51" s="7">
        <v>4</v>
      </c>
      <c r="E51" s="2">
        <v>2293</v>
      </c>
      <c r="F51" s="2">
        <v>9172</v>
      </c>
    </row>
    <row r="52" spans="1:6" x14ac:dyDescent="0.25">
      <c r="A52" t="s">
        <v>4062</v>
      </c>
      <c r="B52" t="s">
        <v>4852</v>
      </c>
      <c r="C52" t="s">
        <v>63</v>
      </c>
      <c r="D52" s="7">
        <v>1</v>
      </c>
      <c r="E52" s="2">
        <v>1980</v>
      </c>
      <c r="F52" s="2">
        <v>1980</v>
      </c>
    </row>
    <row r="53" spans="1:6" x14ac:dyDescent="0.25">
      <c r="A53" t="s">
        <v>4062</v>
      </c>
      <c r="B53" t="s">
        <v>4833</v>
      </c>
      <c r="C53" t="s">
        <v>63</v>
      </c>
      <c r="D53" s="7">
        <v>3</v>
      </c>
      <c r="E53" s="2">
        <v>404</v>
      </c>
      <c r="F53" s="2">
        <v>1212</v>
      </c>
    </row>
    <row r="54" spans="1:6" x14ac:dyDescent="0.25">
      <c r="A54" t="s">
        <v>4062</v>
      </c>
      <c r="B54" t="s">
        <v>4853</v>
      </c>
      <c r="C54" t="s">
        <v>63</v>
      </c>
      <c r="D54" s="7">
        <v>1</v>
      </c>
      <c r="E54" s="2">
        <v>7280</v>
      </c>
      <c r="F54" s="2">
        <v>7280</v>
      </c>
    </row>
    <row r="55" spans="1:6" x14ac:dyDescent="0.25">
      <c r="A55" t="s">
        <v>4062</v>
      </c>
      <c r="B55" t="s">
        <v>4659</v>
      </c>
      <c r="C55" t="s">
        <v>4377</v>
      </c>
      <c r="D55" s="7">
        <v>0.01</v>
      </c>
      <c r="E55" s="2">
        <v>31500</v>
      </c>
      <c r="F55" s="2">
        <v>315</v>
      </c>
    </row>
    <row r="56" spans="1:6" x14ac:dyDescent="0.25">
      <c r="A56" t="s">
        <v>4062</v>
      </c>
      <c r="B56" t="s">
        <v>4854</v>
      </c>
      <c r="C56" t="s">
        <v>42</v>
      </c>
      <c r="D56" s="7">
        <v>3</v>
      </c>
      <c r="E56" s="2">
        <v>835</v>
      </c>
      <c r="F56" s="2">
        <v>2505</v>
      </c>
    </row>
    <row r="57" spans="1:6" x14ac:dyDescent="0.25">
      <c r="A57" t="s">
        <v>4062</v>
      </c>
      <c r="B57" t="s">
        <v>4835</v>
      </c>
      <c r="C57" t="s">
        <v>42</v>
      </c>
      <c r="D57" s="7">
        <v>6</v>
      </c>
      <c r="E57" s="2">
        <v>1854</v>
      </c>
      <c r="F57" s="2">
        <v>11124</v>
      </c>
    </row>
    <row r="58" spans="1:6" x14ac:dyDescent="0.25">
      <c r="A58" t="s">
        <v>4062</v>
      </c>
      <c r="B58" t="s">
        <v>4855</v>
      </c>
      <c r="C58" t="s">
        <v>63</v>
      </c>
      <c r="D58" s="7">
        <v>1</v>
      </c>
      <c r="E58" s="2">
        <v>2100</v>
      </c>
      <c r="F58" s="2">
        <v>2100</v>
      </c>
    </row>
    <row r="59" spans="1:6" x14ac:dyDescent="0.25">
      <c r="A59" t="s">
        <v>4062</v>
      </c>
      <c r="B59" t="s">
        <v>4376</v>
      </c>
      <c r="C59" t="s">
        <v>4377</v>
      </c>
      <c r="D59" s="7">
        <v>0.01</v>
      </c>
      <c r="E59" s="2">
        <v>72237.67</v>
      </c>
      <c r="F59" s="2">
        <v>722.38</v>
      </c>
    </row>
    <row r="60" spans="1:6" x14ac:dyDescent="0.25">
      <c r="A60" t="s">
        <v>4049</v>
      </c>
      <c r="B60" t="s">
        <v>4241</v>
      </c>
      <c r="C60" t="s">
        <v>4051</v>
      </c>
      <c r="D60" s="7">
        <v>3.5</v>
      </c>
      <c r="E60" s="2">
        <v>9941.22</v>
      </c>
      <c r="F60" s="2">
        <v>34794.27</v>
      </c>
    </row>
    <row r="61" spans="1:6" x14ac:dyDescent="0.25">
      <c r="A61" t="s">
        <v>4049</v>
      </c>
      <c r="B61" t="s">
        <v>4242</v>
      </c>
      <c r="C61" t="s">
        <v>4051</v>
      </c>
      <c r="D61" s="7">
        <v>3.5</v>
      </c>
      <c r="E61" s="2">
        <v>17069.53</v>
      </c>
      <c r="F61" s="2">
        <v>59743.35</v>
      </c>
    </row>
    <row r="62" spans="1:6" x14ac:dyDescent="0.25">
      <c r="A62" t="s">
        <v>4052</v>
      </c>
      <c r="B62" t="s">
        <v>4053</v>
      </c>
      <c r="C62" t="s">
        <v>4054</v>
      </c>
      <c r="D62" s="7">
        <v>3.3</v>
      </c>
      <c r="E62" s="2">
        <v>94537.62</v>
      </c>
      <c r="F62" s="2">
        <v>3119.74</v>
      </c>
    </row>
    <row r="63" spans="1:6" x14ac:dyDescent="0.25">
      <c r="A63" t="s">
        <v>4055</v>
      </c>
      <c r="D63" s="7"/>
      <c r="E63" s="2"/>
      <c r="F63" s="2">
        <f>SUBTOTAL(109,A_1_07_04[VALOR PARCIAL])</f>
      </c>
    </row>
    <row r="65" ht="30" customHeight="1" spans="1:6" x14ac:dyDescent="0.25">
      <c r="A65" s="5" t="s">
        <v>4856</v>
      </c>
      <c r="B65" s="5"/>
      <c r="C65" s="5"/>
      <c r="D65" s="5"/>
      <c r="E65" s="5"/>
      <c r="F65" s="5"/>
    </row>
    <row r="66" ht="42" customHeight="1" spans="1:6" x14ac:dyDescent="0.25">
      <c r="A66" s="6" t="s">
        <v>4857</v>
      </c>
      <c r="B66" s="6"/>
      <c r="C66" s="6"/>
      <c r="D66" s="6"/>
      <c r="E66" s="6"/>
      <c r="F66" s="6"/>
    </row>
    <row r="67" spans="1:6" x14ac:dyDescent="0.25">
      <c r="A67" t="s">
        <v>4044</v>
      </c>
      <c r="B67" t="s">
        <v>4045</v>
      </c>
      <c r="C67" t="s">
        <v>5</v>
      </c>
      <c r="D67" t="s">
        <v>4046</v>
      </c>
      <c r="E67" t="s">
        <v>4047</v>
      </c>
      <c r="F67" t="s">
        <v>4048</v>
      </c>
    </row>
    <row r="68" spans="1:6" x14ac:dyDescent="0.25">
      <c r="A68" t="s">
        <v>4062</v>
      </c>
      <c r="B68" t="s">
        <v>4829</v>
      </c>
      <c r="C68" t="s">
        <v>42</v>
      </c>
      <c r="D68" s="7">
        <v>4</v>
      </c>
      <c r="E68" s="2">
        <v>2293</v>
      </c>
      <c r="F68" s="2">
        <v>9172</v>
      </c>
    </row>
    <row r="69" spans="1:6" x14ac:dyDescent="0.25">
      <c r="A69" t="s">
        <v>4062</v>
      </c>
      <c r="B69" t="s">
        <v>4852</v>
      </c>
      <c r="C69" t="s">
        <v>63</v>
      </c>
      <c r="D69" s="7">
        <v>2</v>
      </c>
      <c r="E69" s="2">
        <v>1980</v>
      </c>
      <c r="F69" s="2">
        <v>3960</v>
      </c>
    </row>
    <row r="70" spans="1:6" x14ac:dyDescent="0.25">
      <c r="A70" t="s">
        <v>4062</v>
      </c>
      <c r="B70" t="s">
        <v>4833</v>
      </c>
      <c r="C70" t="s">
        <v>63</v>
      </c>
      <c r="D70" s="7">
        <v>3</v>
      </c>
      <c r="E70" s="2">
        <v>404</v>
      </c>
      <c r="F70" s="2">
        <v>1212</v>
      </c>
    </row>
    <row r="71" spans="1:6" x14ac:dyDescent="0.25">
      <c r="A71" t="s">
        <v>4062</v>
      </c>
      <c r="B71" t="s">
        <v>4858</v>
      </c>
      <c r="C71" t="s">
        <v>63</v>
      </c>
      <c r="D71" s="7">
        <v>1</v>
      </c>
      <c r="E71" s="2">
        <v>11482</v>
      </c>
      <c r="F71" s="2">
        <v>11482</v>
      </c>
    </row>
    <row r="72" spans="1:6" x14ac:dyDescent="0.25">
      <c r="A72" t="s">
        <v>4062</v>
      </c>
      <c r="B72" t="s">
        <v>4659</v>
      </c>
      <c r="C72" t="s">
        <v>4377</v>
      </c>
      <c r="D72" s="7">
        <v>0.01</v>
      </c>
      <c r="E72" s="2">
        <v>31500</v>
      </c>
      <c r="F72" s="2">
        <v>315</v>
      </c>
    </row>
    <row r="73" spans="1:6" x14ac:dyDescent="0.25">
      <c r="A73" t="s">
        <v>4062</v>
      </c>
      <c r="B73" t="s">
        <v>4854</v>
      </c>
      <c r="C73" t="s">
        <v>42</v>
      </c>
      <c r="D73" s="7">
        <v>11</v>
      </c>
      <c r="E73" s="2">
        <v>835</v>
      </c>
      <c r="F73" s="2">
        <v>9185</v>
      </c>
    </row>
    <row r="74" spans="1:6" x14ac:dyDescent="0.25">
      <c r="A74" t="s">
        <v>4062</v>
      </c>
      <c r="B74" t="s">
        <v>4835</v>
      </c>
      <c r="C74" t="s">
        <v>42</v>
      </c>
      <c r="D74" s="7">
        <v>5</v>
      </c>
      <c r="E74" s="2">
        <v>1854</v>
      </c>
      <c r="F74" s="2">
        <v>9270</v>
      </c>
    </row>
    <row r="75" spans="1:6" x14ac:dyDescent="0.25">
      <c r="A75" t="s">
        <v>4062</v>
      </c>
      <c r="B75" t="s">
        <v>4855</v>
      </c>
      <c r="C75" t="s">
        <v>63</v>
      </c>
      <c r="D75" s="7">
        <v>1</v>
      </c>
      <c r="E75" s="2">
        <v>2100</v>
      </c>
      <c r="F75" s="2">
        <v>2100</v>
      </c>
    </row>
    <row r="76" spans="1:6" x14ac:dyDescent="0.25">
      <c r="A76" t="s">
        <v>4062</v>
      </c>
      <c r="B76" t="s">
        <v>4376</v>
      </c>
      <c r="C76" t="s">
        <v>4377</v>
      </c>
      <c r="D76" s="7">
        <v>0.01</v>
      </c>
      <c r="E76" s="2">
        <v>72237.67</v>
      </c>
      <c r="F76" s="2">
        <v>722.38</v>
      </c>
    </row>
    <row r="77" spans="1:6" x14ac:dyDescent="0.25">
      <c r="A77" t="s">
        <v>4049</v>
      </c>
      <c r="B77" t="s">
        <v>4241</v>
      </c>
      <c r="C77" t="s">
        <v>4051</v>
      </c>
      <c r="D77" s="7">
        <v>3.5</v>
      </c>
      <c r="E77" s="2">
        <v>9941.22</v>
      </c>
      <c r="F77" s="2">
        <v>34794.27</v>
      </c>
    </row>
    <row r="78" spans="1:6" x14ac:dyDescent="0.25">
      <c r="A78" t="s">
        <v>4049</v>
      </c>
      <c r="B78" t="s">
        <v>4242</v>
      </c>
      <c r="C78" t="s">
        <v>4051</v>
      </c>
      <c r="D78" s="7">
        <v>3.5</v>
      </c>
      <c r="E78" s="2">
        <v>17069.53</v>
      </c>
      <c r="F78" s="2">
        <v>59743.35</v>
      </c>
    </row>
    <row r="79" spans="1:6" x14ac:dyDescent="0.25">
      <c r="A79" t="s">
        <v>4052</v>
      </c>
      <c r="B79" t="s">
        <v>4053</v>
      </c>
      <c r="C79" t="s">
        <v>4054</v>
      </c>
      <c r="D79" s="7">
        <v>3.3</v>
      </c>
      <c r="E79" s="2">
        <v>94537.62</v>
      </c>
      <c r="F79" s="2">
        <v>3119.74</v>
      </c>
    </row>
    <row r="80" spans="1:6" x14ac:dyDescent="0.25">
      <c r="A80" t="s">
        <v>4055</v>
      </c>
      <c r="D80" s="7"/>
      <c r="E80" s="2"/>
      <c r="F80" s="2">
        <f>SUBTOTAL(109,A_1_07_05[VALOR PARCIAL])</f>
      </c>
    </row>
    <row r="82" ht="30" customHeight="1" spans="1:6" x14ac:dyDescent="0.25">
      <c r="A82" s="5" t="s">
        <v>4859</v>
      </c>
      <c r="B82" s="5"/>
      <c r="C82" s="5"/>
      <c r="D82" s="5"/>
      <c r="E82" s="5"/>
      <c r="F82" s="5"/>
    </row>
    <row r="83" ht="42" customHeight="1" spans="1:6" x14ac:dyDescent="0.25">
      <c r="A83" s="6" t="s">
        <v>4860</v>
      </c>
      <c r="B83" s="6"/>
      <c r="C83" s="6"/>
      <c r="D83" s="6"/>
      <c r="E83" s="6"/>
      <c r="F83" s="6"/>
    </row>
    <row r="84" spans="1:6" x14ac:dyDescent="0.25">
      <c r="A84" t="s">
        <v>4044</v>
      </c>
      <c r="B84" t="s">
        <v>4045</v>
      </c>
      <c r="C84" t="s">
        <v>5</v>
      </c>
      <c r="D84" t="s">
        <v>4046</v>
      </c>
      <c r="E84" t="s">
        <v>4047</v>
      </c>
      <c r="F84" t="s">
        <v>4048</v>
      </c>
    </row>
    <row r="85" spans="1:6" x14ac:dyDescent="0.25">
      <c r="A85" t="s">
        <v>4062</v>
      </c>
      <c r="B85" t="s">
        <v>4829</v>
      </c>
      <c r="C85" t="s">
        <v>42</v>
      </c>
      <c r="D85" s="7">
        <v>12</v>
      </c>
      <c r="E85" s="2">
        <v>2293</v>
      </c>
      <c r="F85" s="2">
        <v>27516</v>
      </c>
    </row>
    <row r="86" spans="1:6" x14ac:dyDescent="0.25">
      <c r="A86" t="s">
        <v>4062</v>
      </c>
      <c r="B86" t="s">
        <v>4861</v>
      </c>
      <c r="C86" t="s">
        <v>42</v>
      </c>
      <c r="D86" s="7">
        <v>16</v>
      </c>
      <c r="E86" s="2">
        <v>1030</v>
      </c>
      <c r="F86" s="2">
        <v>16480</v>
      </c>
    </row>
    <row r="87" spans="1:6" x14ac:dyDescent="0.25">
      <c r="A87" t="s">
        <v>4062</v>
      </c>
      <c r="B87" t="s">
        <v>4852</v>
      </c>
      <c r="C87" t="s">
        <v>63</v>
      </c>
      <c r="D87" s="7">
        <v>1.05</v>
      </c>
      <c r="E87" s="2">
        <v>1980</v>
      </c>
      <c r="F87" s="2">
        <v>2079</v>
      </c>
    </row>
    <row r="88" spans="1:6" x14ac:dyDescent="0.25">
      <c r="A88" t="s">
        <v>4062</v>
      </c>
      <c r="B88" t="s">
        <v>4844</v>
      </c>
      <c r="C88" t="s">
        <v>63</v>
      </c>
      <c r="D88" s="7">
        <v>2</v>
      </c>
      <c r="E88" s="2">
        <v>674</v>
      </c>
      <c r="F88" s="2">
        <v>1348</v>
      </c>
    </row>
    <row r="89" spans="1:6" x14ac:dyDescent="0.25">
      <c r="A89" t="s">
        <v>4062</v>
      </c>
      <c r="B89" t="s">
        <v>4659</v>
      </c>
      <c r="C89" t="s">
        <v>4377</v>
      </c>
      <c r="D89" s="7">
        <v>0.01</v>
      </c>
      <c r="E89" s="2">
        <v>31500</v>
      </c>
      <c r="F89" s="2">
        <v>315</v>
      </c>
    </row>
    <row r="90" spans="1:6" x14ac:dyDescent="0.25">
      <c r="A90" t="s">
        <v>4062</v>
      </c>
      <c r="B90" t="s">
        <v>4376</v>
      </c>
      <c r="C90" t="s">
        <v>4377</v>
      </c>
      <c r="D90" s="7">
        <v>0.01</v>
      </c>
      <c r="E90" s="2">
        <v>72237.67</v>
      </c>
      <c r="F90" s="2">
        <v>722.38</v>
      </c>
    </row>
    <row r="91" spans="1:6" x14ac:dyDescent="0.25">
      <c r="A91" t="s">
        <v>4049</v>
      </c>
      <c r="B91" t="s">
        <v>4241</v>
      </c>
      <c r="C91" t="s">
        <v>4051</v>
      </c>
      <c r="D91" s="7">
        <v>2.5</v>
      </c>
      <c r="E91" s="2">
        <v>9941.22</v>
      </c>
      <c r="F91" s="2">
        <v>24853.05</v>
      </c>
    </row>
    <row r="92" spans="1:6" x14ac:dyDescent="0.25">
      <c r="A92" t="s">
        <v>4049</v>
      </c>
      <c r="B92" t="s">
        <v>4242</v>
      </c>
      <c r="C92" t="s">
        <v>4051</v>
      </c>
      <c r="D92" s="7">
        <v>2.5</v>
      </c>
      <c r="E92" s="2">
        <v>17069.53</v>
      </c>
      <c r="F92" s="2">
        <v>42673.82</v>
      </c>
    </row>
    <row r="93" spans="1:6" x14ac:dyDescent="0.25">
      <c r="A93" t="s">
        <v>4052</v>
      </c>
      <c r="B93" t="s">
        <v>4053</v>
      </c>
      <c r="C93" t="s">
        <v>4054</v>
      </c>
      <c r="D93" s="7">
        <v>3.3</v>
      </c>
      <c r="E93" s="2">
        <v>67526.87</v>
      </c>
      <c r="F93" s="2">
        <v>2228.39</v>
      </c>
    </row>
    <row r="94" spans="1:6" x14ac:dyDescent="0.25">
      <c r="A94" t="s">
        <v>4055</v>
      </c>
      <c r="D94" s="7"/>
      <c r="E94" s="2"/>
      <c r="F94" s="2">
        <f>SUBTOTAL(109,A_1_07_06[VALOR PARCIAL])</f>
      </c>
    </row>
    <row r="96" ht="30" customHeight="1" spans="1:6" x14ac:dyDescent="0.25">
      <c r="A96" s="5" t="s">
        <v>4862</v>
      </c>
      <c r="B96" s="5"/>
      <c r="C96" s="5"/>
      <c r="D96" s="5"/>
      <c r="E96" s="5"/>
      <c r="F96" s="5"/>
    </row>
    <row r="97" ht="42" customHeight="1" spans="1:6" x14ac:dyDescent="0.25">
      <c r="A97" s="6" t="s">
        <v>4863</v>
      </c>
      <c r="B97" s="6"/>
      <c r="C97" s="6"/>
      <c r="D97" s="6"/>
      <c r="E97" s="6"/>
      <c r="F97" s="6"/>
    </row>
    <row r="98" spans="1:6" x14ac:dyDescent="0.25">
      <c r="A98" t="s">
        <v>4044</v>
      </c>
      <c r="B98" t="s">
        <v>4045</v>
      </c>
      <c r="C98" t="s">
        <v>5</v>
      </c>
      <c r="D98" t="s">
        <v>4046</v>
      </c>
      <c r="E98" t="s">
        <v>4047</v>
      </c>
      <c r="F98" t="s">
        <v>4048</v>
      </c>
    </row>
    <row r="99" spans="1:6" x14ac:dyDescent="0.25">
      <c r="A99" t="s">
        <v>4062</v>
      </c>
      <c r="B99" t="s">
        <v>4864</v>
      </c>
      <c r="C99" t="s">
        <v>42</v>
      </c>
      <c r="D99" s="7">
        <v>10</v>
      </c>
      <c r="E99" s="2">
        <v>562</v>
      </c>
      <c r="F99" s="2">
        <v>5620</v>
      </c>
    </row>
    <row r="100" spans="1:6" x14ac:dyDescent="0.25">
      <c r="A100" t="s">
        <v>4062</v>
      </c>
      <c r="B100" t="s">
        <v>4865</v>
      </c>
      <c r="C100" t="s">
        <v>42</v>
      </c>
      <c r="D100" s="7">
        <v>10</v>
      </c>
      <c r="E100" s="2">
        <v>660</v>
      </c>
      <c r="F100" s="2">
        <v>6600</v>
      </c>
    </row>
    <row r="101" spans="1:6" x14ac:dyDescent="0.25">
      <c r="A101" t="s">
        <v>4062</v>
      </c>
      <c r="B101" t="s">
        <v>4866</v>
      </c>
      <c r="C101" t="s">
        <v>63</v>
      </c>
      <c r="D101" s="7">
        <v>1</v>
      </c>
      <c r="E101" s="2">
        <v>6912.67</v>
      </c>
      <c r="F101" s="2">
        <v>6912.67</v>
      </c>
    </row>
    <row r="102" spans="1:6" x14ac:dyDescent="0.25">
      <c r="A102" t="s">
        <v>4062</v>
      </c>
      <c r="B102" t="s">
        <v>4829</v>
      </c>
      <c r="C102" t="s">
        <v>42</v>
      </c>
      <c r="D102" s="7">
        <v>10</v>
      </c>
      <c r="E102" s="2">
        <v>2293</v>
      </c>
      <c r="F102" s="2">
        <v>22930</v>
      </c>
    </row>
    <row r="103" spans="1:6" x14ac:dyDescent="0.25">
      <c r="A103" t="s">
        <v>4062</v>
      </c>
      <c r="B103" t="s">
        <v>4852</v>
      </c>
      <c r="C103" t="s">
        <v>63</v>
      </c>
      <c r="D103" s="7">
        <v>1</v>
      </c>
      <c r="E103" s="2">
        <v>1980</v>
      </c>
      <c r="F103" s="2">
        <v>1980</v>
      </c>
    </row>
    <row r="104" spans="1:6" x14ac:dyDescent="0.25">
      <c r="A104" t="s">
        <v>4062</v>
      </c>
      <c r="B104" t="s">
        <v>4844</v>
      </c>
      <c r="C104" t="s">
        <v>63</v>
      </c>
      <c r="D104" s="7">
        <v>2</v>
      </c>
      <c r="E104" s="2">
        <v>674</v>
      </c>
      <c r="F104" s="2">
        <v>1348</v>
      </c>
    </row>
    <row r="105" spans="1:6" x14ac:dyDescent="0.25">
      <c r="A105" t="s">
        <v>4062</v>
      </c>
      <c r="B105" t="s">
        <v>4659</v>
      </c>
      <c r="C105" t="s">
        <v>4377</v>
      </c>
      <c r="D105" s="7">
        <v>0.01</v>
      </c>
      <c r="E105" s="2">
        <v>31500</v>
      </c>
      <c r="F105" s="2">
        <v>315</v>
      </c>
    </row>
    <row r="106" spans="1:6" x14ac:dyDescent="0.25">
      <c r="A106" t="s">
        <v>4062</v>
      </c>
      <c r="B106" t="s">
        <v>4376</v>
      </c>
      <c r="C106" t="s">
        <v>4377</v>
      </c>
      <c r="D106" s="7">
        <v>0.01</v>
      </c>
      <c r="E106" s="2">
        <v>72237.67</v>
      </c>
      <c r="F106" s="2">
        <v>722.38</v>
      </c>
    </row>
    <row r="107" spans="1:6" x14ac:dyDescent="0.25">
      <c r="A107" t="s">
        <v>4049</v>
      </c>
      <c r="B107" t="s">
        <v>4241</v>
      </c>
      <c r="C107" t="s">
        <v>4051</v>
      </c>
      <c r="D107" s="7">
        <v>3.33</v>
      </c>
      <c r="E107" s="2">
        <v>9941.22</v>
      </c>
      <c r="F107" s="2">
        <v>33104.26</v>
      </c>
    </row>
    <row r="108" spans="1:6" x14ac:dyDescent="0.25">
      <c r="A108" t="s">
        <v>4049</v>
      </c>
      <c r="B108" t="s">
        <v>4242</v>
      </c>
      <c r="C108" t="s">
        <v>4051</v>
      </c>
      <c r="D108" s="7">
        <v>3.33</v>
      </c>
      <c r="E108" s="2">
        <v>17069.53</v>
      </c>
      <c r="F108" s="2">
        <v>56841.53</v>
      </c>
    </row>
    <row r="109" spans="1:6" x14ac:dyDescent="0.25">
      <c r="A109" t="s">
        <v>4052</v>
      </c>
      <c r="B109" t="s">
        <v>4053</v>
      </c>
      <c r="C109" t="s">
        <v>4054</v>
      </c>
      <c r="D109" s="7">
        <v>3.3</v>
      </c>
      <c r="E109" s="2">
        <v>89945.79</v>
      </c>
      <c r="F109" s="2">
        <v>2968.21</v>
      </c>
    </row>
    <row r="110" spans="1:6" x14ac:dyDescent="0.25">
      <c r="A110" t="s">
        <v>4055</v>
      </c>
      <c r="D110" s="7"/>
      <c r="E110" s="2"/>
      <c r="F110" s="2">
        <f>SUBTOTAL(109,A_1_07_07[VALOR PARCIAL])</f>
      </c>
    </row>
    <row r="112" ht="30" customHeight="1" spans="1:6" x14ac:dyDescent="0.25">
      <c r="A112" s="5" t="s">
        <v>4867</v>
      </c>
      <c r="B112" s="5"/>
      <c r="C112" s="5"/>
      <c r="D112" s="5"/>
      <c r="E112" s="5"/>
      <c r="F112" s="5"/>
    </row>
    <row r="113" ht="42" customHeight="1" spans="1:6" x14ac:dyDescent="0.25">
      <c r="A113" s="6" t="s">
        <v>4868</v>
      </c>
      <c r="B113" s="6"/>
      <c r="C113" s="6"/>
      <c r="D113" s="6"/>
      <c r="E113" s="6"/>
      <c r="F113" s="6"/>
    </row>
    <row r="114" spans="1:6" x14ac:dyDescent="0.25">
      <c r="A114" t="s">
        <v>4044</v>
      </c>
      <c r="B114" t="s">
        <v>4045</v>
      </c>
      <c r="C114" t="s">
        <v>5</v>
      </c>
      <c r="D114" t="s">
        <v>4046</v>
      </c>
      <c r="E114" t="s">
        <v>4047</v>
      </c>
      <c r="F114" t="s">
        <v>4048</v>
      </c>
    </row>
    <row r="115" spans="1:6" x14ac:dyDescent="0.25">
      <c r="A115" t="s">
        <v>4062</v>
      </c>
      <c r="B115" t="s">
        <v>4864</v>
      </c>
      <c r="C115" t="s">
        <v>42</v>
      </c>
      <c r="D115" s="7">
        <v>10</v>
      </c>
      <c r="E115" s="2">
        <v>562</v>
      </c>
      <c r="F115" s="2">
        <v>5620</v>
      </c>
    </row>
    <row r="116" spans="1:6" x14ac:dyDescent="0.25">
      <c r="A116" t="s">
        <v>4062</v>
      </c>
      <c r="B116" t="s">
        <v>4829</v>
      </c>
      <c r="C116" t="s">
        <v>42</v>
      </c>
      <c r="D116" s="7">
        <v>10</v>
      </c>
      <c r="E116" s="2">
        <v>2293</v>
      </c>
      <c r="F116" s="2">
        <v>22930</v>
      </c>
    </row>
    <row r="117" spans="1:6" x14ac:dyDescent="0.25">
      <c r="A117" t="s">
        <v>4062</v>
      </c>
      <c r="B117" t="s">
        <v>4852</v>
      </c>
      <c r="C117" t="s">
        <v>63</v>
      </c>
      <c r="D117" s="7">
        <v>1.05</v>
      </c>
      <c r="E117" s="2">
        <v>1980</v>
      </c>
      <c r="F117" s="2">
        <v>2079</v>
      </c>
    </row>
    <row r="118" spans="1:6" x14ac:dyDescent="0.25">
      <c r="A118" t="s">
        <v>4062</v>
      </c>
      <c r="B118" t="s">
        <v>4844</v>
      </c>
      <c r="C118" t="s">
        <v>63</v>
      </c>
      <c r="D118" s="7">
        <v>2</v>
      </c>
      <c r="E118" s="2">
        <v>674</v>
      </c>
      <c r="F118" s="2">
        <v>1348</v>
      </c>
    </row>
    <row r="119" spans="1:6" x14ac:dyDescent="0.25">
      <c r="A119" t="s">
        <v>4062</v>
      </c>
      <c r="B119" t="s">
        <v>4659</v>
      </c>
      <c r="C119" t="s">
        <v>4377</v>
      </c>
      <c r="D119" s="7">
        <v>0.01</v>
      </c>
      <c r="E119" s="2">
        <v>31500</v>
      </c>
      <c r="F119" s="2">
        <v>315</v>
      </c>
    </row>
    <row r="120" spans="1:6" x14ac:dyDescent="0.25">
      <c r="A120" t="s">
        <v>4062</v>
      </c>
      <c r="B120" t="s">
        <v>4869</v>
      </c>
      <c r="C120" t="s">
        <v>63</v>
      </c>
      <c r="D120" s="7">
        <v>1</v>
      </c>
      <c r="E120" s="2">
        <v>4646</v>
      </c>
      <c r="F120" s="2">
        <v>4646</v>
      </c>
    </row>
    <row r="121" spans="1:6" x14ac:dyDescent="0.25">
      <c r="A121" t="s">
        <v>4062</v>
      </c>
      <c r="B121" t="s">
        <v>4376</v>
      </c>
      <c r="C121" t="s">
        <v>4377</v>
      </c>
      <c r="D121" s="7">
        <v>0.01</v>
      </c>
      <c r="E121" s="2">
        <v>72237.67</v>
      </c>
      <c r="F121" s="2">
        <v>722.38</v>
      </c>
    </row>
    <row r="122" spans="1:6" x14ac:dyDescent="0.25">
      <c r="A122" t="s">
        <v>4049</v>
      </c>
      <c r="B122" t="s">
        <v>4241</v>
      </c>
      <c r="C122" t="s">
        <v>4051</v>
      </c>
      <c r="D122" s="7">
        <v>3.33</v>
      </c>
      <c r="E122" s="2">
        <v>9941.22</v>
      </c>
      <c r="F122" s="2">
        <v>33104.26</v>
      </c>
    </row>
    <row r="123" spans="1:6" x14ac:dyDescent="0.25">
      <c r="A123" t="s">
        <v>4049</v>
      </c>
      <c r="B123" t="s">
        <v>4242</v>
      </c>
      <c r="C123" t="s">
        <v>4051</v>
      </c>
      <c r="D123" s="7">
        <v>3.33</v>
      </c>
      <c r="E123" s="2">
        <v>17069.53</v>
      </c>
      <c r="F123" s="2">
        <v>56841.53</v>
      </c>
    </row>
    <row r="124" spans="1:6" x14ac:dyDescent="0.25">
      <c r="A124" t="s">
        <v>4052</v>
      </c>
      <c r="B124" t="s">
        <v>4053</v>
      </c>
      <c r="C124" t="s">
        <v>4054</v>
      </c>
      <c r="D124" s="7">
        <v>3.3</v>
      </c>
      <c r="E124" s="2">
        <v>89945.79</v>
      </c>
      <c r="F124" s="2">
        <v>2968.21</v>
      </c>
    </row>
    <row r="125" spans="1:6" x14ac:dyDescent="0.25">
      <c r="A125" t="s">
        <v>4055</v>
      </c>
      <c r="D125" s="7"/>
      <c r="E125" s="2"/>
      <c r="F125" s="2">
        <f>SUBTOTAL(109,A_1_07_08[VALOR PARCIAL])</f>
      </c>
    </row>
    <row r="127" ht="30" customHeight="1" spans="1:6" x14ac:dyDescent="0.25">
      <c r="A127" s="5" t="s">
        <v>4870</v>
      </c>
      <c r="B127" s="5"/>
      <c r="C127" s="5"/>
      <c r="D127" s="5"/>
      <c r="E127" s="5"/>
      <c r="F127" s="5"/>
    </row>
    <row r="128" ht="42" customHeight="1" spans="1:6" x14ac:dyDescent="0.25">
      <c r="A128" s="6" t="s">
        <v>4871</v>
      </c>
      <c r="B128" s="6"/>
      <c r="C128" s="6"/>
      <c r="D128" s="6"/>
      <c r="E128" s="6"/>
      <c r="F128" s="6"/>
    </row>
    <row r="129" spans="1:6" x14ac:dyDescent="0.25">
      <c r="A129" t="s">
        <v>4044</v>
      </c>
      <c r="B129" t="s">
        <v>4045</v>
      </c>
      <c r="C129" t="s">
        <v>5</v>
      </c>
      <c r="D129" t="s">
        <v>4046</v>
      </c>
      <c r="E129" t="s">
        <v>4047</v>
      </c>
      <c r="F129" t="s">
        <v>4048</v>
      </c>
    </row>
    <row r="130" spans="1:6" x14ac:dyDescent="0.25">
      <c r="A130" t="s">
        <v>4062</v>
      </c>
      <c r="B130" t="s">
        <v>4838</v>
      </c>
      <c r="C130" t="s">
        <v>63</v>
      </c>
      <c r="D130" s="7">
        <v>1</v>
      </c>
      <c r="E130" s="2">
        <v>1783</v>
      </c>
      <c r="F130" s="2">
        <v>1783</v>
      </c>
    </row>
    <row r="131" spans="1:6" x14ac:dyDescent="0.25">
      <c r="A131" t="s">
        <v>4062</v>
      </c>
      <c r="B131" t="s">
        <v>4229</v>
      </c>
      <c r="C131" t="s">
        <v>63</v>
      </c>
      <c r="D131" s="7">
        <v>1</v>
      </c>
      <c r="E131" s="2">
        <v>16467</v>
      </c>
      <c r="F131" s="2">
        <v>16467</v>
      </c>
    </row>
    <row r="132" spans="1:6" x14ac:dyDescent="0.25">
      <c r="A132" t="s">
        <v>4062</v>
      </c>
      <c r="B132" t="s">
        <v>4872</v>
      </c>
      <c r="C132" t="s">
        <v>42</v>
      </c>
      <c r="D132" s="7">
        <v>6</v>
      </c>
      <c r="E132" s="2">
        <v>7747</v>
      </c>
      <c r="F132" s="2">
        <v>46482</v>
      </c>
    </row>
    <row r="133" spans="1:6" x14ac:dyDescent="0.25">
      <c r="A133" t="s">
        <v>4062</v>
      </c>
      <c r="B133" t="s">
        <v>4873</v>
      </c>
      <c r="C133" t="s">
        <v>63</v>
      </c>
      <c r="D133" s="7">
        <v>2</v>
      </c>
      <c r="E133" s="2">
        <v>2325</v>
      </c>
      <c r="F133" s="2">
        <v>4650</v>
      </c>
    </row>
    <row r="134" spans="1:6" x14ac:dyDescent="0.25">
      <c r="A134" t="s">
        <v>4062</v>
      </c>
      <c r="B134" t="s">
        <v>4874</v>
      </c>
      <c r="C134" t="s">
        <v>63</v>
      </c>
      <c r="D134" s="7">
        <v>1</v>
      </c>
      <c r="E134" s="2">
        <v>2525</v>
      </c>
      <c r="F134" s="2">
        <v>2525</v>
      </c>
    </row>
    <row r="135" spans="1:6" x14ac:dyDescent="0.25">
      <c r="A135" t="s">
        <v>4062</v>
      </c>
      <c r="B135" t="s">
        <v>4875</v>
      </c>
      <c r="C135" t="s">
        <v>63</v>
      </c>
      <c r="D135" s="7">
        <v>1</v>
      </c>
      <c r="E135" s="2">
        <v>2117</v>
      </c>
      <c r="F135" s="2">
        <v>2117</v>
      </c>
    </row>
    <row r="136" spans="1:6" x14ac:dyDescent="0.25">
      <c r="A136" t="s">
        <v>4062</v>
      </c>
      <c r="B136" t="s">
        <v>4876</v>
      </c>
      <c r="C136" t="s">
        <v>63</v>
      </c>
      <c r="D136" s="7">
        <v>2</v>
      </c>
      <c r="E136" s="2">
        <v>910.33</v>
      </c>
      <c r="F136" s="2">
        <v>1820.66</v>
      </c>
    </row>
    <row r="137" spans="1:6" x14ac:dyDescent="0.25">
      <c r="A137" t="s">
        <v>4062</v>
      </c>
      <c r="B137" t="s">
        <v>4834</v>
      </c>
      <c r="C137" t="s">
        <v>42</v>
      </c>
      <c r="D137" s="7">
        <v>18</v>
      </c>
      <c r="E137" s="2">
        <v>1966</v>
      </c>
      <c r="F137" s="2">
        <v>35388</v>
      </c>
    </row>
    <row r="138" spans="1:6" x14ac:dyDescent="0.25">
      <c r="A138" t="s">
        <v>4049</v>
      </c>
      <c r="B138" t="s">
        <v>4241</v>
      </c>
      <c r="C138" t="s">
        <v>4051</v>
      </c>
      <c r="D138" s="7">
        <v>6.8</v>
      </c>
      <c r="E138" s="2">
        <v>9941.22</v>
      </c>
      <c r="F138" s="2">
        <v>67600.3</v>
      </c>
    </row>
    <row r="139" spans="1:6" x14ac:dyDescent="0.25">
      <c r="A139" t="s">
        <v>4049</v>
      </c>
      <c r="B139" t="s">
        <v>4242</v>
      </c>
      <c r="C139" t="s">
        <v>4051</v>
      </c>
      <c r="D139" s="7">
        <v>3.4</v>
      </c>
      <c r="E139" s="2">
        <v>17069.53</v>
      </c>
      <c r="F139" s="2">
        <v>58036.4</v>
      </c>
    </row>
    <row r="140" spans="1:6" x14ac:dyDescent="0.25">
      <c r="A140" t="s">
        <v>4052</v>
      </c>
      <c r="B140" t="s">
        <v>4053</v>
      </c>
      <c r="C140" t="s">
        <v>4054</v>
      </c>
      <c r="D140" s="7">
        <v>8</v>
      </c>
      <c r="E140" s="2">
        <v>125636.7</v>
      </c>
      <c r="F140" s="2">
        <v>10050.94</v>
      </c>
    </row>
    <row r="141" spans="1:6" x14ac:dyDescent="0.25">
      <c r="A141" t="s">
        <v>4055</v>
      </c>
      <c r="D141" s="7"/>
      <c r="E141" s="2"/>
      <c r="F141" s="2">
        <f>SUBTOTAL(109,A_1_07_09[VALOR PARCIAL])</f>
      </c>
    </row>
    <row r="143" ht="30" customHeight="1" spans="1:6" x14ac:dyDescent="0.25">
      <c r="A143" s="5" t="s">
        <v>4877</v>
      </c>
      <c r="B143" s="5"/>
      <c r="C143" s="5"/>
      <c r="D143" s="5"/>
      <c r="E143" s="5"/>
      <c r="F143" s="5"/>
    </row>
    <row r="144" ht="42" customHeight="1" spans="1:6" x14ac:dyDescent="0.25">
      <c r="A144" s="6" t="s">
        <v>4878</v>
      </c>
      <c r="B144" s="6"/>
      <c r="C144" s="6"/>
      <c r="D144" s="6"/>
      <c r="E144" s="6"/>
      <c r="F144" s="6"/>
    </row>
    <row r="145" spans="1:6" x14ac:dyDescent="0.25">
      <c r="A145" t="s">
        <v>4044</v>
      </c>
      <c r="B145" t="s">
        <v>4045</v>
      </c>
      <c r="C145" t="s">
        <v>5</v>
      </c>
      <c r="D145" t="s">
        <v>4046</v>
      </c>
      <c r="E145" t="s">
        <v>4047</v>
      </c>
      <c r="F145" t="s">
        <v>4048</v>
      </c>
    </row>
    <row r="146" spans="1:6" x14ac:dyDescent="0.25">
      <c r="A146" t="s">
        <v>4062</v>
      </c>
      <c r="B146" t="s">
        <v>4838</v>
      </c>
      <c r="C146" t="s">
        <v>63</v>
      </c>
      <c r="D146" s="7">
        <v>1</v>
      </c>
      <c r="E146" s="2">
        <v>1783</v>
      </c>
      <c r="F146" s="2">
        <v>1783</v>
      </c>
    </row>
    <row r="147" spans="1:6" x14ac:dyDescent="0.25">
      <c r="A147" t="s">
        <v>4062</v>
      </c>
      <c r="B147" t="s">
        <v>4872</v>
      </c>
      <c r="C147" t="s">
        <v>42</v>
      </c>
      <c r="D147" s="7">
        <v>6</v>
      </c>
      <c r="E147" s="2">
        <v>7747</v>
      </c>
      <c r="F147" s="2">
        <v>46482</v>
      </c>
    </row>
    <row r="148" spans="1:6" x14ac:dyDescent="0.25">
      <c r="A148" t="s">
        <v>4062</v>
      </c>
      <c r="B148" t="s">
        <v>4873</v>
      </c>
      <c r="C148" t="s">
        <v>63</v>
      </c>
      <c r="D148" s="7">
        <v>2</v>
      </c>
      <c r="E148" s="2">
        <v>2325</v>
      </c>
      <c r="F148" s="2">
        <v>4650</v>
      </c>
    </row>
    <row r="149" spans="1:6" x14ac:dyDescent="0.25">
      <c r="A149" t="s">
        <v>4062</v>
      </c>
      <c r="B149" t="s">
        <v>4874</v>
      </c>
      <c r="C149" t="s">
        <v>63</v>
      </c>
      <c r="D149" s="7">
        <v>1</v>
      </c>
      <c r="E149" s="2">
        <v>2525</v>
      </c>
      <c r="F149" s="2">
        <v>2525</v>
      </c>
    </row>
    <row r="150" spans="1:6" x14ac:dyDescent="0.25">
      <c r="A150" t="s">
        <v>4062</v>
      </c>
      <c r="B150" t="s">
        <v>4875</v>
      </c>
      <c r="C150" t="s">
        <v>63</v>
      </c>
      <c r="D150" s="7">
        <v>1</v>
      </c>
      <c r="E150" s="2">
        <v>2117</v>
      </c>
      <c r="F150" s="2">
        <v>2117</v>
      </c>
    </row>
    <row r="151" spans="1:6" x14ac:dyDescent="0.25">
      <c r="A151" t="s">
        <v>4062</v>
      </c>
      <c r="B151" t="s">
        <v>4876</v>
      </c>
      <c r="C151" t="s">
        <v>63</v>
      </c>
      <c r="D151" s="7">
        <v>2</v>
      </c>
      <c r="E151" s="2">
        <v>910.33</v>
      </c>
      <c r="F151" s="2">
        <v>1820.66</v>
      </c>
    </row>
    <row r="152" spans="1:6" x14ac:dyDescent="0.25">
      <c r="A152" t="s">
        <v>4062</v>
      </c>
      <c r="B152" t="s">
        <v>4659</v>
      </c>
      <c r="C152" t="s">
        <v>4377</v>
      </c>
      <c r="D152" s="7">
        <v>0.01</v>
      </c>
      <c r="E152" s="2">
        <v>31500</v>
      </c>
      <c r="F152" s="2">
        <v>315</v>
      </c>
    </row>
    <row r="153" spans="1:6" x14ac:dyDescent="0.25">
      <c r="A153" t="s">
        <v>4062</v>
      </c>
      <c r="B153" t="s">
        <v>4834</v>
      </c>
      <c r="C153" t="s">
        <v>42</v>
      </c>
      <c r="D153" s="7">
        <v>18</v>
      </c>
      <c r="E153" s="2">
        <v>1966</v>
      </c>
      <c r="F153" s="2">
        <v>35388</v>
      </c>
    </row>
    <row r="154" spans="1:6" x14ac:dyDescent="0.25">
      <c r="A154" t="s">
        <v>4062</v>
      </c>
      <c r="B154" t="s">
        <v>4376</v>
      </c>
      <c r="C154" t="s">
        <v>4377</v>
      </c>
      <c r="D154" s="7">
        <v>0.01</v>
      </c>
      <c r="E154" s="2">
        <v>72237.67</v>
      </c>
      <c r="F154" s="2">
        <v>722.38</v>
      </c>
    </row>
    <row r="155" spans="1:6" x14ac:dyDescent="0.25">
      <c r="A155" t="s">
        <v>4049</v>
      </c>
      <c r="B155" t="s">
        <v>4241</v>
      </c>
      <c r="C155" t="s">
        <v>4051</v>
      </c>
      <c r="D155" s="7">
        <v>4</v>
      </c>
      <c r="E155" s="2">
        <v>9941.22</v>
      </c>
      <c r="F155" s="2">
        <v>39764.88</v>
      </c>
    </row>
    <row r="156" spans="1:6" x14ac:dyDescent="0.25">
      <c r="A156" t="s">
        <v>4049</v>
      </c>
      <c r="B156" t="s">
        <v>4242</v>
      </c>
      <c r="C156" t="s">
        <v>4051</v>
      </c>
      <c r="D156" s="7">
        <v>4</v>
      </c>
      <c r="E156" s="2">
        <v>17069.53</v>
      </c>
      <c r="F156" s="2">
        <v>68278.12</v>
      </c>
    </row>
    <row r="157" spans="1:6" x14ac:dyDescent="0.25">
      <c r="A157" t="s">
        <v>4052</v>
      </c>
      <c r="B157" t="s">
        <v>4053</v>
      </c>
      <c r="C157" t="s">
        <v>4054</v>
      </c>
      <c r="D157" s="7">
        <v>3.3</v>
      </c>
      <c r="E157" s="2">
        <v>108043</v>
      </c>
      <c r="F157" s="2">
        <v>3565.42</v>
      </c>
    </row>
    <row r="158" spans="1:6" x14ac:dyDescent="0.25">
      <c r="A158" t="s">
        <v>4055</v>
      </c>
      <c r="D158" s="7"/>
      <c r="E158" s="2"/>
      <c r="F158" s="2">
        <f>SUBTOTAL(109,A_1_07_10[VALOR PARCIAL])</f>
      </c>
    </row>
    <row r="160" ht="30" customHeight="1" spans="1:6" x14ac:dyDescent="0.25">
      <c r="A160" s="5" t="s">
        <v>4879</v>
      </c>
      <c r="B160" s="5"/>
      <c r="C160" s="5"/>
      <c r="D160" s="5"/>
      <c r="E160" s="5"/>
      <c r="F160" s="5"/>
    </row>
    <row r="161" ht="42" customHeight="1" spans="1:6" x14ac:dyDescent="0.25">
      <c r="A161" s="6" t="s">
        <v>4880</v>
      </c>
      <c r="B161" s="6"/>
      <c r="C161" s="6"/>
      <c r="D161" s="6"/>
      <c r="E161" s="6"/>
      <c r="F161" s="6"/>
    </row>
    <row r="162" spans="1:6" x14ac:dyDescent="0.25">
      <c r="A162" t="s">
        <v>4044</v>
      </c>
      <c r="B162" t="s">
        <v>4045</v>
      </c>
      <c r="C162" t="s">
        <v>5</v>
      </c>
      <c r="D162" t="s">
        <v>4046</v>
      </c>
      <c r="E162" t="s">
        <v>4047</v>
      </c>
      <c r="F162" t="s">
        <v>4048</v>
      </c>
    </row>
    <row r="163" spans="1:6" x14ac:dyDescent="0.25">
      <c r="A163" t="s">
        <v>4062</v>
      </c>
      <c r="B163" t="s">
        <v>4881</v>
      </c>
      <c r="C163" t="s">
        <v>63</v>
      </c>
      <c r="D163" s="7">
        <v>1</v>
      </c>
      <c r="E163" s="2">
        <v>11634</v>
      </c>
      <c r="F163" s="2">
        <v>11634</v>
      </c>
    </row>
    <row r="164" spans="1:6" x14ac:dyDescent="0.25">
      <c r="A164" t="s">
        <v>4062</v>
      </c>
      <c r="B164" t="s">
        <v>4882</v>
      </c>
      <c r="C164" t="s">
        <v>63</v>
      </c>
      <c r="D164" s="7">
        <v>1</v>
      </c>
      <c r="E164" s="2">
        <v>55000</v>
      </c>
      <c r="F164" s="2">
        <v>55000</v>
      </c>
    </row>
    <row r="165" spans="1:6" x14ac:dyDescent="0.25">
      <c r="A165" t="s">
        <v>4062</v>
      </c>
      <c r="B165" t="s">
        <v>4883</v>
      </c>
      <c r="C165" t="s">
        <v>63</v>
      </c>
      <c r="D165" s="7">
        <v>1</v>
      </c>
      <c r="E165" s="2">
        <v>6082</v>
      </c>
      <c r="F165" s="2">
        <v>6082</v>
      </c>
    </row>
    <row r="166" spans="1:6" x14ac:dyDescent="0.25">
      <c r="A166" t="s">
        <v>4049</v>
      </c>
      <c r="B166" t="s">
        <v>4884</v>
      </c>
      <c r="C166" t="s">
        <v>4236</v>
      </c>
      <c r="D166" s="7">
        <v>0.5</v>
      </c>
      <c r="E166" s="2">
        <v>27010</v>
      </c>
      <c r="F166" s="2">
        <v>13505</v>
      </c>
    </row>
    <row r="167" spans="1:6" x14ac:dyDescent="0.25">
      <c r="A167" t="s">
        <v>4052</v>
      </c>
      <c r="B167" t="s">
        <v>4053</v>
      </c>
      <c r="C167" t="s">
        <v>4054</v>
      </c>
      <c r="D167" s="7">
        <v>5</v>
      </c>
      <c r="E167" s="2">
        <v>13505</v>
      </c>
      <c r="F167" s="2">
        <v>675.25</v>
      </c>
    </row>
    <row r="168" spans="1:6" x14ac:dyDescent="0.25">
      <c r="A168" t="s">
        <v>4055</v>
      </c>
      <c r="D168" s="7"/>
      <c r="E168" s="2"/>
      <c r="F168" s="2">
        <f>SUBTOTAL(109,A_1_07_11[VALOR PARCIAL])</f>
      </c>
    </row>
    <row r="170" ht="30" customHeight="1" spans="1:6" x14ac:dyDescent="0.25">
      <c r="A170" s="5" t="s">
        <v>4885</v>
      </c>
      <c r="B170" s="5"/>
      <c r="C170" s="5"/>
      <c r="D170" s="5"/>
      <c r="E170" s="5"/>
      <c r="F170" s="5"/>
    </row>
    <row r="171" ht="42" customHeight="1" spans="1:6" x14ac:dyDescent="0.25">
      <c r="A171" s="6" t="s">
        <v>4886</v>
      </c>
      <c r="B171" s="6"/>
      <c r="C171" s="6"/>
      <c r="D171" s="6"/>
      <c r="E171" s="6"/>
      <c r="F171" s="6"/>
    </row>
    <row r="172" spans="1:6" x14ac:dyDescent="0.25">
      <c r="A172" t="s">
        <v>4044</v>
      </c>
      <c r="B172" t="s">
        <v>4045</v>
      </c>
      <c r="C172" t="s">
        <v>5</v>
      </c>
      <c r="D172" t="s">
        <v>4046</v>
      </c>
      <c r="E172" t="s">
        <v>4047</v>
      </c>
      <c r="F172" t="s">
        <v>4048</v>
      </c>
    </row>
    <row r="173" spans="1:6" x14ac:dyDescent="0.25">
      <c r="A173" t="s">
        <v>4062</v>
      </c>
      <c r="B173" t="s">
        <v>4887</v>
      </c>
      <c r="C173" t="s">
        <v>63</v>
      </c>
      <c r="D173" s="7">
        <v>1</v>
      </c>
      <c r="E173" s="2">
        <v>23596</v>
      </c>
      <c r="F173" s="2">
        <v>23596</v>
      </c>
    </row>
    <row r="174" spans="1:6" x14ac:dyDescent="0.25">
      <c r="A174" t="s">
        <v>4062</v>
      </c>
      <c r="B174" t="s">
        <v>4883</v>
      </c>
      <c r="C174" t="s">
        <v>63</v>
      </c>
      <c r="D174" s="7">
        <v>1</v>
      </c>
      <c r="E174" s="2">
        <v>6082</v>
      </c>
      <c r="F174" s="2">
        <v>6082</v>
      </c>
    </row>
    <row r="175" spans="1:6" x14ac:dyDescent="0.25">
      <c r="A175" t="s">
        <v>4049</v>
      </c>
      <c r="B175" t="s">
        <v>4884</v>
      </c>
      <c r="C175" t="s">
        <v>4236</v>
      </c>
      <c r="D175" s="7">
        <v>0.5</v>
      </c>
      <c r="E175" s="2">
        <v>27010</v>
      </c>
      <c r="F175" s="2">
        <v>13505</v>
      </c>
    </row>
    <row r="176" spans="1:6" x14ac:dyDescent="0.25">
      <c r="A176" t="s">
        <v>4052</v>
      </c>
      <c r="B176" t="s">
        <v>4053</v>
      </c>
      <c r="C176" t="s">
        <v>4054</v>
      </c>
      <c r="D176" s="7">
        <v>5</v>
      </c>
      <c r="E176" s="2">
        <v>13505</v>
      </c>
      <c r="F176" s="2">
        <v>675.25</v>
      </c>
    </row>
    <row r="177" spans="1:6" x14ac:dyDescent="0.25">
      <c r="A177" t="s">
        <v>4055</v>
      </c>
      <c r="D177" s="7"/>
      <c r="E177" s="2"/>
      <c r="F177" s="2">
        <f>SUBTOTAL(109,A_1_07_12[VALOR PARCIAL])</f>
      </c>
    </row>
    <row r="179" ht="30" customHeight="1" spans="1:6" x14ac:dyDescent="0.25">
      <c r="A179" s="5" t="s">
        <v>4888</v>
      </c>
      <c r="B179" s="5"/>
      <c r="C179" s="5"/>
      <c r="D179" s="5"/>
      <c r="E179" s="5"/>
      <c r="F179" s="5"/>
    </row>
    <row r="180" ht="42" customHeight="1" spans="1:6" x14ac:dyDescent="0.25">
      <c r="A180" s="6" t="s">
        <v>4889</v>
      </c>
      <c r="B180" s="6"/>
      <c r="C180" s="6"/>
      <c r="D180" s="6"/>
      <c r="E180" s="6"/>
      <c r="F180" s="6"/>
    </row>
    <row r="181" spans="1:6" x14ac:dyDescent="0.25">
      <c r="A181" t="s">
        <v>4044</v>
      </c>
      <c r="B181" t="s">
        <v>4045</v>
      </c>
      <c r="C181" t="s">
        <v>5</v>
      </c>
      <c r="D181" t="s">
        <v>4046</v>
      </c>
      <c r="E181" t="s">
        <v>4047</v>
      </c>
      <c r="F181" t="s">
        <v>4048</v>
      </c>
    </row>
    <row r="182" spans="1:6" x14ac:dyDescent="0.25">
      <c r="A182" t="s">
        <v>4062</v>
      </c>
      <c r="B182" t="s">
        <v>4890</v>
      </c>
      <c r="C182" t="s">
        <v>63</v>
      </c>
      <c r="D182" s="7">
        <v>1</v>
      </c>
      <c r="E182" s="2">
        <v>71800</v>
      </c>
      <c r="F182" s="2">
        <v>71800</v>
      </c>
    </row>
    <row r="183" spans="1:6" x14ac:dyDescent="0.25">
      <c r="A183" t="s">
        <v>4049</v>
      </c>
      <c r="B183" t="s">
        <v>4884</v>
      </c>
      <c r="C183" t="s">
        <v>4236</v>
      </c>
      <c r="D183" s="7">
        <v>0.5</v>
      </c>
      <c r="E183" s="2">
        <v>27010</v>
      </c>
      <c r="F183" s="2">
        <v>13505</v>
      </c>
    </row>
    <row r="184" spans="1:6" x14ac:dyDescent="0.25">
      <c r="A184" t="s">
        <v>4052</v>
      </c>
      <c r="B184" t="s">
        <v>4053</v>
      </c>
      <c r="C184" t="s">
        <v>4054</v>
      </c>
      <c r="D184" s="7">
        <v>5</v>
      </c>
      <c r="E184" s="2">
        <v>13505</v>
      </c>
      <c r="F184" s="2">
        <v>675.25</v>
      </c>
    </row>
    <row r="185" spans="1:6" x14ac:dyDescent="0.25">
      <c r="A185" t="s">
        <v>4055</v>
      </c>
      <c r="D185" s="7"/>
      <c r="E185" s="2"/>
      <c r="F185" s="2">
        <f>SUBTOTAL(109,A_1_07_13[VALOR PARCIAL])</f>
      </c>
    </row>
    <row r="187" ht="30" customHeight="1" spans="1:6" x14ac:dyDescent="0.25">
      <c r="A187" s="5" t="s">
        <v>4891</v>
      </c>
      <c r="B187" s="5"/>
      <c r="C187" s="5"/>
      <c r="D187" s="5"/>
      <c r="E187" s="5"/>
      <c r="F187" s="5"/>
    </row>
    <row r="188" ht="42" customHeight="1" spans="1:6" x14ac:dyDescent="0.25">
      <c r="A188" s="6" t="s">
        <v>4892</v>
      </c>
      <c r="B188" s="6"/>
      <c r="C188" s="6"/>
      <c r="D188" s="6"/>
      <c r="E188" s="6"/>
      <c r="F188" s="6"/>
    </row>
    <row r="189" spans="1:6" x14ac:dyDescent="0.25">
      <c r="A189" t="s">
        <v>4044</v>
      </c>
      <c r="B189" t="s">
        <v>4045</v>
      </c>
      <c r="C189" t="s">
        <v>5</v>
      </c>
      <c r="D189" t="s">
        <v>4046</v>
      </c>
      <c r="E189" t="s">
        <v>4047</v>
      </c>
      <c r="F189" t="s">
        <v>4048</v>
      </c>
    </row>
    <row r="190" spans="1:6" x14ac:dyDescent="0.25">
      <c r="A190" t="s">
        <v>4062</v>
      </c>
      <c r="B190" t="s">
        <v>4893</v>
      </c>
      <c r="C190" t="s">
        <v>42</v>
      </c>
      <c r="D190" s="7">
        <v>2</v>
      </c>
      <c r="E190" s="2">
        <v>2293</v>
      </c>
      <c r="F190" s="2">
        <v>4586</v>
      </c>
    </row>
    <row r="191" spans="1:6" x14ac:dyDescent="0.25">
      <c r="A191" t="s">
        <v>4062</v>
      </c>
      <c r="B191" t="s">
        <v>4894</v>
      </c>
      <c r="C191" t="s">
        <v>63</v>
      </c>
      <c r="D191" s="7">
        <v>1</v>
      </c>
      <c r="E191" s="2">
        <v>56331</v>
      </c>
      <c r="F191" s="2">
        <v>56331</v>
      </c>
    </row>
    <row r="192" spans="1:6" x14ac:dyDescent="0.25">
      <c r="A192" t="s">
        <v>4062</v>
      </c>
      <c r="B192" t="s">
        <v>4842</v>
      </c>
      <c r="C192" t="s">
        <v>63</v>
      </c>
      <c r="D192" s="7">
        <v>1</v>
      </c>
      <c r="E192" s="2">
        <v>1951</v>
      </c>
      <c r="F192" s="2">
        <v>1951</v>
      </c>
    </row>
    <row r="193" spans="1:6" x14ac:dyDescent="0.25">
      <c r="A193" t="s">
        <v>4062</v>
      </c>
      <c r="B193" t="s">
        <v>4843</v>
      </c>
      <c r="C193" t="s">
        <v>63</v>
      </c>
      <c r="D193" s="7">
        <v>1</v>
      </c>
      <c r="E193" s="2">
        <v>1163</v>
      </c>
      <c r="F193" s="2">
        <v>1163</v>
      </c>
    </row>
    <row r="194" spans="1:6" x14ac:dyDescent="0.25">
      <c r="A194" t="s">
        <v>4062</v>
      </c>
      <c r="B194" t="s">
        <v>4833</v>
      </c>
      <c r="C194" t="s">
        <v>63</v>
      </c>
      <c r="D194" s="7">
        <v>1</v>
      </c>
      <c r="E194" s="2">
        <v>404</v>
      </c>
      <c r="F194" s="2">
        <v>404</v>
      </c>
    </row>
    <row r="195" spans="1:6" x14ac:dyDescent="0.25">
      <c r="A195" t="s">
        <v>4062</v>
      </c>
      <c r="B195" t="s">
        <v>4659</v>
      </c>
      <c r="C195" t="s">
        <v>4377</v>
      </c>
      <c r="D195" s="7">
        <v>0.01</v>
      </c>
      <c r="E195" s="2">
        <v>31500</v>
      </c>
      <c r="F195" s="2">
        <v>315</v>
      </c>
    </row>
    <row r="196" spans="1:6" x14ac:dyDescent="0.25">
      <c r="A196" t="s">
        <v>4062</v>
      </c>
      <c r="B196" t="s">
        <v>4835</v>
      </c>
      <c r="C196" t="s">
        <v>42</v>
      </c>
      <c r="D196" s="7">
        <v>6</v>
      </c>
      <c r="E196" s="2">
        <v>2850</v>
      </c>
      <c r="F196" s="2">
        <v>17100</v>
      </c>
    </row>
    <row r="197" spans="1:6" x14ac:dyDescent="0.25">
      <c r="A197" t="s">
        <v>4062</v>
      </c>
      <c r="B197" t="s">
        <v>4376</v>
      </c>
      <c r="C197" t="s">
        <v>4377</v>
      </c>
      <c r="D197" s="7">
        <v>0.01</v>
      </c>
      <c r="E197" s="2">
        <v>72237.67</v>
      </c>
      <c r="F197" s="2">
        <v>722.38</v>
      </c>
    </row>
    <row r="198" spans="1:6" x14ac:dyDescent="0.25">
      <c r="A198" t="s">
        <v>4049</v>
      </c>
      <c r="B198" t="s">
        <v>4241</v>
      </c>
      <c r="C198" t="s">
        <v>4051</v>
      </c>
      <c r="D198" s="7">
        <v>3.5</v>
      </c>
      <c r="E198" s="2">
        <v>9941.22</v>
      </c>
      <c r="F198" s="2">
        <v>34794.27</v>
      </c>
    </row>
    <row r="199" spans="1:6" x14ac:dyDescent="0.25">
      <c r="A199" t="s">
        <v>4049</v>
      </c>
      <c r="B199" t="s">
        <v>4242</v>
      </c>
      <c r="C199" t="s">
        <v>4051</v>
      </c>
      <c r="D199" s="7">
        <v>3.5</v>
      </c>
      <c r="E199" s="2">
        <v>17069.53</v>
      </c>
      <c r="F199" s="2">
        <v>59743.35</v>
      </c>
    </row>
    <row r="200" spans="1:6" x14ac:dyDescent="0.25">
      <c r="A200" t="s">
        <v>4052</v>
      </c>
      <c r="B200" t="s">
        <v>4053</v>
      </c>
      <c r="C200" t="s">
        <v>4054</v>
      </c>
      <c r="D200" s="7">
        <v>3.3</v>
      </c>
      <c r="E200" s="2">
        <v>94537.62</v>
      </c>
      <c r="F200" s="2">
        <v>3119.74</v>
      </c>
    </row>
    <row r="201" spans="1:6" x14ac:dyDescent="0.25">
      <c r="A201" t="s">
        <v>4055</v>
      </c>
      <c r="D201" s="7"/>
      <c r="E201" s="2"/>
      <c r="F201" s="2">
        <f>SUBTOTAL(109,A_1_07_14[VALOR PARCIAL])</f>
      </c>
    </row>
    <row r="203" ht="30" customHeight="1" spans="1:6" x14ac:dyDescent="0.25">
      <c r="A203" s="5" t="s">
        <v>4895</v>
      </c>
      <c r="B203" s="5"/>
      <c r="C203" s="5"/>
      <c r="D203" s="5"/>
      <c r="E203" s="5"/>
      <c r="F203" s="5"/>
    </row>
    <row r="204" ht="42" customHeight="1" spans="1:6" x14ac:dyDescent="0.25">
      <c r="A204" s="6" t="s">
        <v>4896</v>
      </c>
      <c r="B204" s="6"/>
      <c r="C204" s="6"/>
      <c r="D204" s="6"/>
      <c r="E204" s="6"/>
      <c r="F204" s="6"/>
    </row>
    <row r="205" spans="1:6" x14ac:dyDescent="0.25">
      <c r="A205" t="s">
        <v>4044</v>
      </c>
      <c r="B205" t="s">
        <v>4045</v>
      </c>
      <c r="C205" t="s">
        <v>5</v>
      </c>
      <c r="D205" t="s">
        <v>4046</v>
      </c>
      <c r="E205" t="s">
        <v>4047</v>
      </c>
      <c r="F205" t="s">
        <v>4048</v>
      </c>
    </row>
    <row r="206" spans="1:6" x14ac:dyDescent="0.25">
      <c r="A206" t="s">
        <v>4062</v>
      </c>
      <c r="B206" t="s">
        <v>4897</v>
      </c>
      <c r="C206" t="s">
        <v>63</v>
      </c>
      <c r="D206" s="7">
        <v>1</v>
      </c>
      <c r="E206" s="2">
        <v>10200</v>
      </c>
      <c r="F206" s="2">
        <v>10200</v>
      </c>
    </row>
    <row r="207" spans="1:6" x14ac:dyDescent="0.25">
      <c r="A207" t="s">
        <v>4062</v>
      </c>
      <c r="B207" t="s">
        <v>4893</v>
      </c>
      <c r="C207" t="s">
        <v>42</v>
      </c>
      <c r="D207" s="7">
        <v>2</v>
      </c>
      <c r="E207" s="2">
        <v>2293</v>
      </c>
      <c r="F207" s="2">
        <v>4586</v>
      </c>
    </row>
    <row r="208" spans="1:6" x14ac:dyDescent="0.25">
      <c r="A208" t="s">
        <v>4062</v>
      </c>
      <c r="B208" t="s">
        <v>4898</v>
      </c>
      <c r="C208" t="s">
        <v>42</v>
      </c>
      <c r="D208" s="7">
        <v>6</v>
      </c>
      <c r="E208" s="2">
        <v>1844</v>
      </c>
      <c r="F208" s="2">
        <v>11064</v>
      </c>
    </row>
    <row r="209" spans="1:6" x14ac:dyDescent="0.25">
      <c r="A209" t="s">
        <v>4062</v>
      </c>
      <c r="B209" t="s">
        <v>4842</v>
      </c>
      <c r="C209" t="s">
        <v>63</v>
      </c>
      <c r="D209" s="7">
        <v>1</v>
      </c>
      <c r="E209" s="2">
        <v>1951</v>
      </c>
      <c r="F209" s="2">
        <v>1951</v>
      </c>
    </row>
    <row r="210" spans="1:6" x14ac:dyDescent="0.25">
      <c r="A210" t="s">
        <v>4062</v>
      </c>
      <c r="B210" t="s">
        <v>4843</v>
      </c>
      <c r="C210" t="s">
        <v>63</v>
      </c>
      <c r="D210" s="7">
        <v>1</v>
      </c>
      <c r="E210" s="2">
        <v>1163</v>
      </c>
      <c r="F210" s="2">
        <v>1163</v>
      </c>
    </row>
    <row r="211" spans="1:6" x14ac:dyDescent="0.25">
      <c r="A211" t="s">
        <v>4062</v>
      </c>
      <c r="B211" t="s">
        <v>4833</v>
      </c>
      <c r="C211" t="s">
        <v>63</v>
      </c>
      <c r="D211" s="7">
        <v>1</v>
      </c>
      <c r="E211" s="2">
        <v>404</v>
      </c>
      <c r="F211" s="2">
        <v>404</v>
      </c>
    </row>
    <row r="212" spans="1:6" x14ac:dyDescent="0.25">
      <c r="A212" t="s">
        <v>4062</v>
      </c>
      <c r="B212" t="s">
        <v>4659</v>
      </c>
      <c r="C212" t="s">
        <v>4377</v>
      </c>
      <c r="D212" s="7">
        <v>0.01</v>
      </c>
      <c r="E212" s="2">
        <v>31500</v>
      </c>
      <c r="F212" s="2">
        <v>315</v>
      </c>
    </row>
    <row r="213" spans="1:6" x14ac:dyDescent="0.25">
      <c r="A213" t="s">
        <v>4062</v>
      </c>
      <c r="B213" t="s">
        <v>4376</v>
      </c>
      <c r="C213" t="s">
        <v>4377</v>
      </c>
      <c r="D213" s="7">
        <v>0.01</v>
      </c>
      <c r="E213" s="2">
        <v>72237.67</v>
      </c>
      <c r="F213" s="2">
        <v>722.38</v>
      </c>
    </row>
    <row r="214" spans="1:6" x14ac:dyDescent="0.25">
      <c r="A214" t="s">
        <v>4049</v>
      </c>
      <c r="B214" t="s">
        <v>4241</v>
      </c>
      <c r="C214" t="s">
        <v>4051</v>
      </c>
      <c r="D214" s="7">
        <v>3.5</v>
      </c>
      <c r="E214" s="2">
        <v>9941.22</v>
      </c>
      <c r="F214" s="2">
        <v>34794.27</v>
      </c>
    </row>
    <row r="215" spans="1:6" x14ac:dyDescent="0.25">
      <c r="A215" t="s">
        <v>4049</v>
      </c>
      <c r="B215" t="s">
        <v>4242</v>
      </c>
      <c r="C215" t="s">
        <v>4051</v>
      </c>
      <c r="D215" s="7">
        <v>3.5</v>
      </c>
      <c r="E215" s="2">
        <v>17069.53</v>
      </c>
      <c r="F215" s="2">
        <v>59743.35</v>
      </c>
    </row>
    <row r="216" spans="1:6" x14ac:dyDescent="0.25">
      <c r="A216" t="s">
        <v>4052</v>
      </c>
      <c r="B216" t="s">
        <v>4053</v>
      </c>
      <c r="C216" t="s">
        <v>4054</v>
      </c>
      <c r="D216" s="7">
        <v>3.3</v>
      </c>
      <c r="E216" s="2">
        <v>94537.62</v>
      </c>
      <c r="F216" s="2">
        <v>3119.74</v>
      </c>
    </row>
    <row r="217" spans="1:6" x14ac:dyDescent="0.25">
      <c r="A217" t="s">
        <v>4055</v>
      </c>
      <c r="D217" s="7"/>
      <c r="E217" s="2"/>
      <c r="F217" s="2">
        <f>SUBTOTAL(109,A_1_07_15[VALOR PARCIAL])</f>
      </c>
    </row>
    <row r="219" ht="30" customHeight="1" spans="1:6" x14ac:dyDescent="0.25">
      <c r="A219" s="5" t="s">
        <v>4899</v>
      </c>
      <c r="B219" s="5"/>
      <c r="C219" s="5"/>
      <c r="D219" s="5"/>
      <c r="E219" s="5"/>
      <c r="F219" s="5"/>
    </row>
    <row r="220" ht="42" customHeight="1" spans="1:6" x14ac:dyDescent="0.25">
      <c r="A220" s="6" t="s">
        <v>4900</v>
      </c>
      <c r="B220" s="6"/>
      <c r="C220" s="6"/>
      <c r="D220" s="6"/>
      <c r="E220" s="6"/>
      <c r="F220" s="6"/>
    </row>
    <row r="221" spans="1:6" x14ac:dyDescent="0.25">
      <c r="A221" t="s">
        <v>4044</v>
      </c>
      <c r="B221" t="s">
        <v>4045</v>
      </c>
      <c r="C221" t="s">
        <v>5</v>
      </c>
      <c r="D221" t="s">
        <v>4046</v>
      </c>
      <c r="E221" t="s">
        <v>4047</v>
      </c>
      <c r="F221" t="s">
        <v>4048</v>
      </c>
    </row>
    <row r="222" spans="1:6" x14ac:dyDescent="0.25">
      <c r="A222" t="s">
        <v>4062</v>
      </c>
      <c r="B222" t="s">
        <v>4901</v>
      </c>
      <c r="C222" t="s">
        <v>63</v>
      </c>
      <c r="D222" s="7">
        <v>1</v>
      </c>
      <c r="E222" s="2">
        <v>13033</v>
      </c>
      <c r="F222" s="2">
        <v>13033</v>
      </c>
    </row>
    <row r="223" spans="1:6" x14ac:dyDescent="0.25">
      <c r="A223" t="s">
        <v>4049</v>
      </c>
      <c r="B223" t="s">
        <v>4241</v>
      </c>
      <c r="C223" t="s">
        <v>4051</v>
      </c>
      <c r="D223" s="7">
        <v>0.03</v>
      </c>
      <c r="E223" s="2">
        <v>9941.22</v>
      </c>
      <c r="F223" s="2">
        <v>298.24</v>
      </c>
    </row>
    <row r="224" spans="1:6" x14ac:dyDescent="0.25">
      <c r="A224" t="s">
        <v>4049</v>
      </c>
      <c r="B224" t="s">
        <v>4242</v>
      </c>
      <c r="C224" t="s">
        <v>4051</v>
      </c>
      <c r="D224" s="7">
        <v>0.03</v>
      </c>
      <c r="E224" s="2">
        <v>17069.53</v>
      </c>
      <c r="F224" s="2">
        <v>512.09</v>
      </c>
    </row>
    <row r="225" spans="1:6" x14ac:dyDescent="0.25">
      <c r="A225" t="s">
        <v>4052</v>
      </c>
      <c r="B225" t="s">
        <v>4053</v>
      </c>
      <c r="C225" t="s">
        <v>4054</v>
      </c>
      <c r="D225" s="7">
        <v>5</v>
      </c>
      <c r="E225" s="2">
        <v>810.33</v>
      </c>
      <c r="F225" s="2">
        <v>40.52</v>
      </c>
    </row>
    <row r="226" spans="1:6" x14ac:dyDescent="0.25">
      <c r="A226" t="s">
        <v>4055</v>
      </c>
      <c r="D226" s="7"/>
      <c r="E226" s="2"/>
      <c r="F226" s="2">
        <f>SUBTOTAL(109,A_1_07_16[VALOR PARCIAL])</f>
      </c>
    </row>
    <row r="228" ht="30" customHeight="1" spans="1:6" x14ac:dyDescent="0.25">
      <c r="A228" s="5" t="s">
        <v>4902</v>
      </c>
      <c r="B228" s="5"/>
      <c r="C228" s="5"/>
      <c r="D228" s="5"/>
      <c r="E228" s="5"/>
      <c r="F228" s="5"/>
    </row>
    <row r="229" ht="42" customHeight="1" spans="1:6" x14ac:dyDescent="0.25">
      <c r="A229" s="6" t="s">
        <v>4903</v>
      </c>
      <c r="B229" s="6"/>
      <c r="C229" s="6"/>
      <c r="D229" s="6"/>
      <c r="E229" s="6"/>
      <c r="F229" s="6"/>
    </row>
    <row r="230" spans="1:6" x14ac:dyDescent="0.25">
      <c r="A230" t="s">
        <v>4044</v>
      </c>
      <c r="B230" t="s">
        <v>4045</v>
      </c>
      <c r="C230" t="s">
        <v>5</v>
      </c>
      <c r="D230" t="s">
        <v>4046</v>
      </c>
      <c r="E230" t="s">
        <v>4047</v>
      </c>
      <c r="F230" t="s">
        <v>4048</v>
      </c>
    </row>
    <row r="231" spans="1:6" x14ac:dyDescent="0.25">
      <c r="A231" t="s">
        <v>4062</v>
      </c>
      <c r="B231" t="s">
        <v>4904</v>
      </c>
      <c r="C231" t="s">
        <v>63</v>
      </c>
      <c r="D231" s="7">
        <v>1</v>
      </c>
      <c r="E231" s="2">
        <v>15328</v>
      </c>
      <c r="F231" s="2">
        <v>15328</v>
      </c>
    </row>
    <row r="232" spans="1:6" x14ac:dyDescent="0.25">
      <c r="A232" t="s">
        <v>4062</v>
      </c>
      <c r="B232" t="s">
        <v>4905</v>
      </c>
      <c r="C232" t="s">
        <v>63</v>
      </c>
      <c r="D232" s="7">
        <v>1</v>
      </c>
      <c r="E232" s="2">
        <v>92287</v>
      </c>
      <c r="F232" s="2">
        <v>92287</v>
      </c>
    </row>
    <row r="233" spans="1:6" x14ac:dyDescent="0.25">
      <c r="A233" t="s">
        <v>4062</v>
      </c>
      <c r="B233" t="s">
        <v>4906</v>
      </c>
      <c r="C233" t="s">
        <v>42</v>
      </c>
      <c r="D233" s="7">
        <v>2</v>
      </c>
      <c r="E233" s="2">
        <v>2644</v>
      </c>
      <c r="F233" s="2">
        <v>5288</v>
      </c>
    </row>
    <row r="234" spans="1:6" x14ac:dyDescent="0.25">
      <c r="A234" t="s">
        <v>4049</v>
      </c>
      <c r="B234" t="s">
        <v>4241</v>
      </c>
      <c r="C234" t="s">
        <v>4051</v>
      </c>
      <c r="D234" s="7">
        <v>0.3</v>
      </c>
      <c r="E234" s="2">
        <v>9941.22</v>
      </c>
      <c r="F234" s="2">
        <v>2982.37</v>
      </c>
    </row>
    <row r="235" spans="1:6" x14ac:dyDescent="0.25">
      <c r="A235" t="s">
        <v>4049</v>
      </c>
      <c r="B235" t="s">
        <v>4242</v>
      </c>
      <c r="C235" t="s">
        <v>4051</v>
      </c>
      <c r="D235" s="7">
        <v>0.3</v>
      </c>
      <c r="E235" s="2">
        <v>17069.53</v>
      </c>
      <c r="F235" s="2">
        <v>5120.86</v>
      </c>
    </row>
    <row r="236" spans="1:6" x14ac:dyDescent="0.25">
      <c r="A236" t="s">
        <v>4052</v>
      </c>
      <c r="B236" t="s">
        <v>4053</v>
      </c>
      <c r="C236" t="s">
        <v>4054</v>
      </c>
      <c r="D236" s="7">
        <v>5</v>
      </c>
      <c r="E236" s="2">
        <v>8103.23</v>
      </c>
      <c r="F236" s="2">
        <v>405.16</v>
      </c>
    </row>
    <row r="237" spans="1:6" x14ac:dyDescent="0.25">
      <c r="A237" t="s">
        <v>4055</v>
      </c>
      <c r="D237" s="7"/>
      <c r="E237" s="2"/>
      <c r="F237" s="2">
        <f>SUBTOTAL(109,A_1_07_17[VALOR PARCIAL])</f>
      </c>
    </row>
    <row r="239" ht="30" customHeight="1" spans="1:6" x14ac:dyDescent="0.25">
      <c r="A239" s="5" t="s">
        <v>4907</v>
      </c>
      <c r="B239" s="5"/>
      <c r="C239" s="5"/>
      <c r="D239" s="5"/>
      <c r="E239" s="5"/>
      <c r="F239" s="5"/>
    </row>
    <row r="240" ht="42" customHeight="1" spans="1:6" x14ac:dyDescent="0.25">
      <c r="A240" s="6" t="s">
        <v>4908</v>
      </c>
      <c r="B240" s="6"/>
      <c r="C240" s="6"/>
      <c r="D240" s="6"/>
      <c r="E240" s="6"/>
      <c r="F240" s="6"/>
    </row>
    <row r="241" spans="1:6" x14ac:dyDescent="0.25">
      <c r="A241" t="s">
        <v>4044</v>
      </c>
      <c r="B241" t="s">
        <v>4045</v>
      </c>
      <c r="C241" t="s">
        <v>5</v>
      </c>
      <c r="D241" t="s">
        <v>4046</v>
      </c>
      <c r="E241" t="s">
        <v>4047</v>
      </c>
      <c r="F241" t="s">
        <v>4048</v>
      </c>
    </row>
    <row r="242" spans="1:6" x14ac:dyDescent="0.25">
      <c r="A242" t="s">
        <v>4062</v>
      </c>
      <c r="B242" t="s">
        <v>4909</v>
      </c>
      <c r="C242" t="s">
        <v>63</v>
      </c>
      <c r="D242" s="7">
        <v>1</v>
      </c>
      <c r="E242" s="2">
        <v>96787</v>
      </c>
      <c r="F242" s="2">
        <v>96787</v>
      </c>
    </row>
    <row r="243" spans="1:6" x14ac:dyDescent="0.25">
      <c r="A243" t="s">
        <v>4049</v>
      </c>
      <c r="B243" t="s">
        <v>4241</v>
      </c>
      <c r="C243" t="s">
        <v>4051</v>
      </c>
      <c r="D243" s="7">
        <v>0.03</v>
      </c>
      <c r="E243" s="2">
        <v>9941.22</v>
      </c>
      <c r="F243" s="2">
        <v>298.24</v>
      </c>
    </row>
    <row r="244" spans="1:6" x14ac:dyDescent="0.25">
      <c r="A244" t="s">
        <v>4049</v>
      </c>
      <c r="B244" t="s">
        <v>4242</v>
      </c>
      <c r="C244" t="s">
        <v>4051</v>
      </c>
      <c r="D244" s="7">
        <v>0.03</v>
      </c>
      <c r="E244" s="2">
        <v>17069.53</v>
      </c>
      <c r="F244" s="2">
        <v>512.09</v>
      </c>
    </row>
    <row r="245" spans="1:6" x14ac:dyDescent="0.25">
      <c r="A245" t="s">
        <v>4052</v>
      </c>
      <c r="B245" t="s">
        <v>4053</v>
      </c>
      <c r="C245" t="s">
        <v>4054</v>
      </c>
      <c r="D245" s="7">
        <v>5</v>
      </c>
      <c r="E245" s="2">
        <v>810.33</v>
      </c>
      <c r="F245" s="2">
        <v>40.52</v>
      </c>
    </row>
    <row r="246" spans="1:6" x14ac:dyDescent="0.25">
      <c r="A246" t="s">
        <v>4055</v>
      </c>
      <c r="D246" s="7"/>
      <c r="E246" s="2"/>
      <c r="F246" s="2">
        <f>SUBTOTAL(109,A_1_07_18[VALOR PARCIAL])</f>
      </c>
    </row>
    <row r="248" ht="30" customHeight="1" spans="1:6" x14ac:dyDescent="0.25">
      <c r="A248" s="5" t="s">
        <v>4910</v>
      </c>
      <c r="B248" s="5"/>
      <c r="C248" s="5"/>
      <c r="D248" s="5"/>
      <c r="E248" s="5"/>
      <c r="F248" s="5"/>
    </row>
    <row r="249" ht="42" customHeight="1" spans="1:6" x14ac:dyDescent="0.25">
      <c r="A249" s="6" t="s">
        <v>4911</v>
      </c>
      <c r="B249" s="6"/>
      <c r="C249" s="6"/>
      <c r="D249" s="6"/>
      <c r="E249" s="6"/>
      <c r="F249" s="6"/>
    </row>
    <row r="250" spans="1:6" x14ac:dyDescent="0.25">
      <c r="A250" t="s">
        <v>4044</v>
      </c>
      <c r="B250" t="s">
        <v>4045</v>
      </c>
      <c r="C250" t="s">
        <v>5</v>
      </c>
      <c r="D250" t="s">
        <v>4046</v>
      </c>
      <c r="E250" t="s">
        <v>4047</v>
      </c>
      <c r="F250" t="s">
        <v>4048</v>
      </c>
    </row>
    <row r="251" spans="1:6" x14ac:dyDescent="0.25">
      <c r="A251" t="s">
        <v>4062</v>
      </c>
      <c r="B251" t="s">
        <v>4904</v>
      </c>
      <c r="C251" t="s">
        <v>63</v>
      </c>
      <c r="D251" s="7">
        <v>1</v>
      </c>
      <c r="E251" s="2">
        <v>15328</v>
      </c>
      <c r="F251" s="2">
        <v>15328</v>
      </c>
    </row>
    <row r="252" spans="1:6" x14ac:dyDescent="0.25">
      <c r="A252" t="s">
        <v>4062</v>
      </c>
      <c r="B252" t="s">
        <v>4912</v>
      </c>
      <c r="C252" t="s">
        <v>63</v>
      </c>
      <c r="D252" s="7">
        <v>1</v>
      </c>
      <c r="E252" s="2">
        <v>52829</v>
      </c>
      <c r="F252" s="2">
        <v>52829</v>
      </c>
    </row>
    <row r="253" spans="1:6" x14ac:dyDescent="0.25">
      <c r="A253" t="s">
        <v>4062</v>
      </c>
      <c r="B253" t="s">
        <v>4906</v>
      </c>
      <c r="C253" t="s">
        <v>42</v>
      </c>
      <c r="D253" s="7">
        <v>2</v>
      </c>
      <c r="E253" s="2">
        <v>2644</v>
      </c>
      <c r="F253" s="2">
        <v>5288</v>
      </c>
    </row>
    <row r="254" spans="1:6" x14ac:dyDescent="0.25">
      <c r="A254" t="s">
        <v>4049</v>
      </c>
      <c r="B254" t="s">
        <v>4241</v>
      </c>
      <c r="C254" t="s">
        <v>4051</v>
      </c>
      <c r="D254" s="7">
        <v>0.3</v>
      </c>
      <c r="E254" s="2">
        <v>9941.22</v>
      </c>
      <c r="F254" s="2">
        <v>2982.37</v>
      </c>
    </row>
    <row r="255" spans="1:6" x14ac:dyDescent="0.25">
      <c r="A255" t="s">
        <v>4049</v>
      </c>
      <c r="B255" t="s">
        <v>4242</v>
      </c>
      <c r="C255" t="s">
        <v>4051</v>
      </c>
      <c r="D255" s="7">
        <v>0.3</v>
      </c>
      <c r="E255" s="2">
        <v>17069.53</v>
      </c>
      <c r="F255" s="2">
        <v>5120.86</v>
      </c>
    </row>
    <row r="256" spans="1:6" x14ac:dyDescent="0.25">
      <c r="A256" t="s">
        <v>4052</v>
      </c>
      <c r="B256" t="s">
        <v>4053</v>
      </c>
      <c r="C256" t="s">
        <v>4054</v>
      </c>
      <c r="D256" s="7">
        <v>5</v>
      </c>
      <c r="E256" s="2">
        <v>8103.23</v>
      </c>
      <c r="F256" s="2">
        <v>405.16</v>
      </c>
    </row>
    <row r="257" spans="1:6" x14ac:dyDescent="0.25">
      <c r="A257" t="s">
        <v>4055</v>
      </c>
      <c r="D257" s="7"/>
      <c r="E257" s="2"/>
      <c r="F257" s="2">
        <f>SUBTOTAL(109,A_1_07_19[VALOR PARCIAL])</f>
      </c>
    </row>
    <row r="259" ht="30" customHeight="1" spans="1:6" x14ac:dyDescent="0.25">
      <c r="A259" s="5" t="s">
        <v>4913</v>
      </c>
      <c r="B259" s="5"/>
      <c r="C259" s="5"/>
      <c r="D259" s="5"/>
      <c r="E259" s="5"/>
      <c r="F259" s="5"/>
    </row>
    <row r="260" ht="42" customHeight="1" spans="1:6" x14ac:dyDescent="0.25">
      <c r="A260" s="6" t="s">
        <v>4914</v>
      </c>
      <c r="B260" s="6"/>
      <c r="C260" s="6"/>
      <c r="D260" s="6"/>
      <c r="E260" s="6"/>
      <c r="F260" s="6"/>
    </row>
    <row r="261" spans="1:6" x14ac:dyDescent="0.25">
      <c r="A261" t="s">
        <v>4044</v>
      </c>
      <c r="B261" t="s">
        <v>4045</v>
      </c>
      <c r="C261" t="s">
        <v>5</v>
      </c>
      <c r="D261" t="s">
        <v>4046</v>
      </c>
      <c r="E261" t="s">
        <v>4047</v>
      </c>
      <c r="F261" t="s">
        <v>4048</v>
      </c>
    </row>
    <row r="262" spans="1:6" x14ac:dyDescent="0.25">
      <c r="A262" t="s">
        <v>4062</v>
      </c>
      <c r="B262" t="s">
        <v>4915</v>
      </c>
      <c r="C262" t="s">
        <v>63</v>
      </c>
      <c r="D262" s="7">
        <v>1</v>
      </c>
      <c r="E262" s="2">
        <v>77652</v>
      </c>
      <c r="F262" s="2">
        <v>77652</v>
      </c>
    </row>
    <row r="263" spans="1:6" x14ac:dyDescent="0.25">
      <c r="A263" t="s">
        <v>4049</v>
      </c>
      <c r="B263" t="s">
        <v>4241</v>
      </c>
      <c r="C263" t="s">
        <v>4051</v>
      </c>
      <c r="D263" s="7">
        <v>6</v>
      </c>
      <c r="E263" s="2">
        <v>9941.22</v>
      </c>
      <c r="F263" s="2">
        <v>59647.32</v>
      </c>
    </row>
    <row r="264" spans="1:6" x14ac:dyDescent="0.25">
      <c r="A264" t="s">
        <v>4049</v>
      </c>
      <c r="B264" t="s">
        <v>4242</v>
      </c>
      <c r="C264" t="s">
        <v>4051</v>
      </c>
      <c r="D264" s="7">
        <v>6</v>
      </c>
      <c r="E264" s="2">
        <v>17069.53</v>
      </c>
      <c r="F264" s="2">
        <v>102417.18</v>
      </c>
    </row>
    <row r="265" spans="1:6" x14ac:dyDescent="0.25">
      <c r="A265" t="s">
        <v>4052</v>
      </c>
      <c r="B265" t="s">
        <v>4053</v>
      </c>
      <c r="C265" t="s">
        <v>4054</v>
      </c>
      <c r="D265" s="7">
        <v>5</v>
      </c>
      <c r="E265" s="2">
        <v>162064.5</v>
      </c>
      <c r="F265" s="2">
        <v>8103.23</v>
      </c>
    </row>
    <row r="266" spans="1:6" x14ac:dyDescent="0.25">
      <c r="A266" t="s">
        <v>4055</v>
      </c>
      <c r="D266" s="7"/>
      <c r="E266" s="2"/>
      <c r="F266" s="2">
        <f>SUBTOTAL(109,A_1_07_20[VALOR PARCIAL])</f>
      </c>
    </row>
    <row r="268" ht="30" customHeight="1" spans="1:6" x14ac:dyDescent="0.25">
      <c r="A268" s="5" t="s">
        <v>4916</v>
      </c>
      <c r="B268" s="5"/>
      <c r="C268" s="5"/>
      <c r="D268" s="5"/>
      <c r="E268" s="5"/>
      <c r="F268" s="5"/>
    </row>
    <row r="269" ht="42" customHeight="1" spans="1:6" x14ac:dyDescent="0.25">
      <c r="A269" s="6" t="s">
        <v>4917</v>
      </c>
      <c r="B269" s="6"/>
      <c r="C269" s="6"/>
      <c r="D269" s="6"/>
      <c r="E269" s="6"/>
      <c r="F269" s="6"/>
    </row>
    <row r="270" spans="1:6" x14ac:dyDescent="0.25">
      <c r="A270" t="s">
        <v>4044</v>
      </c>
      <c r="B270" t="s">
        <v>4045</v>
      </c>
      <c r="C270" t="s">
        <v>5</v>
      </c>
      <c r="D270" t="s">
        <v>4046</v>
      </c>
      <c r="E270" t="s">
        <v>4047</v>
      </c>
      <c r="F270" t="s">
        <v>4048</v>
      </c>
    </row>
    <row r="271" spans="1:6" x14ac:dyDescent="0.25">
      <c r="A271" t="s">
        <v>4062</v>
      </c>
      <c r="B271" t="s">
        <v>4918</v>
      </c>
      <c r="C271" t="s">
        <v>3533</v>
      </c>
      <c r="D271" s="7">
        <v>1</v>
      </c>
      <c r="E271" s="2">
        <v>453000</v>
      </c>
      <c r="F271" s="2">
        <v>453000</v>
      </c>
    </row>
    <row r="272" spans="1:6" x14ac:dyDescent="0.25">
      <c r="A272" t="s">
        <v>4049</v>
      </c>
      <c r="B272" t="s">
        <v>4241</v>
      </c>
      <c r="C272" t="s">
        <v>4051</v>
      </c>
      <c r="D272" s="7">
        <v>8</v>
      </c>
      <c r="E272" s="2">
        <v>9941.22</v>
      </c>
      <c r="F272" s="2">
        <v>79529.76</v>
      </c>
    </row>
    <row r="273" spans="1:6" x14ac:dyDescent="0.25">
      <c r="A273" t="s">
        <v>4049</v>
      </c>
      <c r="B273" t="s">
        <v>4242</v>
      </c>
      <c r="C273" t="s">
        <v>4051</v>
      </c>
      <c r="D273" s="7">
        <v>8</v>
      </c>
      <c r="E273" s="2">
        <v>17069.53</v>
      </c>
      <c r="F273" s="2">
        <v>136556.24</v>
      </c>
    </row>
    <row r="274" spans="1:6" x14ac:dyDescent="0.25">
      <c r="A274" t="s">
        <v>4052</v>
      </c>
      <c r="B274" t="s">
        <v>4053</v>
      </c>
      <c r="C274" t="s">
        <v>4054</v>
      </c>
      <c r="D274" s="7">
        <v>7</v>
      </c>
      <c r="E274" s="2">
        <v>216086</v>
      </c>
      <c r="F274" s="2">
        <v>15126.02</v>
      </c>
    </row>
    <row r="275" spans="1:6" x14ac:dyDescent="0.25">
      <c r="A275" t="s">
        <v>4055</v>
      </c>
      <c r="D275" s="7"/>
      <c r="E275" s="2"/>
      <c r="F275" s="2">
        <f>SUBTOTAL(109,A_1_07_21[VALOR PARCIAL])</f>
      </c>
    </row>
    <row r="277" ht="30" customHeight="1" spans="1:6" x14ac:dyDescent="0.25">
      <c r="A277" s="5" t="s">
        <v>4919</v>
      </c>
      <c r="B277" s="5"/>
      <c r="C277" s="5"/>
      <c r="D277" s="5"/>
      <c r="E277" s="5"/>
      <c r="F277" s="5"/>
    </row>
    <row r="278" ht="42" customHeight="1" spans="1:6" x14ac:dyDescent="0.25">
      <c r="A278" s="6" t="s">
        <v>4920</v>
      </c>
      <c r="B278" s="6"/>
      <c r="C278" s="6"/>
      <c r="D278" s="6"/>
      <c r="E278" s="6"/>
      <c r="F278" s="6"/>
    </row>
    <row r="279" spans="1:6" x14ac:dyDescent="0.25">
      <c r="A279" t="s">
        <v>4044</v>
      </c>
      <c r="B279" t="s">
        <v>4045</v>
      </c>
      <c r="C279" t="s">
        <v>5</v>
      </c>
      <c r="D279" t="s">
        <v>4046</v>
      </c>
      <c r="E279" t="s">
        <v>4047</v>
      </c>
      <c r="F279" t="s">
        <v>4048</v>
      </c>
    </row>
    <row r="280" spans="1:6" x14ac:dyDescent="0.25">
      <c r="A280" t="s">
        <v>4062</v>
      </c>
      <c r="B280" t="s">
        <v>4921</v>
      </c>
      <c r="C280" t="s">
        <v>63</v>
      </c>
      <c r="D280" s="7">
        <v>4</v>
      </c>
      <c r="E280" s="2">
        <v>426.33</v>
      </c>
      <c r="F280" s="2">
        <v>1705.32</v>
      </c>
    </row>
    <row r="281" spans="1:6" x14ac:dyDescent="0.25">
      <c r="A281" t="s">
        <v>4062</v>
      </c>
      <c r="B281" t="s">
        <v>4601</v>
      </c>
      <c r="C281" t="s">
        <v>63</v>
      </c>
      <c r="D281" s="7">
        <v>4</v>
      </c>
      <c r="E281" s="2">
        <v>199</v>
      </c>
      <c r="F281" s="2">
        <v>796</v>
      </c>
    </row>
    <row r="282" spans="1:6" x14ac:dyDescent="0.25">
      <c r="A282" t="s">
        <v>4049</v>
      </c>
      <c r="B282" t="s">
        <v>4884</v>
      </c>
      <c r="C282" t="s">
        <v>4236</v>
      </c>
      <c r="D282" s="7">
        <v>0.75</v>
      </c>
      <c r="E282" s="2">
        <v>27010</v>
      </c>
      <c r="F282" s="2">
        <v>20257.5</v>
      </c>
    </row>
    <row r="283" spans="1:6" x14ac:dyDescent="0.25">
      <c r="A283" t="s">
        <v>4052</v>
      </c>
      <c r="B283" t="s">
        <v>4053</v>
      </c>
      <c r="C283" t="s">
        <v>4054</v>
      </c>
      <c r="D283" s="7">
        <v>5</v>
      </c>
      <c r="E283" s="2">
        <v>20257.5</v>
      </c>
      <c r="F283" s="2">
        <v>1012.88</v>
      </c>
    </row>
    <row r="284" spans="1:6" x14ac:dyDescent="0.25">
      <c r="A284" t="s">
        <v>4055</v>
      </c>
      <c r="D284" s="7"/>
      <c r="E284" s="2"/>
      <c r="F284" s="2">
        <f>SUBTOTAL(109,A_1_07_22[VALOR PARCIAL])</f>
      </c>
    </row>
    <row r="286" ht="30" customHeight="1" spans="1:6" x14ac:dyDescent="0.25">
      <c r="A286" s="5" t="s">
        <v>4922</v>
      </c>
      <c r="B286" s="5"/>
      <c r="C286" s="5"/>
      <c r="D286" s="5"/>
      <c r="E286" s="5"/>
      <c r="F286" s="5"/>
    </row>
    <row r="287" ht="42" customHeight="1" spans="1:6" x14ac:dyDescent="0.25">
      <c r="A287" s="6" t="s">
        <v>4923</v>
      </c>
      <c r="B287" s="6"/>
      <c r="C287" s="6"/>
      <c r="D287" s="6"/>
      <c r="E287" s="6"/>
      <c r="F287" s="6"/>
    </row>
    <row r="288" spans="1:6" x14ac:dyDescent="0.25">
      <c r="A288" t="s">
        <v>4044</v>
      </c>
      <c r="B288" t="s">
        <v>4045</v>
      </c>
      <c r="C288" t="s">
        <v>5</v>
      </c>
      <c r="D288" t="s">
        <v>4046</v>
      </c>
      <c r="E288" t="s">
        <v>4047</v>
      </c>
      <c r="F288" t="s">
        <v>4048</v>
      </c>
    </row>
    <row r="289" spans="1:6" x14ac:dyDescent="0.25">
      <c r="A289" t="s">
        <v>4062</v>
      </c>
      <c r="B289" t="s">
        <v>4921</v>
      </c>
      <c r="C289" t="s">
        <v>63</v>
      </c>
      <c r="D289" s="7">
        <v>6</v>
      </c>
      <c r="E289" s="2">
        <v>426.33</v>
      </c>
      <c r="F289" s="2">
        <v>2557.98</v>
      </c>
    </row>
    <row r="290" spans="1:6" x14ac:dyDescent="0.25">
      <c r="A290" t="s">
        <v>4062</v>
      </c>
      <c r="B290" t="s">
        <v>4601</v>
      </c>
      <c r="C290" t="s">
        <v>63</v>
      </c>
      <c r="D290" s="7">
        <v>6</v>
      </c>
      <c r="E290" s="2">
        <v>199</v>
      </c>
      <c r="F290" s="2">
        <v>1194</v>
      </c>
    </row>
    <row r="291" spans="1:6" x14ac:dyDescent="0.25">
      <c r="A291" t="s">
        <v>4049</v>
      </c>
      <c r="B291" t="s">
        <v>4884</v>
      </c>
      <c r="C291" t="s">
        <v>4236</v>
      </c>
      <c r="D291" s="7">
        <v>1</v>
      </c>
      <c r="E291" s="2">
        <v>27010</v>
      </c>
      <c r="F291" s="2">
        <v>27010</v>
      </c>
    </row>
    <row r="292" spans="1:6" x14ac:dyDescent="0.25">
      <c r="A292" t="s">
        <v>4052</v>
      </c>
      <c r="B292" t="s">
        <v>4053</v>
      </c>
      <c r="C292" t="s">
        <v>4054</v>
      </c>
      <c r="D292" s="7">
        <v>5</v>
      </c>
      <c r="E292" s="2">
        <v>27010</v>
      </c>
      <c r="F292" s="2">
        <v>1350.5</v>
      </c>
    </row>
    <row r="293" spans="1:6" x14ac:dyDescent="0.25">
      <c r="A293" t="s">
        <v>4055</v>
      </c>
      <c r="D293" s="7"/>
      <c r="E293" s="2"/>
      <c r="F293" s="2">
        <f>SUBTOTAL(109,A_1_07_23[VALOR PARCIAL])</f>
      </c>
    </row>
    <row r="295" ht="30" customHeight="1" spans="1:6" x14ac:dyDescent="0.25">
      <c r="A295" s="5" t="s">
        <v>4924</v>
      </c>
      <c r="B295" s="5"/>
      <c r="C295" s="5"/>
      <c r="D295" s="5"/>
      <c r="E295" s="5"/>
      <c r="F295" s="5"/>
    </row>
    <row r="296" ht="42" customHeight="1" spans="1:6" x14ac:dyDescent="0.25">
      <c r="A296" s="6" t="s">
        <v>4925</v>
      </c>
      <c r="B296" s="6"/>
      <c r="C296" s="6"/>
      <c r="D296" s="6"/>
      <c r="E296" s="6"/>
      <c r="F296" s="6"/>
    </row>
    <row r="297" spans="1:6" x14ac:dyDescent="0.25">
      <c r="A297" t="s">
        <v>4044</v>
      </c>
      <c r="B297" t="s">
        <v>4045</v>
      </c>
      <c r="C297" t="s">
        <v>5</v>
      </c>
      <c r="D297" t="s">
        <v>4046</v>
      </c>
      <c r="E297" t="s">
        <v>4047</v>
      </c>
      <c r="F297" t="s">
        <v>4048</v>
      </c>
    </row>
    <row r="298" spans="1:6" x14ac:dyDescent="0.25">
      <c r="A298" t="s">
        <v>4062</v>
      </c>
      <c r="B298" t="s">
        <v>4530</v>
      </c>
      <c r="C298" t="s">
        <v>63</v>
      </c>
      <c r="D298" s="7">
        <v>4</v>
      </c>
      <c r="E298" s="2">
        <v>616.67</v>
      </c>
      <c r="F298" s="2">
        <v>2466.68</v>
      </c>
    </row>
    <row r="299" spans="1:6" x14ac:dyDescent="0.25">
      <c r="A299" t="s">
        <v>4062</v>
      </c>
      <c r="B299" t="s">
        <v>4926</v>
      </c>
      <c r="C299" t="s">
        <v>63</v>
      </c>
      <c r="D299" s="7">
        <v>1</v>
      </c>
      <c r="E299" s="2">
        <v>88797</v>
      </c>
      <c r="F299" s="2">
        <v>88797</v>
      </c>
    </row>
    <row r="300" spans="1:6" x14ac:dyDescent="0.25">
      <c r="A300" t="s">
        <v>4062</v>
      </c>
      <c r="B300" t="s">
        <v>4601</v>
      </c>
      <c r="C300" t="s">
        <v>63</v>
      </c>
      <c r="D300" s="7">
        <v>4</v>
      </c>
      <c r="E300" s="2">
        <v>199</v>
      </c>
      <c r="F300" s="2">
        <v>796</v>
      </c>
    </row>
    <row r="301" spans="1:6" x14ac:dyDescent="0.25">
      <c r="A301" t="s">
        <v>4049</v>
      </c>
      <c r="B301" t="s">
        <v>4241</v>
      </c>
      <c r="C301" t="s">
        <v>4051</v>
      </c>
      <c r="D301" s="7">
        <v>0.5</v>
      </c>
      <c r="E301" s="2">
        <v>9941.22</v>
      </c>
      <c r="F301" s="2">
        <v>4970.61</v>
      </c>
    </row>
    <row r="302" spans="1:6" x14ac:dyDescent="0.25">
      <c r="A302" t="s">
        <v>4049</v>
      </c>
      <c r="B302" t="s">
        <v>4242</v>
      </c>
      <c r="C302" t="s">
        <v>4051</v>
      </c>
      <c r="D302" s="7">
        <v>0.5</v>
      </c>
      <c r="E302" s="2">
        <v>17069.53</v>
      </c>
      <c r="F302" s="2">
        <v>8534.76</v>
      </c>
    </row>
    <row r="303" spans="1:6" x14ac:dyDescent="0.25">
      <c r="A303" t="s">
        <v>4052</v>
      </c>
      <c r="B303" t="s">
        <v>4053</v>
      </c>
      <c r="C303" t="s">
        <v>4054</v>
      </c>
      <c r="D303" s="7">
        <v>3.3</v>
      </c>
      <c r="E303" s="2">
        <v>13505.37</v>
      </c>
      <c r="F303" s="2">
        <v>445.68</v>
      </c>
    </row>
    <row r="304" spans="1:6" x14ac:dyDescent="0.25">
      <c r="A304" t="s">
        <v>4055</v>
      </c>
      <c r="D304" s="7"/>
      <c r="E304" s="2"/>
      <c r="F304" s="2">
        <f>SUBTOTAL(109,A_1_07_24[VALOR PARCIAL])</f>
      </c>
    </row>
    <row r="306" ht="30" customHeight="1" spans="1:6" x14ac:dyDescent="0.25">
      <c r="A306" s="5" t="s">
        <v>4927</v>
      </c>
      <c r="B306" s="5"/>
      <c r="C306" s="5"/>
      <c r="D306" s="5"/>
      <c r="E306" s="5"/>
      <c r="F306" s="5"/>
    </row>
    <row r="307" ht="42" customHeight="1" spans="1:6" x14ac:dyDescent="0.25">
      <c r="A307" s="6" t="s">
        <v>4928</v>
      </c>
      <c r="B307" s="6"/>
      <c r="C307" s="6"/>
      <c r="D307" s="6"/>
      <c r="E307" s="6"/>
      <c r="F307" s="6"/>
    </row>
    <row r="308" spans="1:6" x14ac:dyDescent="0.25">
      <c r="A308" t="s">
        <v>4044</v>
      </c>
      <c r="B308" t="s">
        <v>4045</v>
      </c>
      <c r="C308" t="s">
        <v>5</v>
      </c>
      <c r="D308" t="s">
        <v>4046</v>
      </c>
      <c r="E308" t="s">
        <v>4047</v>
      </c>
      <c r="F308" t="s">
        <v>4048</v>
      </c>
    </row>
    <row r="309" spans="1:6" x14ac:dyDescent="0.25">
      <c r="A309" t="s">
        <v>4062</v>
      </c>
      <c r="B309" t="s">
        <v>4921</v>
      </c>
      <c r="C309" t="s">
        <v>63</v>
      </c>
      <c r="D309" s="7">
        <v>4</v>
      </c>
      <c r="E309" s="2">
        <v>426.33</v>
      </c>
      <c r="F309" s="2">
        <v>1705.32</v>
      </c>
    </row>
    <row r="310" spans="1:6" x14ac:dyDescent="0.25">
      <c r="A310" t="s">
        <v>4062</v>
      </c>
      <c r="B310" t="s">
        <v>4929</v>
      </c>
      <c r="C310" t="s">
        <v>63</v>
      </c>
      <c r="D310" s="7">
        <v>1</v>
      </c>
      <c r="E310" s="2">
        <v>218000</v>
      </c>
      <c r="F310" s="2">
        <v>218000</v>
      </c>
    </row>
    <row r="311" spans="1:6" x14ac:dyDescent="0.25">
      <c r="A311" t="s">
        <v>4062</v>
      </c>
      <c r="B311" t="s">
        <v>4601</v>
      </c>
      <c r="C311" t="s">
        <v>63</v>
      </c>
      <c r="D311" s="7">
        <v>4</v>
      </c>
      <c r="E311" s="2">
        <v>199</v>
      </c>
      <c r="F311" s="2">
        <v>796</v>
      </c>
    </row>
    <row r="312" spans="1:6" x14ac:dyDescent="0.25">
      <c r="A312" t="s">
        <v>4049</v>
      </c>
      <c r="B312" t="s">
        <v>4241</v>
      </c>
      <c r="C312" t="s">
        <v>4051</v>
      </c>
      <c r="D312" s="7">
        <v>0.8</v>
      </c>
      <c r="E312" s="2">
        <v>9941.22</v>
      </c>
      <c r="F312" s="2">
        <v>7952.98</v>
      </c>
    </row>
    <row r="313" spans="1:6" x14ac:dyDescent="0.25">
      <c r="A313" t="s">
        <v>4049</v>
      </c>
      <c r="B313" t="s">
        <v>4242</v>
      </c>
      <c r="C313" t="s">
        <v>4051</v>
      </c>
      <c r="D313" s="7">
        <v>0.8</v>
      </c>
      <c r="E313" s="2">
        <v>17069.53</v>
      </c>
      <c r="F313" s="2">
        <v>13655.62</v>
      </c>
    </row>
    <row r="314" spans="1:6" x14ac:dyDescent="0.25">
      <c r="A314" t="s">
        <v>4052</v>
      </c>
      <c r="B314" t="s">
        <v>4053</v>
      </c>
      <c r="C314" t="s">
        <v>4054</v>
      </c>
      <c r="D314" s="7">
        <v>3.3</v>
      </c>
      <c r="E314" s="2">
        <v>21608.6</v>
      </c>
      <c r="F314" s="2">
        <v>713.08</v>
      </c>
    </row>
    <row r="315" spans="1:6" x14ac:dyDescent="0.25">
      <c r="A315" t="s">
        <v>4055</v>
      </c>
      <c r="D315" s="7"/>
      <c r="E315" s="2"/>
      <c r="F315" s="2">
        <f>SUBTOTAL(109,A_1_07_25[VALOR PARCIAL])</f>
      </c>
    </row>
    <row r="317" ht="30" customHeight="1" spans="1:6" x14ac:dyDescent="0.25">
      <c r="A317" s="5" t="s">
        <v>4930</v>
      </c>
      <c r="B317" s="5"/>
      <c r="C317" s="5"/>
      <c r="D317" s="5"/>
      <c r="E317" s="5"/>
      <c r="F317" s="5"/>
    </row>
    <row r="318" ht="42" customHeight="1" spans="1:6" x14ac:dyDescent="0.25">
      <c r="A318" s="6" t="s">
        <v>4931</v>
      </c>
      <c r="B318" s="6"/>
      <c r="C318" s="6"/>
      <c r="D318" s="6"/>
      <c r="E318" s="6"/>
      <c r="F318" s="6"/>
    </row>
    <row r="319" spans="1:6" x14ac:dyDescent="0.25">
      <c r="A319" t="s">
        <v>4044</v>
      </c>
      <c r="B319" t="s">
        <v>4045</v>
      </c>
      <c r="C319" t="s">
        <v>5</v>
      </c>
      <c r="D319" t="s">
        <v>4046</v>
      </c>
      <c r="E319" t="s">
        <v>4047</v>
      </c>
      <c r="F319" t="s">
        <v>4048</v>
      </c>
    </row>
    <row r="320" spans="1:6" x14ac:dyDescent="0.25">
      <c r="A320" t="s">
        <v>4062</v>
      </c>
      <c r="B320" t="s">
        <v>4921</v>
      </c>
      <c r="C320" t="s">
        <v>63</v>
      </c>
      <c r="D320" s="7">
        <v>4</v>
      </c>
      <c r="E320" s="2">
        <v>426.33</v>
      </c>
      <c r="F320" s="2">
        <v>1705.32</v>
      </c>
    </row>
    <row r="321" spans="1:6" x14ac:dyDescent="0.25">
      <c r="A321" t="s">
        <v>4062</v>
      </c>
      <c r="B321" t="s">
        <v>4932</v>
      </c>
      <c r="C321" t="s">
        <v>63</v>
      </c>
      <c r="D321" s="7">
        <v>1</v>
      </c>
      <c r="E321" s="2">
        <v>142500</v>
      </c>
      <c r="F321" s="2">
        <v>142500</v>
      </c>
    </row>
    <row r="322" spans="1:6" x14ac:dyDescent="0.25">
      <c r="A322" t="s">
        <v>4062</v>
      </c>
      <c r="B322" t="s">
        <v>4601</v>
      </c>
      <c r="C322" t="s">
        <v>63</v>
      </c>
      <c r="D322" s="7">
        <v>4</v>
      </c>
      <c r="E322" s="2">
        <v>199</v>
      </c>
      <c r="F322" s="2">
        <v>796</v>
      </c>
    </row>
    <row r="323" spans="1:6" x14ac:dyDescent="0.25">
      <c r="A323" t="s">
        <v>4049</v>
      </c>
      <c r="B323" t="s">
        <v>4884</v>
      </c>
      <c r="C323" t="s">
        <v>4236</v>
      </c>
      <c r="D323" s="7">
        <v>0.5</v>
      </c>
      <c r="E323" s="2">
        <v>27010</v>
      </c>
      <c r="F323" s="2">
        <v>13505</v>
      </c>
    </row>
    <row r="324" spans="1:6" x14ac:dyDescent="0.25">
      <c r="A324" t="s">
        <v>4052</v>
      </c>
      <c r="B324" t="s">
        <v>4053</v>
      </c>
      <c r="C324" t="s">
        <v>4054</v>
      </c>
      <c r="D324" s="7">
        <v>5</v>
      </c>
      <c r="E324" s="2">
        <v>13505</v>
      </c>
      <c r="F324" s="2">
        <v>675.25</v>
      </c>
    </row>
    <row r="325" spans="1:6" x14ac:dyDescent="0.25">
      <c r="A325" t="s">
        <v>4055</v>
      </c>
      <c r="D325" s="7"/>
      <c r="E325" s="2"/>
      <c r="F325" s="2">
        <f>SUBTOTAL(109,A_1_07_26[VALOR PARCIAL])</f>
      </c>
    </row>
    <row r="327" ht="30" customHeight="1" spans="1:6" x14ac:dyDescent="0.25">
      <c r="A327" s="5" t="s">
        <v>4933</v>
      </c>
      <c r="B327" s="5"/>
      <c r="C327" s="5"/>
      <c r="D327" s="5"/>
      <c r="E327" s="5"/>
      <c r="F327" s="5"/>
    </row>
    <row r="328" ht="42" customHeight="1" spans="1:6" x14ac:dyDescent="0.25">
      <c r="A328" s="6" t="s">
        <v>4934</v>
      </c>
      <c r="B328" s="6"/>
      <c r="C328" s="6"/>
      <c r="D328" s="6"/>
      <c r="E328" s="6"/>
      <c r="F328" s="6"/>
    </row>
    <row r="329" spans="1:6" x14ac:dyDescent="0.25">
      <c r="A329" t="s">
        <v>4044</v>
      </c>
      <c r="B329" t="s">
        <v>4045</v>
      </c>
      <c r="C329" t="s">
        <v>5</v>
      </c>
      <c r="D329" t="s">
        <v>4046</v>
      </c>
      <c r="E329" t="s">
        <v>4047</v>
      </c>
      <c r="F329" t="s">
        <v>4048</v>
      </c>
    </row>
    <row r="330" spans="1:6" x14ac:dyDescent="0.25">
      <c r="A330" t="s">
        <v>4062</v>
      </c>
      <c r="B330" t="s">
        <v>4921</v>
      </c>
      <c r="C330" t="s">
        <v>63</v>
      </c>
      <c r="D330" s="7">
        <v>6</v>
      </c>
      <c r="E330" s="2">
        <v>426.33</v>
      </c>
      <c r="F330" s="2">
        <v>2557.98</v>
      </c>
    </row>
    <row r="331" spans="1:6" x14ac:dyDescent="0.25">
      <c r="A331" t="s">
        <v>4062</v>
      </c>
      <c r="B331" t="s">
        <v>4935</v>
      </c>
      <c r="C331" t="s">
        <v>63</v>
      </c>
      <c r="D331" s="7">
        <v>1</v>
      </c>
      <c r="E331" s="2">
        <v>195200</v>
      </c>
      <c r="F331" s="2">
        <v>195200</v>
      </c>
    </row>
    <row r="332" spans="1:6" x14ac:dyDescent="0.25">
      <c r="A332" t="s">
        <v>4062</v>
      </c>
      <c r="B332" t="s">
        <v>4601</v>
      </c>
      <c r="C332" t="s">
        <v>63</v>
      </c>
      <c r="D332" s="7">
        <v>6</v>
      </c>
      <c r="E332" s="2">
        <v>199</v>
      </c>
      <c r="F332" s="2">
        <v>1194</v>
      </c>
    </row>
    <row r="333" spans="1:6" x14ac:dyDescent="0.25">
      <c r="A333" t="s">
        <v>4049</v>
      </c>
      <c r="B333" t="s">
        <v>4884</v>
      </c>
      <c r="C333" t="s">
        <v>4236</v>
      </c>
      <c r="D333" s="7">
        <v>1</v>
      </c>
      <c r="E333" s="2">
        <v>27010</v>
      </c>
      <c r="F333" s="2">
        <v>27010</v>
      </c>
    </row>
    <row r="334" spans="1:6" x14ac:dyDescent="0.25">
      <c r="A334" t="s">
        <v>4052</v>
      </c>
      <c r="B334" t="s">
        <v>4053</v>
      </c>
      <c r="C334" t="s">
        <v>4054</v>
      </c>
      <c r="D334" s="7">
        <v>5</v>
      </c>
      <c r="E334" s="2">
        <v>27010</v>
      </c>
      <c r="F334" s="2">
        <v>1350.5</v>
      </c>
    </row>
    <row r="335" spans="1:6" x14ac:dyDescent="0.25">
      <c r="A335" t="s">
        <v>4055</v>
      </c>
      <c r="D335" s="7"/>
      <c r="E335" s="2"/>
      <c r="F335" s="2">
        <f>SUBTOTAL(109,A_1_07_27[VALOR PARCIAL])</f>
      </c>
    </row>
    <row r="337" ht="30" customHeight="1" spans="1:6" x14ac:dyDescent="0.25">
      <c r="A337" s="5" t="s">
        <v>4936</v>
      </c>
      <c r="B337" s="5"/>
      <c r="C337" s="5"/>
      <c r="D337" s="5"/>
      <c r="E337" s="5"/>
      <c r="F337" s="5"/>
    </row>
    <row r="338" ht="42" customHeight="1" spans="1:6" x14ac:dyDescent="0.25">
      <c r="A338" s="6" t="s">
        <v>4937</v>
      </c>
      <c r="B338" s="6"/>
      <c r="C338" s="6"/>
      <c r="D338" s="6"/>
      <c r="E338" s="6"/>
      <c r="F338" s="6"/>
    </row>
    <row r="339" spans="1:6" x14ac:dyDescent="0.25">
      <c r="A339" t="s">
        <v>4044</v>
      </c>
      <c r="B339" t="s">
        <v>4045</v>
      </c>
      <c r="C339" t="s">
        <v>5</v>
      </c>
      <c r="D339" t="s">
        <v>4046</v>
      </c>
      <c r="E339" t="s">
        <v>4047</v>
      </c>
      <c r="F339" t="s">
        <v>4048</v>
      </c>
    </row>
    <row r="340" spans="1:6" x14ac:dyDescent="0.25">
      <c r="A340" t="s">
        <v>4062</v>
      </c>
      <c r="B340" t="s">
        <v>4938</v>
      </c>
      <c r="C340" t="s">
        <v>63</v>
      </c>
      <c r="D340" s="7">
        <v>1</v>
      </c>
      <c r="E340" s="2">
        <v>2702</v>
      </c>
      <c r="F340" s="2">
        <v>2702</v>
      </c>
    </row>
    <row r="341" spans="1:6" x14ac:dyDescent="0.25">
      <c r="A341" t="s">
        <v>4062</v>
      </c>
      <c r="B341" t="s">
        <v>4893</v>
      </c>
      <c r="C341" t="s">
        <v>42</v>
      </c>
      <c r="D341" s="7">
        <v>5</v>
      </c>
      <c r="E341" s="2">
        <v>2293</v>
      </c>
      <c r="F341" s="2">
        <v>11465</v>
      </c>
    </row>
    <row r="342" spans="1:6" x14ac:dyDescent="0.25">
      <c r="A342" t="s">
        <v>4062</v>
      </c>
      <c r="B342" t="s">
        <v>4852</v>
      </c>
      <c r="C342" t="s">
        <v>63</v>
      </c>
      <c r="D342" s="7">
        <v>2</v>
      </c>
      <c r="E342" s="2">
        <v>1980</v>
      </c>
      <c r="F342" s="2">
        <v>3960</v>
      </c>
    </row>
    <row r="343" spans="1:6" x14ac:dyDescent="0.25">
      <c r="A343" t="s">
        <v>4062</v>
      </c>
      <c r="B343" t="s">
        <v>4939</v>
      </c>
      <c r="C343" t="s">
        <v>63</v>
      </c>
      <c r="D343" s="7">
        <v>3</v>
      </c>
      <c r="E343" s="2">
        <v>232</v>
      </c>
      <c r="F343" s="2">
        <v>696</v>
      </c>
    </row>
    <row r="344" spans="1:6" x14ac:dyDescent="0.25">
      <c r="A344" t="s">
        <v>4062</v>
      </c>
      <c r="B344" t="s">
        <v>4940</v>
      </c>
      <c r="C344" t="s">
        <v>63</v>
      </c>
      <c r="D344" s="7">
        <v>1</v>
      </c>
      <c r="E344" s="2">
        <v>15600</v>
      </c>
      <c r="F344" s="2">
        <v>15600</v>
      </c>
    </row>
    <row r="345" spans="1:6" x14ac:dyDescent="0.25">
      <c r="A345" t="s">
        <v>4062</v>
      </c>
      <c r="B345" t="s">
        <v>4854</v>
      </c>
      <c r="C345" t="s">
        <v>42</v>
      </c>
      <c r="D345" s="7">
        <v>6</v>
      </c>
      <c r="E345" s="2">
        <v>835</v>
      </c>
      <c r="F345" s="2">
        <v>5010</v>
      </c>
    </row>
    <row r="346" spans="1:6" x14ac:dyDescent="0.25">
      <c r="A346" t="s">
        <v>4062</v>
      </c>
      <c r="B346" t="s">
        <v>4835</v>
      </c>
      <c r="C346" t="s">
        <v>42</v>
      </c>
      <c r="D346" s="7">
        <v>11</v>
      </c>
      <c r="E346" s="2">
        <v>2850</v>
      </c>
      <c r="F346" s="2">
        <v>31350</v>
      </c>
    </row>
    <row r="347" spans="1:6" x14ac:dyDescent="0.25">
      <c r="A347" t="s">
        <v>4062</v>
      </c>
      <c r="B347" t="s">
        <v>4855</v>
      </c>
      <c r="C347" t="s">
        <v>63</v>
      </c>
      <c r="D347" s="7">
        <v>1</v>
      </c>
      <c r="E347" s="2">
        <v>2100</v>
      </c>
      <c r="F347" s="2">
        <v>2100</v>
      </c>
    </row>
    <row r="348" spans="1:6" x14ac:dyDescent="0.25">
      <c r="A348" t="s">
        <v>4049</v>
      </c>
      <c r="B348" t="s">
        <v>4884</v>
      </c>
      <c r="C348" t="s">
        <v>4236</v>
      </c>
      <c r="D348" s="7">
        <v>2</v>
      </c>
      <c r="E348" s="2">
        <v>27010</v>
      </c>
      <c r="F348" s="2">
        <v>54020</v>
      </c>
    </row>
    <row r="349" spans="1:6" x14ac:dyDescent="0.25">
      <c r="A349" t="s">
        <v>4052</v>
      </c>
      <c r="B349" t="s">
        <v>4053</v>
      </c>
      <c r="C349" t="s">
        <v>4054</v>
      </c>
      <c r="D349" s="7">
        <v>5</v>
      </c>
      <c r="E349" s="2">
        <v>54020</v>
      </c>
      <c r="F349" s="2">
        <v>2701</v>
      </c>
    </row>
    <row r="350" spans="1:6" x14ac:dyDescent="0.25">
      <c r="A350" t="s">
        <v>4055</v>
      </c>
      <c r="D350" s="7"/>
      <c r="E350" s="2"/>
      <c r="F350" s="2">
        <f>SUBTOTAL(109,A_1_07_28[VALOR PARCIAL])</f>
      </c>
    </row>
    <row r="352" ht="30" customHeight="1" spans="1:6" x14ac:dyDescent="0.25">
      <c r="A352" s="5" t="s">
        <v>4941</v>
      </c>
      <c r="B352" s="5"/>
      <c r="C352" s="5"/>
      <c r="D352" s="5"/>
      <c r="E352" s="5"/>
      <c r="F352" s="5"/>
    </row>
    <row r="353" ht="42" customHeight="1" spans="1:6" x14ac:dyDescent="0.25">
      <c r="A353" s="6" t="s">
        <v>4942</v>
      </c>
      <c r="B353" s="6"/>
      <c r="C353" s="6"/>
      <c r="D353" s="6"/>
      <c r="E353" s="6"/>
      <c r="F353" s="6"/>
    </row>
    <row r="354" spans="1:6" x14ac:dyDescent="0.25">
      <c r="A354" t="s">
        <v>4044</v>
      </c>
      <c r="B354" t="s">
        <v>4045</v>
      </c>
      <c r="C354" t="s">
        <v>5</v>
      </c>
      <c r="D354" t="s">
        <v>4046</v>
      </c>
      <c r="E354" t="s">
        <v>4047</v>
      </c>
      <c r="F354" t="s">
        <v>4048</v>
      </c>
    </row>
    <row r="355" spans="1:6" x14ac:dyDescent="0.25">
      <c r="A355" t="s">
        <v>4062</v>
      </c>
      <c r="B355" t="s">
        <v>4943</v>
      </c>
      <c r="C355" t="s">
        <v>63</v>
      </c>
      <c r="D355" s="7">
        <v>1</v>
      </c>
      <c r="E355" s="2">
        <v>504090</v>
      </c>
      <c r="F355" s="2">
        <v>504090</v>
      </c>
    </row>
    <row r="356" spans="1:6" x14ac:dyDescent="0.25">
      <c r="A356" t="s">
        <v>4049</v>
      </c>
      <c r="B356" t="s">
        <v>4884</v>
      </c>
      <c r="C356" t="s">
        <v>4236</v>
      </c>
      <c r="D356" s="7">
        <v>1</v>
      </c>
      <c r="E356" s="2">
        <v>27010</v>
      </c>
      <c r="F356" s="2">
        <v>27010</v>
      </c>
    </row>
    <row r="357" spans="1:6" x14ac:dyDescent="0.25">
      <c r="A357" t="s">
        <v>4052</v>
      </c>
      <c r="B357" t="s">
        <v>4053</v>
      </c>
      <c r="C357" t="s">
        <v>4054</v>
      </c>
      <c r="D357" s="7">
        <v>5</v>
      </c>
      <c r="E357" s="2">
        <v>27010</v>
      </c>
      <c r="F357" s="2">
        <v>1350.5</v>
      </c>
    </row>
    <row r="358" spans="1:6" x14ac:dyDescent="0.25">
      <c r="A358" t="s">
        <v>4055</v>
      </c>
      <c r="D358" s="7"/>
      <c r="E358" s="2"/>
      <c r="F358" s="2">
        <f>SUBTOTAL(109,A_1_07_29[VALOR PARCIAL])</f>
      </c>
    </row>
    <row r="360" ht="30" customHeight="1" spans="1:6" x14ac:dyDescent="0.25">
      <c r="A360" s="5" t="s">
        <v>4944</v>
      </c>
      <c r="B360" s="5"/>
      <c r="C360" s="5"/>
      <c r="D360" s="5"/>
      <c r="E360" s="5"/>
      <c r="F360" s="5"/>
    </row>
    <row r="361" ht="42" customHeight="1" spans="1:6" x14ac:dyDescent="0.25">
      <c r="A361" s="6" t="s">
        <v>4945</v>
      </c>
      <c r="B361" s="6"/>
      <c r="C361" s="6"/>
      <c r="D361" s="6"/>
      <c r="E361" s="6"/>
      <c r="F361" s="6"/>
    </row>
    <row r="362" spans="1:6" x14ac:dyDescent="0.25">
      <c r="A362" t="s">
        <v>4044</v>
      </c>
      <c r="B362" t="s">
        <v>4045</v>
      </c>
      <c r="C362" t="s">
        <v>5</v>
      </c>
      <c r="D362" t="s">
        <v>4046</v>
      </c>
      <c r="E362" t="s">
        <v>4047</v>
      </c>
      <c r="F362" t="s">
        <v>4048</v>
      </c>
    </row>
    <row r="363" spans="1:6" x14ac:dyDescent="0.25">
      <c r="A363" t="s">
        <v>4062</v>
      </c>
      <c r="B363" t="s">
        <v>4946</v>
      </c>
      <c r="C363" t="s">
        <v>63</v>
      </c>
      <c r="D363" s="7">
        <v>1</v>
      </c>
      <c r="E363" s="2">
        <v>279600</v>
      </c>
      <c r="F363" s="2">
        <v>279600</v>
      </c>
    </row>
    <row r="364" spans="1:6" x14ac:dyDescent="0.25">
      <c r="A364" t="s">
        <v>4049</v>
      </c>
      <c r="B364" t="s">
        <v>4884</v>
      </c>
      <c r="C364" t="s">
        <v>4236</v>
      </c>
      <c r="D364" s="7">
        <v>0.75</v>
      </c>
      <c r="E364" s="2">
        <v>27010</v>
      </c>
      <c r="F364" s="2">
        <v>20257.5</v>
      </c>
    </row>
    <row r="365" spans="1:6" x14ac:dyDescent="0.25">
      <c r="A365" t="s">
        <v>4052</v>
      </c>
      <c r="B365" t="s">
        <v>4053</v>
      </c>
      <c r="C365" t="s">
        <v>4054</v>
      </c>
      <c r="D365" s="7">
        <v>5</v>
      </c>
      <c r="E365" s="2">
        <v>20257.5</v>
      </c>
      <c r="F365" s="2">
        <v>1012.88</v>
      </c>
    </row>
    <row r="366" spans="1:6" x14ac:dyDescent="0.25">
      <c r="A366" t="s">
        <v>4055</v>
      </c>
      <c r="D366" s="7"/>
      <c r="E366" s="2"/>
      <c r="F366" s="2">
        <f>SUBTOTAL(109,A_1_07_30[VALOR PARCIAL])</f>
      </c>
    </row>
    <row r="368" ht="30" customHeight="1" spans="1:6" x14ac:dyDescent="0.25">
      <c r="A368" s="5" t="s">
        <v>4947</v>
      </c>
      <c r="B368" s="5"/>
      <c r="C368" s="5"/>
      <c r="D368" s="5"/>
      <c r="E368" s="5"/>
      <c r="F368" s="5"/>
    </row>
    <row r="369" ht="42" customHeight="1" spans="1:6" x14ac:dyDescent="0.25">
      <c r="A369" s="6" t="s">
        <v>4948</v>
      </c>
      <c r="B369" s="6"/>
      <c r="C369" s="6"/>
      <c r="D369" s="6"/>
      <c r="E369" s="6"/>
      <c r="F369" s="6"/>
    </row>
    <row r="370" spans="1:6" x14ac:dyDescent="0.25">
      <c r="A370" t="s">
        <v>4044</v>
      </c>
      <c r="B370" t="s">
        <v>4045</v>
      </c>
      <c r="C370" t="s">
        <v>5</v>
      </c>
      <c r="D370" t="s">
        <v>4046</v>
      </c>
      <c r="E370" t="s">
        <v>4047</v>
      </c>
      <c r="F370" t="s">
        <v>4048</v>
      </c>
    </row>
    <row r="371" spans="1:6" x14ac:dyDescent="0.25">
      <c r="A371" t="s">
        <v>4062</v>
      </c>
      <c r="B371" t="s">
        <v>4949</v>
      </c>
      <c r="C371" t="s">
        <v>3533</v>
      </c>
      <c r="D371" s="7">
        <v>1</v>
      </c>
      <c r="E371" s="2">
        <v>13156</v>
      </c>
      <c r="F371" s="2">
        <v>13156</v>
      </c>
    </row>
    <row r="372" spans="1:6" x14ac:dyDescent="0.25">
      <c r="A372" t="s">
        <v>4062</v>
      </c>
      <c r="B372" t="s">
        <v>4950</v>
      </c>
      <c r="C372" t="s">
        <v>3533</v>
      </c>
      <c r="D372" s="7">
        <v>1</v>
      </c>
      <c r="E372" s="2">
        <v>558967</v>
      </c>
      <c r="F372" s="2">
        <v>558967</v>
      </c>
    </row>
    <row r="373" spans="1:6" x14ac:dyDescent="0.25">
      <c r="A373" t="s">
        <v>4062</v>
      </c>
      <c r="B373" t="s">
        <v>4951</v>
      </c>
      <c r="C373" t="s">
        <v>63</v>
      </c>
      <c r="D373" s="7">
        <v>1</v>
      </c>
      <c r="E373" s="2">
        <v>90300</v>
      </c>
      <c r="F373" s="2">
        <v>90300</v>
      </c>
    </row>
    <row r="374" spans="1:6" x14ac:dyDescent="0.25">
      <c r="A374" t="s">
        <v>4062</v>
      </c>
      <c r="B374" t="s">
        <v>4835</v>
      </c>
      <c r="C374" t="s">
        <v>42</v>
      </c>
      <c r="D374" s="7">
        <v>4</v>
      </c>
      <c r="E374" s="2">
        <v>2850</v>
      </c>
      <c r="F374" s="2">
        <v>11400</v>
      </c>
    </row>
    <row r="375" spans="1:6" x14ac:dyDescent="0.25">
      <c r="A375" t="s">
        <v>4049</v>
      </c>
      <c r="B375" t="s">
        <v>4952</v>
      </c>
      <c r="C375" t="s">
        <v>4236</v>
      </c>
      <c r="D375" s="7">
        <v>1</v>
      </c>
      <c r="E375" s="2">
        <v>27410.39</v>
      </c>
      <c r="F375" s="2">
        <v>27410.39</v>
      </c>
    </row>
    <row r="376" spans="1:6" x14ac:dyDescent="0.25">
      <c r="A376" t="s">
        <v>4052</v>
      </c>
      <c r="B376" t="s">
        <v>4053</v>
      </c>
      <c r="C376" t="s">
        <v>4054</v>
      </c>
      <c r="D376" s="7">
        <v>3.3</v>
      </c>
      <c r="E376" s="2">
        <v>27410.39</v>
      </c>
      <c r="F376" s="2">
        <v>904.54</v>
      </c>
    </row>
    <row r="377" spans="1:6" x14ac:dyDescent="0.25">
      <c r="A377" t="s">
        <v>4055</v>
      </c>
      <c r="D377" s="7"/>
      <c r="E377" s="2"/>
      <c r="F377" s="2">
        <f>SUBTOTAL(109,A_1_07_31[VALOR PARCIAL])</f>
      </c>
    </row>
    <row r="379" ht="30" customHeight="1" spans="1:6" x14ac:dyDescent="0.25">
      <c r="A379" s="5" t="s">
        <v>4953</v>
      </c>
      <c r="B379" s="5"/>
      <c r="C379" s="5"/>
      <c r="D379" s="5"/>
      <c r="E379" s="5"/>
      <c r="F379" s="5"/>
    </row>
    <row r="380" ht="42" customHeight="1" spans="1:6" x14ac:dyDescent="0.25">
      <c r="A380" s="6" t="s">
        <v>4954</v>
      </c>
      <c r="B380" s="6"/>
      <c r="C380" s="6"/>
      <c r="D380" s="6"/>
      <c r="E380" s="6"/>
      <c r="F380" s="6"/>
    </row>
    <row r="381" spans="1:6" x14ac:dyDescent="0.25">
      <c r="A381" t="s">
        <v>4044</v>
      </c>
      <c r="B381" t="s">
        <v>4045</v>
      </c>
      <c r="C381" t="s">
        <v>5</v>
      </c>
      <c r="D381" t="s">
        <v>4046</v>
      </c>
      <c r="E381" t="s">
        <v>4047</v>
      </c>
      <c r="F381" t="s">
        <v>4048</v>
      </c>
    </row>
    <row r="382" spans="1:6" x14ac:dyDescent="0.25">
      <c r="A382" t="s">
        <v>4062</v>
      </c>
      <c r="B382" t="s">
        <v>4949</v>
      </c>
      <c r="C382" t="s">
        <v>3533</v>
      </c>
      <c r="D382" s="7">
        <v>1</v>
      </c>
      <c r="E382" s="2">
        <v>13156</v>
      </c>
      <c r="F382" s="2">
        <v>13156</v>
      </c>
    </row>
    <row r="383" spans="1:6" x14ac:dyDescent="0.25">
      <c r="A383" t="s">
        <v>4062</v>
      </c>
      <c r="B383" t="s">
        <v>4955</v>
      </c>
      <c r="C383" t="s">
        <v>3533</v>
      </c>
      <c r="D383" s="7">
        <v>1</v>
      </c>
      <c r="E383" s="2">
        <v>719564</v>
      </c>
      <c r="F383" s="2">
        <v>719564</v>
      </c>
    </row>
    <row r="384" spans="1:6" x14ac:dyDescent="0.25">
      <c r="A384" t="s">
        <v>4062</v>
      </c>
      <c r="B384" t="s">
        <v>4951</v>
      </c>
      <c r="C384" t="s">
        <v>63</v>
      </c>
      <c r="D384" s="7">
        <v>1</v>
      </c>
      <c r="E384" s="2">
        <v>90300</v>
      </c>
      <c r="F384" s="2">
        <v>90300</v>
      </c>
    </row>
    <row r="385" spans="1:6" x14ac:dyDescent="0.25">
      <c r="A385" t="s">
        <v>4062</v>
      </c>
      <c r="B385" t="s">
        <v>4835</v>
      </c>
      <c r="C385" t="s">
        <v>42</v>
      </c>
      <c r="D385" s="7">
        <v>4</v>
      </c>
      <c r="E385" s="2">
        <v>2850</v>
      </c>
      <c r="F385" s="2">
        <v>11400</v>
      </c>
    </row>
    <row r="386" spans="1:6" x14ac:dyDescent="0.25">
      <c r="A386" t="s">
        <v>4049</v>
      </c>
      <c r="B386" t="s">
        <v>4952</v>
      </c>
      <c r="C386" t="s">
        <v>4236</v>
      </c>
      <c r="D386" s="7">
        <v>1</v>
      </c>
      <c r="E386" s="2">
        <v>27410.39</v>
      </c>
      <c r="F386" s="2">
        <v>27410.39</v>
      </c>
    </row>
    <row r="387" spans="1:6" x14ac:dyDescent="0.25">
      <c r="A387" t="s">
        <v>4052</v>
      </c>
      <c r="B387" t="s">
        <v>4053</v>
      </c>
      <c r="C387" t="s">
        <v>4054</v>
      </c>
      <c r="D387" s="7">
        <v>3.3</v>
      </c>
      <c r="E387" s="2">
        <v>27410.39</v>
      </c>
      <c r="F387" s="2">
        <v>904.54</v>
      </c>
    </row>
    <row r="388" spans="1:6" x14ac:dyDescent="0.25">
      <c r="A388" t="s">
        <v>4055</v>
      </c>
      <c r="D388" s="7"/>
      <c r="E388" s="2"/>
      <c r="F388" s="2">
        <f>SUBTOTAL(109,A_1_07_32[VALOR PARCIAL])</f>
      </c>
    </row>
    <row r="390" ht="30" customHeight="1" spans="1:6" x14ac:dyDescent="0.25">
      <c r="A390" s="5" t="s">
        <v>4956</v>
      </c>
      <c r="B390" s="5"/>
      <c r="C390" s="5"/>
      <c r="D390" s="5"/>
      <c r="E390" s="5"/>
      <c r="F390" s="5"/>
    </row>
    <row r="391" ht="42" customHeight="1" spans="1:6" x14ac:dyDescent="0.25">
      <c r="A391" s="6" t="s">
        <v>4957</v>
      </c>
      <c r="B391" s="6"/>
      <c r="C391" s="6"/>
      <c r="D391" s="6"/>
      <c r="E391" s="6"/>
      <c r="F391" s="6"/>
    </row>
    <row r="392" spans="1:6" x14ac:dyDescent="0.25">
      <c r="A392" t="s">
        <v>4044</v>
      </c>
      <c r="B392" t="s">
        <v>4045</v>
      </c>
      <c r="C392" t="s">
        <v>5</v>
      </c>
      <c r="D392" t="s">
        <v>4046</v>
      </c>
      <c r="E392" t="s">
        <v>4047</v>
      </c>
      <c r="F392" t="s">
        <v>4048</v>
      </c>
    </row>
    <row r="393" spans="1:6" x14ac:dyDescent="0.25">
      <c r="A393" t="s">
        <v>4062</v>
      </c>
      <c r="B393" t="s">
        <v>4949</v>
      </c>
      <c r="C393" t="s">
        <v>3533</v>
      </c>
      <c r="D393" s="7">
        <v>1</v>
      </c>
      <c r="E393" s="2">
        <v>13156</v>
      </c>
      <c r="F393" s="2">
        <v>13156</v>
      </c>
    </row>
    <row r="394" spans="1:6" x14ac:dyDescent="0.25">
      <c r="A394" t="s">
        <v>4062</v>
      </c>
      <c r="B394" t="s">
        <v>4958</v>
      </c>
      <c r="C394" t="s">
        <v>3533</v>
      </c>
      <c r="D394" s="7">
        <v>1</v>
      </c>
      <c r="E394" s="2">
        <v>442300</v>
      </c>
      <c r="F394" s="2">
        <v>442300</v>
      </c>
    </row>
    <row r="395" spans="1:6" x14ac:dyDescent="0.25">
      <c r="A395" t="s">
        <v>4062</v>
      </c>
      <c r="B395" t="s">
        <v>4951</v>
      </c>
      <c r="C395" t="s">
        <v>63</v>
      </c>
      <c r="D395" s="7">
        <v>1</v>
      </c>
      <c r="E395" s="2">
        <v>90300</v>
      </c>
      <c r="F395" s="2">
        <v>90300</v>
      </c>
    </row>
    <row r="396" spans="1:6" x14ac:dyDescent="0.25">
      <c r="A396" t="s">
        <v>4062</v>
      </c>
      <c r="B396" t="s">
        <v>4835</v>
      </c>
      <c r="C396" t="s">
        <v>42</v>
      </c>
      <c r="D396" s="7">
        <v>4</v>
      </c>
      <c r="E396" s="2">
        <v>2850</v>
      </c>
      <c r="F396" s="2">
        <v>11400</v>
      </c>
    </row>
    <row r="397" spans="1:6" x14ac:dyDescent="0.25">
      <c r="A397" t="s">
        <v>4049</v>
      </c>
      <c r="B397" t="s">
        <v>4952</v>
      </c>
      <c r="C397" t="s">
        <v>4236</v>
      </c>
      <c r="D397" s="7">
        <v>1</v>
      </c>
      <c r="E397" s="2">
        <v>27410.39</v>
      </c>
      <c r="F397" s="2">
        <v>27410.39</v>
      </c>
    </row>
    <row r="398" spans="1:6" x14ac:dyDescent="0.25">
      <c r="A398" t="s">
        <v>4052</v>
      </c>
      <c r="B398" t="s">
        <v>4053</v>
      </c>
      <c r="C398" t="s">
        <v>4054</v>
      </c>
      <c r="D398" s="7">
        <v>3.3</v>
      </c>
      <c r="E398" s="2">
        <v>27410.39</v>
      </c>
      <c r="F398" s="2">
        <v>904.54</v>
      </c>
    </row>
    <row r="399" spans="1:6" x14ac:dyDescent="0.25">
      <c r="A399" t="s">
        <v>4055</v>
      </c>
      <c r="D399" s="7"/>
      <c r="E399" s="2"/>
      <c r="F399" s="2">
        <f>SUBTOTAL(109,A_1_07_33[VALOR PARCIAL])</f>
      </c>
    </row>
    <row r="401" ht="30" customHeight="1" spans="1:6" x14ac:dyDescent="0.25">
      <c r="A401" s="5" t="s">
        <v>4959</v>
      </c>
      <c r="B401" s="5"/>
      <c r="C401" s="5"/>
      <c r="D401" s="5"/>
      <c r="E401" s="5"/>
      <c r="F401" s="5"/>
    </row>
    <row r="402" ht="42" customHeight="1" spans="1:6" x14ac:dyDescent="0.25">
      <c r="A402" s="6" t="s">
        <v>4960</v>
      </c>
      <c r="B402" s="6"/>
      <c r="C402" s="6"/>
      <c r="D402" s="6"/>
      <c r="E402" s="6"/>
      <c r="F402" s="6"/>
    </row>
    <row r="403" spans="1:6" x14ac:dyDescent="0.25">
      <c r="A403" t="s">
        <v>4044</v>
      </c>
      <c r="B403" t="s">
        <v>4045</v>
      </c>
      <c r="C403" t="s">
        <v>5</v>
      </c>
      <c r="D403" t="s">
        <v>4046</v>
      </c>
      <c r="E403" t="s">
        <v>4047</v>
      </c>
      <c r="F403" t="s">
        <v>4048</v>
      </c>
    </row>
    <row r="404" spans="1:6" x14ac:dyDescent="0.25">
      <c r="A404" t="s">
        <v>4062</v>
      </c>
      <c r="B404" t="s">
        <v>4961</v>
      </c>
      <c r="C404" t="s">
        <v>63</v>
      </c>
      <c r="D404" s="7">
        <v>1</v>
      </c>
      <c r="E404" s="2">
        <v>301100</v>
      </c>
      <c r="F404" s="2">
        <v>301100</v>
      </c>
    </row>
    <row r="405" spans="1:6" x14ac:dyDescent="0.25">
      <c r="A405" t="s">
        <v>4049</v>
      </c>
      <c r="B405" t="s">
        <v>4884</v>
      </c>
      <c r="C405" t="s">
        <v>4236</v>
      </c>
      <c r="D405" s="7">
        <v>0.75</v>
      </c>
      <c r="E405" s="2">
        <v>27010</v>
      </c>
      <c r="F405" s="2">
        <v>20257.5</v>
      </c>
    </row>
    <row r="406" spans="1:6" x14ac:dyDescent="0.25">
      <c r="A406" t="s">
        <v>4052</v>
      </c>
      <c r="B406" t="s">
        <v>4053</v>
      </c>
      <c r="C406" t="s">
        <v>4054</v>
      </c>
      <c r="D406" s="7">
        <v>3.3</v>
      </c>
      <c r="E406" s="2">
        <v>20257.5</v>
      </c>
      <c r="F406" s="2">
        <v>668.5</v>
      </c>
    </row>
    <row r="407" spans="1:6" x14ac:dyDescent="0.25">
      <c r="A407" t="s">
        <v>4055</v>
      </c>
      <c r="D407" s="7"/>
      <c r="E407" s="2"/>
      <c r="F407" s="2">
        <f>SUBTOTAL(109,A_1_07_34[VALOR PARCIAL])</f>
      </c>
    </row>
    <row r="409" ht="30" customHeight="1" spans="1:6" x14ac:dyDescent="0.25">
      <c r="A409" s="5" t="s">
        <v>4962</v>
      </c>
      <c r="B409" s="5"/>
      <c r="C409" s="5"/>
      <c r="D409" s="5"/>
      <c r="E409" s="5"/>
      <c r="F409" s="5"/>
    </row>
    <row r="410" ht="42" customHeight="1" spans="1:6" x14ac:dyDescent="0.25">
      <c r="A410" s="6" t="s">
        <v>4963</v>
      </c>
      <c r="B410" s="6"/>
      <c r="C410" s="6"/>
      <c r="D410" s="6"/>
      <c r="E410" s="6"/>
      <c r="F410" s="6"/>
    </row>
    <row r="411" spans="1:6" x14ac:dyDescent="0.25">
      <c r="A411" t="s">
        <v>4044</v>
      </c>
      <c r="B411" t="s">
        <v>4045</v>
      </c>
      <c r="C411" t="s">
        <v>5</v>
      </c>
      <c r="D411" t="s">
        <v>4046</v>
      </c>
      <c r="E411" t="s">
        <v>4047</v>
      </c>
      <c r="F411" t="s">
        <v>4048</v>
      </c>
    </row>
    <row r="412" spans="1:6" x14ac:dyDescent="0.25">
      <c r="A412" t="s">
        <v>4062</v>
      </c>
      <c r="B412" t="s">
        <v>4964</v>
      </c>
      <c r="C412" t="s">
        <v>63</v>
      </c>
      <c r="D412" s="7">
        <v>1</v>
      </c>
      <c r="E412" s="2">
        <v>431600</v>
      </c>
      <c r="F412" s="2">
        <v>431600</v>
      </c>
    </row>
    <row r="413" spans="1:6" x14ac:dyDescent="0.25">
      <c r="A413" t="s">
        <v>4049</v>
      </c>
      <c r="B413" t="s">
        <v>4884</v>
      </c>
      <c r="C413" t="s">
        <v>4236</v>
      </c>
      <c r="D413" s="7">
        <v>1</v>
      </c>
      <c r="E413" s="2">
        <v>27010</v>
      </c>
      <c r="F413" s="2">
        <v>27010</v>
      </c>
    </row>
    <row r="414" spans="1:6" x14ac:dyDescent="0.25">
      <c r="A414" t="s">
        <v>4052</v>
      </c>
      <c r="B414" t="s">
        <v>4053</v>
      </c>
      <c r="C414" t="s">
        <v>4054</v>
      </c>
      <c r="D414" s="7">
        <v>5</v>
      </c>
      <c r="E414" s="2">
        <v>27010</v>
      </c>
      <c r="F414" s="2">
        <v>1350.5</v>
      </c>
    </row>
    <row r="415" spans="1:6" x14ac:dyDescent="0.25">
      <c r="A415" t="s">
        <v>4055</v>
      </c>
      <c r="D415" s="7"/>
      <c r="E415" s="2"/>
      <c r="F415" s="2">
        <f>SUBTOTAL(109,A_1_07_35[VALOR PARCIAL])</f>
      </c>
    </row>
    <row r="417" ht="30" customHeight="1" spans="1:6" x14ac:dyDescent="0.25">
      <c r="A417" s="5" t="s">
        <v>4965</v>
      </c>
      <c r="B417" s="5"/>
      <c r="C417" s="5"/>
      <c r="D417" s="5"/>
      <c r="E417" s="5"/>
      <c r="F417" s="5"/>
    </row>
    <row r="418" ht="42" customHeight="1" spans="1:6" x14ac:dyDescent="0.25">
      <c r="A418" s="6" t="s">
        <v>4966</v>
      </c>
      <c r="B418" s="6"/>
      <c r="C418" s="6"/>
      <c r="D418" s="6"/>
      <c r="E418" s="6"/>
      <c r="F418" s="6"/>
    </row>
    <row r="419" spans="1:6" x14ac:dyDescent="0.25">
      <c r="A419" t="s">
        <v>4044</v>
      </c>
      <c r="B419" t="s">
        <v>4045</v>
      </c>
      <c r="C419" t="s">
        <v>5</v>
      </c>
      <c r="D419" t="s">
        <v>4046</v>
      </c>
      <c r="E419" t="s">
        <v>4047</v>
      </c>
      <c r="F419" t="s">
        <v>4048</v>
      </c>
    </row>
    <row r="420" spans="1:6" x14ac:dyDescent="0.25">
      <c r="A420" t="s">
        <v>4062</v>
      </c>
      <c r="B420" t="s">
        <v>4951</v>
      </c>
      <c r="C420" t="s">
        <v>63</v>
      </c>
      <c r="D420" s="7">
        <v>1</v>
      </c>
      <c r="E420" s="2">
        <v>90300</v>
      </c>
      <c r="F420" s="2">
        <v>90300</v>
      </c>
    </row>
    <row r="421" spans="1:6" x14ac:dyDescent="0.25">
      <c r="A421" t="s">
        <v>4062</v>
      </c>
      <c r="B421" t="s">
        <v>4967</v>
      </c>
      <c r="C421" t="s">
        <v>63</v>
      </c>
      <c r="D421" s="7">
        <v>1</v>
      </c>
      <c r="E421" s="2">
        <v>332000</v>
      </c>
      <c r="F421" s="2">
        <v>332000</v>
      </c>
    </row>
    <row r="422" spans="1:6" x14ac:dyDescent="0.25">
      <c r="A422" t="s">
        <v>4062</v>
      </c>
      <c r="B422" t="s">
        <v>4835</v>
      </c>
      <c r="C422" t="s">
        <v>42</v>
      </c>
      <c r="D422" s="7">
        <v>4</v>
      </c>
      <c r="E422" s="2">
        <v>2850</v>
      </c>
      <c r="F422" s="2">
        <v>11400</v>
      </c>
    </row>
    <row r="423" spans="1:6" x14ac:dyDescent="0.25">
      <c r="A423" t="s">
        <v>4049</v>
      </c>
      <c r="B423" t="s">
        <v>4952</v>
      </c>
      <c r="C423" t="s">
        <v>4236</v>
      </c>
      <c r="D423" s="7">
        <v>1</v>
      </c>
      <c r="E423" s="2">
        <v>27410.39</v>
      </c>
      <c r="F423" s="2">
        <v>27410.39</v>
      </c>
    </row>
    <row r="424" spans="1:6" x14ac:dyDescent="0.25">
      <c r="A424" t="s">
        <v>4052</v>
      </c>
      <c r="B424" t="s">
        <v>4053</v>
      </c>
      <c r="C424" t="s">
        <v>4054</v>
      </c>
      <c r="D424" s="7">
        <v>3.3</v>
      </c>
      <c r="E424" s="2">
        <v>27410.39</v>
      </c>
      <c r="F424" s="2">
        <v>904.54</v>
      </c>
    </row>
    <row r="425" spans="1:6" x14ac:dyDescent="0.25">
      <c r="A425" t="s">
        <v>4055</v>
      </c>
      <c r="D425" s="7"/>
      <c r="E425" s="2"/>
      <c r="F425" s="2">
        <f>SUBTOTAL(109,A_1_07_36[VALOR PARCIAL])</f>
      </c>
    </row>
    <row r="427" ht="30" customHeight="1" spans="1:6" x14ac:dyDescent="0.25">
      <c r="A427" s="5" t="s">
        <v>4968</v>
      </c>
      <c r="B427" s="5"/>
      <c r="C427" s="5"/>
      <c r="D427" s="5"/>
      <c r="E427" s="5"/>
      <c r="F427" s="5"/>
    </row>
    <row r="428" ht="42" customHeight="1" spans="1:6" x14ac:dyDescent="0.25">
      <c r="A428" s="6" t="s">
        <v>4969</v>
      </c>
      <c r="B428" s="6"/>
      <c r="C428" s="6"/>
      <c r="D428" s="6"/>
      <c r="E428" s="6"/>
      <c r="F428" s="6"/>
    </row>
    <row r="429" spans="1:6" x14ac:dyDescent="0.25">
      <c r="A429" t="s">
        <v>4044</v>
      </c>
      <c r="B429" t="s">
        <v>4045</v>
      </c>
      <c r="C429" t="s">
        <v>5</v>
      </c>
      <c r="D429" t="s">
        <v>4046</v>
      </c>
      <c r="E429" t="s">
        <v>4047</v>
      </c>
      <c r="F429" t="s">
        <v>4048</v>
      </c>
    </row>
    <row r="430" spans="1:6" x14ac:dyDescent="0.25">
      <c r="A430" t="s">
        <v>4062</v>
      </c>
      <c r="B430" t="s">
        <v>4951</v>
      </c>
      <c r="C430" t="s">
        <v>63</v>
      </c>
      <c r="D430" s="7">
        <v>1</v>
      </c>
      <c r="E430" s="2">
        <v>90300</v>
      </c>
      <c r="F430" s="2">
        <v>90300</v>
      </c>
    </row>
    <row r="431" spans="1:6" x14ac:dyDescent="0.25">
      <c r="A431" t="s">
        <v>4062</v>
      </c>
      <c r="B431" t="s">
        <v>4970</v>
      </c>
      <c r="C431" t="s">
        <v>63</v>
      </c>
      <c r="D431" s="7">
        <v>1</v>
      </c>
      <c r="E431" s="2">
        <v>399400</v>
      </c>
      <c r="F431" s="2">
        <v>399400</v>
      </c>
    </row>
    <row r="432" spans="1:6" x14ac:dyDescent="0.25">
      <c r="A432" t="s">
        <v>4062</v>
      </c>
      <c r="B432" t="s">
        <v>4835</v>
      </c>
      <c r="C432" t="s">
        <v>42</v>
      </c>
      <c r="D432" s="7">
        <v>4</v>
      </c>
      <c r="E432" s="2">
        <v>2850</v>
      </c>
      <c r="F432" s="2">
        <v>11400</v>
      </c>
    </row>
    <row r="433" spans="1:6" x14ac:dyDescent="0.25">
      <c r="A433" t="s">
        <v>4049</v>
      </c>
      <c r="B433" t="s">
        <v>4952</v>
      </c>
      <c r="C433" t="s">
        <v>4236</v>
      </c>
      <c r="D433" s="7">
        <v>1</v>
      </c>
      <c r="E433" s="2">
        <v>27410.39</v>
      </c>
      <c r="F433" s="2">
        <v>27410.39</v>
      </c>
    </row>
    <row r="434" spans="1:6" x14ac:dyDescent="0.25">
      <c r="A434" t="s">
        <v>4052</v>
      </c>
      <c r="B434" t="s">
        <v>4053</v>
      </c>
      <c r="C434" t="s">
        <v>4054</v>
      </c>
      <c r="D434" s="7">
        <v>3.3</v>
      </c>
      <c r="E434" s="2">
        <v>27410.39</v>
      </c>
      <c r="F434" s="2">
        <v>904.54</v>
      </c>
    </row>
    <row r="435" spans="1:6" x14ac:dyDescent="0.25">
      <c r="A435" t="s">
        <v>4055</v>
      </c>
      <c r="D435" s="7"/>
      <c r="E435" s="2"/>
      <c r="F435" s="2">
        <f>SUBTOTAL(109,A_1_07_37[VALOR PARCIAL])</f>
      </c>
    </row>
    <row r="437" ht="30" customHeight="1" spans="1:6" x14ac:dyDescent="0.25">
      <c r="A437" s="5" t="s">
        <v>4971</v>
      </c>
      <c r="B437" s="5"/>
      <c r="C437" s="5"/>
      <c r="D437" s="5"/>
      <c r="E437" s="5"/>
      <c r="F437" s="5"/>
    </row>
    <row r="438" ht="42" customHeight="1" spans="1:6" x14ac:dyDescent="0.25">
      <c r="A438" s="6" t="s">
        <v>4972</v>
      </c>
      <c r="B438" s="6"/>
      <c r="C438" s="6"/>
      <c r="D438" s="6"/>
      <c r="E438" s="6"/>
      <c r="F438" s="6"/>
    </row>
    <row r="439" spans="1:6" x14ac:dyDescent="0.25">
      <c r="A439" t="s">
        <v>4044</v>
      </c>
      <c r="B439" t="s">
        <v>4045</v>
      </c>
      <c r="C439" t="s">
        <v>5</v>
      </c>
      <c r="D439" t="s">
        <v>4046</v>
      </c>
      <c r="E439" t="s">
        <v>4047</v>
      </c>
      <c r="F439" t="s">
        <v>4048</v>
      </c>
    </row>
    <row r="440" spans="1:6" x14ac:dyDescent="0.25">
      <c r="A440" t="s">
        <v>4062</v>
      </c>
      <c r="B440" t="s">
        <v>4951</v>
      </c>
      <c r="C440" t="s">
        <v>63</v>
      </c>
      <c r="D440" s="7">
        <v>1</v>
      </c>
      <c r="E440" s="2">
        <v>90300</v>
      </c>
      <c r="F440" s="2">
        <v>90300</v>
      </c>
    </row>
    <row r="441" spans="1:6" x14ac:dyDescent="0.25">
      <c r="A441" t="s">
        <v>4062</v>
      </c>
      <c r="B441" t="s">
        <v>4973</v>
      </c>
      <c r="C441" t="s">
        <v>63</v>
      </c>
      <c r="D441" s="7">
        <v>1</v>
      </c>
      <c r="E441" s="2">
        <v>409200</v>
      </c>
      <c r="F441" s="2">
        <v>409200</v>
      </c>
    </row>
    <row r="442" spans="1:6" x14ac:dyDescent="0.25">
      <c r="A442" t="s">
        <v>4062</v>
      </c>
      <c r="B442" t="s">
        <v>4835</v>
      </c>
      <c r="C442" t="s">
        <v>42</v>
      </c>
      <c r="D442" s="7">
        <v>4</v>
      </c>
      <c r="E442" s="2">
        <v>2850</v>
      </c>
      <c r="F442" s="2">
        <v>11400</v>
      </c>
    </row>
    <row r="443" spans="1:6" x14ac:dyDescent="0.25">
      <c r="A443" t="s">
        <v>4049</v>
      </c>
      <c r="B443" t="s">
        <v>4952</v>
      </c>
      <c r="C443" t="s">
        <v>4236</v>
      </c>
      <c r="D443" s="7">
        <v>1</v>
      </c>
      <c r="E443" s="2">
        <v>27410.39</v>
      </c>
      <c r="F443" s="2">
        <v>27410.39</v>
      </c>
    </row>
    <row r="444" spans="1:6" x14ac:dyDescent="0.25">
      <c r="A444" t="s">
        <v>4052</v>
      </c>
      <c r="B444" t="s">
        <v>4053</v>
      </c>
      <c r="C444" t="s">
        <v>4054</v>
      </c>
      <c r="D444" s="7">
        <v>3.3</v>
      </c>
      <c r="E444" s="2">
        <v>27410.39</v>
      </c>
      <c r="F444" s="2">
        <v>904.54</v>
      </c>
    </row>
    <row r="445" spans="1:6" x14ac:dyDescent="0.25">
      <c r="A445" t="s">
        <v>4055</v>
      </c>
      <c r="D445" s="7"/>
      <c r="E445" s="2"/>
      <c r="F445" s="2">
        <f>SUBTOTAL(109,A_1_07_38[VALOR PARCIAL])</f>
      </c>
    </row>
    <row r="447" ht="30" customHeight="1" spans="1:6" x14ac:dyDescent="0.25">
      <c r="A447" s="5" t="s">
        <v>4974</v>
      </c>
      <c r="B447" s="5"/>
      <c r="C447" s="5"/>
      <c r="D447" s="5"/>
      <c r="E447" s="5"/>
      <c r="F447" s="5"/>
    </row>
    <row r="448" ht="42" customHeight="1" spans="1:6" x14ac:dyDescent="0.25">
      <c r="A448" s="6" t="s">
        <v>4975</v>
      </c>
      <c r="B448" s="6"/>
      <c r="C448" s="6"/>
      <c r="D448" s="6"/>
      <c r="E448" s="6"/>
      <c r="F448" s="6"/>
    </row>
    <row r="449" spans="1:6" x14ac:dyDescent="0.25">
      <c r="A449" t="s">
        <v>4044</v>
      </c>
      <c r="B449" t="s">
        <v>4045</v>
      </c>
      <c r="C449" t="s">
        <v>5</v>
      </c>
      <c r="D449" t="s">
        <v>4046</v>
      </c>
      <c r="E449" t="s">
        <v>4047</v>
      </c>
      <c r="F449" t="s">
        <v>4048</v>
      </c>
    </row>
    <row r="450" spans="1:6" x14ac:dyDescent="0.25">
      <c r="A450" t="s">
        <v>4062</v>
      </c>
      <c r="B450" t="s">
        <v>4976</v>
      </c>
      <c r="C450" t="s">
        <v>63</v>
      </c>
      <c r="D450" s="7">
        <v>1</v>
      </c>
      <c r="E450" s="2">
        <v>370700</v>
      </c>
      <c r="F450" s="2">
        <v>370700</v>
      </c>
    </row>
    <row r="451" spans="1:6" x14ac:dyDescent="0.25">
      <c r="A451" t="s">
        <v>4049</v>
      </c>
      <c r="B451" t="s">
        <v>4884</v>
      </c>
      <c r="C451" t="s">
        <v>4236</v>
      </c>
      <c r="D451" s="7">
        <v>1</v>
      </c>
      <c r="E451" s="2">
        <v>27010</v>
      </c>
      <c r="F451" s="2">
        <v>27010</v>
      </c>
    </row>
    <row r="452" spans="1:6" x14ac:dyDescent="0.25">
      <c r="A452" t="s">
        <v>4052</v>
      </c>
      <c r="B452" t="s">
        <v>4053</v>
      </c>
      <c r="C452" t="s">
        <v>4054</v>
      </c>
      <c r="D452" s="7">
        <v>5</v>
      </c>
      <c r="E452" s="2">
        <v>27010</v>
      </c>
      <c r="F452" s="2">
        <v>1350.5</v>
      </c>
    </row>
    <row r="453" spans="1:6" x14ac:dyDescent="0.25">
      <c r="A453" t="s">
        <v>4055</v>
      </c>
      <c r="D453" s="7"/>
      <c r="E453" s="2"/>
      <c r="F453" s="2">
        <f>SUBTOTAL(109,A_1_07_39[VALOR PARCIAL])</f>
      </c>
    </row>
    <row r="455" ht="30" customHeight="1" spans="1:6" x14ac:dyDescent="0.25">
      <c r="A455" s="5" t="s">
        <v>4977</v>
      </c>
      <c r="B455" s="5"/>
      <c r="C455" s="5"/>
      <c r="D455" s="5"/>
      <c r="E455" s="5"/>
      <c r="F455" s="5"/>
    </row>
    <row r="456" ht="42" customHeight="1" spans="1:6" x14ac:dyDescent="0.25">
      <c r="A456" s="6" t="s">
        <v>4978</v>
      </c>
      <c r="B456" s="6"/>
      <c r="C456" s="6"/>
      <c r="D456" s="6"/>
      <c r="E456" s="6"/>
      <c r="F456" s="6"/>
    </row>
    <row r="457" spans="1:6" x14ac:dyDescent="0.25">
      <c r="A457" t="s">
        <v>4044</v>
      </c>
      <c r="B457" t="s">
        <v>4045</v>
      </c>
      <c r="C457" t="s">
        <v>5</v>
      </c>
      <c r="D457" t="s">
        <v>4046</v>
      </c>
      <c r="E457" t="s">
        <v>4047</v>
      </c>
      <c r="F457" t="s">
        <v>4048</v>
      </c>
    </row>
    <row r="458" spans="1:6" x14ac:dyDescent="0.25">
      <c r="A458" t="s">
        <v>4062</v>
      </c>
      <c r="B458" t="s">
        <v>4979</v>
      </c>
      <c r="C458" t="s">
        <v>63</v>
      </c>
      <c r="D458" s="7">
        <v>1</v>
      </c>
      <c r="E458" s="2">
        <v>493400</v>
      </c>
      <c r="F458" s="2">
        <v>493400</v>
      </c>
    </row>
    <row r="459" spans="1:6" x14ac:dyDescent="0.25">
      <c r="A459" t="s">
        <v>4049</v>
      </c>
      <c r="B459" t="s">
        <v>4884</v>
      </c>
      <c r="C459" t="s">
        <v>4236</v>
      </c>
      <c r="D459" s="7">
        <v>1</v>
      </c>
      <c r="E459" s="2">
        <v>27010</v>
      </c>
      <c r="F459" s="2">
        <v>27010</v>
      </c>
    </row>
    <row r="460" spans="1:6" x14ac:dyDescent="0.25">
      <c r="A460" t="s">
        <v>4052</v>
      </c>
      <c r="B460" t="s">
        <v>4053</v>
      </c>
      <c r="C460" t="s">
        <v>4054</v>
      </c>
      <c r="D460" s="7">
        <v>5</v>
      </c>
      <c r="E460" s="2">
        <v>27010</v>
      </c>
      <c r="F460" s="2">
        <v>1350.5</v>
      </c>
    </row>
    <row r="461" spans="1:6" x14ac:dyDescent="0.25">
      <c r="A461" t="s">
        <v>4055</v>
      </c>
      <c r="D461" s="7"/>
      <c r="E461" s="2"/>
      <c r="F461" s="2">
        <f>SUBTOTAL(109,A_1_07_40[VALOR PARCIAL])</f>
      </c>
    </row>
    <row r="463" ht="30" customHeight="1" spans="1:6" x14ac:dyDescent="0.25">
      <c r="A463" s="5" t="s">
        <v>4980</v>
      </c>
      <c r="B463" s="5"/>
      <c r="C463" s="5"/>
      <c r="D463" s="5"/>
      <c r="E463" s="5"/>
      <c r="F463" s="5"/>
    </row>
    <row r="464" ht="42" customHeight="1" spans="1:6" x14ac:dyDescent="0.25">
      <c r="A464" s="6" t="s">
        <v>4981</v>
      </c>
      <c r="B464" s="6"/>
      <c r="C464" s="6"/>
      <c r="D464" s="6"/>
      <c r="E464" s="6"/>
      <c r="F464" s="6"/>
    </row>
    <row r="465" spans="1:6" x14ac:dyDescent="0.25">
      <c r="A465" t="s">
        <v>4044</v>
      </c>
      <c r="B465" t="s">
        <v>4045</v>
      </c>
      <c r="C465" t="s">
        <v>5</v>
      </c>
      <c r="D465" t="s">
        <v>4046</v>
      </c>
      <c r="E465" t="s">
        <v>4047</v>
      </c>
      <c r="F465" t="s">
        <v>4048</v>
      </c>
    </row>
    <row r="466" spans="1:6" x14ac:dyDescent="0.25">
      <c r="A466" t="s">
        <v>4062</v>
      </c>
      <c r="B466" t="s">
        <v>4982</v>
      </c>
      <c r="C466" t="s">
        <v>63</v>
      </c>
      <c r="D466" s="7">
        <v>1</v>
      </c>
      <c r="E466" s="2">
        <v>21256</v>
      </c>
      <c r="F466" s="2">
        <v>21256</v>
      </c>
    </row>
    <row r="467" spans="1:6" x14ac:dyDescent="0.25">
      <c r="A467" t="s">
        <v>4049</v>
      </c>
      <c r="B467" t="s">
        <v>4241</v>
      </c>
      <c r="C467" t="s">
        <v>4051</v>
      </c>
      <c r="D467" s="7">
        <v>1</v>
      </c>
      <c r="E467" s="2">
        <v>9941.22</v>
      </c>
      <c r="F467" s="2">
        <v>9941.22</v>
      </c>
    </row>
    <row r="468" spans="1:6" x14ac:dyDescent="0.25">
      <c r="A468" t="s">
        <v>4049</v>
      </c>
      <c r="B468" t="s">
        <v>4242</v>
      </c>
      <c r="C468" t="s">
        <v>4051</v>
      </c>
      <c r="D468" s="7">
        <v>1</v>
      </c>
      <c r="E468" s="2">
        <v>17069.53</v>
      </c>
      <c r="F468" s="2">
        <v>17069.53</v>
      </c>
    </row>
    <row r="469" spans="1:6" x14ac:dyDescent="0.25">
      <c r="A469" t="s">
        <v>4052</v>
      </c>
      <c r="B469" t="s">
        <v>4053</v>
      </c>
      <c r="C469" t="s">
        <v>4054</v>
      </c>
      <c r="D469" s="7">
        <v>5</v>
      </c>
      <c r="E469" s="2">
        <v>27010.75</v>
      </c>
      <c r="F469" s="2">
        <v>1350.54</v>
      </c>
    </row>
    <row r="470" spans="1:6" x14ac:dyDescent="0.25">
      <c r="A470" t="s">
        <v>4055</v>
      </c>
      <c r="D470" s="7"/>
      <c r="E470" s="2"/>
      <c r="F470" s="2">
        <f>SUBTOTAL(109,A_1_07_41[VALOR PARCIAL])</f>
      </c>
    </row>
    <row r="472" ht="30" customHeight="1" spans="1:6" x14ac:dyDescent="0.25">
      <c r="A472" s="5" t="s">
        <v>4983</v>
      </c>
      <c r="B472" s="5"/>
      <c r="C472" s="5"/>
      <c r="D472" s="5"/>
      <c r="E472" s="5"/>
      <c r="F472" s="5"/>
    </row>
    <row r="473" ht="42" customHeight="1" spans="1:6" x14ac:dyDescent="0.25">
      <c r="A473" s="6" t="s">
        <v>4984</v>
      </c>
      <c r="B473" s="6"/>
      <c r="C473" s="6"/>
      <c r="D473" s="6"/>
      <c r="E473" s="6"/>
      <c r="F473" s="6"/>
    </row>
    <row r="474" spans="1:6" x14ac:dyDescent="0.25">
      <c r="A474" t="s">
        <v>4044</v>
      </c>
      <c r="B474" t="s">
        <v>4045</v>
      </c>
      <c r="C474" t="s">
        <v>5</v>
      </c>
      <c r="D474" t="s">
        <v>4046</v>
      </c>
      <c r="E474" t="s">
        <v>4047</v>
      </c>
      <c r="F474" t="s">
        <v>4048</v>
      </c>
    </row>
    <row r="475" spans="1:6" x14ac:dyDescent="0.25">
      <c r="A475" t="s">
        <v>4062</v>
      </c>
      <c r="B475" t="s">
        <v>4985</v>
      </c>
      <c r="C475" t="s">
        <v>63</v>
      </c>
      <c r="D475" s="7">
        <v>1</v>
      </c>
      <c r="E475" s="2">
        <v>2372</v>
      </c>
      <c r="F475" s="2">
        <v>2372</v>
      </c>
    </row>
    <row r="476" spans="1:6" x14ac:dyDescent="0.25">
      <c r="A476" t="s">
        <v>4049</v>
      </c>
      <c r="B476" t="s">
        <v>4241</v>
      </c>
      <c r="C476" t="s">
        <v>4051</v>
      </c>
      <c r="D476" s="7">
        <v>0.1</v>
      </c>
      <c r="E476" s="2">
        <v>9941.22</v>
      </c>
      <c r="F476" s="2">
        <v>994.12</v>
      </c>
    </row>
    <row r="477" spans="1:6" x14ac:dyDescent="0.25">
      <c r="A477" t="s">
        <v>4049</v>
      </c>
      <c r="B477" t="s">
        <v>4242</v>
      </c>
      <c r="C477" t="s">
        <v>4051</v>
      </c>
      <c r="D477" s="7">
        <v>0.1</v>
      </c>
      <c r="E477" s="2">
        <v>17069.53</v>
      </c>
      <c r="F477" s="2">
        <v>1706.95</v>
      </c>
    </row>
    <row r="478" spans="1:6" x14ac:dyDescent="0.25">
      <c r="A478" t="s">
        <v>4052</v>
      </c>
      <c r="B478" t="s">
        <v>4053</v>
      </c>
      <c r="C478" t="s">
        <v>4054</v>
      </c>
      <c r="D478" s="7">
        <v>5</v>
      </c>
      <c r="E478" s="2">
        <v>2701.07</v>
      </c>
      <c r="F478" s="2">
        <v>135.05</v>
      </c>
    </row>
    <row r="479" spans="1:6" x14ac:dyDescent="0.25">
      <c r="A479" t="s">
        <v>4055</v>
      </c>
      <c r="D479" s="7"/>
      <c r="E479" s="2"/>
      <c r="F479" s="2">
        <f>SUBTOTAL(109,A_1_07_42[VALOR PARCIAL])</f>
      </c>
    </row>
    <row r="481" ht="30" customHeight="1" spans="1:6" x14ac:dyDescent="0.25">
      <c r="A481" s="5" t="s">
        <v>4986</v>
      </c>
      <c r="B481" s="5"/>
      <c r="C481" s="5"/>
      <c r="D481" s="5"/>
      <c r="E481" s="5"/>
      <c r="F481" s="5"/>
    </row>
    <row r="482" ht="42" customHeight="1" spans="1:6" x14ac:dyDescent="0.25">
      <c r="A482" s="6" t="s">
        <v>4987</v>
      </c>
      <c r="B482" s="6"/>
      <c r="C482" s="6"/>
      <c r="D482" s="6"/>
      <c r="E482" s="6"/>
      <c r="F482" s="6"/>
    </row>
    <row r="483" spans="1:6" x14ac:dyDescent="0.25">
      <c r="A483" t="s">
        <v>4044</v>
      </c>
      <c r="B483" t="s">
        <v>4045</v>
      </c>
      <c r="C483" t="s">
        <v>5</v>
      </c>
      <c r="D483" t="s">
        <v>4046</v>
      </c>
      <c r="E483" t="s">
        <v>4047</v>
      </c>
      <c r="F483" t="s">
        <v>4048</v>
      </c>
    </row>
    <row r="484" spans="1:6" x14ac:dyDescent="0.25">
      <c r="A484" t="s">
        <v>4062</v>
      </c>
      <c r="B484" t="s">
        <v>4988</v>
      </c>
      <c r="C484" t="s">
        <v>63</v>
      </c>
      <c r="D484" s="7">
        <v>1</v>
      </c>
      <c r="E484" s="2">
        <v>2050</v>
      </c>
      <c r="F484" s="2">
        <v>2050</v>
      </c>
    </row>
    <row r="485" spans="1:6" x14ac:dyDescent="0.25">
      <c r="A485" t="s">
        <v>4049</v>
      </c>
      <c r="B485" t="s">
        <v>4884</v>
      </c>
      <c r="C485" t="s">
        <v>4236</v>
      </c>
      <c r="D485" s="7">
        <v>0.1</v>
      </c>
      <c r="E485" s="2">
        <v>27010</v>
      </c>
      <c r="F485" s="2">
        <v>2701</v>
      </c>
    </row>
    <row r="486" spans="1:6" x14ac:dyDescent="0.25">
      <c r="A486" t="s">
        <v>4052</v>
      </c>
      <c r="B486" t="s">
        <v>4053</v>
      </c>
      <c r="C486" t="s">
        <v>4054</v>
      </c>
      <c r="D486" s="7">
        <v>5</v>
      </c>
      <c r="E486" s="2">
        <v>2701</v>
      </c>
      <c r="F486" s="2">
        <v>135.05</v>
      </c>
    </row>
    <row r="487" spans="1:6" x14ac:dyDescent="0.25">
      <c r="A487" t="s">
        <v>4055</v>
      </c>
      <c r="D487" s="7"/>
      <c r="E487" s="2"/>
      <c r="F487" s="2">
        <f>SUBTOTAL(109,A_1_07_43[VALOR PARCIAL])</f>
      </c>
    </row>
    <row r="489" ht="30" customHeight="1" spans="1:6" x14ac:dyDescent="0.25">
      <c r="A489" s="5" t="s">
        <v>4989</v>
      </c>
      <c r="B489" s="5"/>
      <c r="C489" s="5"/>
      <c r="D489" s="5"/>
      <c r="E489" s="5"/>
      <c r="F489" s="5"/>
    </row>
    <row r="490" ht="42" customHeight="1" spans="1:6" x14ac:dyDescent="0.25">
      <c r="A490" s="6" t="s">
        <v>4990</v>
      </c>
      <c r="B490" s="6"/>
      <c r="C490" s="6"/>
      <c r="D490" s="6"/>
      <c r="E490" s="6"/>
      <c r="F490" s="6"/>
    </row>
    <row r="491" spans="1:6" x14ac:dyDescent="0.25">
      <c r="A491" t="s">
        <v>4044</v>
      </c>
      <c r="B491" t="s">
        <v>4045</v>
      </c>
      <c r="C491" t="s">
        <v>5</v>
      </c>
      <c r="D491" t="s">
        <v>4046</v>
      </c>
      <c r="E491" t="s">
        <v>4047</v>
      </c>
      <c r="F491" t="s">
        <v>4048</v>
      </c>
    </row>
    <row r="492" spans="1:6" x14ac:dyDescent="0.25">
      <c r="A492" t="s">
        <v>4062</v>
      </c>
      <c r="B492" t="s">
        <v>4991</v>
      </c>
      <c r="C492" t="s">
        <v>63</v>
      </c>
      <c r="D492" s="7">
        <v>1</v>
      </c>
      <c r="E492" s="2">
        <v>202900</v>
      </c>
      <c r="F492" s="2">
        <v>202900</v>
      </c>
    </row>
    <row r="493" spans="1:6" x14ac:dyDescent="0.25">
      <c r="A493" t="s">
        <v>4062</v>
      </c>
      <c r="B493" t="s">
        <v>4849</v>
      </c>
      <c r="C493" t="s">
        <v>63</v>
      </c>
      <c r="D493" s="7">
        <v>18</v>
      </c>
      <c r="E493" s="2">
        <v>2298</v>
      </c>
      <c r="F493" s="2">
        <v>41364</v>
      </c>
    </row>
    <row r="494" spans="1:6" x14ac:dyDescent="0.25">
      <c r="A494" t="s">
        <v>4049</v>
      </c>
      <c r="B494" t="s">
        <v>4241</v>
      </c>
      <c r="C494" t="s">
        <v>4051</v>
      </c>
      <c r="D494" s="7">
        <v>4</v>
      </c>
      <c r="E494" s="2">
        <v>9941.22</v>
      </c>
      <c r="F494" s="2">
        <v>39764.88</v>
      </c>
    </row>
    <row r="495" spans="1:6" x14ac:dyDescent="0.25">
      <c r="A495" t="s">
        <v>4049</v>
      </c>
      <c r="B495" t="s">
        <v>4242</v>
      </c>
      <c r="C495" t="s">
        <v>4051</v>
      </c>
      <c r="D495" s="7">
        <v>4</v>
      </c>
      <c r="E495" s="2">
        <v>17069.53</v>
      </c>
      <c r="F495" s="2">
        <v>68278.12</v>
      </c>
    </row>
    <row r="496" spans="1:6" x14ac:dyDescent="0.25">
      <c r="A496" t="s">
        <v>4052</v>
      </c>
      <c r="B496" t="s">
        <v>4053</v>
      </c>
      <c r="C496" t="s">
        <v>4054</v>
      </c>
      <c r="D496" s="7">
        <v>3.3</v>
      </c>
      <c r="E496" s="2">
        <v>108043</v>
      </c>
      <c r="F496" s="2">
        <v>3565.42</v>
      </c>
    </row>
    <row r="497" spans="1:6" x14ac:dyDescent="0.25">
      <c r="A497" t="s">
        <v>4055</v>
      </c>
      <c r="D497" s="7"/>
      <c r="E497" s="2"/>
      <c r="F497" s="2">
        <f>SUBTOTAL(109,A_1_07_44[VALOR PARCIAL])</f>
      </c>
    </row>
    <row r="499" ht="30" customHeight="1" spans="1:6" x14ac:dyDescent="0.25">
      <c r="A499" s="5" t="s">
        <v>4992</v>
      </c>
      <c r="B499" s="5"/>
      <c r="C499" s="5"/>
      <c r="D499" s="5"/>
      <c r="E499" s="5"/>
      <c r="F499" s="5"/>
    </row>
    <row r="500" ht="42" customHeight="1" spans="1:6" x14ac:dyDescent="0.25">
      <c r="A500" s="6" t="s">
        <v>4993</v>
      </c>
      <c r="B500" s="6"/>
      <c r="C500" s="6"/>
      <c r="D500" s="6"/>
      <c r="E500" s="6"/>
      <c r="F500" s="6"/>
    </row>
    <row r="501" spans="1:6" x14ac:dyDescent="0.25">
      <c r="A501" t="s">
        <v>4044</v>
      </c>
      <c r="B501" t="s">
        <v>4045</v>
      </c>
      <c r="C501" t="s">
        <v>5</v>
      </c>
      <c r="D501" t="s">
        <v>4046</v>
      </c>
      <c r="E501" t="s">
        <v>4047</v>
      </c>
      <c r="F501" t="s">
        <v>4048</v>
      </c>
    </row>
    <row r="502" spans="1:6" x14ac:dyDescent="0.25">
      <c r="A502" t="s">
        <v>4062</v>
      </c>
      <c r="B502" t="s">
        <v>4994</v>
      </c>
      <c r="C502" t="s">
        <v>63</v>
      </c>
      <c r="D502" s="7">
        <v>1</v>
      </c>
      <c r="E502" s="2">
        <v>223024</v>
      </c>
      <c r="F502" s="2">
        <v>223024</v>
      </c>
    </row>
    <row r="503" spans="1:6" x14ac:dyDescent="0.25">
      <c r="A503" t="s">
        <v>4062</v>
      </c>
      <c r="B503" t="s">
        <v>4849</v>
      </c>
      <c r="C503" t="s">
        <v>63</v>
      </c>
      <c r="D503" s="7">
        <v>18</v>
      </c>
      <c r="E503" s="2">
        <v>2298</v>
      </c>
      <c r="F503" s="2">
        <v>41364</v>
      </c>
    </row>
    <row r="504" spans="1:6" x14ac:dyDescent="0.25">
      <c r="A504" t="s">
        <v>4049</v>
      </c>
      <c r="B504" t="s">
        <v>4241</v>
      </c>
      <c r="C504" t="s">
        <v>4051</v>
      </c>
      <c r="D504" s="7">
        <v>3</v>
      </c>
      <c r="E504" s="2">
        <v>9941.22</v>
      </c>
      <c r="F504" s="2">
        <v>29823.66</v>
      </c>
    </row>
    <row r="505" spans="1:6" x14ac:dyDescent="0.25">
      <c r="A505" t="s">
        <v>4049</v>
      </c>
      <c r="B505" t="s">
        <v>4242</v>
      </c>
      <c r="C505" t="s">
        <v>4051</v>
      </c>
      <c r="D505" s="7">
        <v>3</v>
      </c>
      <c r="E505" s="2">
        <v>17069.53</v>
      </c>
      <c r="F505" s="2">
        <v>51208.59</v>
      </c>
    </row>
    <row r="506" spans="1:6" x14ac:dyDescent="0.25">
      <c r="A506" t="s">
        <v>4052</v>
      </c>
      <c r="B506" t="s">
        <v>4053</v>
      </c>
      <c r="C506" t="s">
        <v>4054</v>
      </c>
      <c r="D506" s="7">
        <v>5</v>
      </c>
      <c r="E506" s="2">
        <v>81032.25</v>
      </c>
      <c r="F506" s="2">
        <v>4051.61</v>
      </c>
    </row>
    <row r="507" spans="1:6" x14ac:dyDescent="0.25">
      <c r="A507" t="s">
        <v>4055</v>
      </c>
      <c r="D507" s="7"/>
      <c r="E507" s="2"/>
      <c r="F507" s="2">
        <f>SUBTOTAL(109,A_1_07_45[VALOR PARCIAL])</f>
      </c>
    </row>
    <row r="509" ht="30" customHeight="1" spans="1:6" x14ac:dyDescent="0.25">
      <c r="A509" s="5" t="s">
        <v>4995</v>
      </c>
      <c r="B509" s="5"/>
      <c r="C509" s="5"/>
      <c r="D509" s="5"/>
      <c r="E509" s="5"/>
      <c r="F509" s="5"/>
    </row>
    <row r="510" ht="42" customHeight="1" spans="1:6" x14ac:dyDescent="0.25">
      <c r="A510" s="6" t="s">
        <v>4996</v>
      </c>
      <c r="B510" s="6"/>
      <c r="C510" s="6"/>
      <c r="D510" s="6"/>
      <c r="E510" s="6"/>
      <c r="F510" s="6"/>
    </row>
    <row r="511" spans="1:6" x14ac:dyDescent="0.25">
      <c r="A511" t="s">
        <v>4044</v>
      </c>
      <c r="B511" t="s">
        <v>4045</v>
      </c>
      <c r="C511" t="s">
        <v>5</v>
      </c>
      <c r="D511" t="s">
        <v>4046</v>
      </c>
      <c r="E511" t="s">
        <v>4047</v>
      </c>
      <c r="F511" t="s">
        <v>4048</v>
      </c>
    </row>
    <row r="512" spans="1:6" x14ac:dyDescent="0.25">
      <c r="A512" t="s">
        <v>4062</v>
      </c>
      <c r="B512" t="s">
        <v>4997</v>
      </c>
      <c r="C512" t="s">
        <v>63</v>
      </c>
      <c r="D512" s="7">
        <v>1</v>
      </c>
      <c r="E512" s="2">
        <v>70400</v>
      </c>
      <c r="F512" s="2">
        <v>70400</v>
      </c>
    </row>
    <row r="513" spans="1:6" x14ac:dyDescent="0.25">
      <c r="A513" t="s">
        <v>4062</v>
      </c>
      <c r="B513" t="s">
        <v>4849</v>
      </c>
      <c r="C513" t="s">
        <v>63</v>
      </c>
      <c r="D513" s="7">
        <v>4</v>
      </c>
      <c r="E513" s="2">
        <v>2298</v>
      </c>
      <c r="F513" s="2">
        <v>9192</v>
      </c>
    </row>
    <row r="514" spans="1:6" x14ac:dyDescent="0.25">
      <c r="A514" t="s">
        <v>4049</v>
      </c>
      <c r="B514" t="s">
        <v>4241</v>
      </c>
      <c r="C514" t="s">
        <v>4051</v>
      </c>
      <c r="D514" s="7">
        <v>3</v>
      </c>
      <c r="E514" s="2">
        <v>9941.22</v>
      </c>
      <c r="F514" s="2">
        <v>29823.66</v>
      </c>
    </row>
    <row r="515" spans="1:6" x14ac:dyDescent="0.25">
      <c r="A515" t="s">
        <v>4049</v>
      </c>
      <c r="B515" t="s">
        <v>4242</v>
      </c>
      <c r="C515" t="s">
        <v>4051</v>
      </c>
      <c r="D515" s="7">
        <v>3</v>
      </c>
      <c r="E515" s="2">
        <v>17069.53</v>
      </c>
      <c r="F515" s="2">
        <v>51208.59</v>
      </c>
    </row>
    <row r="516" spans="1:6" x14ac:dyDescent="0.25">
      <c r="A516" t="s">
        <v>4052</v>
      </c>
      <c r="B516" t="s">
        <v>4053</v>
      </c>
      <c r="C516" t="s">
        <v>4054</v>
      </c>
      <c r="D516" s="7">
        <v>3.3</v>
      </c>
      <c r="E516" s="2">
        <v>81032.25</v>
      </c>
      <c r="F516" s="2">
        <v>2674.06</v>
      </c>
    </row>
    <row r="517" spans="1:6" x14ac:dyDescent="0.25">
      <c r="A517" t="s">
        <v>4055</v>
      </c>
      <c r="D517" s="7"/>
      <c r="E517" s="2"/>
      <c r="F517" s="2">
        <f>SUBTOTAL(109,A_1_07_46[VALOR PARCIAL])</f>
      </c>
    </row>
    <row r="519" ht="30" customHeight="1" spans="1:6" x14ac:dyDescent="0.25">
      <c r="A519" s="5" t="s">
        <v>4998</v>
      </c>
      <c r="B519" s="5"/>
      <c r="C519" s="5"/>
      <c r="D519" s="5"/>
      <c r="E519" s="5"/>
      <c r="F519" s="5"/>
    </row>
    <row r="520" ht="42" customHeight="1" spans="1:6" x14ac:dyDescent="0.25">
      <c r="A520" s="6" t="s">
        <v>4999</v>
      </c>
      <c r="B520" s="6"/>
      <c r="C520" s="6"/>
      <c r="D520" s="6"/>
      <c r="E520" s="6"/>
      <c r="F520" s="6"/>
    </row>
    <row r="521" spans="1:6" x14ac:dyDescent="0.25">
      <c r="A521" t="s">
        <v>4044</v>
      </c>
      <c r="B521" t="s">
        <v>4045</v>
      </c>
      <c r="C521" t="s">
        <v>5</v>
      </c>
      <c r="D521" t="s">
        <v>4046</v>
      </c>
      <c r="E521" t="s">
        <v>4047</v>
      </c>
      <c r="F521" t="s">
        <v>4048</v>
      </c>
    </row>
    <row r="522" spans="1:6" x14ac:dyDescent="0.25">
      <c r="A522" t="s">
        <v>4062</v>
      </c>
      <c r="B522" t="s">
        <v>5000</v>
      </c>
      <c r="C522" t="s">
        <v>42</v>
      </c>
      <c r="D522" s="7">
        <v>1.05</v>
      </c>
      <c r="E522" s="2">
        <v>10065</v>
      </c>
      <c r="F522" s="2">
        <v>10568.25</v>
      </c>
    </row>
    <row r="523" spans="1:6" x14ac:dyDescent="0.25">
      <c r="A523" t="s">
        <v>4062</v>
      </c>
      <c r="B523" t="s">
        <v>5001</v>
      </c>
      <c r="C523" t="s">
        <v>63</v>
      </c>
      <c r="D523" s="7">
        <v>2</v>
      </c>
      <c r="E523" s="2">
        <v>2923</v>
      </c>
      <c r="F523" s="2">
        <v>5846</v>
      </c>
    </row>
    <row r="524" spans="1:6" x14ac:dyDescent="0.25">
      <c r="A524" t="s">
        <v>4062</v>
      </c>
      <c r="B524" t="s">
        <v>4659</v>
      </c>
      <c r="C524" t="s">
        <v>4377</v>
      </c>
      <c r="D524" s="7">
        <v>0.01</v>
      </c>
      <c r="E524" s="2">
        <v>31500</v>
      </c>
      <c r="F524" s="2">
        <v>315</v>
      </c>
    </row>
    <row r="525" spans="1:6" x14ac:dyDescent="0.25">
      <c r="A525" t="s">
        <v>4062</v>
      </c>
      <c r="B525" t="s">
        <v>4376</v>
      </c>
      <c r="C525" t="s">
        <v>4377</v>
      </c>
      <c r="D525" s="7">
        <v>0.01</v>
      </c>
      <c r="E525" s="2">
        <v>72237.67</v>
      </c>
      <c r="F525" s="2">
        <v>722.38</v>
      </c>
    </row>
    <row r="526" spans="1:6" x14ac:dyDescent="0.25">
      <c r="A526" t="s">
        <v>4062</v>
      </c>
      <c r="B526" t="s">
        <v>4830</v>
      </c>
      <c r="C526" t="s">
        <v>42</v>
      </c>
      <c r="D526" s="7">
        <v>1.06</v>
      </c>
      <c r="E526" s="2">
        <v>4934</v>
      </c>
      <c r="F526" s="2">
        <v>5230.04</v>
      </c>
    </row>
    <row r="527" spans="1:6" x14ac:dyDescent="0.25">
      <c r="A527" t="s">
        <v>4062</v>
      </c>
      <c r="B527" t="s">
        <v>4832</v>
      </c>
      <c r="C527" t="s">
        <v>63</v>
      </c>
      <c r="D527" s="7">
        <v>2</v>
      </c>
      <c r="E527" s="2">
        <v>1143</v>
      </c>
      <c r="F527" s="2">
        <v>2286</v>
      </c>
    </row>
    <row r="528" spans="1:6" x14ac:dyDescent="0.25">
      <c r="A528" t="s">
        <v>4062</v>
      </c>
      <c r="B528" t="s">
        <v>4659</v>
      </c>
      <c r="C528" t="s">
        <v>4377</v>
      </c>
      <c r="D528" s="7">
        <v>0.02</v>
      </c>
      <c r="E528" s="2">
        <v>31500</v>
      </c>
      <c r="F528" s="2">
        <v>630</v>
      </c>
    </row>
    <row r="529" spans="1:6" x14ac:dyDescent="0.25">
      <c r="A529" t="s">
        <v>4062</v>
      </c>
      <c r="B529" t="s">
        <v>4376</v>
      </c>
      <c r="C529" t="s">
        <v>4377</v>
      </c>
      <c r="D529" s="7">
        <v>0.02</v>
      </c>
      <c r="E529" s="2">
        <v>72237.67</v>
      </c>
      <c r="F529" s="2">
        <v>1444.75</v>
      </c>
    </row>
    <row r="530" spans="1:6" x14ac:dyDescent="0.25">
      <c r="A530" t="s">
        <v>4049</v>
      </c>
      <c r="B530" t="s">
        <v>4241</v>
      </c>
      <c r="C530" t="s">
        <v>4051</v>
      </c>
      <c r="D530" s="7">
        <v>0.4</v>
      </c>
      <c r="E530" s="2">
        <v>9941.22</v>
      </c>
      <c r="F530" s="2">
        <v>3976.49</v>
      </c>
    </row>
    <row r="531" spans="1:6" x14ac:dyDescent="0.25">
      <c r="A531" t="s">
        <v>4049</v>
      </c>
      <c r="B531" t="s">
        <v>4242</v>
      </c>
      <c r="C531" t="s">
        <v>4051</v>
      </c>
      <c r="D531" s="7">
        <v>0.4</v>
      </c>
      <c r="E531" s="2">
        <v>17069.53</v>
      </c>
      <c r="F531" s="2">
        <v>6827.81</v>
      </c>
    </row>
    <row r="532" spans="1:6" x14ac:dyDescent="0.25">
      <c r="A532" t="s">
        <v>4049</v>
      </c>
      <c r="B532" t="s">
        <v>4241</v>
      </c>
      <c r="C532" t="s">
        <v>4051</v>
      </c>
      <c r="D532" s="7">
        <v>0.45</v>
      </c>
      <c r="E532" s="2">
        <v>9941.22</v>
      </c>
      <c r="F532" s="2">
        <v>4473.55</v>
      </c>
    </row>
    <row r="533" spans="1:6" x14ac:dyDescent="0.25">
      <c r="A533" t="s">
        <v>4049</v>
      </c>
      <c r="B533" t="s">
        <v>4242</v>
      </c>
      <c r="C533" t="s">
        <v>4051</v>
      </c>
      <c r="D533" s="7">
        <v>0.45</v>
      </c>
      <c r="E533" s="2">
        <v>17069.53</v>
      </c>
      <c r="F533" s="2">
        <v>7681.29</v>
      </c>
    </row>
    <row r="534" spans="1:6" x14ac:dyDescent="0.25">
      <c r="A534" t="s">
        <v>4052</v>
      </c>
      <c r="B534" t="s">
        <v>4053</v>
      </c>
      <c r="C534" t="s">
        <v>4054</v>
      </c>
      <c r="D534" s="7">
        <v>3.3</v>
      </c>
      <c r="E534" s="2">
        <v>10804.3</v>
      </c>
      <c r="F534" s="2">
        <v>356.54</v>
      </c>
    </row>
    <row r="535" spans="1:6" x14ac:dyDescent="0.25">
      <c r="A535" t="s">
        <v>4052</v>
      </c>
      <c r="B535" t="s">
        <v>4053</v>
      </c>
      <c r="C535" t="s">
        <v>4054</v>
      </c>
      <c r="D535" s="7">
        <v>5</v>
      </c>
      <c r="E535" s="2">
        <v>12154.84</v>
      </c>
      <c r="F535" s="2">
        <v>607.74</v>
      </c>
    </row>
    <row r="536" spans="1:6" x14ac:dyDescent="0.25">
      <c r="A536" t="s">
        <v>4055</v>
      </c>
      <c r="D536" s="7"/>
      <c r="E536" s="2"/>
      <c r="F536" s="2">
        <f>SUBTOTAL(109,A_1_07_47[VALOR PARCIAL])</f>
      </c>
    </row>
    <row r="538" ht="30" customHeight="1" spans="1:6" x14ac:dyDescent="0.25">
      <c r="A538" s="5" t="s">
        <v>5002</v>
      </c>
      <c r="B538" s="5"/>
      <c r="C538" s="5"/>
      <c r="D538" s="5"/>
      <c r="E538" s="5"/>
      <c r="F538" s="5"/>
    </row>
    <row r="539" ht="42" customHeight="1" spans="1:6" x14ac:dyDescent="0.25">
      <c r="A539" s="6" t="s">
        <v>5003</v>
      </c>
      <c r="B539" s="6"/>
      <c r="C539" s="6"/>
      <c r="D539" s="6"/>
      <c r="E539" s="6"/>
      <c r="F539" s="6"/>
    </row>
    <row r="540" spans="1:6" x14ac:dyDescent="0.25">
      <c r="A540" t="s">
        <v>4044</v>
      </c>
      <c r="B540" t="s">
        <v>4045</v>
      </c>
      <c r="C540" t="s">
        <v>5</v>
      </c>
      <c r="D540" t="s">
        <v>4046</v>
      </c>
      <c r="E540" t="s">
        <v>4047</v>
      </c>
      <c r="F540" t="s">
        <v>4048</v>
      </c>
    </row>
    <row r="541" spans="1:6" x14ac:dyDescent="0.25">
      <c r="A541" t="s">
        <v>4062</v>
      </c>
      <c r="B541" t="s">
        <v>5004</v>
      </c>
      <c r="C541" t="s">
        <v>42</v>
      </c>
      <c r="D541" s="7">
        <v>1</v>
      </c>
      <c r="E541" s="2">
        <v>3151</v>
      </c>
      <c r="F541" s="2">
        <v>3151</v>
      </c>
    </row>
    <row r="542" spans="1:6" x14ac:dyDescent="0.25">
      <c r="A542" t="s">
        <v>4062</v>
      </c>
      <c r="B542" t="s">
        <v>5005</v>
      </c>
      <c r="C542" t="s">
        <v>63</v>
      </c>
      <c r="D542" s="7">
        <v>2</v>
      </c>
      <c r="E542" s="2">
        <v>400</v>
      </c>
      <c r="F542" s="2">
        <v>800</v>
      </c>
    </row>
    <row r="543" spans="1:6" x14ac:dyDescent="0.25">
      <c r="A543" t="s">
        <v>4062</v>
      </c>
      <c r="B543" t="s">
        <v>4659</v>
      </c>
      <c r="C543" t="s">
        <v>4377</v>
      </c>
      <c r="D543" s="7">
        <v>0.01</v>
      </c>
      <c r="E543" s="2">
        <v>31500</v>
      </c>
      <c r="F543" s="2">
        <v>315</v>
      </c>
    </row>
    <row r="544" spans="1:6" x14ac:dyDescent="0.25">
      <c r="A544" t="s">
        <v>4062</v>
      </c>
      <c r="B544" t="s">
        <v>4376</v>
      </c>
      <c r="C544" t="s">
        <v>4377</v>
      </c>
      <c r="D544" s="7">
        <v>0.01</v>
      </c>
      <c r="E544" s="2">
        <v>72237.67</v>
      </c>
      <c r="F544" s="2">
        <v>722.38</v>
      </c>
    </row>
    <row r="545" spans="1:6" x14ac:dyDescent="0.25">
      <c r="A545" t="s">
        <v>4049</v>
      </c>
      <c r="B545" t="s">
        <v>4241</v>
      </c>
      <c r="C545" t="s">
        <v>4051</v>
      </c>
      <c r="D545" s="7">
        <v>0.4</v>
      </c>
      <c r="E545" s="2">
        <v>9941.22</v>
      </c>
      <c r="F545" s="2">
        <v>3976.49</v>
      </c>
    </row>
    <row r="546" spans="1:6" x14ac:dyDescent="0.25">
      <c r="A546" t="s">
        <v>4049</v>
      </c>
      <c r="B546" t="s">
        <v>4242</v>
      </c>
      <c r="C546" t="s">
        <v>4051</v>
      </c>
      <c r="D546" s="7">
        <v>0.4</v>
      </c>
      <c r="E546" s="2">
        <v>17069.53</v>
      </c>
      <c r="F546" s="2">
        <v>6827.81</v>
      </c>
    </row>
    <row r="547" spans="1:6" x14ac:dyDescent="0.25">
      <c r="A547" t="s">
        <v>4052</v>
      </c>
      <c r="B547" t="s">
        <v>4053</v>
      </c>
      <c r="C547" t="s">
        <v>4054</v>
      </c>
      <c r="D547" s="7">
        <v>3.3</v>
      </c>
      <c r="E547" s="2">
        <v>10804.3</v>
      </c>
      <c r="F547" s="2">
        <v>356.54</v>
      </c>
    </row>
    <row r="548" spans="1:6" x14ac:dyDescent="0.25">
      <c r="A548" t="s">
        <v>4055</v>
      </c>
      <c r="D548" s="7"/>
      <c r="E548" s="2"/>
      <c r="F548" s="2">
        <f>SUBTOTAL(109,A_1_07_49[VALOR PARCIAL])</f>
      </c>
    </row>
    <row r="550" ht="30" customHeight="1" spans="1:6" x14ac:dyDescent="0.25">
      <c r="A550" s="5" t="s">
        <v>5006</v>
      </c>
      <c r="B550" s="5"/>
      <c r="C550" s="5"/>
      <c r="D550" s="5"/>
      <c r="E550" s="5"/>
      <c r="F550" s="5"/>
    </row>
    <row r="551" ht="42" customHeight="1" spans="1:6" x14ac:dyDescent="0.25">
      <c r="A551" s="6" t="s">
        <v>5007</v>
      </c>
      <c r="B551" s="6"/>
      <c r="C551" s="6"/>
      <c r="D551" s="6"/>
      <c r="E551" s="6"/>
      <c r="F551" s="6"/>
    </row>
    <row r="552" spans="1:6" x14ac:dyDescent="0.25">
      <c r="A552" t="s">
        <v>4044</v>
      </c>
      <c r="B552" t="s">
        <v>4045</v>
      </c>
      <c r="C552" t="s">
        <v>5</v>
      </c>
      <c r="D552" t="s">
        <v>4046</v>
      </c>
      <c r="E552" t="s">
        <v>4047</v>
      </c>
      <c r="F552" t="s">
        <v>4048</v>
      </c>
    </row>
    <row r="553" spans="1:6" x14ac:dyDescent="0.25">
      <c r="A553" t="s">
        <v>4062</v>
      </c>
      <c r="B553" t="s">
        <v>5008</v>
      </c>
      <c r="C553" t="s">
        <v>63</v>
      </c>
      <c r="D553" s="7">
        <v>1</v>
      </c>
      <c r="E553" s="2">
        <v>340208.33</v>
      </c>
      <c r="F553" s="2">
        <v>340208.33</v>
      </c>
    </row>
    <row r="554" spans="1:6" x14ac:dyDescent="0.25">
      <c r="A554" t="s">
        <v>4049</v>
      </c>
      <c r="B554" t="s">
        <v>4241</v>
      </c>
      <c r="C554" t="s">
        <v>4051</v>
      </c>
      <c r="D554" s="7">
        <v>0.2</v>
      </c>
      <c r="E554" s="2">
        <v>9941.22</v>
      </c>
      <c r="F554" s="2">
        <v>1988.24</v>
      </c>
    </row>
    <row r="555" spans="1:6" x14ac:dyDescent="0.25">
      <c r="A555" t="s">
        <v>4049</v>
      </c>
      <c r="B555" t="s">
        <v>4242</v>
      </c>
      <c r="C555" t="s">
        <v>4051</v>
      </c>
      <c r="D555" s="7">
        <v>0.2</v>
      </c>
      <c r="E555" s="2">
        <v>17069.53</v>
      </c>
      <c r="F555" s="2">
        <v>3413.91</v>
      </c>
    </row>
    <row r="556" spans="1:6" x14ac:dyDescent="0.25">
      <c r="A556" t="s">
        <v>4052</v>
      </c>
      <c r="B556" t="s">
        <v>4053</v>
      </c>
      <c r="C556" t="s">
        <v>4054</v>
      </c>
      <c r="D556" s="7">
        <v>6.7</v>
      </c>
      <c r="E556" s="2">
        <v>5402.15</v>
      </c>
      <c r="F556" s="2">
        <v>361.94</v>
      </c>
    </row>
    <row r="557" spans="1:6" x14ac:dyDescent="0.25">
      <c r="A557" t="s">
        <v>4055</v>
      </c>
      <c r="D557" s="7"/>
      <c r="E557" s="2"/>
      <c r="F557" s="2">
        <f>SUBTOTAL(109,A_1_07_50[VALOR PARCIAL])</f>
      </c>
    </row>
    <row r="559" ht="30" customHeight="1" spans="1:6" x14ac:dyDescent="0.25">
      <c r="A559" s="5" t="s">
        <v>5009</v>
      </c>
      <c r="B559" s="5"/>
      <c r="C559" s="5"/>
      <c r="D559" s="5"/>
      <c r="E559" s="5"/>
      <c r="F559" s="5"/>
    </row>
    <row r="560" ht="42" customHeight="1" spans="1:6" x14ac:dyDescent="0.25">
      <c r="A560" s="6" t="s">
        <v>5010</v>
      </c>
      <c r="B560" s="6"/>
      <c r="C560" s="6"/>
      <c r="D560" s="6"/>
      <c r="E560" s="6"/>
      <c r="F560" s="6"/>
    </row>
    <row r="561" spans="1:6" x14ac:dyDescent="0.25">
      <c r="A561" t="s">
        <v>4044</v>
      </c>
      <c r="B561" t="s">
        <v>4045</v>
      </c>
      <c r="C561" t="s">
        <v>5</v>
      </c>
      <c r="D561" t="s">
        <v>4046</v>
      </c>
      <c r="E561" t="s">
        <v>4047</v>
      </c>
      <c r="F561" t="s">
        <v>4048</v>
      </c>
    </row>
    <row r="562" spans="1:6" x14ac:dyDescent="0.25">
      <c r="A562" t="s">
        <v>4062</v>
      </c>
      <c r="B562" t="s">
        <v>5011</v>
      </c>
      <c r="C562" t="s">
        <v>63</v>
      </c>
      <c r="D562" s="7">
        <v>1</v>
      </c>
      <c r="E562" s="2">
        <v>42150</v>
      </c>
      <c r="F562" s="2">
        <v>42150</v>
      </c>
    </row>
    <row r="563" spans="1:6" x14ac:dyDescent="0.25">
      <c r="A563" t="s">
        <v>4062</v>
      </c>
      <c r="B563" t="s">
        <v>4849</v>
      </c>
      <c r="C563" t="s">
        <v>63</v>
      </c>
      <c r="D563" s="7">
        <v>10</v>
      </c>
      <c r="E563" s="2">
        <v>2298</v>
      </c>
      <c r="F563" s="2">
        <v>22980</v>
      </c>
    </row>
    <row r="564" spans="1:6" x14ac:dyDescent="0.25">
      <c r="A564" t="s">
        <v>4062</v>
      </c>
      <c r="B564" t="s">
        <v>5012</v>
      </c>
      <c r="C564" t="s">
        <v>63</v>
      </c>
      <c r="D564" s="7">
        <v>1</v>
      </c>
      <c r="E564" s="2">
        <v>106379</v>
      </c>
      <c r="F564" s="2">
        <v>106379</v>
      </c>
    </row>
    <row r="565" spans="1:6" x14ac:dyDescent="0.25">
      <c r="A565" t="s">
        <v>4062</v>
      </c>
      <c r="B565" t="s">
        <v>5013</v>
      </c>
      <c r="C565" t="s">
        <v>231</v>
      </c>
      <c r="D565" s="7">
        <v>0.22</v>
      </c>
      <c r="E565" s="2">
        <v>11906</v>
      </c>
      <c r="F565" s="2">
        <v>2619.32</v>
      </c>
    </row>
    <row r="566" spans="1:6" x14ac:dyDescent="0.25">
      <c r="A566" t="s">
        <v>4049</v>
      </c>
      <c r="B566" t="s">
        <v>4241</v>
      </c>
      <c r="C566" t="s">
        <v>4051</v>
      </c>
      <c r="D566" s="7">
        <v>4</v>
      </c>
      <c r="E566" s="2">
        <v>9941.22</v>
      </c>
      <c r="F566" s="2">
        <v>39764.88</v>
      </c>
    </row>
    <row r="567" spans="1:6" x14ac:dyDescent="0.25">
      <c r="A567" t="s">
        <v>4049</v>
      </c>
      <c r="B567" t="s">
        <v>4242</v>
      </c>
      <c r="C567" t="s">
        <v>4051</v>
      </c>
      <c r="D567" s="7">
        <v>4</v>
      </c>
      <c r="E567" s="2">
        <v>17069.53</v>
      </c>
      <c r="F567" s="2">
        <v>68278.12</v>
      </c>
    </row>
    <row r="568" spans="1:6" x14ac:dyDescent="0.25">
      <c r="A568" t="s">
        <v>4052</v>
      </c>
      <c r="B568" t="s">
        <v>4053</v>
      </c>
      <c r="C568" t="s">
        <v>4054</v>
      </c>
      <c r="D568" s="7">
        <v>3.3</v>
      </c>
      <c r="E568" s="2">
        <v>108043</v>
      </c>
      <c r="F568" s="2">
        <v>3565.42</v>
      </c>
    </row>
    <row r="569" spans="1:6" x14ac:dyDescent="0.25">
      <c r="A569" t="s">
        <v>4055</v>
      </c>
      <c r="D569" s="7"/>
      <c r="E569" s="2"/>
      <c r="F569" s="2">
        <f>SUBTOTAL(109,A_1_07_51[VALOR PARCIAL])</f>
      </c>
    </row>
    <row r="571" ht="30" customHeight="1" spans="1:6" x14ac:dyDescent="0.25">
      <c r="A571" s="5" t="s">
        <v>5014</v>
      </c>
      <c r="B571" s="5"/>
      <c r="C571" s="5"/>
      <c r="D571" s="5"/>
      <c r="E571" s="5"/>
      <c r="F571" s="5"/>
    </row>
    <row r="572" ht="42" customHeight="1" spans="1:6" x14ac:dyDescent="0.25">
      <c r="A572" s="6" t="s">
        <v>5015</v>
      </c>
      <c r="B572" s="6"/>
      <c r="C572" s="6"/>
      <c r="D572" s="6"/>
      <c r="E572" s="6"/>
      <c r="F572" s="6"/>
    </row>
    <row r="573" spans="1:6" x14ac:dyDescent="0.25">
      <c r="A573" t="s">
        <v>4044</v>
      </c>
      <c r="B573" t="s">
        <v>4045</v>
      </c>
      <c r="C573" t="s">
        <v>5</v>
      </c>
      <c r="D573" t="s">
        <v>4046</v>
      </c>
      <c r="E573" t="s">
        <v>4047</v>
      </c>
      <c r="F573" t="s">
        <v>4048</v>
      </c>
    </row>
    <row r="574" spans="1:6" x14ac:dyDescent="0.25">
      <c r="A574" t="s">
        <v>4062</v>
      </c>
      <c r="B574" t="s">
        <v>5016</v>
      </c>
      <c r="C574" t="s">
        <v>63</v>
      </c>
      <c r="D574" s="7">
        <v>1.05</v>
      </c>
      <c r="E574" s="2">
        <v>126355</v>
      </c>
      <c r="F574" s="2">
        <v>132672.75</v>
      </c>
    </row>
    <row r="575" spans="1:6" x14ac:dyDescent="0.25">
      <c r="A575" t="s">
        <v>4062</v>
      </c>
      <c r="B575" t="s">
        <v>5017</v>
      </c>
      <c r="C575" t="s">
        <v>42</v>
      </c>
      <c r="D575" s="7">
        <v>3</v>
      </c>
      <c r="E575" s="2">
        <v>26711</v>
      </c>
      <c r="F575" s="2">
        <v>80133</v>
      </c>
    </row>
    <row r="576" spans="1:6" x14ac:dyDescent="0.25">
      <c r="A576" t="s">
        <v>4062</v>
      </c>
      <c r="B576" t="s">
        <v>5018</v>
      </c>
      <c r="C576" t="s">
        <v>63</v>
      </c>
      <c r="D576" s="7">
        <v>1.5</v>
      </c>
      <c r="E576" s="2">
        <v>19690.78</v>
      </c>
      <c r="F576" s="2">
        <v>29536.17</v>
      </c>
    </row>
    <row r="577" spans="1:6" x14ac:dyDescent="0.25">
      <c r="A577" t="s">
        <v>4049</v>
      </c>
      <c r="B577" t="s">
        <v>4241</v>
      </c>
      <c r="C577" t="s">
        <v>4051</v>
      </c>
      <c r="D577" s="7">
        <v>4</v>
      </c>
      <c r="E577" s="2">
        <v>9941.22</v>
      </c>
      <c r="F577" s="2">
        <v>39764.88</v>
      </c>
    </row>
    <row r="578" spans="1:6" x14ac:dyDescent="0.25">
      <c r="A578" t="s">
        <v>4049</v>
      </c>
      <c r="B578" t="s">
        <v>4242</v>
      </c>
      <c r="C578" t="s">
        <v>4051</v>
      </c>
      <c r="D578" s="7">
        <v>4</v>
      </c>
      <c r="E578" s="2">
        <v>17069.53</v>
      </c>
      <c r="F578" s="2">
        <v>68278.12</v>
      </c>
    </row>
    <row r="579" spans="1:6" x14ac:dyDescent="0.25">
      <c r="A579" t="s">
        <v>4052</v>
      </c>
      <c r="B579" t="s">
        <v>4053</v>
      </c>
      <c r="C579" t="s">
        <v>4054</v>
      </c>
      <c r="D579" s="7">
        <v>3.3</v>
      </c>
      <c r="E579" s="2">
        <v>108043</v>
      </c>
      <c r="F579" s="2">
        <v>3565.42</v>
      </c>
    </row>
    <row r="580" spans="1:6" x14ac:dyDescent="0.25">
      <c r="A580" t="s">
        <v>4055</v>
      </c>
      <c r="D580" s="7"/>
      <c r="E580" s="2"/>
      <c r="F580" s="2">
        <f>SUBTOTAL(109,A_1_07_52[VALOR PARCIAL])</f>
      </c>
    </row>
    <row r="582" ht="30" customHeight="1" spans="1:6" x14ac:dyDescent="0.25">
      <c r="A582" s="5" t="s">
        <v>5019</v>
      </c>
      <c r="B582" s="5"/>
      <c r="C582" s="5"/>
      <c r="D582" s="5"/>
      <c r="E582" s="5"/>
      <c r="F582" s="5"/>
    </row>
    <row r="583" ht="42" customHeight="1" spans="1:6" x14ac:dyDescent="0.25">
      <c r="A583" s="6" t="s">
        <v>5020</v>
      </c>
      <c r="B583" s="6"/>
      <c r="C583" s="6"/>
      <c r="D583" s="6"/>
      <c r="E583" s="6"/>
      <c r="F583" s="6"/>
    </row>
    <row r="584" spans="1:6" x14ac:dyDescent="0.25">
      <c r="A584" t="s">
        <v>4044</v>
      </c>
      <c r="B584" t="s">
        <v>4045</v>
      </c>
      <c r="C584" t="s">
        <v>5</v>
      </c>
      <c r="D584" t="s">
        <v>4046</v>
      </c>
      <c r="E584" t="s">
        <v>4047</v>
      </c>
      <c r="F584" t="s">
        <v>4048</v>
      </c>
    </row>
    <row r="585" spans="1:6" x14ac:dyDescent="0.25">
      <c r="A585" t="s">
        <v>4062</v>
      </c>
      <c r="B585" t="s">
        <v>4893</v>
      </c>
      <c r="C585" t="s">
        <v>42</v>
      </c>
      <c r="D585" s="7">
        <v>2</v>
      </c>
      <c r="E585" s="2">
        <v>2293</v>
      </c>
      <c r="F585" s="2">
        <v>4586</v>
      </c>
    </row>
    <row r="586" spans="1:6" x14ac:dyDescent="0.25">
      <c r="A586" t="s">
        <v>4062</v>
      </c>
      <c r="B586" t="s">
        <v>4842</v>
      </c>
      <c r="C586" t="s">
        <v>63</v>
      </c>
      <c r="D586" s="7">
        <v>1</v>
      </c>
      <c r="E586" s="2">
        <v>1951</v>
      </c>
      <c r="F586" s="2">
        <v>1951</v>
      </c>
    </row>
    <row r="587" spans="1:6" x14ac:dyDescent="0.25">
      <c r="A587" t="s">
        <v>4062</v>
      </c>
      <c r="B587" t="s">
        <v>4843</v>
      </c>
      <c r="C587" t="s">
        <v>63</v>
      </c>
      <c r="D587" s="7">
        <v>2</v>
      </c>
      <c r="E587" s="2">
        <v>1163</v>
      </c>
      <c r="F587" s="2">
        <v>2326</v>
      </c>
    </row>
    <row r="588" spans="1:6" x14ac:dyDescent="0.25">
      <c r="A588" t="s">
        <v>4062</v>
      </c>
      <c r="B588" t="s">
        <v>4833</v>
      </c>
      <c r="C588" t="s">
        <v>63</v>
      </c>
      <c r="D588" s="7">
        <v>1</v>
      </c>
      <c r="E588" s="2">
        <v>404</v>
      </c>
      <c r="F588" s="2">
        <v>404</v>
      </c>
    </row>
    <row r="589" spans="1:6" x14ac:dyDescent="0.25">
      <c r="A589" t="s">
        <v>4062</v>
      </c>
      <c r="B589" t="s">
        <v>4940</v>
      </c>
      <c r="C589" t="s">
        <v>63</v>
      </c>
      <c r="D589" s="7">
        <v>1</v>
      </c>
      <c r="E589" s="2">
        <v>15600</v>
      </c>
      <c r="F589" s="2">
        <v>15600</v>
      </c>
    </row>
    <row r="590" spans="1:6" x14ac:dyDescent="0.25">
      <c r="A590" t="s">
        <v>4062</v>
      </c>
      <c r="B590" t="s">
        <v>4659</v>
      </c>
      <c r="C590" t="s">
        <v>4377</v>
      </c>
      <c r="D590" s="7">
        <v>0.01</v>
      </c>
      <c r="E590" s="2">
        <v>31500</v>
      </c>
      <c r="F590" s="2">
        <v>315</v>
      </c>
    </row>
    <row r="591" spans="1:6" x14ac:dyDescent="0.25">
      <c r="A591" t="s">
        <v>4062</v>
      </c>
      <c r="B591" t="s">
        <v>4835</v>
      </c>
      <c r="C591" t="s">
        <v>42</v>
      </c>
      <c r="D591" s="7">
        <v>6</v>
      </c>
      <c r="E591" s="2">
        <v>1854</v>
      </c>
      <c r="F591" s="2">
        <v>11124</v>
      </c>
    </row>
    <row r="592" spans="1:6" x14ac:dyDescent="0.25">
      <c r="A592" t="s">
        <v>4062</v>
      </c>
      <c r="B592" t="s">
        <v>4376</v>
      </c>
      <c r="C592" t="s">
        <v>4377</v>
      </c>
      <c r="D592" s="7">
        <v>0.01</v>
      </c>
      <c r="E592" s="2">
        <v>72237.67</v>
      </c>
      <c r="F592" s="2">
        <v>722.38</v>
      </c>
    </row>
    <row r="593" spans="1:6" x14ac:dyDescent="0.25">
      <c r="A593" t="s">
        <v>4049</v>
      </c>
      <c r="B593" t="s">
        <v>4241</v>
      </c>
      <c r="C593" t="s">
        <v>4051</v>
      </c>
      <c r="D593" s="7">
        <v>2</v>
      </c>
      <c r="E593" s="2">
        <v>9941.22</v>
      </c>
      <c r="F593" s="2">
        <v>19882.44</v>
      </c>
    </row>
    <row r="594" spans="1:6" x14ac:dyDescent="0.25">
      <c r="A594" t="s">
        <v>4049</v>
      </c>
      <c r="B594" t="s">
        <v>4242</v>
      </c>
      <c r="C594" t="s">
        <v>4051</v>
      </c>
      <c r="D594" s="7">
        <v>1</v>
      </c>
      <c r="E594" s="2">
        <v>17069.53</v>
      </c>
      <c r="F594" s="2">
        <v>17069.53</v>
      </c>
    </row>
    <row r="595" spans="1:6" x14ac:dyDescent="0.25">
      <c r="A595" t="s">
        <v>4052</v>
      </c>
      <c r="B595" t="s">
        <v>4053</v>
      </c>
      <c r="C595" t="s">
        <v>4054</v>
      </c>
      <c r="D595" s="7">
        <v>5</v>
      </c>
      <c r="E595" s="2">
        <v>36951.97</v>
      </c>
      <c r="F595" s="2">
        <v>1847.6</v>
      </c>
    </row>
    <row r="596" spans="1:6" x14ac:dyDescent="0.25">
      <c r="A596" t="s">
        <v>4055</v>
      </c>
      <c r="D596" s="7"/>
      <c r="E596" s="2"/>
      <c r="F596" s="2">
        <f>SUBTOTAL(109,A_1_07_53[VALOR PARCIAL])</f>
      </c>
    </row>
    <row r="598" ht="30" customHeight="1" spans="1:6" x14ac:dyDescent="0.25">
      <c r="A598" s="5" t="s">
        <v>5021</v>
      </c>
      <c r="B598" s="5"/>
      <c r="C598" s="5"/>
      <c r="D598" s="5"/>
      <c r="E598" s="5"/>
      <c r="F598" s="5"/>
    </row>
    <row r="599" ht="42" customHeight="1" spans="1:6" x14ac:dyDescent="0.25">
      <c r="A599" s="6" t="s">
        <v>5020</v>
      </c>
      <c r="B599" s="6"/>
      <c r="C599" s="6"/>
      <c r="D599" s="6"/>
      <c r="E599" s="6"/>
      <c r="F599" s="6"/>
    </row>
    <row r="600" spans="1:6" x14ac:dyDescent="0.25">
      <c r="A600" t="s">
        <v>4044</v>
      </c>
      <c r="B600" t="s">
        <v>4045</v>
      </c>
      <c r="C600" t="s">
        <v>5</v>
      </c>
      <c r="D600" t="s">
        <v>4046</v>
      </c>
      <c r="E600" t="s">
        <v>4047</v>
      </c>
      <c r="F600" t="s">
        <v>4048</v>
      </c>
    </row>
    <row r="601" spans="1:6" x14ac:dyDescent="0.25">
      <c r="A601" t="s">
        <v>4062</v>
      </c>
      <c r="B601" t="s">
        <v>4893</v>
      </c>
      <c r="C601" t="s">
        <v>42</v>
      </c>
      <c r="D601" s="7">
        <v>2</v>
      </c>
      <c r="E601" s="2">
        <v>2293</v>
      </c>
      <c r="F601" s="2">
        <v>4586</v>
      </c>
    </row>
    <row r="602" spans="1:6" x14ac:dyDescent="0.25">
      <c r="A602" t="s">
        <v>4062</v>
      </c>
      <c r="B602" t="s">
        <v>4842</v>
      </c>
      <c r="C602" t="s">
        <v>63</v>
      </c>
      <c r="D602" s="7">
        <v>1</v>
      </c>
      <c r="E602" s="2">
        <v>1951</v>
      </c>
      <c r="F602" s="2">
        <v>1951</v>
      </c>
    </row>
    <row r="603" spans="1:6" x14ac:dyDescent="0.25">
      <c r="A603" t="s">
        <v>4062</v>
      </c>
      <c r="B603" t="s">
        <v>4843</v>
      </c>
      <c r="C603" t="s">
        <v>63</v>
      </c>
      <c r="D603" s="7">
        <v>2</v>
      </c>
      <c r="E603" s="2">
        <v>1163</v>
      </c>
      <c r="F603" s="2">
        <v>2326</v>
      </c>
    </row>
    <row r="604" spans="1:6" x14ac:dyDescent="0.25">
      <c r="A604" t="s">
        <v>4062</v>
      </c>
      <c r="B604" t="s">
        <v>4833</v>
      </c>
      <c r="C604" t="s">
        <v>63</v>
      </c>
      <c r="D604" s="7">
        <v>1</v>
      </c>
      <c r="E604" s="2">
        <v>404</v>
      </c>
      <c r="F604" s="2">
        <v>404</v>
      </c>
    </row>
    <row r="605" spans="1:6" x14ac:dyDescent="0.25">
      <c r="A605" t="s">
        <v>4062</v>
      </c>
      <c r="B605" t="s">
        <v>4858</v>
      </c>
      <c r="C605" t="s">
        <v>63</v>
      </c>
      <c r="D605" s="7">
        <v>1</v>
      </c>
      <c r="E605" s="2">
        <v>11482</v>
      </c>
      <c r="F605" s="2">
        <v>11482</v>
      </c>
    </row>
    <row r="606" spans="1:6" x14ac:dyDescent="0.25">
      <c r="A606" t="s">
        <v>4062</v>
      </c>
      <c r="B606" t="s">
        <v>4659</v>
      </c>
      <c r="C606" t="s">
        <v>4377</v>
      </c>
      <c r="D606" s="7">
        <v>0.01</v>
      </c>
      <c r="E606" s="2">
        <v>31500</v>
      </c>
      <c r="F606" s="2">
        <v>315</v>
      </c>
    </row>
    <row r="607" spans="1:6" x14ac:dyDescent="0.25">
      <c r="A607" t="s">
        <v>4062</v>
      </c>
      <c r="B607" t="s">
        <v>4835</v>
      </c>
      <c r="C607" t="s">
        <v>42</v>
      </c>
      <c r="D607" s="7">
        <v>6</v>
      </c>
      <c r="E607" s="2">
        <v>1854</v>
      </c>
      <c r="F607" s="2">
        <v>11124</v>
      </c>
    </row>
    <row r="608" spans="1:6" x14ac:dyDescent="0.25">
      <c r="A608" t="s">
        <v>4062</v>
      </c>
      <c r="B608" t="s">
        <v>4376</v>
      </c>
      <c r="C608" t="s">
        <v>4377</v>
      </c>
      <c r="D608" s="7">
        <v>0.01</v>
      </c>
      <c r="E608" s="2">
        <v>72237.67</v>
      </c>
      <c r="F608" s="2">
        <v>722.38</v>
      </c>
    </row>
    <row r="609" spans="1:6" x14ac:dyDescent="0.25">
      <c r="A609" t="s">
        <v>4049</v>
      </c>
      <c r="B609" t="s">
        <v>4241</v>
      </c>
      <c r="C609" t="s">
        <v>4051</v>
      </c>
      <c r="D609" s="7">
        <v>2</v>
      </c>
      <c r="E609" s="2">
        <v>9941.22</v>
      </c>
      <c r="F609" s="2">
        <v>19882.44</v>
      </c>
    </row>
    <row r="610" spans="1:6" x14ac:dyDescent="0.25">
      <c r="A610" t="s">
        <v>4049</v>
      </c>
      <c r="B610" t="s">
        <v>4242</v>
      </c>
      <c r="C610" t="s">
        <v>4051</v>
      </c>
      <c r="D610" s="7">
        <v>1</v>
      </c>
      <c r="E610" s="2">
        <v>17069.53</v>
      </c>
      <c r="F610" s="2">
        <v>17069.53</v>
      </c>
    </row>
    <row r="611" spans="1:6" x14ac:dyDescent="0.25">
      <c r="A611" t="s">
        <v>4052</v>
      </c>
      <c r="B611" t="s">
        <v>4053</v>
      </c>
      <c r="C611" t="s">
        <v>4054</v>
      </c>
      <c r="D611" s="7">
        <v>5</v>
      </c>
      <c r="E611" s="2">
        <v>36951.97</v>
      </c>
      <c r="F611" s="2">
        <v>1847.6</v>
      </c>
    </row>
    <row r="612" spans="1:6" x14ac:dyDescent="0.25">
      <c r="A612" t="s">
        <v>4055</v>
      </c>
      <c r="D612" s="7"/>
      <c r="E612" s="2"/>
      <c r="F612" s="2">
        <f>SUBTOTAL(109,A_1_07_54[VALOR PARCIAL])</f>
      </c>
    </row>
    <row r="614" ht="30" customHeight="1" spans="1:6" x14ac:dyDescent="0.25">
      <c r="A614" s="5" t="s">
        <v>5022</v>
      </c>
      <c r="B614" s="5"/>
      <c r="C614" s="5"/>
      <c r="D614" s="5"/>
      <c r="E614" s="5"/>
      <c r="F614" s="5"/>
    </row>
    <row r="615" ht="42" customHeight="1" spans="1:6" x14ac:dyDescent="0.25">
      <c r="A615" s="6" t="s">
        <v>5023</v>
      </c>
      <c r="B615" s="6"/>
      <c r="C615" s="6"/>
      <c r="D615" s="6"/>
      <c r="E615" s="6"/>
      <c r="F615" s="6"/>
    </row>
    <row r="616" spans="1:6" x14ac:dyDescent="0.25">
      <c r="A616" t="s">
        <v>4044</v>
      </c>
      <c r="B616" t="s">
        <v>4045</v>
      </c>
      <c r="C616" t="s">
        <v>5</v>
      </c>
      <c r="D616" t="s">
        <v>4046</v>
      </c>
      <c r="E616" t="s">
        <v>4047</v>
      </c>
      <c r="F616" t="s">
        <v>4048</v>
      </c>
    </row>
    <row r="617" spans="1:6" x14ac:dyDescent="0.25">
      <c r="A617" t="s">
        <v>4062</v>
      </c>
      <c r="B617" t="s">
        <v>4893</v>
      </c>
      <c r="C617" t="s">
        <v>42</v>
      </c>
      <c r="D617" s="7">
        <v>2</v>
      </c>
      <c r="E617" s="2">
        <v>2293</v>
      </c>
      <c r="F617" s="2">
        <v>4586</v>
      </c>
    </row>
    <row r="618" spans="1:6" x14ac:dyDescent="0.25">
      <c r="A618" t="s">
        <v>4062</v>
      </c>
      <c r="B618" t="s">
        <v>4898</v>
      </c>
      <c r="C618" t="s">
        <v>42</v>
      </c>
      <c r="D618" s="7">
        <v>6</v>
      </c>
      <c r="E618" s="2">
        <v>1844</v>
      </c>
      <c r="F618" s="2">
        <v>11064</v>
      </c>
    </row>
    <row r="619" spans="1:6" x14ac:dyDescent="0.25">
      <c r="A619" t="s">
        <v>4062</v>
      </c>
      <c r="B619" t="s">
        <v>4842</v>
      </c>
      <c r="C619" t="s">
        <v>63</v>
      </c>
      <c r="D619" s="7">
        <v>1</v>
      </c>
      <c r="E619" s="2">
        <v>1951</v>
      </c>
      <c r="F619" s="2">
        <v>1951</v>
      </c>
    </row>
    <row r="620" spans="1:6" x14ac:dyDescent="0.25">
      <c r="A620" t="s">
        <v>4062</v>
      </c>
      <c r="B620" t="s">
        <v>4843</v>
      </c>
      <c r="C620" t="s">
        <v>63</v>
      </c>
      <c r="D620" s="7">
        <v>2</v>
      </c>
      <c r="E620" s="2">
        <v>1163</v>
      </c>
      <c r="F620" s="2">
        <v>2326</v>
      </c>
    </row>
    <row r="621" spans="1:6" x14ac:dyDescent="0.25">
      <c r="A621" t="s">
        <v>4062</v>
      </c>
      <c r="B621" t="s">
        <v>4833</v>
      </c>
      <c r="C621" t="s">
        <v>63</v>
      </c>
      <c r="D621" s="7">
        <v>1</v>
      </c>
      <c r="E621" s="2">
        <v>404</v>
      </c>
      <c r="F621" s="2">
        <v>404</v>
      </c>
    </row>
    <row r="622" spans="1:6" x14ac:dyDescent="0.25">
      <c r="A622" t="s">
        <v>4062</v>
      </c>
      <c r="B622" t="s">
        <v>4858</v>
      </c>
      <c r="C622" t="s">
        <v>63</v>
      </c>
      <c r="D622" s="7">
        <v>1</v>
      </c>
      <c r="E622" s="2">
        <v>11482</v>
      </c>
      <c r="F622" s="2">
        <v>11482</v>
      </c>
    </row>
    <row r="623" spans="1:6" x14ac:dyDescent="0.25">
      <c r="A623" t="s">
        <v>4062</v>
      </c>
      <c r="B623" t="s">
        <v>4659</v>
      </c>
      <c r="C623" t="s">
        <v>4377</v>
      </c>
      <c r="D623" s="7">
        <v>0.01</v>
      </c>
      <c r="E623" s="2">
        <v>31500</v>
      </c>
      <c r="F623" s="2">
        <v>315</v>
      </c>
    </row>
    <row r="624" spans="1:6" x14ac:dyDescent="0.25">
      <c r="A624" t="s">
        <v>4062</v>
      </c>
      <c r="B624" t="s">
        <v>4376</v>
      </c>
      <c r="C624" t="s">
        <v>4377</v>
      </c>
      <c r="D624" s="7">
        <v>0.01</v>
      </c>
      <c r="E624" s="2">
        <v>72237.67</v>
      </c>
      <c r="F624" s="2">
        <v>722.38</v>
      </c>
    </row>
    <row r="625" spans="1:6" x14ac:dyDescent="0.25">
      <c r="A625" t="s">
        <v>4049</v>
      </c>
      <c r="B625" t="s">
        <v>4241</v>
      </c>
      <c r="C625" t="s">
        <v>4051</v>
      </c>
      <c r="D625" s="7">
        <v>2</v>
      </c>
      <c r="E625" s="2">
        <v>9941.22</v>
      </c>
      <c r="F625" s="2">
        <v>19882.44</v>
      </c>
    </row>
    <row r="626" spans="1:6" x14ac:dyDescent="0.25">
      <c r="A626" t="s">
        <v>4049</v>
      </c>
      <c r="B626" t="s">
        <v>4242</v>
      </c>
      <c r="C626" t="s">
        <v>4051</v>
      </c>
      <c r="D626" s="7">
        <v>1</v>
      </c>
      <c r="E626" s="2">
        <v>17069.53</v>
      </c>
      <c r="F626" s="2">
        <v>17069.53</v>
      </c>
    </row>
    <row r="627" spans="1:6" x14ac:dyDescent="0.25">
      <c r="A627" t="s">
        <v>4052</v>
      </c>
      <c r="B627" t="s">
        <v>4053</v>
      </c>
      <c r="C627" t="s">
        <v>4054</v>
      </c>
      <c r="D627" s="7">
        <v>5</v>
      </c>
      <c r="E627" s="2">
        <v>36951.97</v>
      </c>
      <c r="F627" s="2">
        <v>1847.6</v>
      </c>
    </row>
    <row r="628" spans="1:6" x14ac:dyDescent="0.25">
      <c r="A628" t="s">
        <v>4055</v>
      </c>
      <c r="D628" s="7"/>
      <c r="E628" s="2"/>
      <c r="F628" s="2">
        <f>SUBTOTAL(109,A_1_07_55[VALOR PARCIAL])</f>
      </c>
    </row>
    <row r="630" ht="30" customHeight="1" spans="1:6" x14ac:dyDescent="0.25">
      <c r="A630" s="5" t="s">
        <v>5024</v>
      </c>
      <c r="B630" s="5"/>
      <c r="C630" s="5"/>
      <c r="D630" s="5"/>
      <c r="E630" s="5"/>
      <c r="F630" s="5"/>
    </row>
    <row r="631" ht="42" customHeight="1" spans="1:6" x14ac:dyDescent="0.25">
      <c r="A631" s="6" t="s">
        <v>5023</v>
      </c>
      <c r="B631" s="6"/>
      <c r="C631" s="6"/>
      <c r="D631" s="6"/>
      <c r="E631" s="6"/>
      <c r="F631" s="6"/>
    </row>
    <row r="632" spans="1:6" x14ac:dyDescent="0.25">
      <c r="A632" t="s">
        <v>4044</v>
      </c>
      <c r="B632" t="s">
        <v>4045</v>
      </c>
      <c r="C632" t="s">
        <v>5</v>
      </c>
      <c r="D632" t="s">
        <v>4046</v>
      </c>
      <c r="E632" t="s">
        <v>4047</v>
      </c>
      <c r="F632" t="s">
        <v>4048</v>
      </c>
    </row>
    <row r="633" spans="1:6" x14ac:dyDescent="0.25">
      <c r="A633" t="s">
        <v>4062</v>
      </c>
      <c r="B633" t="s">
        <v>4893</v>
      </c>
      <c r="C633" t="s">
        <v>42</v>
      </c>
      <c r="D633" s="7">
        <v>2</v>
      </c>
      <c r="E633" s="2">
        <v>2293</v>
      </c>
      <c r="F633" s="2">
        <v>4586</v>
      </c>
    </row>
    <row r="634" spans="1:6" x14ac:dyDescent="0.25">
      <c r="A634" t="s">
        <v>4062</v>
      </c>
      <c r="B634" t="s">
        <v>4898</v>
      </c>
      <c r="C634" t="s">
        <v>42</v>
      </c>
      <c r="D634" s="7">
        <v>6</v>
      </c>
      <c r="E634" s="2">
        <v>1844</v>
      </c>
      <c r="F634" s="2">
        <v>11064</v>
      </c>
    </row>
    <row r="635" spans="1:6" x14ac:dyDescent="0.25">
      <c r="A635" t="s">
        <v>4062</v>
      </c>
      <c r="B635" t="s">
        <v>4842</v>
      </c>
      <c r="C635" t="s">
        <v>63</v>
      </c>
      <c r="D635" s="7">
        <v>1</v>
      </c>
      <c r="E635" s="2">
        <v>1951</v>
      </c>
      <c r="F635" s="2">
        <v>1951</v>
      </c>
    </row>
    <row r="636" spans="1:6" x14ac:dyDescent="0.25">
      <c r="A636" t="s">
        <v>4062</v>
      </c>
      <c r="B636" t="s">
        <v>4843</v>
      </c>
      <c r="C636" t="s">
        <v>63</v>
      </c>
      <c r="D636" s="7">
        <v>2</v>
      </c>
      <c r="E636" s="2">
        <v>1163</v>
      </c>
      <c r="F636" s="2">
        <v>2326</v>
      </c>
    </row>
    <row r="637" spans="1:6" x14ac:dyDescent="0.25">
      <c r="A637" t="s">
        <v>4062</v>
      </c>
      <c r="B637" t="s">
        <v>4833</v>
      </c>
      <c r="C637" t="s">
        <v>63</v>
      </c>
      <c r="D637" s="7">
        <v>1</v>
      </c>
      <c r="E637" s="2">
        <v>404</v>
      </c>
      <c r="F637" s="2">
        <v>404</v>
      </c>
    </row>
    <row r="638" spans="1:6" x14ac:dyDescent="0.25">
      <c r="A638" t="s">
        <v>4062</v>
      </c>
      <c r="B638" t="s">
        <v>4940</v>
      </c>
      <c r="C638" t="s">
        <v>63</v>
      </c>
      <c r="D638" s="7">
        <v>1</v>
      </c>
      <c r="E638" s="2">
        <v>15600</v>
      </c>
      <c r="F638" s="2">
        <v>15600</v>
      </c>
    </row>
    <row r="639" spans="1:6" x14ac:dyDescent="0.25">
      <c r="A639" t="s">
        <v>4062</v>
      </c>
      <c r="B639" t="s">
        <v>4659</v>
      </c>
      <c r="C639" t="s">
        <v>4377</v>
      </c>
      <c r="D639" s="7">
        <v>0.01</v>
      </c>
      <c r="E639" s="2">
        <v>31500</v>
      </c>
      <c r="F639" s="2">
        <v>315</v>
      </c>
    </row>
    <row r="640" spans="1:6" x14ac:dyDescent="0.25">
      <c r="A640" t="s">
        <v>4062</v>
      </c>
      <c r="B640" t="s">
        <v>4376</v>
      </c>
      <c r="C640" t="s">
        <v>4377</v>
      </c>
      <c r="D640" s="7">
        <v>0.01</v>
      </c>
      <c r="E640" s="2">
        <v>72237.67</v>
      </c>
      <c r="F640" s="2">
        <v>722.38</v>
      </c>
    </row>
    <row r="641" spans="1:6" x14ac:dyDescent="0.25">
      <c r="A641" t="s">
        <v>4049</v>
      </c>
      <c r="B641" t="s">
        <v>4241</v>
      </c>
      <c r="C641" t="s">
        <v>4051</v>
      </c>
      <c r="D641" s="7">
        <v>2</v>
      </c>
      <c r="E641" s="2">
        <v>9941.22</v>
      </c>
      <c r="F641" s="2">
        <v>19882.44</v>
      </c>
    </row>
    <row r="642" spans="1:6" x14ac:dyDescent="0.25">
      <c r="A642" t="s">
        <v>4049</v>
      </c>
      <c r="B642" t="s">
        <v>4242</v>
      </c>
      <c r="C642" t="s">
        <v>4051</v>
      </c>
      <c r="D642" s="7">
        <v>1</v>
      </c>
      <c r="E642" s="2">
        <v>17069.53</v>
      </c>
      <c r="F642" s="2">
        <v>17069.53</v>
      </c>
    </row>
    <row r="643" spans="1:6" x14ac:dyDescent="0.25">
      <c r="A643" t="s">
        <v>4052</v>
      </c>
      <c r="B643" t="s">
        <v>4053</v>
      </c>
      <c r="C643" t="s">
        <v>4054</v>
      </c>
      <c r="D643" s="7">
        <v>5</v>
      </c>
      <c r="E643" s="2">
        <v>36951.97</v>
      </c>
      <c r="F643" s="2">
        <v>1847.6</v>
      </c>
    </row>
    <row r="644" spans="1:6" x14ac:dyDescent="0.25">
      <c r="A644" t="s">
        <v>4055</v>
      </c>
      <c r="D644" s="7"/>
      <c r="E644" s="2"/>
      <c r="F644" s="2">
        <f>SUBTOTAL(109,A_1_07_56[VALOR PARCIAL])</f>
      </c>
    </row>
    <row r="646" ht="30" customHeight="1" spans="1:6" x14ac:dyDescent="0.25">
      <c r="A646" s="5" t="s">
        <v>5025</v>
      </c>
      <c r="B646" s="5"/>
      <c r="C646" s="5"/>
      <c r="D646" s="5"/>
      <c r="E646" s="5"/>
      <c r="F646" s="5"/>
    </row>
    <row r="647" ht="42" customHeight="1" spans="1:6" x14ac:dyDescent="0.25">
      <c r="A647" s="6" t="s">
        <v>5026</v>
      </c>
      <c r="B647" s="6"/>
      <c r="C647" s="6"/>
      <c r="D647" s="6"/>
      <c r="E647" s="6"/>
      <c r="F647" s="6"/>
    </row>
    <row r="648" spans="1:6" x14ac:dyDescent="0.25">
      <c r="A648" t="s">
        <v>4044</v>
      </c>
      <c r="B648" t="s">
        <v>4045</v>
      </c>
      <c r="C648" t="s">
        <v>5</v>
      </c>
      <c r="D648" t="s">
        <v>4046</v>
      </c>
      <c r="E648" t="s">
        <v>4047</v>
      </c>
      <c r="F648" t="s">
        <v>4048</v>
      </c>
    </row>
    <row r="649" spans="1:6" x14ac:dyDescent="0.25">
      <c r="A649" t="s">
        <v>4062</v>
      </c>
      <c r="B649" t="s">
        <v>4893</v>
      </c>
      <c r="C649" t="s">
        <v>42</v>
      </c>
      <c r="D649" s="7">
        <v>2</v>
      </c>
      <c r="E649" s="2">
        <v>2293</v>
      </c>
      <c r="F649" s="2">
        <v>4586</v>
      </c>
    </row>
    <row r="650" spans="1:6" x14ac:dyDescent="0.25">
      <c r="A650" t="s">
        <v>4062</v>
      </c>
      <c r="B650" t="s">
        <v>4842</v>
      </c>
      <c r="C650" t="s">
        <v>63</v>
      </c>
      <c r="D650" s="7">
        <v>1</v>
      </c>
      <c r="E650" s="2">
        <v>1951</v>
      </c>
      <c r="F650" s="2">
        <v>1951</v>
      </c>
    </row>
    <row r="651" spans="1:6" x14ac:dyDescent="0.25">
      <c r="A651" t="s">
        <v>4062</v>
      </c>
      <c r="B651" t="s">
        <v>4843</v>
      </c>
      <c r="C651" t="s">
        <v>63</v>
      </c>
      <c r="D651" s="7">
        <v>1</v>
      </c>
      <c r="E651" s="2">
        <v>1163</v>
      </c>
      <c r="F651" s="2">
        <v>1163</v>
      </c>
    </row>
    <row r="652" spans="1:6" x14ac:dyDescent="0.25">
      <c r="A652" t="s">
        <v>4062</v>
      </c>
      <c r="B652" t="s">
        <v>4833</v>
      </c>
      <c r="C652" t="s">
        <v>63</v>
      </c>
      <c r="D652" s="7">
        <v>1</v>
      </c>
      <c r="E652" s="2">
        <v>404</v>
      </c>
      <c r="F652" s="2">
        <v>404</v>
      </c>
    </row>
    <row r="653" spans="1:6" x14ac:dyDescent="0.25">
      <c r="A653" t="s">
        <v>4062</v>
      </c>
      <c r="B653" t="s">
        <v>4659</v>
      </c>
      <c r="C653" t="s">
        <v>4377</v>
      </c>
      <c r="D653" s="7">
        <v>0.01</v>
      </c>
      <c r="E653" s="2">
        <v>31500</v>
      </c>
      <c r="F653" s="2">
        <v>315</v>
      </c>
    </row>
    <row r="654" spans="1:6" x14ac:dyDescent="0.25">
      <c r="A654" t="s">
        <v>4062</v>
      </c>
      <c r="B654" t="s">
        <v>4835</v>
      </c>
      <c r="C654" t="s">
        <v>42</v>
      </c>
      <c r="D654" s="7">
        <v>6</v>
      </c>
      <c r="E654" s="2">
        <v>2850</v>
      </c>
      <c r="F654" s="2">
        <v>17100</v>
      </c>
    </row>
    <row r="655" spans="1:6" x14ac:dyDescent="0.25">
      <c r="A655" t="s">
        <v>4062</v>
      </c>
      <c r="B655" t="s">
        <v>4376</v>
      </c>
      <c r="C655" t="s">
        <v>4377</v>
      </c>
      <c r="D655" s="7">
        <v>0.01</v>
      </c>
      <c r="E655" s="2">
        <v>72237.67</v>
      </c>
      <c r="F655" s="2">
        <v>722.38</v>
      </c>
    </row>
    <row r="656" spans="1:6" x14ac:dyDescent="0.25">
      <c r="A656" t="s">
        <v>4049</v>
      </c>
      <c r="B656" t="s">
        <v>4241</v>
      </c>
      <c r="C656" t="s">
        <v>4051</v>
      </c>
      <c r="D656" s="7">
        <v>3.5</v>
      </c>
      <c r="E656" s="2">
        <v>9941.22</v>
      </c>
      <c r="F656" s="2">
        <v>34794.27</v>
      </c>
    </row>
    <row r="657" spans="1:6" x14ac:dyDescent="0.25">
      <c r="A657" t="s">
        <v>4049</v>
      </c>
      <c r="B657" t="s">
        <v>4242</v>
      </c>
      <c r="C657" t="s">
        <v>4051</v>
      </c>
      <c r="D657" s="7">
        <v>3.5</v>
      </c>
      <c r="E657" s="2">
        <v>17069.53</v>
      </c>
      <c r="F657" s="2">
        <v>59743.35</v>
      </c>
    </row>
    <row r="658" spans="1:6" x14ac:dyDescent="0.25">
      <c r="A658" t="s">
        <v>4052</v>
      </c>
      <c r="B658" t="s">
        <v>4053</v>
      </c>
      <c r="C658" t="s">
        <v>4054</v>
      </c>
      <c r="D658" s="7">
        <v>5</v>
      </c>
      <c r="E658" s="2">
        <v>94537.62</v>
      </c>
      <c r="F658" s="2">
        <v>4726.88</v>
      </c>
    </row>
    <row r="659" spans="1:6" x14ac:dyDescent="0.25">
      <c r="A659" t="s">
        <v>4055</v>
      </c>
      <c r="D659" s="7"/>
      <c r="E659" s="2"/>
      <c r="F659" s="2">
        <f>SUBTOTAL(109,A_1_07_57[VALOR PARCIAL])</f>
      </c>
    </row>
    <row r="661" ht="30" customHeight="1" spans="1:6" x14ac:dyDescent="0.25">
      <c r="A661" s="5" t="s">
        <v>5027</v>
      </c>
      <c r="B661" s="5"/>
      <c r="C661" s="5"/>
      <c r="D661" s="5"/>
      <c r="E661" s="5"/>
      <c r="F661" s="5"/>
    </row>
    <row r="662" ht="42" customHeight="1" spans="1:6" x14ac:dyDescent="0.25">
      <c r="A662" s="6" t="s">
        <v>5028</v>
      </c>
      <c r="B662" s="6"/>
      <c r="C662" s="6"/>
      <c r="D662" s="6"/>
      <c r="E662" s="6"/>
      <c r="F662" s="6"/>
    </row>
    <row r="663" spans="1:6" x14ac:dyDescent="0.25">
      <c r="A663" t="s">
        <v>4044</v>
      </c>
      <c r="B663" t="s">
        <v>4045</v>
      </c>
      <c r="C663" t="s">
        <v>5</v>
      </c>
      <c r="D663" t="s">
        <v>4046</v>
      </c>
      <c r="E663" t="s">
        <v>4047</v>
      </c>
      <c r="F663" t="s">
        <v>4048</v>
      </c>
    </row>
    <row r="664" spans="1:6" x14ac:dyDescent="0.25">
      <c r="A664" t="s">
        <v>4062</v>
      </c>
      <c r="B664" t="s">
        <v>4893</v>
      </c>
      <c r="C664" t="s">
        <v>42</v>
      </c>
      <c r="D664" s="7">
        <v>2</v>
      </c>
      <c r="E664" s="2">
        <v>2293</v>
      </c>
      <c r="F664" s="2">
        <v>4586</v>
      </c>
    </row>
    <row r="665" spans="1:6" x14ac:dyDescent="0.25">
      <c r="A665" t="s">
        <v>4062</v>
      </c>
      <c r="B665" t="s">
        <v>4898</v>
      </c>
      <c r="C665" t="s">
        <v>42</v>
      </c>
      <c r="D665" s="7">
        <v>6</v>
      </c>
      <c r="E665" s="2">
        <v>1844</v>
      </c>
      <c r="F665" s="2">
        <v>11064</v>
      </c>
    </row>
    <row r="666" spans="1:6" x14ac:dyDescent="0.25">
      <c r="A666" t="s">
        <v>4062</v>
      </c>
      <c r="B666" t="s">
        <v>4852</v>
      </c>
      <c r="C666" t="s">
        <v>63</v>
      </c>
      <c r="D666" s="7">
        <v>1</v>
      </c>
      <c r="E666" s="2">
        <v>1980</v>
      </c>
      <c r="F666" s="2">
        <v>1980</v>
      </c>
    </row>
    <row r="667" spans="1:6" x14ac:dyDescent="0.25">
      <c r="A667" t="s">
        <v>4062</v>
      </c>
      <c r="B667" t="s">
        <v>4843</v>
      </c>
      <c r="C667" t="s">
        <v>63</v>
      </c>
      <c r="D667" s="7">
        <v>1</v>
      </c>
      <c r="E667" s="2">
        <v>1163</v>
      </c>
      <c r="F667" s="2">
        <v>1163</v>
      </c>
    </row>
    <row r="668" spans="1:6" x14ac:dyDescent="0.25">
      <c r="A668" t="s">
        <v>4062</v>
      </c>
      <c r="B668" t="s">
        <v>4833</v>
      </c>
      <c r="C668" t="s">
        <v>63</v>
      </c>
      <c r="D668" s="7">
        <v>1</v>
      </c>
      <c r="E668" s="2">
        <v>404</v>
      </c>
      <c r="F668" s="2">
        <v>404</v>
      </c>
    </row>
    <row r="669" spans="1:6" x14ac:dyDescent="0.25">
      <c r="A669" t="s">
        <v>4062</v>
      </c>
      <c r="B669" t="s">
        <v>4659</v>
      </c>
      <c r="C669" t="s">
        <v>4377</v>
      </c>
      <c r="D669" s="7">
        <v>0.01</v>
      </c>
      <c r="E669" s="2">
        <v>31500</v>
      </c>
      <c r="F669" s="2">
        <v>315</v>
      </c>
    </row>
    <row r="670" spans="1:6" x14ac:dyDescent="0.25">
      <c r="A670" t="s">
        <v>4062</v>
      </c>
      <c r="B670" t="s">
        <v>4376</v>
      </c>
      <c r="C670" t="s">
        <v>4377</v>
      </c>
      <c r="D670" s="7">
        <v>0.01</v>
      </c>
      <c r="E670" s="2">
        <v>72237.67</v>
      </c>
      <c r="F670" s="2">
        <v>722.38</v>
      </c>
    </row>
    <row r="671" spans="1:6" x14ac:dyDescent="0.25">
      <c r="A671" t="s">
        <v>4049</v>
      </c>
      <c r="B671" t="s">
        <v>4241</v>
      </c>
      <c r="C671" t="s">
        <v>4051</v>
      </c>
      <c r="D671" s="7">
        <v>3.5</v>
      </c>
      <c r="E671" s="2">
        <v>9941.22</v>
      </c>
      <c r="F671" s="2">
        <v>34794.27</v>
      </c>
    </row>
    <row r="672" spans="1:6" x14ac:dyDescent="0.25">
      <c r="A672" t="s">
        <v>4049</v>
      </c>
      <c r="B672" t="s">
        <v>4242</v>
      </c>
      <c r="C672" t="s">
        <v>4051</v>
      </c>
      <c r="D672" s="7">
        <v>3.5</v>
      </c>
      <c r="E672" s="2">
        <v>17069.53</v>
      </c>
      <c r="F672" s="2">
        <v>59743.35</v>
      </c>
    </row>
    <row r="673" spans="1:6" x14ac:dyDescent="0.25">
      <c r="A673" t="s">
        <v>4052</v>
      </c>
      <c r="B673" t="s">
        <v>4053</v>
      </c>
      <c r="C673" t="s">
        <v>4054</v>
      </c>
      <c r="D673" s="7">
        <v>5</v>
      </c>
      <c r="E673" s="2">
        <v>94537.62</v>
      </c>
      <c r="F673" s="2">
        <v>4726.88</v>
      </c>
    </row>
    <row r="674" spans="1:6" x14ac:dyDescent="0.25">
      <c r="A674" t="s">
        <v>4055</v>
      </c>
      <c r="D674" s="7"/>
      <c r="E674" s="2"/>
      <c r="F674" s="2">
        <f>SUBTOTAL(109,A_1_07_58[VALOR PARCIAL])</f>
      </c>
    </row>
  </sheetData>
  <mergeCells count="114">
    <mergeCell ref="A4:F4"/>
    <mergeCell ref="A5:F5"/>
    <mergeCell ref="A21:F21"/>
    <mergeCell ref="A22:F22"/>
    <mergeCell ref="A37:F37"/>
    <mergeCell ref="A38:F38"/>
    <mergeCell ref="A48:F48"/>
    <mergeCell ref="A49:F49"/>
    <mergeCell ref="A65:F65"/>
    <mergeCell ref="A66:F66"/>
    <mergeCell ref="A82:F82"/>
    <mergeCell ref="A83:F83"/>
    <mergeCell ref="A96:F96"/>
    <mergeCell ref="A97:F97"/>
    <mergeCell ref="A112:F112"/>
    <mergeCell ref="A113:F113"/>
    <mergeCell ref="A127:F127"/>
    <mergeCell ref="A128:F128"/>
    <mergeCell ref="A143:F143"/>
    <mergeCell ref="A144:F144"/>
    <mergeCell ref="A160:F160"/>
    <mergeCell ref="A161:F161"/>
    <mergeCell ref="A170:F170"/>
    <mergeCell ref="A171:F171"/>
    <mergeCell ref="A179:F179"/>
    <mergeCell ref="A180:F180"/>
    <mergeCell ref="A187:F187"/>
    <mergeCell ref="A188:F188"/>
    <mergeCell ref="A203:F203"/>
    <mergeCell ref="A204:F204"/>
    <mergeCell ref="A219:F219"/>
    <mergeCell ref="A220:F220"/>
    <mergeCell ref="A228:F228"/>
    <mergeCell ref="A229:F229"/>
    <mergeCell ref="A239:F239"/>
    <mergeCell ref="A240:F240"/>
    <mergeCell ref="A248:F248"/>
    <mergeCell ref="A249:F249"/>
    <mergeCell ref="A259:F259"/>
    <mergeCell ref="A260:F260"/>
    <mergeCell ref="A268:F268"/>
    <mergeCell ref="A269:F269"/>
    <mergeCell ref="A277:F277"/>
    <mergeCell ref="A278:F278"/>
    <mergeCell ref="A286:F286"/>
    <mergeCell ref="A287:F287"/>
    <mergeCell ref="A295:F295"/>
    <mergeCell ref="A296:F296"/>
    <mergeCell ref="A306:F306"/>
    <mergeCell ref="A307:F307"/>
    <mergeCell ref="A317:F317"/>
    <mergeCell ref="A318:F318"/>
    <mergeCell ref="A327:F327"/>
    <mergeCell ref="A328:F328"/>
    <mergeCell ref="A337:F337"/>
    <mergeCell ref="A338:F338"/>
    <mergeCell ref="A352:F352"/>
    <mergeCell ref="A353:F353"/>
    <mergeCell ref="A360:F360"/>
    <mergeCell ref="A361:F361"/>
    <mergeCell ref="A368:F368"/>
    <mergeCell ref="A369:F369"/>
    <mergeCell ref="A379:F379"/>
    <mergeCell ref="A380:F380"/>
    <mergeCell ref="A390:F390"/>
    <mergeCell ref="A391:F391"/>
    <mergeCell ref="A401:F401"/>
    <mergeCell ref="A402:F402"/>
    <mergeCell ref="A409:F409"/>
    <mergeCell ref="A410:F410"/>
    <mergeCell ref="A417:F417"/>
    <mergeCell ref="A418:F418"/>
    <mergeCell ref="A427:F427"/>
    <mergeCell ref="A428:F428"/>
    <mergeCell ref="A437:F437"/>
    <mergeCell ref="A438:F438"/>
    <mergeCell ref="A447:F447"/>
    <mergeCell ref="A448:F448"/>
    <mergeCell ref="A455:F455"/>
    <mergeCell ref="A456:F456"/>
    <mergeCell ref="A463:F463"/>
    <mergeCell ref="A464:F464"/>
    <mergeCell ref="A472:F472"/>
    <mergeCell ref="A473:F473"/>
    <mergeCell ref="A481:F481"/>
    <mergeCell ref="A482:F482"/>
    <mergeCell ref="A489:F489"/>
    <mergeCell ref="A490:F490"/>
    <mergeCell ref="A499:F499"/>
    <mergeCell ref="A500:F500"/>
    <mergeCell ref="A509:F509"/>
    <mergeCell ref="A510:F510"/>
    <mergeCell ref="A519:F519"/>
    <mergeCell ref="A520:F520"/>
    <mergeCell ref="A538:F538"/>
    <mergeCell ref="A539:F539"/>
    <mergeCell ref="A550:F550"/>
    <mergeCell ref="A551:F551"/>
    <mergeCell ref="A559:F559"/>
    <mergeCell ref="A560:F560"/>
    <mergeCell ref="A571:F571"/>
    <mergeCell ref="A572:F572"/>
    <mergeCell ref="A582:F582"/>
    <mergeCell ref="A583:F583"/>
    <mergeCell ref="A598:F598"/>
    <mergeCell ref="A599:F599"/>
    <mergeCell ref="A614:F614"/>
    <mergeCell ref="A615:F615"/>
    <mergeCell ref="A630:F630"/>
    <mergeCell ref="A631:F631"/>
    <mergeCell ref="A646:F646"/>
    <mergeCell ref="A647:F647"/>
    <mergeCell ref="A661:F661"/>
    <mergeCell ref="A662:F662"/>
  </mergeCells>
  <pageMargins left="0.7" right="0.7" top="0.75" bottom="0.75" header="0.3" footer="0.3"/>
  <pageSetup orientation="portrait" horizontalDpi="4294967295" verticalDpi="4294967295" scale="100" fitToWidth="1" fitToHeight="1"/>
  <tableParts count="5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5029</v>
      </c>
    </row>
    <row r="2" spans="1:1" x14ac:dyDescent="0.25">
      <c r="A2" s="4" t="s">
        <v>5030</v>
      </c>
    </row>
    <row r="4" ht="30" customHeight="1" spans="1:6" x14ac:dyDescent="0.25">
      <c r="A4" s="5" t="s">
        <v>5031</v>
      </c>
      <c r="B4" s="5"/>
      <c r="C4" s="5"/>
      <c r="D4" s="5"/>
      <c r="E4" s="5"/>
      <c r="F4" s="5"/>
    </row>
    <row r="5" ht="42" customHeight="1" spans="1:6" x14ac:dyDescent="0.25">
      <c r="A5" s="6" t="s">
        <v>5032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5033</v>
      </c>
      <c r="C7" t="s">
        <v>63</v>
      </c>
      <c r="D7" s="7">
        <v>0.4</v>
      </c>
      <c r="E7" s="2">
        <v>988.67</v>
      </c>
      <c r="F7" s="2">
        <v>395.47</v>
      </c>
    </row>
    <row r="8" spans="1:6" x14ac:dyDescent="0.25">
      <c r="A8" t="s">
        <v>4062</v>
      </c>
      <c r="B8" t="s">
        <v>5034</v>
      </c>
      <c r="C8" t="s">
        <v>4066</v>
      </c>
      <c r="D8" s="7">
        <v>0.04</v>
      </c>
      <c r="E8" s="2">
        <v>12487.64</v>
      </c>
      <c r="F8" s="2">
        <v>499.51</v>
      </c>
    </row>
    <row r="9" spans="1:6" x14ac:dyDescent="0.25">
      <c r="A9" t="s">
        <v>4062</v>
      </c>
      <c r="B9" t="s">
        <v>5035</v>
      </c>
      <c r="C9" t="s">
        <v>4066</v>
      </c>
      <c r="D9" s="7">
        <v>0.02</v>
      </c>
      <c r="E9" s="2">
        <v>133730.14</v>
      </c>
      <c r="F9" s="2">
        <v>2674.6</v>
      </c>
    </row>
    <row r="10" spans="1:6" x14ac:dyDescent="0.25">
      <c r="A10" t="s">
        <v>4049</v>
      </c>
      <c r="B10" t="s">
        <v>4241</v>
      </c>
      <c r="C10" t="s">
        <v>4051</v>
      </c>
      <c r="D10" s="7">
        <v>0.08</v>
      </c>
      <c r="E10" s="2">
        <v>9941.22</v>
      </c>
      <c r="F10" s="2">
        <v>795.3</v>
      </c>
    </row>
    <row r="11" spans="1:6" x14ac:dyDescent="0.25">
      <c r="A11" t="s">
        <v>4049</v>
      </c>
      <c r="B11" t="s">
        <v>4242</v>
      </c>
      <c r="C11" t="s">
        <v>4051</v>
      </c>
      <c r="D11" s="7">
        <v>0.08</v>
      </c>
      <c r="E11" s="2">
        <v>17069.53</v>
      </c>
      <c r="F11" s="2">
        <v>1365.56</v>
      </c>
    </row>
    <row r="12" spans="1:6" x14ac:dyDescent="0.25">
      <c r="A12" t="s">
        <v>4052</v>
      </c>
      <c r="B12" t="s">
        <v>4053</v>
      </c>
      <c r="C12" t="s">
        <v>4054</v>
      </c>
      <c r="D12" s="7">
        <v>3.3</v>
      </c>
      <c r="E12" s="2">
        <v>2160.86</v>
      </c>
      <c r="F12" s="2">
        <v>71.31</v>
      </c>
    </row>
    <row r="13" spans="1:6" x14ac:dyDescent="0.25">
      <c r="A13" t="s">
        <v>4055</v>
      </c>
      <c r="D13" s="7"/>
      <c r="E13" s="2"/>
      <c r="F13" s="2">
        <f>SUBTOTAL(109,A_1_08_01[VALOR PARCIAL])</f>
      </c>
    </row>
    <row r="15" ht="30" customHeight="1" spans="1:6" x14ac:dyDescent="0.25">
      <c r="A15" s="5" t="s">
        <v>5036</v>
      </c>
      <c r="B15" s="5"/>
      <c r="C15" s="5"/>
      <c r="D15" s="5"/>
      <c r="E15" s="5"/>
      <c r="F15" s="5"/>
    </row>
    <row r="16" ht="42" customHeight="1" spans="1:6" x14ac:dyDescent="0.25">
      <c r="A16" s="6" t="s">
        <v>5037</v>
      </c>
      <c r="B16" s="6"/>
      <c r="C16" s="6"/>
      <c r="D16" s="6"/>
      <c r="E16" s="6"/>
      <c r="F16" s="6"/>
    </row>
    <row r="17" spans="1:6" x14ac:dyDescent="0.25">
      <c r="A17" t="s">
        <v>4044</v>
      </c>
      <c r="B17" t="s">
        <v>4045</v>
      </c>
      <c r="C17" t="s">
        <v>5</v>
      </c>
      <c r="D17" t="s">
        <v>4046</v>
      </c>
      <c r="E17" t="s">
        <v>4047</v>
      </c>
      <c r="F17" t="s">
        <v>4048</v>
      </c>
    </row>
    <row r="18" spans="1:6" x14ac:dyDescent="0.25">
      <c r="A18" t="s">
        <v>4062</v>
      </c>
      <c r="B18" t="s">
        <v>4691</v>
      </c>
      <c r="C18" t="s">
        <v>4532</v>
      </c>
      <c r="D18" s="7">
        <v>0.01</v>
      </c>
      <c r="E18" s="2">
        <v>748</v>
      </c>
      <c r="F18" s="2">
        <v>7.48</v>
      </c>
    </row>
    <row r="19" spans="1:6" x14ac:dyDescent="0.25">
      <c r="A19" t="s">
        <v>4062</v>
      </c>
      <c r="B19" t="s">
        <v>4713</v>
      </c>
      <c r="C19" t="s">
        <v>63</v>
      </c>
      <c r="D19" s="7">
        <v>0.4</v>
      </c>
      <c r="E19" s="2">
        <v>1647</v>
      </c>
      <c r="F19" s="2">
        <v>658.8</v>
      </c>
    </row>
    <row r="20" spans="1:6" x14ac:dyDescent="0.25">
      <c r="A20" t="s">
        <v>4062</v>
      </c>
      <c r="B20" t="s">
        <v>5038</v>
      </c>
      <c r="C20" t="s">
        <v>63</v>
      </c>
      <c r="D20" s="7">
        <v>0.04</v>
      </c>
      <c r="E20" s="2">
        <v>24845</v>
      </c>
      <c r="F20" s="2">
        <v>993.8</v>
      </c>
    </row>
    <row r="21" spans="1:6" x14ac:dyDescent="0.25">
      <c r="A21" t="s">
        <v>4049</v>
      </c>
      <c r="B21" t="s">
        <v>4241</v>
      </c>
      <c r="C21" t="s">
        <v>4051</v>
      </c>
      <c r="D21" s="7">
        <v>0.13</v>
      </c>
      <c r="E21" s="2">
        <v>9941.22</v>
      </c>
      <c r="F21" s="2">
        <v>1292.36</v>
      </c>
    </row>
    <row r="22" spans="1:6" x14ac:dyDescent="0.25">
      <c r="A22" t="s">
        <v>4049</v>
      </c>
      <c r="B22" t="s">
        <v>4242</v>
      </c>
      <c r="C22" t="s">
        <v>4051</v>
      </c>
      <c r="D22" s="7">
        <v>0.13</v>
      </c>
      <c r="E22" s="2">
        <v>17069.53</v>
      </c>
      <c r="F22" s="2">
        <v>2219.04</v>
      </c>
    </row>
    <row r="23" spans="1:6" x14ac:dyDescent="0.25">
      <c r="A23" t="s">
        <v>4052</v>
      </c>
      <c r="B23" t="s">
        <v>4053</v>
      </c>
      <c r="C23" t="s">
        <v>4054</v>
      </c>
      <c r="D23" s="7">
        <v>3.3</v>
      </c>
      <c r="E23" s="2">
        <v>3511.4</v>
      </c>
      <c r="F23" s="2">
        <v>115.88</v>
      </c>
    </row>
    <row r="24" spans="1:6" x14ac:dyDescent="0.25">
      <c r="A24" t="s">
        <v>4055</v>
      </c>
      <c r="D24" s="7"/>
      <c r="E24" s="2"/>
      <c r="F24" s="2">
        <f>SUBTOTAL(109,A_1_08_02[VALOR PARCIAL])</f>
      </c>
    </row>
    <row r="26" ht="30" customHeight="1" spans="1:6" x14ac:dyDescent="0.25">
      <c r="A26" s="5" t="s">
        <v>5039</v>
      </c>
      <c r="B26" s="5"/>
      <c r="C26" s="5"/>
      <c r="D26" s="5"/>
      <c r="E26" s="5"/>
      <c r="F26" s="5"/>
    </row>
    <row r="27" ht="42" customHeight="1" spans="1:6" x14ac:dyDescent="0.25">
      <c r="A27" s="6" t="s">
        <v>5040</v>
      </c>
      <c r="B27" s="6"/>
      <c r="C27" s="6"/>
      <c r="D27" s="6"/>
      <c r="E27" s="6"/>
      <c r="F27" s="6"/>
    </row>
    <row r="28" spans="1:6" x14ac:dyDescent="0.25">
      <c r="A28" t="s">
        <v>4044</v>
      </c>
      <c r="B28" t="s">
        <v>4045</v>
      </c>
      <c r="C28" t="s">
        <v>5</v>
      </c>
      <c r="D28" t="s">
        <v>4046</v>
      </c>
      <c r="E28" t="s">
        <v>4047</v>
      </c>
      <c r="F28" t="s">
        <v>4048</v>
      </c>
    </row>
    <row r="29" spans="1:6" x14ac:dyDescent="0.25">
      <c r="A29" t="s">
        <v>4062</v>
      </c>
      <c r="B29" t="s">
        <v>5041</v>
      </c>
      <c r="C29" t="s">
        <v>42</v>
      </c>
      <c r="D29" s="7">
        <v>1</v>
      </c>
      <c r="E29" s="2">
        <v>11024.44</v>
      </c>
      <c r="F29" s="2">
        <v>11024.44</v>
      </c>
    </row>
    <row r="30" spans="1:6" x14ac:dyDescent="0.25">
      <c r="A30" t="s">
        <v>4062</v>
      </c>
      <c r="B30" t="s">
        <v>5042</v>
      </c>
      <c r="C30" t="s">
        <v>63</v>
      </c>
      <c r="D30" s="7">
        <v>0.6</v>
      </c>
      <c r="E30" s="2">
        <v>833</v>
      </c>
      <c r="F30" s="2">
        <v>499.8</v>
      </c>
    </row>
    <row r="31" spans="1:6" x14ac:dyDescent="0.25">
      <c r="A31" t="s">
        <v>4062</v>
      </c>
      <c r="B31" t="s">
        <v>5038</v>
      </c>
      <c r="C31" t="s">
        <v>63</v>
      </c>
      <c r="D31" s="7">
        <v>0.08</v>
      </c>
      <c r="E31" s="2">
        <v>24845</v>
      </c>
      <c r="F31" s="2">
        <v>1987.6</v>
      </c>
    </row>
    <row r="32" spans="1:6" x14ac:dyDescent="0.25">
      <c r="A32" t="s">
        <v>4049</v>
      </c>
      <c r="B32" t="s">
        <v>4241</v>
      </c>
      <c r="C32" t="s">
        <v>4051</v>
      </c>
      <c r="D32" s="7">
        <v>0.08</v>
      </c>
      <c r="E32" s="2">
        <v>9941.22</v>
      </c>
      <c r="F32" s="2">
        <v>795.3</v>
      </c>
    </row>
    <row r="33" spans="1:6" x14ac:dyDescent="0.25">
      <c r="A33" t="s">
        <v>4049</v>
      </c>
      <c r="B33" t="s">
        <v>4242</v>
      </c>
      <c r="C33" t="s">
        <v>4051</v>
      </c>
      <c r="D33" s="7">
        <v>0.08</v>
      </c>
      <c r="E33" s="2">
        <v>17069.53</v>
      </c>
      <c r="F33" s="2">
        <v>1365.56</v>
      </c>
    </row>
    <row r="34" spans="1:6" x14ac:dyDescent="0.25">
      <c r="A34" t="s">
        <v>4052</v>
      </c>
      <c r="B34" t="s">
        <v>4053</v>
      </c>
      <c r="C34" t="s">
        <v>4054</v>
      </c>
      <c r="D34" s="7">
        <v>3.3</v>
      </c>
      <c r="E34" s="2">
        <v>2160.86</v>
      </c>
      <c r="F34" s="2">
        <v>71.31</v>
      </c>
    </row>
    <row r="35" spans="1:6" x14ac:dyDescent="0.25">
      <c r="A35" t="s">
        <v>4055</v>
      </c>
      <c r="D35" s="7"/>
      <c r="E35" s="2"/>
      <c r="F35" s="2">
        <f>SUBTOTAL(109,A_1_08_03[VALOR PARCIAL])</f>
      </c>
    </row>
    <row r="37" ht="30" customHeight="1" spans="1:6" x14ac:dyDescent="0.25">
      <c r="A37" s="5" t="s">
        <v>5043</v>
      </c>
      <c r="B37" s="5"/>
      <c r="C37" s="5"/>
      <c r="D37" s="5"/>
      <c r="E37" s="5"/>
      <c r="F37" s="5"/>
    </row>
    <row r="38" ht="42" customHeight="1" spans="1:6" x14ac:dyDescent="0.25">
      <c r="A38" s="6" t="s">
        <v>5044</v>
      </c>
      <c r="B38" s="6"/>
      <c r="C38" s="6"/>
      <c r="D38" s="6"/>
      <c r="E38" s="6"/>
      <c r="F38" s="6"/>
    </row>
    <row r="39" spans="1:6" x14ac:dyDescent="0.25">
      <c r="A39" t="s">
        <v>4044</v>
      </c>
      <c r="B39" t="s">
        <v>4045</v>
      </c>
      <c r="C39" t="s">
        <v>5</v>
      </c>
      <c r="D39" t="s">
        <v>4046</v>
      </c>
      <c r="E39" t="s">
        <v>4047</v>
      </c>
      <c r="F39" t="s">
        <v>4048</v>
      </c>
    </row>
    <row r="40" spans="1:6" x14ac:dyDescent="0.25">
      <c r="A40" t="s">
        <v>4062</v>
      </c>
      <c r="B40" t="s">
        <v>5045</v>
      </c>
      <c r="C40" t="s">
        <v>42</v>
      </c>
      <c r="D40" s="7">
        <v>1</v>
      </c>
      <c r="E40" s="2">
        <v>14875</v>
      </c>
      <c r="F40" s="2">
        <v>14875</v>
      </c>
    </row>
    <row r="41" spans="1:6" x14ac:dyDescent="0.25">
      <c r="A41" t="s">
        <v>4062</v>
      </c>
      <c r="B41" t="s">
        <v>5042</v>
      </c>
      <c r="C41" t="s">
        <v>63</v>
      </c>
      <c r="D41" s="7">
        <v>0.6</v>
      </c>
      <c r="E41" s="2">
        <v>833</v>
      </c>
      <c r="F41" s="2">
        <v>499.8</v>
      </c>
    </row>
    <row r="42" spans="1:6" x14ac:dyDescent="0.25">
      <c r="A42" t="s">
        <v>4062</v>
      </c>
      <c r="B42" t="s">
        <v>5034</v>
      </c>
      <c r="C42" t="s">
        <v>4066</v>
      </c>
      <c r="D42" s="7">
        <v>0.04</v>
      </c>
      <c r="E42" s="2">
        <v>12487.64</v>
      </c>
      <c r="F42" s="2">
        <v>499.51</v>
      </c>
    </row>
    <row r="43" spans="1:6" x14ac:dyDescent="0.25">
      <c r="A43" t="s">
        <v>4062</v>
      </c>
      <c r="B43" t="s">
        <v>5035</v>
      </c>
      <c r="C43" t="s">
        <v>4066</v>
      </c>
      <c r="D43" s="7">
        <v>0.02</v>
      </c>
      <c r="E43" s="2">
        <v>133730.14</v>
      </c>
      <c r="F43" s="2">
        <v>2674.6</v>
      </c>
    </row>
    <row r="44" spans="1:6" x14ac:dyDescent="0.25">
      <c r="A44" t="s">
        <v>4049</v>
      </c>
      <c r="B44" t="s">
        <v>4241</v>
      </c>
      <c r="C44" t="s">
        <v>4051</v>
      </c>
      <c r="D44" s="7">
        <v>0.08</v>
      </c>
      <c r="E44" s="2">
        <v>9941.22</v>
      </c>
      <c r="F44" s="2">
        <v>795.3</v>
      </c>
    </row>
    <row r="45" spans="1:6" x14ac:dyDescent="0.25">
      <c r="A45" t="s">
        <v>4049</v>
      </c>
      <c r="B45" t="s">
        <v>4242</v>
      </c>
      <c r="C45" t="s">
        <v>4051</v>
      </c>
      <c r="D45" s="7">
        <v>0.08</v>
      </c>
      <c r="E45" s="2">
        <v>17069.53</v>
      </c>
      <c r="F45" s="2">
        <v>1365.56</v>
      </c>
    </row>
    <row r="46" spans="1:6" x14ac:dyDescent="0.25">
      <c r="A46" t="s">
        <v>4052</v>
      </c>
      <c r="B46" t="s">
        <v>4053</v>
      </c>
      <c r="C46" t="s">
        <v>4054</v>
      </c>
      <c r="D46" s="7">
        <v>3.3</v>
      </c>
      <c r="E46" s="2">
        <v>2160.86</v>
      </c>
      <c r="F46" s="2">
        <v>71.31</v>
      </c>
    </row>
    <row r="47" spans="1:6" x14ac:dyDescent="0.25">
      <c r="A47" t="s">
        <v>4055</v>
      </c>
      <c r="D47" s="7"/>
      <c r="E47" s="2"/>
      <c r="F47" s="2">
        <f>SUBTOTAL(109,A_1_08_04[VALOR PARCIAL])</f>
      </c>
    </row>
    <row r="49" ht="30" customHeight="1" spans="1:6" x14ac:dyDescent="0.25">
      <c r="A49" s="5" t="s">
        <v>5046</v>
      </c>
      <c r="B49" s="5"/>
      <c r="C49" s="5"/>
      <c r="D49" s="5"/>
      <c r="E49" s="5"/>
      <c r="F49" s="5"/>
    </row>
    <row r="50" ht="42" customHeight="1" spans="1:6" x14ac:dyDescent="0.25">
      <c r="A50" s="6" t="s">
        <v>5047</v>
      </c>
      <c r="B50" s="6"/>
      <c r="C50" s="6"/>
      <c r="D50" s="6"/>
      <c r="E50" s="6"/>
      <c r="F50" s="6"/>
    </row>
    <row r="51" spans="1:6" x14ac:dyDescent="0.25">
      <c r="A51" t="s">
        <v>4044</v>
      </c>
      <c r="B51" t="s">
        <v>4045</v>
      </c>
      <c r="C51" t="s">
        <v>5</v>
      </c>
      <c r="D51" t="s">
        <v>4046</v>
      </c>
      <c r="E51" t="s">
        <v>4047</v>
      </c>
      <c r="F51" t="s">
        <v>4048</v>
      </c>
    </row>
    <row r="52" spans="1:6" x14ac:dyDescent="0.25">
      <c r="A52" t="s">
        <v>4062</v>
      </c>
      <c r="B52" t="s">
        <v>5048</v>
      </c>
      <c r="C52" t="s">
        <v>63</v>
      </c>
      <c r="D52" s="7">
        <v>1</v>
      </c>
      <c r="E52" s="2">
        <v>8350</v>
      </c>
      <c r="F52" s="2">
        <v>8350</v>
      </c>
    </row>
    <row r="53" spans="1:6" x14ac:dyDescent="0.25">
      <c r="A53" t="s">
        <v>4062</v>
      </c>
      <c r="B53" t="s">
        <v>5038</v>
      </c>
      <c r="C53" t="s">
        <v>63</v>
      </c>
      <c r="D53" s="7">
        <v>0.15</v>
      </c>
      <c r="E53" s="2">
        <v>24845</v>
      </c>
      <c r="F53" s="2">
        <v>3726.75</v>
      </c>
    </row>
    <row r="54" spans="1:6" x14ac:dyDescent="0.25">
      <c r="A54" t="s">
        <v>4049</v>
      </c>
      <c r="B54" t="s">
        <v>4241</v>
      </c>
      <c r="C54" t="s">
        <v>4051</v>
      </c>
      <c r="D54" s="7">
        <v>0.08</v>
      </c>
      <c r="E54" s="2">
        <v>9941.22</v>
      </c>
      <c r="F54" s="2">
        <v>795.3</v>
      </c>
    </row>
    <row r="55" spans="1:6" x14ac:dyDescent="0.25">
      <c r="A55" t="s">
        <v>4049</v>
      </c>
      <c r="B55" t="s">
        <v>4242</v>
      </c>
      <c r="C55" t="s">
        <v>4051</v>
      </c>
      <c r="D55" s="7">
        <v>0.08</v>
      </c>
      <c r="E55" s="2">
        <v>17069.53</v>
      </c>
      <c r="F55" s="2">
        <v>1365.56</v>
      </c>
    </row>
    <row r="56" spans="1:6" x14ac:dyDescent="0.25">
      <c r="A56" t="s">
        <v>4052</v>
      </c>
      <c r="B56" t="s">
        <v>4053</v>
      </c>
      <c r="C56" t="s">
        <v>4054</v>
      </c>
      <c r="D56" s="7">
        <v>3.3</v>
      </c>
      <c r="E56" s="2">
        <v>2160.86</v>
      </c>
      <c r="F56" s="2">
        <v>71.31</v>
      </c>
    </row>
    <row r="57" spans="1:6" x14ac:dyDescent="0.25">
      <c r="A57" t="s">
        <v>4055</v>
      </c>
      <c r="D57" s="7"/>
      <c r="E57" s="2"/>
      <c r="F57" s="2">
        <f>SUBTOTAL(109,A_1_08_05[VALOR PARCIAL])</f>
      </c>
    </row>
    <row r="59" ht="30" customHeight="1" spans="1:6" x14ac:dyDescent="0.25">
      <c r="A59" s="5" t="s">
        <v>5049</v>
      </c>
      <c r="B59" s="5"/>
      <c r="C59" s="5"/>
      <c r="D59" s="5"/>
      <c r="E59" s="5"/>
      <c r="F59" s="5"/>
    </row>
    <row r="60" ht="42" customHeight="1" spans="1:6" x14ac:dyDescent="0.25">
      <c r="A60" s="6" t="s">
        <v>5050</v>
      </c>
      <c r="B60" s="6"/>
      <c r="C60" s="6"/>
      <c r="D60" s="6"/>
      <c r="E60" s="6"/>
      <c r="F60" s="6"/>
    </row>
    <row r="61" spans="1:6" x14ac:dyDescent="0.25">
      <c r="A61" t="s">
        <v>4044</v>
      </c>
      <c r="B61" t="s">
        <v>4045</v>
      </c>
      <c r="C61" t="s">
        <v>5</v>
      </c>
      <c r="D61" t="s">
        <v>4046</v>
      </c>
      <c r="E61" t="s">
        <v>4047</v>
      </c>
      <c r="F61" t="s">
        <v>4048</v>
      </c>
    </row>
    <row r="62" spans="1:6" x14ac:dyDescent="0.25">
      <c r="A62" t="s">
        <v>4062</v>
      </c>
      <c r="B62" t="s">
        <v>5051</v>
      </c>
      <c r="C62" t="s">
        <v>63</v>
      </c>
      <c r="D62" s="7">
        <v>1</v>
      </c>
      <c r="E62" s="2">
        <v>1451</v>
      </c>
      <c r="F62" s="2">
        <v>1451</v>
      </c>
    </row>
    <row r="63" spans="1:6" x14ac:dyDescent="0.25">
      <c r="A63" t="s">
        <v>4062</v>
      </c>
      <c r="B63" t="s">
        <v>5034</v>
      </c>
      <c r="C63" t="s">
        <v>4066</v>
      </c>
      <c r="D63" s="7">
        <v>0.04</v>
      </c>
      <c r="E63" s="2">
        <v>12487.64</v>
      </c>
      <c r="F63" s="2">
        <v>499.51</v>
      </c>
    </row>
    <row r="64" spans="1:6" x14ac:dyDescent="0.25">
      <c r="A64" t="s">
        <v>4062</v>
      </c>
      <c r="B64" t="s">
        <v>5035</v>
      </c>
      <c r="C64" t="s">
        <v>4066</v>
      </c>
      <c r="D64" s="7">
        <v>0.02</v>
      </c>
      <c r="E64" s="2">
        <v>133730.14</v>
      </c>
      <c r="F64" s="2">
        <v>2674.6</v>
      </c>
    </row>
    <row r="65" spans="1:6" x14ac:dyDescent="0.25">
      <c r="A65" t="s">
        <v>4049</v>
      </c>
      <c r="B65" t="s">
        <v>4241</v>
      </c>
      <c r="C65" t="s">
        <v>4051</v>
      </c>
      <c r="D65" s="7">
        <v>0.08</v>
      </c>
      <c r="E65" s="2">
        <v>9941.22</v>
      </c>
      <c r="F65" s="2">
        <v>795.3</v>
      </c>
    </row>
    <row r="66" spans="1:6" x14ac:dyDescent="0.25">
      <c r="A66" t="s">
        <v>4049</v>
      </c>
      <c r="B66" t="s">
        <v>4242</v>
      </c>
      <c r="C66" t="s">
        <v>4051</v>
      </c>
      <c r="D66" s="7">
        <v>0.08</v>
      </c>
      <c r="E66" s="2">
        <v>17069.53</v>
      </c>
      <c r="F66" s="2">
        <v>1365.56</v>
      </c>
    </row>
    <row r="67" spans="1:6" x14ac:dyDescent="0.25">
      <c r="A67" t="s">
        <v>4052</v>
      </c>
      <c r="B67" t="s">
        <v>4053</v>
      </c>
      <c r="C67" t="s">
        <v>4054</v>
      </c>
      <c r="D67" s="7">
        <v>3.3</v>
      </c>
      <c r="E67" s="2">
        <v>2160.86</v>
      </c>
      <c r="F67" s="2">
        <v>71.31</v>
      </c>
    </row>
    <row r="68" spans="1:6" x14ac:dyDescent="0.25">
      <c r="A68" t="s">
        <v>4055</v>
      </c>
      <c r="D68" s="7"/>
      <c r="E68" s="2"/>
      <c r="F68" s="2">
        <f>SUBTOTAL(109,A_1_08_06[VALOR PARCIAL])</f>
      </c>
    </row>
    <row r="70" ht="30" customHeight="1" spans="1:6" x14ac:dyDescent="0.25">
      <c r="A70" s="5" t="s">
        <v>5052</v>
      </c>
      <c r="B70" s="5"/>
      <c r="C70" s="5"/>
      <c r="D70" s="5"/>
      <c r="E70" s="5"/>
      <c r="F70" s="5"/>
    </row>
    <row r="71" ht="42" customHeight="1" spans="1:6" x14ac:dyDescent="0.25">
      <c r="A71" s="6" t="s">
        <v>5053</v>
      </c>
      <c r="B71" s="6"/>
      <c r="C71" s="6"/>
      <c r="D71" s="6"/>
      <c r="E71" s="6"/>
      <c r="F71" s="6"/>
    </row>
    <row r="72" spans="1:6" x14ac:dyDescent="0.25">
      <c r="A72" t="s">
        <v>4044</v>
      </c>
      <c r="B72" t="s">
        <v>4045</v>
      </c>
      <c r="C72" t="s">
        <v>5</v>
      </c>
      <c r="D72" t="s">
        <v>4046</v>
      </c>
      <c r="E72" t="s">
        <v>4047</v>
      </c>
      <c r="F72" t="s">
        <v>4048</v>
      </c>
    </row>
    <row r="73" spans="1:6" x14ac:dyDescent="0.25">
      <c r="A73" t="s">
        <v>4062</v>
      </c>
      <c r="B73" t="s">
        <v>5054</v>
      </c>
      <c r="C73" t="s">
        <v>63</v>
      </c>
      <c r="D73" s="7">
        <v>1</v>
      </c>
      <c r="E73" s="2">
        <v>1235</v>
      </c>
      <c r="F73" s="2">
        <v>1235</v>
      </c>
    </row>
    <row r="74" spans="1:6" x14ac:dyDescent="0.25">
      <c r="A74" t="s">
        <v>4062</v>
      </c>
      <c r="B74" t="s">
        <v>4691</v>
      </c>
      <c r="C74" t="s">
        <v>4532</v>
      </c>
      <c r="D74" s="7">
        <v>0.01</v>
      </c>
      <c r="E74" s="2">
        <v>748</v>
      </c>
      <c r="F74" s="2">
        <v>7.48</v>
      </c>
    </row>
    <row r="75" spans="1:6" x14ac:dyDescent="0.25">
      <c r="A75" t="s">
        <v>4062</v>
      </c>
      <c r="B75" t="s">
        <v>5038</v>
      </c>
      <c r="C75" t="s">
        <v>63</v>
      </c>
      <c r="D75" s="7">
        <v>0.04</v>
      </c>
      <c r="E75" s="2">
        <v>24845</v>
      </c>
      <c r="F75" s="2">
        <v>993.8</v>
      </c>
    </row>
    <row r="76" spans="1:6" x14ac:dyDescent="0.25">
      <c r="A76" t="s">
        <v>4049</v>
      </c>
      <c r="B76" t="s">
        <v>4241</v>
      </c>
      <c r="C76" t="s">
        <v>4051</v>
      </c>
      <c r="D76" s="7">
        <v>0.13</v>
      </c>
      <c r="E76" s="2">
        <v>9941.22</v>
      </c>
      <c r="F76" s="2">
        <v>1292.36</v>
      </c>
    </row>
    <row r="77" spans="1:6" x14ac:dyDescent="0.25">
      <c r="A77" t="s">
        <v>4049</v>
      </c>
      <c r="B77" t="s">
        <v>4242</v>
      </c>
      <c r="C77" t="s">
        <v>4051</v>
      </c>
      <c r="D77" s="7">
        <v>0.13</v>
      </c>
      <c r="E77" s="2">
        <v>17069.53</v>
      </c>
      <c r="F77" s="2">
        <v>2219.04</v>
      </c>
    </row>
    <row r="78" spans="1:6" x14ac:dyDescent="0.25">
      <c r="A78" t="s">
        <v>4052</v>
      </c>
      <c r="B78" t="s">
        <v>4053</v>
      </c>
      <c r="C78" t="s">
        <v>4054</v>
      </c>
      <c r="D78" s="7">
        <v>3.3</v>
      </c>
      <c r="E78" s="2">
        <v>3511.4</v>
      </c>
      <c r="F78" s="2">
        <v>115.88</v>
      </c>
    </row>
    <row r="79" spans="1:6" x14ac:dyDescent="0.25">
      <c r="A79" t="s">
        <v>4055</v>
      </c>
      <c r="D79" s="7"/>
      <c r="E79" s="2"/>
      <c r="F79" s="2">
        <f>SUBTOTAL(109,A_1_08_07[VALOR PARCIAL])</f>
      </c>
    </row>
    <row r="81" ht="30" customHeight="1" spans="1:6" x14ac:dyDescent="0.25">
      <c r="A81" s="5" t="s">
        <v>5055</v>
      </c>
      <c r="B81" s="5"/>
      <c r="C81" s="5"/>
      <c r="D81" s="5"/>
      <c r="E81" s="5"/>
      <c r="F81" s="5"/>
    </row>
    <row r="82" ht="42" customHeight="1" spans="1:6" x14ac:dyDescent="0.25">
      <c r="A82" s="6" t="s">
        <v>5056</v>
      </c>
      <c r="B82" s="6"/>
      <c r="C82" s="6"/>
      <c r="D82" s="6"/>
      <c r="E82" s="6"/>
      <c r="F82" s="6"/>
    </row>
    <row r="83" spans="1:6" x14ac:dyDescent="0.25">
      <c r="A83" t="s">
        <v>4044</v>
      </c>
      <c r="B83" t="s">
        <v>4045</v>
      </c>
      <c r="C83" t="s">
        <v>5</v>
      </c>
      <c r="D83" t="s">
        <v>4046</v>
      </c>
      <c r="E83" t="s">
        <v>4047</v>
      </c>
      <c r="F83" t="s">
        <v>4048</v>
      </c>
    </row>
    <row r="84" spans="1:6" x14ac:dyDescent="0.25">
      <c r="A84" t="s">
        <v>4062</v>
      </c>
      <c r="B84" t="s">
        <v>5057</v>
      </c>
      <c r="C84" t="s">
        <v>63</v>
      </c>
      <c r="D84" s="7">
        <v>1</v>
      </c>
      <c r="E84" s="2">
        <v>1000</v>
      </c>
      <c r="F84" s="2">
        <v>1000</v>
      </c>
    </row>
    <row r="85" spans="1:6" x14ac:dyDescent="0.25">
      <c r="A85" t="s">
        <v>4062</v>
      </c>
      <c r="B85" t="s">
        <v>5034</v>
      </c>
      <c r="C85" t="s">
        <v>4066</v>
      </c>
      <c r="D85" s="7">
        <v>0.04</v>
      </c>
      <c r="E85" s="2">
        <v>12487.64</v>
      </c>
      <c r="F85" s="2">
        <v>499.51</v>
      </c>
    </row>
    <row r="86" spans="1:6" x14ac:dyDescent="0.25">
      <c r="A86" t="s">
        <v>4062</v>
      </c>
      <c r="B86" t="s">
        <v>5035</v>
      </c>
      <c r="C86" t="s">
        <v>4066</v>
      </c>
      <c r="D86" s="7">
        <v>0.02</v>
      </c>
      <c r="E86" s="2">
        <v>133730.14</v>
      </c>
      <c r="F86" s="2">
        <v>2674.6</v>
      </c>
    </row>
    <row r="87" spans="1:6" x14ac:dyDescent="0.25">
      <c r="A87" t="s">
        <v>4049</v>
      </c>
      <c r="B87" t="s">
        <v>4241</v>
      </c>
      <c r="C87" t="s">
        <v>4051</v>
      </c>
      <c r="D87" s="7">
        <v>0.08</v>
      </c>
      <c r="E87" s="2">
        <v>9941.22</v>
      </c>
      <c r="F87" s="2">
        <v>795.3</v>
      </c>
    </row>
    <row r="88" spans="1:6" x14ac:dyDescent="0.25">
      <c r="A88" t="s">
        <v>4049</v>
      </c>
      <c r="B88" t="s">
        <v>4242</v>
      </c>
      <c r="C88" t="s">
        <v>4051</v>
      </c>
      <c r="D88" s="7">
        <v>0.08</v>
      </c>
      <c r="E88" s="2">
        <v>17069.53</v>
      </c>
      <c r="F88" s="2">
        <v>1365.56</v>
      </c>
    </row>
    <row r="89" spans="1:6" x14ac:dyDescent="0.25">
      <c r="A89" t="s">
        <v>4052</v>
      </c>
      <c r="B89" t="s">
        <v>4053</v>
      </c>
      <c r="C89" t="s">
        <v>4054</v>
      </c>
      <c r="D89" s="7">
        <v>3.3</v>
      </c>
      <c r="E89" s="2">
        <v>2160.86</v>
      </c>
      <c r="F89" s="2">
        <v>71.31</v>
      </c>
    </row>
    <row r="90" spans="1:6" x14ac:dyDescent="0.25">
      <c r="A90" t="s">
        <v>4055</v>
      </c>
      <c r="D90" s="7"/>
      <c r="E90" s="2"/>
      <c r="F90" s="2">
        <f>SUBTOTAL(109,A_1_08_08[VALOR PARCIAL])</f>
      </c>
    </row>
    <row r="92" ht="30" customHeight="1" spans="1:6" x14ac:dyDescent="0.25">
      <c r="A92" s="5" t="s">
        <v>5058</v>
      </c>
      <c r="B92" s="5"/>
      <c r="C92" s="5"/>
      <c r="D92" s="5"/>
      <c r="E92" s="5"/>
      <c r="F92" s="5"/>
    </row>
    <row r="93" ht="42" customHeight="1" spans="1:6" x14ac:dyDescent="0.25">
      <c r="A93" s="6" t="s">
        <v>5059</v>
      </c>
      <c r="B93" s="6"/>
      <c r="C93" s="6"/>
      <c r="D93" s="6"/>
      <c r="E93" s="6"/>
      <c r="F93" s="6"/>
    </row>
    <row r="94" spans="1:6" x14ac:dyDescent="0.25">
      <c r="A94" t="s">
        <v>4044</v>
      </c>
      <c r="B94" t="s">
        <v>4045</v>
      </c>
      <c r="C94" t="s">
        <v>5</v>
      </c>
      <c r="D94" t="s">
        <v>4046</v>
      </c>
      <c r="E94" t="s">
        <v>4047</v>
      </c>
      <c r="F94" t="s">
        <v>4048</v>
      </c>
    </row>
    <row r="95" spans="1:6" x14ac:dyDescent="0.25">
      <c r="A95" t="s">
        <v>4062</v>
      </c>
      <c r="B95" t="s">
        <v>5060</v>
      </c>
      <c r="C95" t="s">
        <v>63</v>
      </c>
      <c r="D95" s="7">
        <v>1</v>
      </c>
      <c r="E95" s="2">
        <v>2166.67</v>
      </c>
      <c r="F95" s="2">
        <v>2166.67</v>
      </c>
    </row>
    <row r="96" spans="1:6" x14ac:dyDescent="0.25">
      <c r="A96" t="s">
        <v>4062</v>
      </c>
      <c r="B96" t="s">
        <v>4691</v>
      </c>
      <c r="C96" t="s">
        <v>4532</v>
      </c>
      <c r="D96" s="7">
        <v>0.01</v>
      </c>
      <c r="E96" s="2">
        <v>748</v>
      </c>
      <c r="F96" s="2">
        <v>7.48</v>
      </c>
    </row>
    <row r="97" spans="1:6" x14ac:dyDescent="0.25">
      <c r="A97" t="s">
        <v>4062</v>
      </c>
      <c r="B97" t="s">
        <v>5038</v>
      </c>
      <c r="C97" t="s">
        <v>63</v>
      </c>
      <c r="D97" s="7">
        <v>0.04</v>
      </c>
      <c r="E97" s="2">
        <v>24845</v>
      </c>
      <c r="F97" s="2">
        <v>993.8</v>
      </c>
    </row>
    <row r="98" spans="1:6" x14ac:dyDescent="0.25">
      <c r="A98" t="s">
        <v>4049</v>
      </c>
      <c r="B98" t="s">
        <v>4241</v>
      </c>
      <c r="C98" t="s">
        <v>4051</v>
      </c>
      <c r="D98" s="7">
        <v>0.13</v>
      </c>
      <c r="E98" s="2">
        <v>9941.22</v>
      </c>
      <c r="F98" s="2">
        <v>1292.36</v>
      </c>
    </row>
    <row r="99" spans="1:6" x14ac:dyDescent="0.25">
      <c r="A99" t="s">
        <v>4049</v>
      </c>
      <c r="B99" t="s">
        <v>4242</v>
      </c>
      <c r="C99" t="s">
        <v>4051</v>
      </c>
      <c r="D99" s="7">
        <v>0.13</v>
      </c>
      <c r="E99" s="2">
        <v>17069.53</v>
      </c>
      <c r="F99" s="2">
        <v>2219.04</v>
      </c>
    </row>
    <row r="100" spans="1:6" x14ac:dyDescent="0.25">
      <c r="A100" t="s">
        <v>4052</v>
      </c>
      <c r="B100" t="s">
        <v>4053</v>
      </c>
      <c r="C100" t="s">
        <v>4054</v>
      </c>
      <c r="D100" s="7">
        <v>3.3</v>
      </c>
      <c r="E100" s="2">
        <v>3511.4</v>
      </c>
      <c r="F100" s="2">
        <v>115.88</v>
      </c>
    </row>
    <row r="101" spans="1:6" x14ac:dyDescent="0.25">
      <c r="A101" t="s">
        <v>4055</v>
      </c>
      <c r="D101" s="7"/>
      <c r="E101" s="2"/>
      <c r="F101" s="2">
        <f>SUBTOTAL(109,A_1_08_09[VALOR PARCIAL])</f>
      </c>
    </row>
  </sheetData>
  <mergeCells count="18">
    <mergeCell ref="A4:F4"/>
    <mergeCell ref="A5:F5"/>
    <mergeCell ref="A15:F15"/>
    <mergeCell ref="A16:F16"/>
    <mergeCell ref="A26:F26"/>
    <mergeCell ref="A27:F27"/>
    <mergeCell ref="A37:F37"/>
    <mergeCell ref="A38:F38"/>
    <mergeCell ref="A49:F49"/>
    <mergeCell ref="A50:F50"/>
    <mergeCell ref="A59:F59"/>
    <mergeCell ref="A60:F60"/>
    <mergeCell ref="A70:F70"/>
    <mergeCell ref="A71:F71"/>
    <mergeCell ref="A81:F81"/>
    <mergeCell ref="A82:F82"/>
    <mergeCell ref="A92:F92"/>
    <mergeCell ref="A93:F93"/>
  </mergeCells>
  <pageMargins left="0.7" right="0.7" top="0.75" bottom="0.75" header="0.3" footer="0.3"/>
  <pageSetup orientation="portrait" horizontalDpi="4294967295" verticalDpi="4294967295" scale="100" fitToWidth="1" fitToHeight="1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5061</v>
      </c>
    </row>
    <row r="2" spans="1:1" x14ac:dyDescent="0.25">
      <c r="A2" s="4" t="s">
        <v>5062</v>
      </c>
    </row>
    <row r="4" ht="30" customHeight="1" spans="1:6" x14ac:dyDescent="0.25">
      <c r="A4" s="5" t="s">
        <v>5063</v>
      </c>
      <c r="B4" s="5"/>
      <c r="C4" s="5"/>
      <c r="D4" s="5"/>
      <c r="E4" s="5"/>
      <c r="F4" s="5"/>
    </row>
    <row r="5" ht="42" customHeight="1" spans="1:6" x14ac:dyDescent="0.25">
      <c r="A5" s="6" t="s">
        <v>5064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1056</v>
      </c>
      <c r="C7" t="s">
        <v>231</v>
      </c>
      <c r="D7" s="7">
        <v>0.6</v>
      </c>
      <c r="E7" s="2">
        <v>97911.73</v>
      </c>
      <c r="F7" s="2">
        <v>58747.04</v>
      </c>
    </row>
    <row r="8" spans="1:6" x14ac:dyDescent="0.25">
      <c r="A8" t="s">
        <v>4049</v>
      </c>
      <c r="B8" t="s">
        <v>4050</v>
      </c>
      <c r="C8" t="s">
        <v>4051</v>
      </c>
      <c r="D8" s="7">
        <v>0.2</v>
      </c>
      <c r="E8" s="2">
        <v>9037.33</v>
      </c>
      <c r="F8" s="2">
        <v>1807.47</v>
      </c>
    </row>
    <row r="9" spans="1:6" x14ac:dyDescent="0.25">
      <c r="A9" t="s">
        <v>4049</v>
      </c>
      <c r="B9" t="s">
        <v>4073</v>
      </c>
      <c r="C9" t="s">
        <v>4051</v>
      </c>
      <c r="D9" s="7">
        <v>0.15</v>
      </c>
      <c r="E9" s="2">
        <v>15517.89</v>
      </c>
      <c r="F9" s="2">
        <v>2327.68</v>
      </c>
    </row>
    <row r="10" spans="1:6" x14ac:dyDescent="0.25">
      <c r="A10" t="s">
        <v>4052</v>
      </c>
      <c r="B10" t="s">
        <v>4053</v>
      </c>
      <c r="C10" t="s">
        <v>4054</v>
      </c>
      <c r="D10" s="7">
        <v>5.6</v>
      </c>
      <c r="E10" s="2">
        <v>4135.15</v>
      </c>
      <c r="F10" s="2">
        <v>231.57</v>
      </c>
    </row>
    <row r="11" spans="1:6" x14ac:dyDescent="0.25">
      <c r="A11" t="s">
        <v>4055</v>
      </c>
      <c r="D11" s="7"/>
      <c r="E11" s="2"/>
      <c r="F11" s="2">
        <f>SUBTOTAL(109,A_1_09_01[VALOR PARCIAL])</f>
      </c>
    </row>
    <row r="13" ht="30" customHeight="1" spans="1:6" x14ac:dyDescent="0.25">
      <c r="A13" s="5" t="s">
        <v>5065</v>
      </c>
      <c r="B13" s="5"/>
      <c r="C13" s="5"/>
      <c r="D13" s="5"/>
      <c r="E13" s="5"/>
      <c r="F13" s="5"/>
    </row>
    <row r="14" ht="42" customHeight="1" spans="1:6" x14ac:dyDescent="0.25">
      <c r="A14" s="6" t="s">
        <v>5066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4542</v>
      </c>
      <c r="C16" t="s">
        <v>231</v>
      </c>
      <c r="D16" s="7">
        <v>2.25</v>
      </c>
      <c r="E16" s="2">
        <v>910</v>
      </c>
      <c r="F16" s="2">
        <v>2047.5</v>
      </c>
    </row>
    <row r="17" spans="1:6" x14ac:dyDescent="0.25">
      <c r="A17" t="s">
        <v>4062</v>
      </c>
      <c r="B17" t="s">
        <v>4076</v>
      </c>
      <c r="C17" t="s">
        <v>3963</v>
      </c>
      <c r="D17" s="7">
        <v>1</v>
      </c>
      <c r="E17" s="2">
        <v>21</v>
      </c>
      <c r="F17" s="2">
        <v>21</v>
      </c>
    </row>
    <row r="18" spans="1:6" x14ac:dyDescent="0.25">
      <c r="A18" t="s">
        <v>4049</v>
      </c>
      <c r="B18" t="s">
        <v>5067</v>
      </c>
      <c r="C18" t="s">
        <v>4051</v>
      </c>
      <c r="D18" s="7">
        <v>0.21</v>
      </c>
      <c r="E18" s="2">
        <v>10392.41</v>
      </c>
      <c r="F18" s="2">
        <v>2182.41</v>
      </c>
    </row>
    <row r="19" spans="1:6" x14ac:dyDescent="0.25">
      <c r="A19" t="s">
        <v>4049</v>
      </c>
      <c r="B19" t="s">
        <v>5068</v>
      </c>
      <c r="C19" t="s">
        <v>4051</v>
      </c>
      <c r="D19" s="7">
        <v>0.21</v>
      </c>
      <c r="E19" s="2">
        <v>17845.35</v>
      </c>
      <c r="F19" s="2">
        <v>3747.52</v>
      </c>
    </row>
    <row r="20" spans="1:6" x14ac:dyDescent="0.25">
      <c r="A20" t="s">
        <v>4052</v>
      </c>
      <c r="B20" t="s">
        <v>4105</v>
      </c>
      <c r="C20" t="s">
        <v>4106</v>
      </c>
      <c r="D20" s="7">
        <v>0.11</v>
      </c>
      <c r="E20" s="2">
        <v>25125</v>
      </c>
      <c r="F20" s="2">
        <v>2763.75</v>
      </c>
    </row>
    <row r="21" spans="1:6" x14ac:dyDescent="0.25">
      <c r="A21" t="s">
        <v>4052</v>
      </c>
      <c r="B21" t="s">
        <v>4053</v>
      </c>
      <c r="C21" t="s">
        <v>4054</v>
      </c>
      <c r="D21" s="7">
        <v>12</v>
      </c>
      <c r="E21" s="2">
        <v>5929.93</v>
      </c>
      <c r="F21" s="2">
        <v>711.59</v>
      </c>
    </row>
    <row r="22" spans="1:6" x14ac:dyDescent="0.25">
      <c r="A22" t="s">
        <v>4055</v>
      </c>
      <c r="D22" s="7"/>
      <c r="E22" s="2"/>
      <c r="F22" s="2">
        <f>SUBTOTAL(109,A_1_09_02[VALOR PARCIAL])</f>
      </c>
    </row>
    <row r="24" ht="30" customHeight="1" spans="1:6" x14ac:dyDescent="0.25">
      <c r="A24" s="5" t="s">
        <v>5069</v>
      </c>
      <c r="B24" s="5"/>
      <c r="C24" s="5"/>
      <c r="D24" s="5"/>
      <c r="E24" s="5"/>
      <c r="F24" s="5"/>
    </row>
    <row r="25" ht="42" customHeight="1" spans="1:6" x14ac:dyDescent="0.25">
      <c r="A25" s="6" t="s">
        <v>5070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4542</v>
      </c>
      <c r="C27" t="s">
        <v>231</v>
      </c>
      <c r="D27" s="7">
        <v>1.75</v>
      </c>
      <c r="E27" s="2">
        <v>910</v>
      </c>
      <c r="F27" s="2">
        <v>1592.5</v>
      </c>
    </row>
    <row r="28" spans="1:6" x14ac:dyDescent="0.25">
      <c r="A28" t="s">
        <v>4062</v>
      </c>
      <c r="B28" t="s">
        <v>4076</v>
      </c>
      <c r="C28" t="s">
        <v>3963</v>
      </c>
      <c r="D28" s="7">
        <v>0.5</v>
      </c>
      <c r="E28" s="2">
        <v>21</v>
      </c>
      <c r="F28" s="2">
        <v>10.5</v>
      </c>
    </row>
    <row r="29" spans="1:6" x14ac:dyDescent="0.25">
      <c r="A29" t="s">
        <v>4049</v>
      </c>
      <c r="B29" t="s">
        <v>5067</v>
      </c>
      <c r="C29" t="s">
        <v>4051</v>
      </c>
      <c r="D29" s="7">
        <v>0.19</v>
      </c>
      <c r="E29" s="2">
        <v>10392.41</v>
      </c>
      <c r="F29" s="2">
        <v>1974.56</v>
      </c>
    </row>
    <row r="30" spans="1:6" x14ac:dyDescent="0.25">
      <c r="A30" t="s">
        <v>4049</v>
      </c>
      <c r="B30" t="s">
        <v>5068</v>
      </c>
      <c r="C30" t="s">
        <v>4051</v>
      </c>
      <c r="D30" s="7">
        <v>0.19</v>
      </c>
      <c r="E30" s="2">
        <v>17845.35</v>
      </c>
      <c r="F30" s="2">
        <v>3390.62</v>
      </c>
    </row>
    <row r="31" spans="1:6" x14ac:dyDescent="0.25">
      <c r="A31" t="s">
        <v>4052</v>
      </c>
      <c r="B31" t="s">
        <v>4053</v>
      </c>
      <c r="C31" t="s">
        <v>4054</v>
      </c>
      <c r="D31" s="7">
        <v>12</v>
      </c>
      <c r="E31" s="2">
        <v>5365.18</v>
      </c>
      <c r="F31" s="2">
        <v>643.82</v>
      </c>
    </row>
    <row r="32" spans="1:6" x14ac:dyDescent="0.25">
      <c r="A32" t="s">
        <v>4055</v>
      </c>
      <c r="D32" s="7"/>
      <c r="E32" s="2"/>
      <c r="F32" s="2">
        <f>SUBTOTAL(109,A_1_09_03[VALOR PARCIAL])</f>
      </c>
    </row>
    <row r="34" ht="30" customHeight="1" spans="1:6" x14ac:dyDescent="0.25">
      <c r="A34" s="5" t="s">
        <v>5071</v>
      </c>
      <c r="B34" s="5"/>
      <c r="C34" s="5"/>
      <c r="D34" s="5"/>
      <c r="E34" s="5"/>
      <c r="F34" s="5"/>
    </row>
    <row r="35" ht="42" customHeight="1" spans="1:6" x14ac:dyDescent="0.25">
      <c r="A35" s="6" t="s">
        <v>5072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5073</v>
      </c>
      <c r="C37" t="s">
        <v>4377</v>
      </c>
      <c r="D37" s="7">
        <v>0.01</v>
      </c>
      <c r="E37" s="2">
        <v>20966.67</v>
      </c>
      <c r="F37" s="2">
        <v>209.67</v>
      </c>
    </row>
    <row r="38" spans="1:6" x14ac:dyDescent="0.25">
      <c r="A38" t="s">
        <v>4062</v>
      </c>
      <c r="B38" t="s">
        <v>4600</v>
      </c>
      <c r="C38" t="s">
        <v>63</v>
      </c>
      <c r="D38" s="7">
        <v>0.16</v>
      </c>
      <c r="E38" s="2">
        <v>1195</v>
      </c>
      <c r="F38" s="2">
        <v>191.2</v>
      </c>
    </row>
    <row r="39" spans="1:6" x14ac:dyDescent="0.25">
      <c r="A39" t="s">
        <v>4062</v>
      </c>
      <c r="B39" t="s">
        <v>5074</v>
      </c>
      <c r="C39" t="s">
        <v>4377</v>
      </c>
      <c r="D39" s="7">
        <v>0.02</v>
      </c>
      <c r="E39" s="2">
        <v>46450</v>
      </c>
      <c r="F39" s="2">
        <v>696.75</v>
      </c>
    </row>
    <row r="40" spans="1:6" x14ac:dyDescent="0.25">
      <c r="A40" t="s">
        <v>4049</v>
      </c>
      <c r="B40" t="s">
        <v>5067</v>
      </c>
      <c r="C40" t="s">
        <v>4051</v>
      </c>
      <c r="D40" s="7">
        <v>0.15</v>
      </c>
      <c r="E40" s="2">
        <v>10392.41</v>
      </c>
      <c r="F40" s="2">
        <v>1558.86</v>
      </c>
    </row>
    <row r="41" spans="1:6" x14ac:dyDescent="0.25">
      <c r="A41" t="s">
        <v>4049</v>
      </c>
      <c r="B41" t="s">
        <v>5068</v>
      </c>
      <c r="C41" t="s">
        <v>4051</v>
      </c>
      <c r="D41" s="7">
        <v>0.15</v>
      </c>
      <c r="E41" s="2">
        <v>17845.35</v>
      </c>
      <c r="F41" s="2">
        <v>2676.8</v>
      </c>
    </row>
    <row r="42" spans="1:6" x14ac:dyDescent="0.25">
      <c r="A42" t="s">
        <v>4052</v>
      </c>
      <c r="B42" t="s">
        <v>4053</v>
      </c>
      <c r="C42" t="s">
        <v>4054</v>
      </c>
      <c r="D42" s="7">
        <v>5</v>
      </c>
      <c r="E42" s="2">
        <v>4235.66</v>
      </c>
      <c r="F42" s="2">
        <v>211.78</v>
      </c>
    </row>
    <row r="43" spans="1:6" x14ac:dyDescent="0.25">
      <c r="A43" t="s">
        <v>4055</v>
      </c>
      <c r="D43" s="7"/>
      <c r="E43" s="2"/>
      <c r="F43" s="2">
        <f>SUBTOTAL(109,A_1_09_04[VALOR PARCIAL])</f>
      </c>
    </row>
    <row r="45" ht="30" customHeight="1" spans="1:6" x14ac:dyDescent="0.25">
      <c r="A45" s="5" t="s">
        <v>5075</v>
      </c>
      <c r="B45" s="5"/>
      <c r="C45" s="5"/>
      <c r="D45" s="5"/>
      <c r="E45" s="5"/>
      <c r="F45" s="5"/>
    </row>
    <row r="46" ht="42" customHeight="1" spans="1:6" x14ac:dyDescent="0.25">
      <c r="A46" s="6" t="s">
        <v>5076</v>
      </c>
      <c r="B46" s="6"/>
      <c r="C46" s="6"/>
      <c r="D46" s="6"/>
      <c r="E46" s="6"/>
      <c r="F46" s="6"/>
    </row>
    <row r="47" spans="1:6" x14ac:dyDescent="0.25">
      <c r="A47" t="s">
        <v>4044</v>
      </c>
      <c r="B47" t="s">
        <v>4045</v>
      </c>
      <c r="C47" t="s">
        <v>5</v>
      </c>
      <c r="D47" t="s">
        <v>4046</v>
      </c>
      <c r="E47" t="s">
        <v>4047</v>
      </c>
      <c r="F47" t="s">
        <v>4048</v>
      </c>
    </row>
    <row r="48" spans="1:6" x14ac:dyDescent="0.25">
      <c r="A48" t="s">
        <v>4062</v>
      </c>
      <c r="B48" t="s">
        <v>5073</v>
      </c>
      <c r="C48" t="s">
        <v>4377</v>
      </c>
      <c r="D48" s="7">
        <v>0.03</v>
      </c>
      <c r="E48" s="2">
        <v>20966.67</v>
      </c>
      <c r="F48" s="2">
        <v>524.17</v>
      </c>
    </row>
    <row r="49" spans="1:6" x14ac:dyDescent="0.25">
      <c r="A49" t="s">
        <v>4062</v>
      </c>
      <c r="B49" t="s">
        <v>4600</v>
      </c>
      <c r="C49" t="s">
        <v>63</v>
      </c>
      <c r="D49" s="7">
        <v>0.4</v>
      </c>
      <c r="E49" s="2">
        <v>1195</v>
      </c>
      <c r="F49" s="2">
        <v>478</v>
      </c>
    </row>
    <row r="50" spans="1:6" x14ac:dyDescent="0.25">
      <c r="A50" t="s">
        <v>4062</v>
      </c>
      <c r="B50" t="s">
        <v>5074</v>
      </c>
      <c r="C50" t="s">
        <v>4377</v>
      </c>
      <c r="D50" s="7">
        <v>0.04</v>
      </c>
      <c r="E50" s="2">
        <v>46450</v>
      </c>
      <c r="F50" s="2">
        <v>1858</v>
      </c>
    </row>
    <row r="51" spans="1:6" x14ac:dyDescent="0.25">
      <c r="A51" t="s">
        <v>4049</v>
      </c>
      <c r="B51" t="s">
        <v>5067</v>
      </c>
      <c r="C51" t="s">
        <v>4051</v>
      </c>
      <c r="D51" s="7">
        <v>0.33</v>
      </c>
      <c r="E51" s="2">
        <v>10392.41</v>
      </c>
      <c r="F51" s="2">
        <v>3429.5</v>
      </c>
    </row>
    <row r="52" spans="1:6" x14ac:dyDescent="0.25">
      <c r="A52" t="s">
        <v>4049</v>
      </c>
      <c r="B52" t="s">
        <v>5068</v>
      </c>
      <c r="C52" t="s">
        <v>4051</v>
      </c>
      <c r="D52" s="7">
        <v>0.33</v>
      </c>
      <c r="E52" s="2">
        <v>17845.35</v>
      </c>
      <c r="F52" s="2">
        <v>5888.97</v>
      </c>
    </row>
    <row r="53" spans="1:6" x14ac:dyDescent="0.25">
      <c r="A53" t="s">
        <v>4052</v>
      </c>
      <c r="B53" t="s">
        <v>4053</v>
      </c>
      <c r="C53" t="s">
        <v>4054</v>
      </c>
      <c r="D53" s="7">
        <v>4</v>
      </c>
      <c r="E53" s="2">
        <v>9318.47</v>
      </c>
      <c r="F53" s="2">
        <v>372.74</v>
      </c>
    </row>
    <row r="54" spans="1:6" x14ac:dyDescent="0.25">
      <c r="A54" t="s">
        <v>4055</v>
      </c>
      <c r="D54" s="7"/>
      <c r="E54" s="2"/>
      <c r="F54" s="2">
        <f>SUBTOTAL(109,A_1_09_05[VALOR PARCIAL])</f>
      </c>
    </row>
    <row r="56" ht="30" customHeight="1" spans="1:6" x14ac:dyDescent="0.25">
      <c r="A56" s="5" t="s">
        <v>5077</v>
      </c>
      <c r="B56" s="5"/>
      <c r="C56" s="5"/>
      <c r="D56" s="5"/>
      <c r="E56" s="5"/>
      <c r="F56" s="5"/>
    </row>
    <row r="57" ht="42" customHeight="1" spans="1:6" x14ac:dyDescent="0.25">
      <c r="A57" s="6" t="s">
        <v>5078</v>
      </c>
      <c r="B57" s="6"/>
      <c r="C57" s="6"/>
      <c r="D57" s="6"/>
      <c r="E57" s="6"/>
      <c r="F57" s="6"/>
    </row>
    <row r="58" spans="1:6" x14ac:dyDescent="0.25">
      <c r="A58" t="s">
        <v>4044</v>
      </c>
      <c r="B58" t="s">
        <v>4045</v>
      </c>
      <c r="C58" t="s">
        <v>5</v>
      </c>
      <c r="D58" t="s">
        <v>4046</v>
      </c>
      <c r="E58" t="s">
        <v>4047</v>
      </c>
      <c r="F58" t="s">
        <v>4048</v>
      </c>
    </row>
    <row r="59" spans="1:6" x14ac:dyDescent="0.25">
      <c r="A59" t="s">
        <v>4062</v>
      </c>
      <c r="B59" t="s">
        <v>5079</v>
      </c>
      <c r="C59" t="s">
        <v>4377</v>
      </c>
      <c r="D59" s="7">
        <v>0.01</v>
      </c>
      <c r="E59" s="2">
        <v>33604</v>
      </c>
      <c r="F59" s="2">
        <v>336.04</v>
      </c>
    </row>
    <row r="60" spans="1:6" x14ac:dyDescent="0.25">
      <c r="A60" t="s">
        <v>4062</v>
      </c>
      <c r="B60" t="s">
        <v>5073</v>
      </c>
      <c r="C60" t="s">
        <v>4377</v>
      </c>
      <c r="D60" s="7">
        <v>0.02</v>
      </c>
      <c r="E60" s="2">
        <v>20966.67</v>
      </c>
      <c r="F60" s="2">
        <v>419.33</v>
      </c>
    </row>
    <row r="61" spans="1:6" x14ac:dyDescent="0.25">
      <c r="A61" t="s">
        <v>4062</v>
      </c>
      <c r="B61" t="s">
        <v>4600</v>
      </c>
      <c r="C61" t="s">
        <v>63</v>
      </c>
      <c r="D61" s="7">
        <v>0.2</v>
      </c>
      <c r="E61" s="2">
        <v>1195</v>
      </c>
      <c r="F61" s="2">
        <v>239</v>
      </c>
    </row>
    <row r="62" spans="1:6" x14ac:dyDescent="0.25">
      <c r="A62" t="s">
        <v>4062</v>
      </c>
      <c r="B62" t="s">
        <v>5074</v>
      </c>
      <c r="C62" t="s">
        <v>4377</v>
      </c>
      <c r="D62" s="7">
        <v>0.03</v>
      </c>
      <c r="E62" s="2">
        <v>46450</v>
      </c>
      <c r="F62" s="2">
        <v>1277.38</v>
      </c>
    </row>
    <row r="63" spans="1:6" x14ac:dyDescent="0.25">
      <c r="A63" t="s">
        <v>4049</v>
      </c>
      <c r="B63" t="s">
        <v>5067</v>
      </c>
      <c r="C63" t="s">
        <v>4051</v>
      </c>
      <c r="D63" s="7">
        <v>0.07</v>
      </c>
      <c r="E63" s="2">
        <v>10392.41</v>
      </c>
      <c r="F63" s="2">
        <v>727.47</v>
      </c>
    </row>
    <row r="64" spans="1:6" x14ac:dyDescent="0.25">
      <c r="A64" t="s">
        <v>4049</v>
      </c>
      <c r="B64" t="s">
        <v>5068</v>
      </c>
      <c r="C64" t="s">
        <v>4051</v>
      </c>
      <c r="D64" s="7">
        <v>0.07</v>
      </c>
      <c r="E64" s="2">
        <v>17845.35</v>
      </c>
      <c r="F64" s="2">
        <v>1249.17</v>
      </c>
    </row>
    <row r="65" spans="1:6" x14ac:dyDescent="0.25">
      <c r="A65" t="s">
        <v>4052</v>
      </c>
      <c r="B65" t="s">
        <v>4053</v>
      </c>
      <c r="C65" t="s">
        <v>4054</v>
      </c>
      <c r="D65" s="7">
        <v>6</v>
      </c>
      <c r="E65" s="2">
        <v>1976.64</v>
      </c>
      <c r="F65" s="2">
        <v>118.6</v>
      </c>
    </row>
    <row r="66" spans="1:6" x14ac:dyDescent="0.25">
      <c r="A66" t="s">
        <v>4055</v>
      </c>
      <c r="D66" s="7"/>
      <c r="E66" s="2"/>
      <c r="F66" s="2">
        <f>SUBTOTAL(109,A_1_09_06[VALOR PARCIAL])</f>
      </c>
    </row>
    <row r="68" ht="30" customHeight="1" spans="1:6" x14ac:dyDescent="0.25">
      <c r="A68" s="5" t="s">
        <v>5080</v>
      </c>
      <c r="B68" s="5"/>
      <c r="C68" s="5"/>
      <c r="D68" s="5"/>
      <c r="E68" s="5"/>
      <c r="F68" s="5"/>
    </row>
    <row r="69" ht="42" customHeight="1" spans="1:6" x14ac:dyDescent="0.25">
      <c r="A69" s="6" t="s">
        <v>5081</v>
      </c>
      <c r="B69" s="6"/>
      <c r="C69" s="6"/>
      <c r="D69" s="6"/>
      <c r="E69" s="6"/>
      <c r="F69" s="6"/>
    </row>
    <row r="70" spans="1:6" x14ac:dyDescent="0.25">
      <c r="A70" t="s">
        <v>4044</v>
      </c>
      <c r="B70" t="s">
        <v>4045</v>
      </c>
      <c r="C70" t="s">
        <v>5</v>
      </c>
      <c r="D70" t="s">
        <v>4046</v>
      </c>
      <c r="E70" t="s">
        <v>4047</v>
      </c>
      <c r="F70" t="s">
        <v>4048</v>
      </c>
    </row>
    <row r="71" spans="1:6" x14ac:dyDescent="0.25">
      <c r="A71" t="s">
        <v>4062</v>
      </c>
      <c r="B71" t="s">
        <v>5079</v>
      </c>
      <c r="C71" t="s">
        <v>4377</v>
      </c>
      <c r="D71" s="7">
        <v>0.02</v>
      </c>
      <c r="E71" s="2">
        <v>33604</v>
      </c>
      <c r="F71" s="2">
        <v>672.08</v>
      </c>
    </row>
    <row r="72" spans="1:6" x14ac:dyDescent="0.25">
      <c r="A72" t="s">
        <v>4062</v>
      </c>
      <c r="B72" t="s">
        <v>5073</v>
      </c>
      <c r="C72" t="s">
        <v>4377</v>
      </c>
      <c r="D72" s="7">
        <v>0.02</v>
      </c>
      <c r="E72" s="2">
        <v>20966.67</v>
      </c>
      <c r="F72" s="2">
        <v>419.33</v>
      </c>
    </row>
    <row r="73" spans="1:6" x14ac:dyDescent="0.25">
      <c r="A73" t="s">
        <v>4062</v>
      </c>
      <c r="B73" t="s">
        <v>4600</v>
      </c>
      <c r="C73" t="s">
        <v>63</v>
      </c>
      <c r="D73" s="7">
        <v>1.05</v>
      </c>
      <c r="E73" s="2">
        <v>1195</v>
      </c>
      <c r="F73" s="2">
        <v>1254.75</v>
      </c>
    </row>
    <row r="74" spans="1:6" x14ac:dyDescent="0.25">
      <c r="A74" t="s">
        <v>4062</v>
      </c>
      <c r="B74" t="s">
        <v>5074</v>
      </c>
      <c r="C74" t="s">
        <v>4377</v>
      </c>
      <c r="D74" s="7">
        <v>0.05</v>
      </c>
      <c r="E74" s="2">
        <v>46450</v>
      </c>
      <c r="F74" s="2">
        <v>2090.25</v>
      </c>
    </row>
    <row r="75" spans="1:6" x14ac:dyDescent="0.25">
      <c r="A75" t="s">
        <v>4049</v>
      </c>
      <c r="B75" t="s">
        <v>5067</v>
      </c>
      <c r="C75" t="s">
        <v>4051</v>
      </c>
      <c r="D75" s="7">
        <v>0.35</v>
      </c>
      <c r="E75" s="2">
        <v>10392.41</v>
      </c>
      <c r="F75" s="2">
        <v>3637.34</v>
      </c>
    </row>
    <row r="76" spans="1:6" x14ac:dyDescent="0.25">
      <c r="A76" t="s">
        <v>4049</v>
      </c>
      <c r="B76" t="s">
        <v>5068</v>
      </c>
      <c r="C76" t="s">
        <v>4051</v>
      </c>
      <c r="D76" s="7">
        <v>0.35</v>
      </c>
      <c r="E76" s="2">
        <v>17845.35</v>
      </c>
      <c r="F76" s="2">
        <v>6245.87</v>
      </c>
    </row>
    <row r="77" spans="1:6" x14ac:dyDescent="0.25">
      <c r="A77" t="s">
        <v>4052</v>
      </c>
      <c r="B77" t="s">
        <v>4053</v>
      </c>
      <c r="C77" t="s">
        <v>4054</v>
      </c>
      <c r="D77" s="7">
        <v>6</v>
      </c>
      <c r="E77" s="2">
        <v>9883.21</v>
      </c>
      <c r="F77" s="2">
        <v>592.99</v>
      </c>
    </row>
    <row r="78" spans="1:6" x14ac:dyDescent="0.25">
      <c r="A78" t="s">
        <v>4055</v>
      </c>
      <c r="D78" s="7"/>
      <c r="E78" s="2"/>
      <c r="F78" s="2">
        <f>SUBTOTAL(109,A_1_09_07[VALOR PARCIAL])</f>
      </c>
    </row>
    <row r="80" ht="30" customHeight="1" spans="1:6" x14ac:dyDescent="0.25">
      <c r="A80" s="5" t="s">
        <v>5082</v>
      </c>
      <c r="B80" s="5"/>
      <c r="C80" s="5"/>
      <c r="D80" s="5"/>
      <c r="E80" s="5"/>
      <c r="F80" s="5"/>
    </row>
    <row r="81" ht="42" customHeight="1" spans="1:6" x14ac:dyDescent="0.25">
      <c r="A81" s="6" t="s">
        <v>5083</v>
      </c>
      <c r="B81" s="6"/>
      <c r="C81" s="6"/>
      <c r="D81" s="6"/>
      <c r="E81" s="6"/>
      <c r="F81" s="6"/>
    </row>
    <row r="82" spans="1:6" x14ac:dyDescent="0.25">
      <c r="A82" t="s">
        <v>4044</v>
      </c>
      <c r="B82" t="s">
        <v>4045</v>
      </c>
      <c r="C82" t="s">
        <v>5</v>
      </c>
      <c r="D82" t="s">
        <v>4046</v>
      </c>
      <c r="E82" t="s">
        <v>4047</v>
      </c>
      <c r="F82" t="s">
        <v>4048</v>
      </c>
    </row>
    <row r="83" spans="1:6" x14ac:dyDescent="0.25">
      <c r="A83" t="s">
        <v>4062</v>
      </c>
      <c r="B83" t="s">
        <v>5073</v>
      </c>
      <c r="C83" t="s">
        <v>4377</v>
      </c>
      <c r="D83" s="7">
        <v>0.02</v>
      </c>
      <c r="E83" s="2">
        <v>20966.67</v>
      </c>
      <c r="F83" s="2">
        <v>419.33</v>
      </c>
    </row>
    <row r="84" spans="1:6" x14ac:dyDescent="0.25">
      <c r="A84" t="s">
        <v>4062</v>
      </c>
      <c r="B84" t="s">
        <v>4600</v>
      </c>
      <c r="C84" t="s">
        <v>63</v>
      </c>
      <c r="D84" s="7">
        <v>0.2</v>
      </c>
      <c r="E84" s="2">
        <v>1195</v>
      </c>
      <c r="F84" s="2">
        <v>239</v>
      </c>
    </row>
    <row r="85" spans="1:6" x14ac:dyDescent="0.25">
      <c r="A85" t="s">
        <v>4062</v>
      </c>
      <c r="B85" t="s">
        <v>5074</v>
      </c>
      <c r="C85" t="s">
        <v>4377</v>
      </c>
      <c r="D85" s="7">
        <v>0.04</v>
      </c>
      <c r="E85" s="2">
        <v>46450</v>
      </c>
      <c r="F85" s="2">
        <v>1858</v>
      </c>
    </row>
    <row r="86" spans="1:6" x14ac:dyDescent="0.25">
      <c r="A86" t="s">
        <v>4062</v>
      </c>
      <c r="B86" t="s">
        <v>5084</v>
      </c>
      <c r="C86" t="s">
        <v>21</v>
      </c>
      <c r="D86" s="7">
        <v>1</v>
      </c>
      <c r="E86" s="2">
        <v>11868</v>
      </c>
      <c r="F86" s="2">
        <v>11868</v>
      </c>
    </row>
    <row r="87" spans="1:6" x14ac:dyDescent="0.25">
      <c r="A87" t="s">
        <v>4049</v>
      </c>
      <c r="B87" t="s">
        <v>5067</v>
      </c>
      <c r="C87" t="s">
        <v>4051</v>
      </c>
      <c r="D87" s="7">
        <v>0.28</v>
      </c>
      <c r="E87" s="2">
        <v>10392.41</v>
      </c>
      <c r="F87" s="2">
        <v>2857.91</v>
      </c>
    </row>
    <row r="88" spans="1:6" x14ac:dyDescent="0.25">
      <c r="A88" t="s">
        <v>4049</v>
      </c>
      <c r="B88" t="s">
        <v>5068</v>
      </c>
      <c r="C88" t="s">
        <v>4051</v>
      </c>
      <c r="D88" s="7">
        <v>0.28</v>
      </c>
      <c r="E88" s="2">
        <v>17845.35</v>
      </c>
      <c r="F88" s="2">
        <v>4907.47</v>
      </c>
    </row>
    <row r="89" spans="1:6" x14ac:dyDescent="0.25">
      <c r="A89" t="s">
        <v>4049</v>
      </c>
      <c r="B89" t="s">
        <v>5067</v>
      </c>
      <c r="C89" t="s">
        <v>4051</v>
      </c>
      <c r="D89" s="7">
        <v>0.17</v>
      </c>
      <c r="E89" s="2">
        <v>10392.41</v>
      </c>
      <c r="F89" s="2">
        <v>1766.71</v>
      </c>
    </row>
    <row r="90" spans="1:6" x14ac:dyDescent="0.25">
      <c r="A90" t="s">
        <v>4049</v>
      </c>
      <c r="B90" t="s">
        <v>5068</v>
      </c>
      <c r="C90" t="s">
        <v>4051</v>
      </c>
      <c r="D90" s="7">
        <v>0.17</v>
      </c>
      <c r="E90" s="2">
        <v>17845.35</v>
      </c>
      <c r="F90" s="2">
        <v>3033.71</v>
      </c>
    </row>
    <row r="91" spans="1:6" x14ac:dyDescent="0.25">
      <c r="A91" t="s">
        <v>4052</v>
      </c>
      <c r="B91" t="s">
        <v>4053</v>
      </c>
      <c r="C91" t="s">
        <v>4054</v>
      </c>
      <c r="D91" s="7">
        <v>10</v>
      </c>
      <c r="E91" s="2">
        <v>7765.38</v>
      </c>
      <c r="F91" s="2">
        <v>776.54</v>
      </c>
    </row>
    <row r="92" spans="1:6" x14ac:dyDescent="0.25">
      <c r="A92" t="s">
        <v>4052</v>
      </c>
      <c r="B92" t="s">
        <v>4053</v>
      </c>
      <c r="C92" t="s">
        <v>4054</v>
      </c>
      <c r="D92" s="7">
        <v>4</v>
      </c>
      <c r="E92" s="2">
        <v>4800.42</v>
      </c>
      <c r="F92" s="2">
        <v>192.02</v>
      </c>
    </row>
    <row r="93" spans="1:6" x14ac:dyDescent="0.25">
      <c r="A93" t="s">
        <v>4055</v>
      </c>
      <c r="D93" s="7"/>
      <c r="E93" s="2"/>
      <c r="F93" s="2">
        <f>SUBTOTAL(109,A_1_09_08[VALOR PARCIAL])</f>
      </c>
    </row>
    <row r="95" ht="30" customHeight="1" spans="1:6" x14ac:dyDescent="0.25">
      <c r="A95" s="5" t="s">
        <v>5085</v>
      </c>
      <c r="B95" s="5"/>
      <c r="C95" s="5"/>
      <c r="D95" s="5"/>
      <c r="E95" s="5"/>
      <c r="F95" s="5"/>
    </row>
    <row r="96" ht="42" customHeight="1" spans="1:6" x14ac:dyDescent="0.25">
      <c r="A96" s="6" t="s">
        <v>5086</v>
      </c>
      <c r="B96" s="6"/>
      <c r="C96" s="6"/>
      <c r="D96" s="6"/>
      <c r="E96" s="6"/>
      <c r="F96" s="6"/>
    </row>
    <row r="97" spans="1:6" x14ac:dyDescent="0.25">
      <c r="A97" t="s">
        <v>4044</v>
      </c>
      <c r="B97" t="s">
        <v>4045</v>
      </c>
      <c r="C97" t="s">
        <v>5</v>
      </c>
      <c r="D97" t="s">
        <v>4046</v>
      </c>
      <c r="E97" t="s">
        <v>4047</v>
      </c>
      <c r="F97" t="s">
        <v>4048</v>
      </c>
    </row>
    <row r="98" spans="1:6" x14ac:dyDescent="0.25">
      <c r="A98" t="s">
        <v>4062</v>
      </c>
      <c r="B98" t="s">
        <v>5079</v>
      </c>
      <c r="C98" t="s">
        <v>4377</v>
      </c>
      <c r="D98" s="7">
        <v>0.03</v>
      </c>
      <c r="E98" s="2">
        <v>33604</v>
      </c>
      <c r="F98" s="2">
        <v>1008.12</v>
      </c>
    </row>
    <row r="99" spans="1:6" x14ac:dyDescent="0.25">
      <c r="A99" t="s">
        <v>4062</v>
      </c>
      <c r="B99" t="s">
        <v>5073</v>
      </c>
      <c r="C99" t="s">
        <v>4377</v>
      </c>
      <c r="D99" s="7">
        <v>0.02</v>
      </c>
      <c r="E99" s="2">
        <v>20966.67</v>
      </c>
      <c r="F99" s="2">
        <v>419.33</v>
      </c>
    </row>
    <row r="100" spans="1:6" x14ac:dyDescent="0.25">
      <c r="A100" t="s">
        <v>4062</v>
      </c>
      <c r="B100" t="s">
        <v>4600</v>
      </c>
      <c r="C100" t="s">
        <v>63</v>
      </c>
      <c r="D100" s="7">
        <v>0.75</v>
      </c>
      <c r="E100" s="2">
        <v>1195</v>
      </c>
      <c r="F100" s="2">
        <v>896.25</v>
      </c>
    </row>
    <row r="101" spans="1:6" x14ac:dyDescent="0.25">
      <c r="A101" t="s">
        <v>4062</v>
      </c>
      <c r="B101" t="s">
        <v>5074</v>
      </c>
      <c r="C101" t="s">
        <v>4377</v>
      </c>
      <c r="D101" s="7">
        <v>0.03</v>
      </c>
      <c r="E101" s="2">
        <v>46450</v>
      </c>
      <c r="F101" s="2">
        <v>1393.5</v>
      </c>
    </row>
    <row r="102" spans="1:6" x14ac:dyDescent="0.25">
      <c r="A102" t="s">
        <v>4049</v>
      </c>
      <c r="B102" t="s">
        <v>5067</v>
      </c>
      <c r="C102" t="s">
        <v>4051</v>
      </c>
      <c r="D102" s="7">
        <v>0.28</v>
      </c>
      <c r="E102" s="2">
        <v>10392.41</v>
      </c>
      <c r="F102" s="2">
        <v>2857.91</v>
      </c>
    </row>
    <row r="103" spans="1:6" x14ac:dyDescent="0.25">
      <c r="A103" t="s">
        <v>4049</v>
      </c>
      <c r="B103" t="s">
        <v>5068</v>
      </c>
      <c r="C103" t="s">
        <v>4051</v>
      </c>
      <c r="D103" s="7">
        <v>0.28</v>
      </c>
      <c r="E103" s="2">
        <v>17845.35</v>
      </c>
      <c r="F103" s="2">
        <v>4907.47</v>
      </c>
    </row>
    <row r="104" spans="1:6" x14ac:dyDescent="0.25">
      <c r="A104" t="s">
        <v>4052</v>
      </c>
      <c r="B104" t="s">
        <v>4053</v>
      </c>
      <c r="C104" t="s">
        <v>4054</v>
      </c>
      <c r="D104" s="7">
        <v>5</v>
      </c>
      <c r="E104" s="2">
        <v>7765.38</v>
      </c>
      <c r="F104" s="2">
        <v>388.27</v>
      </c>
    </row>
    <row r="105" spans="1:6" x14ac:dyDescent="0.25">
      <c r="A105" t="s">
        <v>4055</v>
      </c>
      <c r="D105" s="7"/>
      <c r="E105" s="2"/>
      <c r="F105" s="2">
        <f>SUBTOTAL(109,A_1_09_09[VALOR PARCIAL])</f>
      </c>
    </row>
    <row r="107" ht="30" customHeight="1" spans="1:6" x14ac:dyDescent="0.25">
      <c r="A107" s="5" t="s">
        <v>5087</v>
      </c>
      <c r="B107" s="5"/>
      <c r="C107" s="5"/>
      <c r="D107" s="5"/>
      <c r="E107" s="5"/>
      <c r="F107" s="5"/>
    </row>
    <row r="108" ht="42" customHeight="1" spans="1:6" x14ac:dyDescent="0.25">
      <c r="A108" s="6" t="s">
        <v>5088</v>
      </c>
      <c r="B108" s="6"/>
      <c r="C108" s="6"/>
      <c r="D108" s="6"/>
      <c r="E108" s="6"/>
      <c r="F108" s="6"/>
    </row>
    <row r="109" spans="1:6" x14ac:dyDescent="0.25">
      <c r="A109" t="s">
        <v>4044</v>
      </c>
      <c r="B109" t="s">
        <v>4045</v>
      </c>
      <c r="C109" t="s">
        <v>5</v>
      </c>
      <c r="D109" t="s">
        <v>4046</v>
      </c>
      <c r="E109" t="s">
        <v>4047</v>
      </c>
      <c r="F109" t="s">
        <v>4048</v>
      </c>
    </row>
    <row r="110" spans="1:6" x14ac:dyDescent="0.25">
      <c r="A110" t="s">
        <v>4062</v>
      </c>
      <c r="B110" t="s">
        <v>5089</v>
      </c>
      <c r="C110" t="s">
        <v>5090</v>
      </c>
      <c r="D110" s="7">
        <v>0.03</v>
      </c>
      <c r="E110" s="2">
        <v>21750</v>
      </c>
      <c r="F110" s="2">
        <v>652.5</v>
      </c>
    </row>
    <row r="111" spans="1:6" x14ac:dyDescent="0.25">
      <c r="A111" t="s">
        <v>4062</v>
      </c>
      <c r="B111" t="s">
        <v>5091</v>
      </c>
      <c r="C111" t="s">
        <v>5090</v>
      </c>
      <c r="D111" s="7">
        <v>0.12</v>
      </c>
      <c r="E111" s="2">
        <v>20894.67</v>
      </c>
      <c r="F111" s="2">
        <v>2507.36</v>
      </c>
    </row>
    <row r="112" spans="1:6" x14ac:dyDescent="0.25">
      <c r="A112" t="s">
        <v>4062</v>
      </c>
      <c r="B112" t="s">
        <v>4475</v>
      </c>
      <c r="C112" t="s">
        <v>231</v>
      </c>
      <c r="D112" s="7">
        <v>0.35</v>
      </c>
      <c r="E112" s="2">
        <v>730</v>
      </c>
      <c r="F112" s="2">
        <v>255.5</v>
      </c>
    </row>
    <row r="113" spans="1:6" x14ac:dyDescent="0.25">
      <c r="A113" t="s">
        <v>4062</v>
      </c>
      <c r="B113" t="s">
        <v>4600</v>
      </c>
      <c r="C113" t="s">
        <v>63</v>
      </c>
      <c r="D113" s="7">
        <v>0.1</v>
      </c>
      <c r="E113" s="2">
        <v>1195</v>
      </c>
      <c r="F113" s="2">
        <v>119.5</v>
      </c>
    </row>
    <row r="114" spans="1:6" x14ac:dyDescent="0.25">
      <c r="A114" t="s">
        <v>4049</v>
      </c>
      <c r="B114" t="s">
        <v>4050</v>
      </c>
      <c r="C114" t="s">
        <v>4051</v>
      </c>
      <c r="D114" s="7">
        <v>0.22</v>
      </c>
      <c r="E114" s="2">
        <v>9037.33</v>
      </c>
      <c r="F114" s="2">
        <v>1988.21</v>
      </c>
    </row>
    <row r="115" spans="1:6" x14ac:dyDescent="0.25">
      <c r="A115" t="s">
        <v>4049</v>
      </c>
      <c r="B115" t="s">
        <v>4073</v>
      </c>
      <c r="C115" t="s">
        <v>4051</v>
      </c>
      <c r="D115" s="7">
        <v>0.22</v>
      </c>
      <c r="E115" s="2">
        <v>15517.89</v>
      </c>
      <c r="F115" s="2">
        <v>3413.94</v>
      </c>
    </row>
    <row r="116" spans="1:6" x14ac:dyDescent="0.25">
      <c r="A116" t="s">
        <v>4052</v>
      </c>
      <c r="B116" t="s">
        <v>4105</v>
      </c>
      <c r="C116" t="s">
        <v>4106</v>
      </c>
      <c r="D116" s="7">
        <v>0.35</v>
      </c>
      <c r="E116" s="2">
        <v>25125</v>
      </c>
      <c r="F116" s="2">
        <v>8793.75</v>
      </c>
    </row>
    <row r="117" spans="1:6" x14ac:dyDescent="0.25">
      <c r="A117" t="s">
        <v>4055</v>
      </c>
      <c r="D117" s="7"/>
      <c r="E117" s="2"/>
      <c r="F117" s="2">
        <f>SUBTOTAL(109,A_1_09_10[VALOR PARCIAL])</f>
      </c>
    </row>
    <row r="119" ht="30" customHeight="1" spans="1:6" x14ac:dyDescent="0.25">
      <c r="A119" s="5" t="s">
        <v>5092</v>
      </c>
      <c r="B119" s="5"/>
      <c r="C119" s="5"/>
      <c r="D119" s="5"/>
      <c r="E119" s="5"/>
      <c r="F119" s="5"/>
    </row>
    <row r="120" ht="42" customHeight="1" spans="1:6" x14ac:dyDescent="0.25">
      <c r="A120" s="6" t="s">
        <v>5093</v>
      </c>
      <c r="B120" s="6"/>
      <c r="C120" s="6"/>
      <c r="D120" s="6"/>
      <c r="E120" s="6"/>
      <c r="F120" s="6"/>
    </row>
    <row r="121" spans="1:6" x14ac:dyDescent="0.25">
      <c r="A121" t="s">
        <v>4044</v>
      </c>
      <c r="B121" t="s">
        <v>4045</v>
      </c>
      <c r="C121" t="s">
        <v>5</v>
      </c>
      <c r="D121" t="s">
        <v>4046</v>
      </c>
      <c r="E121" t="s">
        <v>4047</v>
      </c>
      <c r="F121" t="s">
        <v>4048</v>
      </c>
    </row>
    <row r="122" spans="1:6" x14ac:dyDescent="0.25">
      <c r="A122" t="s">
        <v>4062</v>
      </c>
      <c r="B122" t="s">
        <v>5089</v>
      </c>
      <c r="C122" t="s">
        <v>5090</v>
      </c>
      <c r="D122" s="7">
        <v>0.01</v>
      </c>
      <c r="E122" s="2">
        <v>21750</v>
      </c>
      <c r="F122" s="2">
        <v>217.5</v>
      </c>
    </row>
    <row r="123" spans="1:6" x14ac:dyDescent="0.25">
      <c r="A123" t="s">
        <v>4062</v>
      </c>
      <c r="B123" t="s">
        <v>5091</v>
      </c>
      <c r="C123" t="s">
        <v>5090</v>
      </c>
      <c r="D123" s="7">
        <v>0.09</v>
      </c>
      <c r="E123" s="2">
        <v>20894.67</v>
      </c>
      <c r="F123" s="2">
        <v>1880.52</v>
      </c>
    </row>
    <row r="124" spans="1:6" x14ac:dyDescent="0.25">
      <c r="A124" t="s">
        <v>4062</v>
      </c>
      <c r="B124" t="s">
        <v>4475</v>
      </c>
      <c r="C124" t="s">
        <v>231</v>
      </c>
      <c r="D124" s="7">
        <v>0.26</v>
      </c>
      <c r="E124" s="2">
        <v>730</v>
      </c>
      <c r="F124" s="2">
        <v>189.8</v>
      </c>
    </row>
    <row r="125" spans="1:6" x14ac:dyDescent="0.25">
      <c r="A125" t="s">
        <v>4062</v>
      </c>
      <c r="B125" t="s">
        <v>4600</v>
      </c>
      <c r="C125" t="s">
        <v>63</v>
      </c>
      <c r="D125" s="7">
        <v>0.1</v>
      </c>
      <c r="E125" s="2">
        <v>1195</v>
      </c>
      <c r="F125" s="2">
        <v>119.5</v>
      </c>
    </row>
    <row r="126" spans="1:6" x14ac:dyDescent="0.25">
      <c r="A126" t="s">
        <v>4049</v>
      </c>
      <c r="B126" t="s">
        <v>4050</v>
      </c>
      <c r="C126" t="s">
        <v>4051</v>
      </c>
      <c r="D126" s="7">
        <v>0.21</v>
      </c>
      <c r="E126" s="2">
        <v>9037.33</v>
      </c>
      <c r="F126" s="2">
        <v>1897.84</v>
      </c>
    </row>
    <row r="127" spans="1:6" x14ac:dyDescent="0.25">
      <c r="A127" t="s">
        <v>4049</v>
      </c>
      <c r="B127" t="s">
        <v>4073</v>
      </c>
      <c r="C127" t="s">
        <v>4051</v>
      </c>
      <c r="D127" s="7">
        <v>0.21</v>
      </c>
      <c r="E127" s="2">
        <v>15517.89</v>
      </c>
      <c r="F127" s="2">
        <v>3258.76</v>
      </c>
    </row>
    <row r="128" spans="1:6" x14ac:dyDescent="0.25">
      <c r="A128" t="s">
        <v>4052</v>
      </c>
      <c r="B128" t="s">
        <v>4053</v>
      </c>
      <c r="C128" t="s">
        <v>4054</v>
      </c>
      <c r="D128" s="7">
        <v>10</v>
      </c>
      <c r="E128" s="2">
        <v>5156.6</v>
      </c>
      <c r="F128" s="2">
        <v>515.66</v>
      </c>
    </row>
    <row r="129" spans="1:6" x14ac:dyDescent="0.25">
      <c r="A129" t="s">
        <v>4055</v>
      </c>
      <c r="D129" s="7"/>
      <c r="E129" s="2"/>
      <c r="F129" s="2">
        <f>SUBTOTAL(109,A_1_09_11[VALOR PARCIAL])</f>
      </c>
    </row>
    <row r="131" ht="30" customHeight="1" spans="1:6" x14ac:dyDescent="0.25">
      <c r="A131" s="5" t="s">
        <v>5094</v>
      </c>
      <c r="B131" s="5"/>
      <c r="C131" s="5"/>
      <c r="D131" s="5"/>
      <c r="E131" s="5"/>
      <c r="F131" s="5"/>
    </row>
    <row r="132" ht="42" customHeight="1" spans="1:6" x14ac:dyDescent="0.25">
      <c r="A132" s="6" t="s">
        <v>5095</v>
      </c>
      <c r="B132" s="6"/>
      <c r="C132" s="6"/>
      <c r="D132" s="6"/>
      <c r="E132" s="6"/>
      <c r="F132" s="6"/>
    </row>
    <row r="133" spans="1:6" x14ac:dyDescent="0.25">
      <c r="A133" t="s">
        <v>4044</v>
      </c>
      <c r="B133" t="s">
        <v>4045</v>
      </c>
      <c r="C133" t="s">
        <v>5</v>
      </c>
      <c r="D133" t="s">
        <v>4046</v>
      </c>
      <c r="E133" t="s">
        <v>4047</v>
      </c>
      <c r="F133" t="s">
        <v>4048</v>
      </c>
    </row>
    <row r="134" spans="1:6" x14ac:dyDescent="0.25">
      <c r="A134" t="s">
        <v>4062</v>
      </c>
      <c r="B134" t="s">
        <v>5089</v>
      </c>
      <c r="C134" t="s">
        <v>5090</v>
      </c>
      <c r="D134" s="7">
        <v>0.03</v>
      </c>
      <c r="E134" s="2">
        <v>21750</v>
      </c>
      <c r="F134" s="2">
        <v>652.5</v>
      </c>
    </row>
    <row r="135" spans="1:6" x14ac:dyDescent="0.25">
      <c r="A135" t="s">
        <v>4062</v>
      </c>
      <c r="B135" t="s">
        <v>5091</v>
      </c>
      <c r="C135" t="s">
        <v>5090</v>
      </c>
      <c r="D135" s="7">
        <v>0.15</v>
      </c>
      <c r="E135" s="2">
        <v>20894.67</v>
      </c>
      <c r="F135" s="2">
        <v>3134.2</v>
      </c>
    </row>
    <row r="136" spans="1:6" x14ac:dyDescent="0.25">
      <c r="A136" t="s">
        <v>4062</v>
      </c>
      <c r="B136" t="s">
        <v>4475</v>
      </c>
      <c r="C136" t="s">
        <v>231</v>
      </c>
      <c r="D136" s="7">
        <v>0.32</v>
      </c>
      <c r="E136" s="2">
        <v>730</v>
      </c>
      <c r="F136" s="2">
        <v>233.6</v>
      </c>
    </row>
    <row r="137" spans="1:6" x14ac:dyDescent="0.25">
      <c r="A137" t="s">
        <v>4062</v>
      </c>
      <c r="B137" t="s">
        <v>4600</v>
      </c>
      <c r="C137" t="s">
        <v>63</v>
      </c>
      <c r="D137" s="7">
        <v>0.02</v>
      </c>
      <c r="E137" s="2">
        <v>1195</v>
      </c>
      <c r="F137" s="2">
        <v>23.9</v>
      </c>
    </row>
    <row r="138" spans="1:6" x14ac:dyDescent="0.25">
      <c r="A138" t="s">
        <v>4062</v>
      </c>
      <c r="B138" t="s">
        <v>4602</v>
      </c>
      <c r="C138" t="s">
        <v>4377</v>
      </c>
      <c r="D138" s="7">
        <v>0.06</v>
      </c>
      <c r="E138" s="2">
        <v>41112</v>
      </c>
      <c r="F138" s="2">
        <v>2466.72</v>
      </c>
    </row>
    <row r="139" spans="1:6" x14ac:dyDescent="0.25">
      <c r="A139" t="s">
        <v>4049</v>
      </c>
      <c r="B139" t="s">
        <v>4050</v>
      </c>
      <c r="C139" t="s">
        <v>4051</v>
      </c>
      <c r="D139" s="7">
        <v>0.3</v>
      </c>
      <c r="E139" s="2">
        <v>9037.33</v>
      </c>
      <c r="F139" s="2">
        <v>2711.2</v>
      </c>
    </row>
    <row r="140" spans="1:6" x14ac:dyDescent="0.25">
      <c r="A140" t="s">
        <v>4049</v>
      </c>
      <c r="B140" t="s">
        <v>4073</v>
      </c>
      <c r="C140" t="s">
        <v>4051</v>
      </c>
      <c r="D140" s="7">
        <v>0.3</v>
      </c>
      <c r="E140" s="2">
        <v>15517.89</v>
      </c>
      <c r="F140" s="2">
        <v>4655.37</v>
      </c>
    </row>
    <row r="141" spans="1:6" x14ac:dyDescent="0.25">
      <c r="A141" t="s">
        <v>4052</v>
      </c>
      <c r="B141" t="s">
        <v>4105</v>
      </c>
      <c r="C141" t="s">
        <v>4106</v>
      </c>
      <c r="D141" s="7">
        <v>0.3</v>
      </c>
      <c r="E141" s="2">
        <v>25125</v>
      </c>
      <c r="F141" s="2">
        <v>7537.5</v>
      </c>
    </row>
    <row r="142" spans="1:6" x14ac:dyDescent="0.25">
      <c r="A142" t="s">
        <v>4052</v>
      </c>
      <c r="B142" t="s">
        <v>4053</v>
      </c>
      <c r="C142" t="s">
        <v>4054</v>
      </c>
      <c r="D142" s="7">
        <v>12</v>
      </c>
      <c r="E142" s="2">
        <v>7366.57</v>
      </c>
      <c r="F142" s="2">
        <v>883.99</v>
      </c>
    </row>
    <row r="143" spans="1:6" x14ac:dyDescent="0.25">
      <c r="A143" t="s">
        <v>4055</v>
      </c>
      <c r="D143" s="7"/>
      <c r="E143" s="2"/>
      <c r="F143" s="2">
        <f>SUBTOTAL(109,A_1_09_12[VALOR PARCIAL])</f>
      </c>
    </row>
    <row r="145" ht="30" customHeight="1" spans="1:6" x14ac:dyDescent="0.25">
      <c r="A145" s="5" t="s">
        <v>5096</v>
      </c>
      <c r="B145" s="5"/>
      <c r="C145" s="5"/>
      <c r="D145" s="5"/>
      <c r="E145" s="5"/>
      <c r="F145" s="5"/>
    </row>
    <row r="146" ht="42" customHeight="1" spans="1:6" x14ac:dyDescent="0.25">
      <c r="A146" s="6" t="s">
        <v>5097</v>
      </c>
      <c r="B146" s="6"/>
      <c r="C146" s="6"/>
      <c r="D146" s="6"/>
      <c r="E146" s="6"/>
      <c r="F146" s="6"/>
    </row>
    <row r="147" spans="1:6" x14ac:dyDescent="0.25">
      <c r="A147" t="s">
        <v>4044</v>
      </c>
      <c r="B147" t="s">
        <v>4045</v>
      </c>
      <c r="C147" t="s">
        <v>5</v>
      </c>
      <c r="D147" t="s">
        <v>4046</v>
      </c>
      <c r="E147" t="s">
        <v>4047</v>
      </c>
      <c r="F147" t="s">
        <v>4048</v>
      </c>
    </row>
    <row r="148" spans="1:6" x14ac:dyDescent="0.25">
      <c r="A148" t="s">
        <v>4062</v>
      </c>
      <c r="B148" t="s">
        <v>5089</v>
      </c>
      <c r="C148" t="s">
        <v>5090</v>
      </c>
      <c r="D148" s="7">
        <v>0.01</v>
      </c>
      <c r="E148" s="2">
        <v>21750</v>
      </c>
      <c r="F148" s="2">
        <v>217.5</v>
      </c>
    </row>
    <row r="149" spans="1:6" x14ac:dyDescent="0.25">
      <c r="A149" t="s">
        <v>4062</v>
      </c>
      <c r="B149" t="s">
        <v>5091</v>
      </c>
      <c r="C149" t="s">
        <v>5090</v>
      </c>
      <c r="D149" s="7">
        <v>0.09</v>
      </c>
      <c r="E149" s="2">
        <v>20894.67</v>
      </c>
      <c r="F149" s="2">
        <v>1880.52</v>
      </c>
    </row>
    <row r="150" spans="1:6" x14ac:dyDescent="0.25">
      <c r="A150" t="s">
        <v>4062</v>
      </c>
      <c r="B150" t="s">
        <v>4475</v>
      </c>
      <c r="C150" t="s">
        <v>231</v>
      </c>
      <c r="D150" s="7">
        <v>0.26</v>
      </c>
      <c r="E150" s="2">
        <v>730</v>
      </c>
      <c r="F150" s="2">
        <v>189.8</v>
      </c>
    </row>
    <row r="151" spans="1:6" x14ac:dyDescent="0.25">
      <c r="A151" t="s">
        <v>4062</v>
      </c>
      <c r="B151" t="s">
        <v>4600</v>
      </c>
      <c r="C151" t="s">
        <v>63</v>
      </c>
      <c r="D151" s="7">
        <v>0.04</v>
      </c>
      <c r="E151" s="2">
        <v>1195</v>
      </c>
      <c r="F151" s="2">
        <v>47.8</v>
      </c>
    </row>
    <row r="152" spans="1:6" x14ac:dyDescent="0.25">
      <c r="A152" t="s">
        <v>4062</v>
      </c>
      <c r="B152" t="s">
        <v>4602</v>
      </c>
      <c r="C152" t="s">
        <v>4377</v>
      </c>
      <c r="D152" s="7">
        <v>0.05</v>
      </c>
      <c r="E152" s="2">
        <v>41112</v>
      </c>
      <c r="F152" s="2">
        <v>2055.6</v>
      </c>
    </row>
    <row r="153" spans="1:6" x14ac:dyDescent="0.25">
      <c r="A153" t="s">
        <v>4049</v>
      </c>
      <c r="B153" t="s">
        <v>4050</v>
      </c>
      <c r="C153" t="s">
        <v>4051</v>
      </c>
      <c r="D153" s="7">
        <v>0.3</v>
      </c>
      <c r="E153" s="2">
        <v>9037.33</v>
      </c>
      <c r="F153" s="2">
        <v>2711.2</v>
      </c>
    </row>
    <row r="154" spans="1:6" x14ac:dyDescent="0.25">
      <c r="A154" t="s">
        <v>4049</v>
      </c>
      <c r="B154" t="s">
        <v>4073</v>
      </c>
      <c r="C154" t="s">
        <v>4051</v>
      </c>
      <c r="D154" s="7">
        <v>0.3</v>
      </c>
      <c r="E154" s="2">
        <v>15517.89</v>
      </c>
      <c r="F154" s="2">
        <v>4655.37</v>
      </c>
    </row>
    <row r="155" spans="1:6" x14ac:dyDescent="0.25">
      <c r="A155" t="s">
        <v>4052</v>
      </c>
      <c r="B155" t="s">
        <v>4053</v>
      </c>
      <c r="C155" t="s">
        <v>4054</v>
      </c>
      <c r="D155" s="7">
        <v>12</v>
      </c>
      <c r="E155" s="2">
        <v>7366.57</v>
      </c>
      <c r="F155" s="2">
        <v>883.99</v>
      </c>
    </row>
    <row r="156" spans="1:6" x14ac:dyDescent="0.25">
      <c r="A156" t="s">
        <v>4055</v>
      </c>
      <c r="D156" s="7"/>
      <c r="E156" s="2"/>
      <c r="F156" s="2">
        <f>SUBTOTAL(109,A_1_09_13[VALOR PARCIAL])</f>
      </c>
    </row>
    <row r="158" ht="30" customHeight="1" spans="1:6" x14ac:dyDescent="0.25">
      <c r="A158" s="5" t="s">
        <v>5098</v>
      </c>
      <c r="B158" s="5"/>
      <c r="C158" s="5"/>
      <c r="D158" s="5"/>
      <c r="E158" s="5"/>
      <c r="F158" s="5"/>
    </row>
    <row r="159" ht="42" customHeight="1" spans="1:6" x14ac:dyDescent="0.25">
      <c r="A159" s="6" t="s">
        <v>5099</v>
      </c>
      <c r="B159" s="6"/>
      <c r="C159" s="6"/>
      <c r="D159" s="6"/>
      <c r="E159" s="6"/>
      <c r="F159" s="6"/>
    </row>
    <row r="160" spans="1:6" x14ac:dyDescent="0.25">
      <c r="A160" t="s">
        <v>4044</v>
      </c>
      <c r="B160" t="s">
        <v>4045</v>
      </c>
      <c r="C160" t="s">
        <v>5</v>
      </c>
      <c r="D160" t="s">
        <v>4046</v>
      </c>
      <c r="E160" t="s">
        <v>4047</v>
      </c>
      <c r="F160" t="s">
        <v>4048</v>
      </c>
    </row>
    <row r="161" spans="1:6" x14ac:dyDescent="0.25">
      <c r="A161" t="s">
        <v>4062</v>
      </c>
      <c r="B161" t="s">
        <v>5089</v>
      </c>
      <c r="C161" t="s">
        <v>5090</v>
      </c>
      <c r="D161" s="7">
        <v>0.03</v>
      </c>
      <c r="E161" s="2">
        <v>21750</v>
      </c>
      <c r="F161" s="2">
        <v>543.75</v>
      </c>
    </row>
    <row r="162" spans="1:6" x14ac:dyDescent="0.25">
      <c r="A162" t="s">
        <v>4062</v>
      </c>
      <c r="B162" t="s">
        <v>4475</v>
      </c>
      <c r="C162" t="s">
        <v>231</v>
      </c>
      <c r="D162" s="7">
        <v>0.25</v>
      </c>
      <c r="E162" s="2">
        <v>730</v>
      </c>
      <c r="F162" s="2">
        <v>182.5</v>
      </c>
    </row>
    <row r="163" spans="1:6" x14ac:dyDescent="0.25">
      <c r="A163" t="s">
        <v>4062</v>
      </c>
      <c r="B163" t="s">
        <v>4600</v>
      </c>
      <c r="C163" t="s">
        <v>63</v>
      </c>
      <c r="D163" s="7">
        <v>0.02</v>
      </c>
      <c r="E163" s="2">
        <v>1195</v>
      </c>
      <c r="F163" s="2">
        <v>23.9</v>
      </c>
    </row>
    <row r="164" spans="1:6" x14ac:dyDescent="0.25">
      <c r="A164" t="s">
        <v>4049</v>
      </c>
      <c r="B164" t="s">
        <v>5067</v>
      </c>
      <c r="C164" t="s">
        <v>4051</v>
      </c>
      <c r="D164" s="7">
        <v>0.2</v>
      </c>
      <c r="E164" s="2">
        <v>10392.41</v>
      </c>
      <c r="F164" s="2">
        <v>2078.48</v>
      </c>
    </row>
    <row r="165" spans="1:6" x14ac:dyDescent="0.25">
      <c r="A165" t="s">
        <v>4049</v>
      </c>
      <c r="B165" t="s">
        <v>5068</v>
      </c>
      <c r="C165" t="s">
        <v>4051</v>
      </c>
      <c r="D165" s="7">
        <v>0.2</v>
      </c>
      <c r="E165" s="2">
        <v>17845.35</v>
      </c>
      <c r="F165" s="2">
        <v>3569.07</v>
      </c>
    </row>
    <row r="166" spans="1:6" x14ac:dyDescent="0.25">
      <c r="A166" t="s">
        <v>4052</v>
      </c>
      <c r="B166" t="s">
        <v>4053</v>
      </c>
      <c r="C166" t="s">
        <v>4054</v>
      </c>
      <c r="D166" s="7">
        <v>10</v>
      </c>
      <c r="E166" s="2">
        <v>5647.55</v>
      </c>
      <c r="F166" s="2">
        <v>564.75</v>
      </c>
    </row>
    <row r="167" spans="1:6" x14ac:dyDescent="0.25">
      <c r="A167" t="s">
        <v>4055</v>
      </c>
      <c r="D167" s="7"/>
      <c r="E167" s="2"/>
      <c r="F167" s="2">
        <f>SUBTOTAL(109,A_1_09_14[VALOR PARCIAL])</f>
      </c>
    </row>
    <row r="169" ht="30" customHeight="1" spans="1:6" x14ac:dyDescent="0.25">
      <c r="A169" s="5" t="s">
        <v>5100</v>
      </c>
      <c r="B169" s="5"/>
      <c r="C169" s="5"/>
      <c r="D169" s="5"/>
      <c r="E169" s="5"/>
      <c r="F169" s="5"/>
    </row>
    <row r="170" ht="42" customHeight="1" spans="1:6" x14ac:dyDescent="0.25">
      <c r="A170" s="6" t="s">
        <v>5101</v>
      </c>
      <c r="B170" s="6"/>
      <c r="C170" s="6"/>
      <c r="D170" s="6"/>
      <c r="E170" s="6"/>
      <c r="F170" s="6"/>
    </row>
    <row r="171" spans="1:6" x14ac:dyDescent="0.25">
      <c r="A171" t="s">
        <v>4044</v>
      </c>
      <c r="B171" t="s">
        <v>4045</v>
      </c>
      <c r="C171" t="s">
        <v>5</v>
      </c>
      <c r="D171" t="s">
        <v>4046</v>
      </c>
      <c r="E171" t="s">
        <v>4047</v>
      </c>
      <c r="F171" t="s">
        <v>4048</v>
      </c>
    </row>
    <row r="172" spans="1:6" x14ac:dyDescent="0.25">
      <c r="A172" t="s">
        <v>4062</v>
      </c>
      <c r="B172" t="s">
        <v>5102</v>
      </c>
      <c r="C172" t="s">
        <v>231</v>
      </c>
      <c r="D172" s="7">
        <v>0.2</v>
      </c>
      <c r="E172" s="2">
        <v>6594</v>
      </c>
      <c r="F172" s="2">
        <v>1318.8</v>
      </c>
    </row>
    <row r="173" spans="1:6" x14ac:dyDescent="0.25">
      <c r="A173" t="s">
        <v>4062</v>
      </c>
      <c r="B173" t="s">
        <v>4690</v>
      </c>
      <c r="C173" t="s">
        <v>231</v>
      </c>
      <c r="D173" s="7">
        <v>1.05</v>
      </c>
      <c r="E173" s="2">
        <v>2025</v>
      </c>
      <c r="F173" s="2">
        <v>2126.25</v>
      </c>
    </row>
    <row r="174" spans="1:6" x14ac:dyDescent="0.25">
      <c r="A174" t="s">
        <v>4062</v>
      </c>
      <c r="B174" t="s">
        <v>5103</v>
      </c>
      <c r="C174" t="s">
        <v>5090</v>
      </c>
      <c r="D174" s="7">
        <v>0.36</v>
      </c>
      <c r="E174" s="2">
        <v>16597</v>
      </c>
      <c r="F174" s="2">
        <v>5974.92</v>
      </c>
    </row>
    <row r="175" spans="1:6" x14ac:dyDescent="0.25">
      <c r="A175" t="s">
        <v>4062</v>
      </c>
      <c r="B175" t="s">
        <v>4076</v>
      </c>
      <c r="C175" t="s">
        <v>3963</v>
      </c>
      <c r="D175" s="7">
        <v>0.5</v>
      </c>
      <c r="E175" s="2">
        <v>21</v>
      </c>
      <c r="F175" s="2">
        <v>10.5</v>
      </c>
    </row>
    <row r="176" spans="1:6" x14ac:dyDescent="0.25">
      <c r="A176" t="s">
        <v>4049</v>
      </c>
      <c r="B176" t="s">
        <v>5067</v>
      </c>
      <c r="C176" t="s">
        <v>4051</v>
      </c>
      <c r="D176" s="7">
        <v>0.2</v>
      </c>
      <c r="E176" s="2">
        <v>10392.41</v>
      </c>
      <c r="F176" s="2">
        <v>2078.48</v>
      </c>
    </row>
    <row r="177" spans="1:6" x14ac:dyDescent="0.25">
      <c r="A177" t="s">
        <v>4049</v>
      </c>
      <c r="B177" t="s">
        <v>5068</v>
      </c>
      <c r="C177" t="s">
        <v>4051</v>
      </c>
      <c r="D177" s="7">
        <v>0.2</v>
      </c>
      <c r="E177" s="2">
        <v>17845.35</v>
      </c>
      <c r="F177" s="2">
        <v>3569.07</v>
      </c>
    </row>
    <row r="178" spans="1:6" x14ac:dyDescent="0.25">
      <c r="A178" t="s">
        <v>4052</v>
      </c>
      <c r="B178" t="s">
        <v>4053</v>
      </c>
      <c r="C178" t="s">
        <v>4054</v>
      </c>
      <c r="D178" s="7">
        <v>12</v>
      </c>
      <c r="E178" s="2">
        <v>5647.55</v>
      </c>
      <c r="F178" s="2">
        <v>677.71</v>
      </c>
    </row>
    <row r="179" spans="1:6" x14ac:dyDescent="0.25">
      <c r="A179" t="s">
        <v>4055</v>
      </c>
      <c r="D179" s="7"/>
      <c r="E179" s="2"/>
      <c r="F179" s="2">
        <f>SUBTOTAL(109,A_1_09_15[VALOR PARCIAL])</f>
      </c>
    </row>
    <row r="181" ht="30" customHeight="1" spans="1:6" x14ac:dyDescent="0.25">
      <c r="A181" s="5" t="s">
        <v>5104</v>
      </c>
      <c r="B181" s="5"/>
      <c r="C181" s="5"/>
      <c r="D181" s="5"/>
      <c r="E181" s="5"/>
      <c r="F181" s="5"/>
    </row>
    <row r="182" ht="42" customHeight="1" spans="1:6" x14ac:dyDescent="0.25">
      <c r="A182" s="6" t="s">
        <v>5105</v>
      </c>
      <c r="B182" s="6"/>
      <c r="C182" s="6"/>
      <c r="D182" s="6"/>
      <c r="E182" s="6"/>
      <c r="F182" s="6"/>
    </row>
    <row r="183" spans="1:6" x14ac:dyDescent="0.25">
      <c r="A183" t="s">
        <v>4044</v>
      </c>
      <c r="B183" t="s">
        <v>4045</v>
      </c>
      <c r="C183" t="s">
        <v>5</v>
      </c>
      <c r="D183" t="s">
        <v>4046</v>
      </c>
      <c r="E183" t="s">
        <v>4047</v>
      </c>
      <c r="F183" t="s">
        <v>4048</v>
      </c>
    </row>
    <row r="184" spans="1:6" x14ac:dyDescent="0.25">
      <c r="A184" t="s">
        <v>4062</v>
      </c>
      <c r="B184" t="s">
        <v>5084</v>
      </c>
      <c r="C184" t="s">
        <v>21</v>
      </c>
      <c r="D184" s="7">
        <v>1</v>
      </c>
      <c r="E184" s="2">
        <v>11868</v>
      </c>
      <c r="F184" s="2">
        <v>11868</v>
      </c>
    </row>
    <row r="185" spans="1:6" x14ac:dyDescent="0.25">
      <c r="A185" t="s">
        <v>4049</v>
      </c>
      <c r="B185" t="s">
        <v>5067</v>
      </c>
      <c r="C185" t="s">
        <v>4051</v>
      </c>
      <c r="D185" s="7">
        <v>0.23</v>
      </c>
      <c r="E185" s="2">
        <v>10392.41</v>
      </c>
      <c r="F185" s="2">
        <v>2338.29</v>
      </c>
    </row>
    <row r="186" spans="1:6" x14ac:dyDescent="0.25">
      <c r="A186" t="s">
        <v>4049</v>
      </c>
      <c r="B186" t="s">
        <v>5068</v>
      </c>
      <c r="C186" t="s">
        <v>4051</v>
      </c>
      <c r="D186" s="7">
        <v>0.23</v>
      </c>
      <c r="E186" s="2">
        <v>17845.35</v>
      </c>
      <c r="F186" s="2">
        <v>4015.2</v>
      </c>
    </row>
    <row r="187" spans="1:6" x14ac:dyDescent="0.25">
      <c r="A187" t="s">
        <v>4052</v>
      </c>
      <c r="B187" t="s">
        <v>4053</v>
      </c>
      <c r="C187" t="s">
        <v>4054</v>
      </c>
      <c r="D187" s="7">
        <v>5</v>
      </c>
      <c r="E187" s="2">
        <v>6353.49</v>
      </c>
      <c r="F187" s="2">
        <v>317.67</v>
      </c>
    </row>
    <row r="188" spans="1:6" x14ac:dyDescent="0.25">
      <c r="A188" t="s">
        <v>4055</v>
      </c>
      <c r="D188" s="7"/>
      <c r="E188" s="2"/>
      <c r="F188" s="2">
        <f>SUBTOTAL(109,A_1_09_16[VALOR PARCIAL])</f>
      </c>
    </row>
    <row r="190" ht="30" customHeight="1" spans="1:6" x14ac:dyDescent="0.25">
      <c r="A190" s="5" t="s">
        <v>5106</v>
      </c>
      <c r="B190" s="5"/>
      <c r="C190" s="5"/>
      <c r="D190" s="5"/>
      <c r="E190" s="5"/>
      <c r="F190" s="5"/>
    </row>
    <row r="191" ht="42" customHeight="1" spans="1:6" x14ac:dyDescent="0.25">
      <c r="A191" s="6" t="s">
        <v>5107</v>
      </c>
      <c r="B191" s="6"/>
      <c r="C191" s="6"/>
      <c r="D191" s="6"/>
      <c r="E191" s="6"/>
      <c r="F191" s="6"/>
    </row>
    <row r="192" spans="1:6" x14ac:dyDescent="0.25">
      <c r="A192" t="s">
        <v>4044</v>
      </c>
      <c r="B192" t="s">
        <v>4045</v>
      </c>
      <c r="C192" t="s">
        <v>5</v>
      </c>
      <c r="D192" t="s">
        <v>4046</v>
      </c>
      <c r="E192" t="s">
        <v>4047</v>
      </c>
      <c r="F192" t="s">
        <v>4048</v>
      </c>
    </row>
    <row r="193" spans="1:6" x14ac:dyDescent="0.25">
      <c r="A193" t="s">
        <v>4062</v>
      </c>
      <c r="B193" t="s">
        <v>5108</v>
      </c>
      <c r="C193" t="s">
        <v>4377</v>
      </c>
      <c r="D193" s="7">
        <v>0.05</v>
      </c>
      <c r="E193" s="2">
        <v>58620</v>
      </c>
      <c r="F193" s="2">
        <v>2637.9</v>
      </c>
    </row>
    <row r="194" spans="1:6" x14ac:dyDescent="0.25">
      <c r="A194" t="s">
        <v>4049</v>
      </c>
      <c r="B194" t="s">
        <v>5067</v>
      </c>
      <c r="C194" t="s">
        <v>4051</v>
      </c>
      <c r="D194" s="7">
        <v>0.3</v>
      </c>
      <c r="E194" s="2">
        <v>10392.41</v>
      </c>
      <c r="F194" s="2">
        <v>3117.72</v>
      </c>
    </row>
    <row r="195" spans="1:6" x14ac:dyDescent="0.25">
      <c r="A195" t="s">
        <v>4049</v>
      </c>
      <c r="B195" t="s">
        <v>5068</v>
      </c>
      <c r="C195" t="s">
        <v>4051</v>
      </c>
      <c r="D195" s="7">
        <v>0.3</v>
      </c>
      <c r="E195" s="2">
        <v>17845.35</v>
      </c>
      <c r="F195" s="2">
        <v>5353.6</v>
      </c>
    </row>
    <row r="196" spans="1:6" x14ac:dyDescent="0.25">
      <c r="A196" t="s">
        <v>4052</v>
      </c>
      <c r="B196" t="s">
        <v>4105</v>
      </c>
      <c r="C196" t="s">
        <v>4106</v>
      </c>
      <c r="D196" s="7">
        <v>0.1</v>
      </c>
      <c r="E196" s="2">
        <v>25125</v>
      </c>
      <c r="F196" s="2">
        <v>2512.5</v>
      </c>
    </row>
    <row r="197" spans="1:6" x14ac:dyDescent="0.25">
      <c r="A197" t="s">
        <v>4052</v>
      </c>
      <c r="B197" t="s">
        <v>4053</v>
      </c>
      <c r="C197" t="s">
        <v>4054</v>
      </c>
      <c r="D197" s="7">
        <v>5</v>
      </c>
      <c r="E197" s="2">
        <v>8471.32</v>
      </c>
      <c r="F197" s="2">
        <v>423.57</v>
      </c>
    </row>
    <row r="198" spans="1:6" x14ac:dyDescent="0.25">
      <c r="A198" t="s">
        <v>4055</v>
      </c>
      <c r="D198" s="7"/>
      <c r="E198" s="2"/>
      <c r="F198" s="2">
        <f>SUBTOTAL(109,A_1_09_17[VALOR PARCIAL])</f>
      </c>
    </row>
    <row r="200" ht="30" customHeight="1" spans="1:6" x14ac:dyDescent="0.25">
      <c r="A200" s="5" t="s">
        <v>5109</v>
      </c>
      <c r="B200" s="5"/>
      <c r="C200" s="5"/>
      <c r="D200" s="5"/>
      <c r="E200" s="5"/>
      <c r="F200" s="5"/>
    </row>
    <row r="201" ht="42" customHeight="1" spans="1:6" x14ac:dyDescent="0.25">
      <c r="A201" s="6" t="s">
        <v>5110</v>
      </c>
      <c r="B201" s="6"/>
      <c r="C201" s="6"/>
      <c r="D201" s="6"/>
      <c r="E201" s="6"/>
      <c r="F201" s="6"/>
    </row>
    <row r="202" spans="1:6" x14ac:dyDescent="0.25">
      <c r="A202" t="s">
        <v>4044</v>
      </c>
      <c r="B202" t="s">
        <v>4045</v>
      </c>
      <c r="C202" t="s">
        <v>5</v>
      </c>
      <c r="D202" t="s">
        <v>4046</v>
      </c>
      <c r="E202" t="s">
        <v>4047</v>
      </c>
      <c r="F202" t="s">
        <v>4048</v>
      </c>
    </row>
    <row r="203" spans="1:6" x14ac:dyDescent="0.25">
      <c r="A203" t="s">
        <v>4062</v>
      </c>
      <c r="B203" t="s">
        <v>5111</v>
      </c>
      <c r="C203" t="s">
        <v>4377</v>
      </c>
      <c r="D203" s="7">
        <v>0.06</v>
      </c>
      <c r="E203" s="2">
        <v>57000</v>
      </c>
      <c r="F203" s="2">
        <v>3420</v>
      </c>
    </row>
    <row r="204" spans="1:6" x14ac:dyDescent="0.25">
      <c r="A204" t="s">
        <v>4062</v>
      </c>
      <c r="B204" t="s">
        <v>4600</v>
      </c>
      <c r="C204" t="s">
        <v>63</v>
      </c>
      <c r="D204" s="7">
        <v>0.1</v>
      </c>
      <c r="E204" s="2">
        <v>1195</v>
      </c>
      <c r="F204" s="2">
        <v>119.5</v>
      </c>
    </row>
    <row r="205" spans="1:6" x14ac:dyDescent="0.25">
      <c r="A205" t="s">
        <v>4062</v>
      </c>
      <c r="B205" t="s">
        <v>4076</v>
      </c>
      <c r="C205" t="s">
        <v>3963</v>
      </c>
      <c r="D205" s="7">
        <v>0.03</v>
      </c>
      <c r="E205" s="2">
        <v>21</v>
      </c>
      <c r="F205" s="2">
        <v>0.63</v>
      </c>
    </row>
    <row r="206" spans="1:6" x14ac:dyDescent="0.25">
      <c r="A206" t="s">
        <v>4049</v>
      </c>
      <c r="B206" t="s">
        <v>5067</v>
      </c>
      <c r="C206" t="s">
        <v>4051</v>
      </c>
      <c r="D206" s="7">
        <v>0.15</v>
      </c>
      <c r="E206" s="2">
        <v>10392.41</v>
      </c>
      <c r="F206" s="2">
        <v>1558.86</v>
      </c>
    </row>
    <row r="207" spans="1:6" x14ac:dyDescent="0.25">
      <c r="A207" t="s">
        <v>4049</v>
      </c>
      <c r="B207" t="s">
        <v>5068</v>
      </c>
      <c r="C207" t="s">
        <v>4051</v>
      </c>
      <c r="D207" s="7">
        <v>0.15</v>
      </c>
      <c r="E207" s="2">
        <v>17845.35</v>
      </c>
      <c r="F207" s="2">
        <v>2676.8</v>
      </c>
    </row>
    <row r="208" spans="1:6" x14ac:dyDescent="0.25">
      <c r="A208" t="s">
        <v>4052</v>
      </c>
      <c r="B208" t="s">
        <v>4053</v>
      </c>
      <c r="C208" t="s">
        <v>4054</v>
      </c>
      <c r="D208" s="7">
        <v>12</v>
      </c>
      <c r="E208" s="2">
        <v>4235.66</v>
      </c>
      <c r="F208" s="2">
        <v>508.28</v>
      </c>
    </row>
    <row r="209" spans="1:6" x14ac:dyDescent="0.25">
      <c r="A209" t="s">
        <v>4055</v>
      </c>
      <c r="D209" s="7"/>
      <c r="E209" s="2"/>
      <c r="F209" s="2">
        <f>SUBTOTAL(109,A_1_09_18[VALOR PARCIAL])</f>
      </c>
    </row>
    <row r="211" ht="30" customHeight="1" spans="1:6" x14ac:dyDescent="0.25">
      <c r="A211" s="5" t="s">
        <v>5112</v>
      </c>
      <c r="B211" s="5"/>
      <c r="C211" s="5"/>
      <c r="D211" s="5"/>
      <c r="E211" s="5"/>
      <c r="F211" s="5"/>
    </row>
    <row r="212" ht="42" customHeight="1" spans="1:6" x14ac:dyDescent="0.25">
      <c r="A212" s="6" t="s">
        <v>5113</v>
      </c>
      <c r="B212" s="6"/>
      <c r="C212" s="6"/>
      <c r="D212" s="6"/>
      <c r="E212" s="6"/>
      <c r="F212" s="6"/>
    </row>
    <row r="213" spans="1:6" x14ac:dyDescent="0.25">
      <c r="A213" t="s">
        <v>4044</v>
      </c>
      <c r="B213" t="s">
        <v>4045</v>
      </c>
      <c r="C213" t="s">
        <v>5</v>
      </c>
      <c r="D213" t="s">
        <v>4046</v>
      </c>
      <c r="E213" t="s">
        <v>4047</v>
      </c>
      <c r="F213" t="s">
        <v>4048</v>
      </c>
    </row>
    <row r="214" spans="1:6" x14ac:dyDescent="0.25">
      <c r="A214" t="s">
        <v>4062</v>
      </c>
      <c r="B214" t="s">
        <v>5114</v>
      </c>
      <c r="C214" t="s">
        <v>4377</v>
      </c>
      <c r="D214" s="7">
        <v>0.02</v>
      </c>
      <c r="E214" s="2">
        <v>48524</v>
      </c>
      <c r="F214" s="2">
        <v>727.86</v>
      </c>
    </row>
    <row r="215" spans="1:6" x14ac:dyDescent="0.25">
      <c r="A215" t="s">
        <v>4062</v>
      </c>
      <c r="B215" t="s">
        <v>5079</v>
      </c>
      <c r="C215" t="s">
        <v>4377</v>
      </c>
      <c r="D215" s="7">
        <v>0.01</v>
      </c>
      <c r="E215" s="2">
        <v>33604</v>
      </c>
      <c r="F215" s="2">
        <v>336.04</v>
      </c>
    </row>
    <row r="216" spans="1:6" x14ac:dyDescent="0.25">
      <c r="A216" t="s">
        <v>4062</v>
      </c>
      <c r="B216" t="s">
        <v>4600</v>
      </c>
      <c r="C216" t="s">
        <v>63</v>
      </c>
      <c r="D216" s="7">
        <v>0.16</v>
      </c>
      <c r="E216" s="2">
        <v>1195</v>
      </c>
      <c r="F216" s="2">
        <v>191.2</v>
      </c>
    </row>
    <row r="217" spans="1:6" x14ac:dyDescent="0.25">
      <c r="A217" t="s">
        <v>4049</v>
      </c>
      <c r="B217" t="s">
        <v>5067</v>
      </c>
      <c r="C217" t="s">
        <v>4051</v>
      </c>
      <c r="D217" s="7">
        <v>0.09</v>
      </c>
      <c r="E217" s="2">
        <v>10392.41</v>
      </c>
      <c r="F217" s="2">
        <v>935.32</v>
      </c>
    </row>
    <row r="218" spans="1:6" x14ac:dyDescent="0.25">
      <c r="A218" t="s">
        <v>4049</v>
      </c>
      <c r="B218" t="s">
        <v>5068</v>
      </c>
      <c r="C218" t="s">
        <v>4051</v>
      </c>
      <c r="D218" s="7">
        <v>0.09</v>
      </c>
      <c r="E218" s="2">
        <v>17845.35</v>
      </c>
      <c r="F218" s="2">
        <v>1606.08</v>
      </c>
    </row>
    <row r="219" spans="1:6" x14ac:dyDescent="0.25">
      <c r="A219" t="s">
        <v>4052</v>
      </c>
      <c r="B219" t="s">
        <v>4053</v>
      </c>
      <c r="C219" t="s">
        <v>4054</v>
      </c>
      <c r="D219" s="7">
        <v>5</v>
      </c>
      <c r="E219" s="2">
        <v>2541.4</v>
      </c>
      <c r="F219" s="2">
        <v>127.07</v>
      </c>
    </row>
    <row r="220" spans="1:6" x14ac:dyDescent="0.25">
      <c r="A220" t="s">
        <v>4055</v>
      </c>
      <c r="D220" s="7"/>
      <c r="E220" s="2"/>
      <c r="F220" s="2">
        <f>SUBTOTAL(109,A_1_09_19[VALOR PARCIAL])</f>
      </c>
    </row>
    <row r="222" ht="30" customHeight="1" spans="1:6" x14ac:dyDescent="0.25">
      <c r="A222" s="5" t="s">
        <v>5115</v>
      </c>
      <c r="B222" s="5"/>
      <c r="C222" s="5"/>
      <c r="D222" s="5"/>
      <c r="E222" s="5"/>
      <c r="F222" s="5"/>
    </row>
    <row r="223" ht="42" customHeight="1" spans="1:6" x14ac:dyDescent="0.25">
      <c r="A223" s="6" t="s">
        <v>5116</v>
      </c>
      <c r="B223" s="6"/>
      <c r="C223" s="6"/>
      <c r="D223" s="6"/>
      <c r="E223" s="6"/>
      <c r="F223" s="6"/>
    </row>
    <row r="224" spans="1:6" x14ac:dyDescent="0.25">
      <c r="A224" t="s">
        <v>4044</v>
      </c>
      <c r="B224" t="s">
        <v>4045</v>
      </c>
      <c r="C224" t="s">
        <v>5</v>
      </c>
      <c r="D224" t="s">
        <v>4046</v>
      </c>
      <c r="E224" t="s">
        <v>4047</v>
      </c>
      <c r="F224" t="s">
        <v>4048</v>
      </c>
    </row>
    <row r="225" spans="1:6" x14ac:dyDescent="0.25">
      <c r="A225" t="s">
        <v>4062</v>
      </c>
      <c r="B225" t="s">
        <v>5114</v>
      </c>
      <c r="C225" t="s">
        <v>4377</v>
      </c>
      <c r="D225" s="7">
        <v>0.02</v>
      </c>
      <c r="E225" s="2">
        <v>48524</v>
      </c>
      <c r="F225" s="2">
        <v>970.48</v>
      </c>
    </row>
    <row r="226" spans="1:6" x14ac:dyDescent="0.25">
      <c r="A226" t="s">
        <v>4062</v>
      </c>
      <c r="B226" t="s">
        <v>5079</v>
      </c>
      <c r="C226" t="s">
        <v>4377</v>
      </c>
      <c r="D226" s="7">
        <v>0.02</v>
      </c>
      <c r="E226" s="2">
        <v>33604</v>
      </c>
      <c r="F226" s="2">
        <v>672.08</v>
      </c>
    </row>
    <row r="227" spans="1:6" x14ac:dyDescent="0.25">
      <c r="A227" t="s">
        <v>4062</v>
      </c>
      <c r="B227" t="s">
        <v>4600</v>
      </c>
      <c r="C227" t="s">
        <v>63</v>
      </c>
      <c r="D227" s="7">
        <v>0.5</v>
      </c>
      <c r="E227" s="2">
        <v>1195</v>
      </c>
      <c r="F227" s="2">
        <v>597.5</v>
      </c>
    </row>
    <row r="228" spans="1:6" x14ac:dyDescent="0.25">
      <c r="A228" t="s">
        <v>4049</v>
      </c>
      <c r="B228" t="s">
        <v>5067</v>
      </c>
      <c r="C228" t="s">
        <v>4051</v>
      </c>
      <c r="D228" s="7">
        <v>0.35</v>
      </c>
      <c r="E228" s="2">
        <v>10392.41</v>
      </c>
      <c r="F228" s="2">
        <v>3637.34</v>
      </c>
    </row>
    <row r="229" spans="1:6" x14ac:dyDescent="0.25">
      <c r="A229" t="s">
        <v>4049</v>
      </c>
      <c r="B229" t="s">
        <v>5068</v>
      </c>
      <c r="C229" t="s">
        <v>4051</v>
      </c>
      <c r="D229" s="7">
        <v>0.35</v>
      </c>
      <c r="E229" s="2">
        <v>17845.35</v>
      </c>
      <c r="F229" s="2">
        <v>6245.87</v>
      </c>
    </row>
    <row r="230" spans="1:6" x14ac:dyDescent="0.25">
      <c r="A230" t="s">
        <v>4052</v>
      </c>
      <c r="B230" t="s">
        <v>4053</v>
      </c>
      <c r="C230" t="s">
        <v>4054</v>
      </c>
      <c r="D230" s="7">
        <v>5</v>
      </c>
      <c r="E230" s="2">
        <v>9883.21</v>
      </c>
      <c r="F230" s="2">
        <v>494.16</v>
      </c>
    </row>
    <row r="231" spans="1:6" x14ac:dyDescent="0.25">
      <c r="A231" t="s">
        <v>4055</v>
      </c>
      <c r="D231" s="7"/>
      <c r="E231" s="2"/>
      <c r="F231" s="2">
        <f>SUBTOTAL(109,A_1_09_20[VALOR PARCIAL])</f>
      </c>
    </row>
    <row r="233" ht="30" customHeight="1" spans="1:6" x14ac:dyDescent="0.25">
      <c r="A233" s="5" t="s">
        <v>5117</v>
      </c>
      <c r="B233" s="5"/>
      <c r="C233" s="5"/>
      <c r="D233" s="5"/>
      <c r="E233" s="5"/>
      <c r="F233" s="5"/>
    </row>
    <row r="234" ht="42" customHeight="1" spans="1:6" x14ac:dyDescent="0.25">
      <c r="A234" s="6" t="s">
        <v>5118</v>
      </c>
      <c r="B234" s="6"/>
      <c r="C234" s="6"/>
      <c r="D234" s="6"/>
      <c r="E234" s="6"/>
      <c r="F234" s="6"/>
    </row>
    <row r="235" spans="1:6" x14ac:dyDescent="0.25">
      <c r="A235" t="s">
        <v>4044</v>
      </c>
      <c r="B235" t="s">
        <v>4045</v>
      </c>
      <c r="C235" t="s">
        <v>5</v>
      </c>
      <c r="D235" t="s">
        <v>4046</v>
      </c>
      <c r="E235" t="s">
        <v>4047</v>
      </c>
      <c r="F235" t="s">
        <v>4048</v>
      </c>
    </row>
    <row r="236" spans="1:6" x14ac:dyDescent="0.25">
      <c r="A236" t="s">
        <v>4062</v>
      </c>
      <c r="B236" t="s">
        <v>5114</v>
      </c>
      <c r="C236" t="s">
        <v>4377</v>
      </c>
      <c r="D236" s="7">
        <v>0.18</v>
      </c>
      <c r="E236" s="2">
        <v>48524</v>
      </c>
      <c r="F236" s="2">
        <v>8734.32</v>
      </c>
    </row>
    <row r="237" spans="1:6" x14ac:dyDescent="0.25">
      <c r="A237" t="s">
        <v>4062</v>
      </c>
      <c r="B237" t="s">
        <v>5079</v>
      </c>
      <c r="C237" t="s">
        <v>4377</v>
      </c>
      <c r="D237" s="7">
        <v>0.11</v>
      </c>
      <c r="E237" s="2">
        <v>33604</v>
      </c>
      <c r="F237" s="2">
        <v>3696.44</v>
      </c>
    </row>
    <row r="238" spans="1:6" x14ac:dyDescent="0.25">
      <c r="A238" t="s">
        <v>4062</v>
      </c>
      <c r="B238" t="s">
        <v>4600</v>
      </c>
      <c r="C238" t="s">
        <v>63</v>
      </c>
      <c r="D238" s="7">
        <v>3.15</v>
      </c>
      <c r="E238" s="2">
        <v>1195</v>
      </c>
      <c r="F238" s="2">
        <v>3764.25</v>
      </c>
    </row>
    <row r="239" spans="1:6" x14ac:dyDescent="0.25">
      <c r="A239" t="s">
        <v>4049</v>
      </c>
      <c r="B239" t="s">
        <v>5067</v>
      </c>
      <c r="C239" t="s">
        <v>4051</v>
      </c>
      <c r="D239" s="7">
        <v>1.23</v>
      </c>
      <c r="E239" s="2">
        <v>10392.41</v>
      </c>
      <c r="F239" s="2">
        <v>12782.66</v>
      </c>
    </row>
    <row r="240" spans="1:6" x14ac:dyDescent="0.25">
      <c r="A240" t="s">
        <v>4049</v>
      </c>
      <c r="B240" t="s">
        <v>5068</v>
      </c>
      <c r="C240" t="s">
        <v>4051</v>
      </c>
      <c r="D240" s="7">
        <v>1.23</v>
      </c>
      <c r="E240" s="2">
        <v>17845.35</v>
      </c>
      <c r="F240" s="2">
        <v>21949.78</v>
      </c>
    </row>
    <row r="241" spans="1:6" x14ac:dyDescent="0.25">
      <c r="A241" t="s">
        <v>4052</v>
      </c>
      <c r="B241" t="s">
        <v>4053</v>
      </c>
      <c r="C241" t="s">
        <v>4054</v>
      </c>
      <c r="D241" s="7">
        <v>5</v>
      </c>
      <c r="E241" s="2">
        <v>34732.44</v>
      </c>
      <c r="F241" s="2">
        <v>1736.62</v>
      </c>
    </row>
    <row r="242" spans="1:6" x14ac:dyDescent="0.25">
      <c r="A242" t="s">
        <v>4055</v>
      </c>
      <c r="D242" s="7"/>
      <c r="E242" s="2"/>
      <c r="F242" s="2">
        <f>SUBTOTAL(109,A_1_09_21[VALOR PARCIAL])</f>
      </c>
    </row>
    <row r="244" ht="30" customHeight="1" spans="1:6" x14ac:dyDescent="0.25">
      <c r="A244" s="5" t="s">
        <v>5119</v>
      </c>
      <c r="B244" s="5"/>
      <c r="C244" s="5"/>
      <c r="D244" s="5"/>
      <c r="E244" s="5"/>
      <c r="F244" s="5"/>
    </row>
    <row r="245" ht="42" customHeight="1" spans="1:6" x14ac:dyDescent="0.25">
      <c r="A245" s="6" t="s">
        <v>5120</v>
      </c>
      <c r="B245" s="6"/>
      <c r="C245" s="6"/>
      <c r="D245" s="6"/>
      <c r="E245" s="6"/>
      <c r="F245" s="6"/>
    </row>
    <row r="246" spans="1:6" x14ac:dyDescent="0.25">
      <c r="A246" t="s">
        <v>4044</v>
      </c>
      <c r="B246" t="s">
        <v>4045</v>
      </c>
      <c r="C246" t="s">
        <v>5</v>
      </c>
      <c r="D246" t="s">
        <v>4046</v>
      </c>
      <c r="E246" t="s">
        <v>4047</v>
      </c>
      <c r="F246" t="s">
        <v>4048</v>
      </c>
    </row>
    <row r="247" spans="1:6" x14ac:dyDescent="0.25">
      <c r="A247" t="s">
        <v>4062</v>
      </c>
      <c r="B247" t="s">
        <v>5121</v>
      </c>
      <c r="C247" t="s">
        <v>4377</v>
      </c>
      <c r="D247" s="7">
        <v>0.06</v>
      </c>
      <c r="E247" s="2">
        <v>33633</v>
      </c>
      <c r="F247" s="2">
        <v>2017.98</v>
      </c>
    </row>
    <row r="248" spans="1:6" x14ac:dyDescent="0.25">
      <c r="A248" t="s">
        <v>4049</v>
      </c>
      <c r="B248" t="s">
        <v>5067</v>
      </c>
      <c r="C248" t="s">
        <v>4051</v>
      </c>
      <c r="D248" s="7">
        <v>0.17</v>
      </c>
      <c r="E248" s="2">
        <v>10392.41</v>
      </c>
      <c r="F248" s="2">
        <v>1766.71</v>
      </c>
    </row>
    <row r="249" spans="1:6" x14ac:dyDescent="0.25">
      <c r="A249" t="s">
        <v>4049</v>
      </c>
      <c r="B249" t="s">
        <v>5068</v>
      </c>
      <c r="C249" t="s">
        <v>4051</v>
      </c>
      <c r="D249" s="7">
        <v>0.17</v>
      </c>
      <c r="E249" s="2">
        <v>17845.35</v>
      </c>
      <c r="F249" s="2">
        <v>3033.71</v>
      </c>
    </row>
    <row r="250" spans="1:6" x14ac:dyDescent="0.25">
      <c r="A250" t="s">
        <v>4052</v>
      </c>
      <c r="B250" t="s">
        <v>4105</v>
      </c>
      <c r="C250" t="s">
        <v>4106</v>
      </c>
      <c r="D250" s="7">
        <v>0.3</v>
      </c>
      <c r="E250" s="2">
        <v>25125</v>
      </c>
      <c r="F250" s="2">
        <v>7537.5</v>
      </c>
    </row>
    <row r="251" spans="1:6" x14ac:dyDescent="0.25">
      <c r="A251" t="s">
        <v>4052</v>
      </c>
      <c r="B251" t="s">
        <v>4053</v>
      </c>
      <c r="C251" t="s">
        <v>4054</v>
      </c>
      <c r="D251" s="7">
        <v>12</v>
      </c>
      <c r="E251" s="2">
        <v>4800.42</v>
      </c>
      <c r="F251" s="2">
        <v>576.05</v>
      </c>
    </row>
    <row r="252" spans="1:6" x14ac:dyDescent="0.25">
      <c r="A252" t="s">
        <v>4055</v>
      </c>
      <c r="D252" s="7"/>
      <c r="E252" s="2"/>
      <c r="F252" s="2">
        <f>SUBTOTAL(109,A_1_09_22[VALOR PARCIAL])</f>
      </c>
    </row>
    <row r="254" ht="30" customHeight="1" spans="1:6" x14ac:dyDescent="0.25">
      <c r="A254" s="5" t="s">
        <v>5122</v>
      </c>
      <c r="B254" s="5"/>
      <c r="C254" s="5"/>
      <c r="D254" s="5"/>
      <c r="E254" s="5"/>
      <c r="F254" s="5"/>
    </row>
    <row r="255" ht="42" customHeight="1" spans="1:6" x14ac:dyDescent="0.25">
      <c r="A255" s="6" t="s">
        <v>5123</v>
      </c>
      <c r="B255" s="6"/>
      <c r="C255" s="6"/>
      <c r="D255" s="6"/>
      <c r="E255" s="6"/>
      <c r="F255" s="6"/>
    </row>
    <row r="256" spans="1:6" x14ac:dyDescent="0.25">
      <c r="A256" t="s">
        <v>4044</v>
      </c>
      <c r="B256" t="s">
        <v>4045</v>
      </c>
      <c r="C256" t="s">
        <v>5</v>
      </c>
      <c r="D256" t="s">
        <v>4046</v>
      </c>
      <c r="E256" t="s">
        <v>4047</v>
      </c>
      <c r="F256" t="s">
        <v>4048</v>
      </c>
    </row>
    <row r="257" spans="1:6" x14ac:dyDescent="0.25">
      <c r="A257" t="s">
        <v>4062</v>
      </c>
      <c r="B257" t="s">
        <v>5121</v>
      </c>
      <c r="C257" t="s">
        <v>4377</v>
      </c>
      <c r="D257" s="7">
        <v>0.04</v>
      </c>
      <c r="E257" s="2">
        <v>33633</v>
      </c>
      <c r="F257" s="2">
        <v>1345.32</v>
      </c>
    </row>
    <row r="258" spans="1:6" x14ac:dyDescent="0.25">
      <c r="A258" t="s">
        <v>4049</v>
      </c>
      <c r="B258" t="s">
        <v>5067</v>
      </c>
      <c r="C258" t="s">
        <v>4051</v>
      </c>
      <c r="D258" s="7">
        <v>0.15</v>
      </c>
      <c r="E258" s="2">
        <v>10392.41</v>
      </c>
      <c r="F258" s="2">
        <v>1558.86</v>
      </c>
    </row>
    <row r="259" spans="1:6" x14ac:dyDescent="0.25">
      <c r="A259" t="s">
        <v>4049</v>
      </c>
      <c r="B259" t="s">
        <v>5068</v>
      </c>
      <c r="C259" t="s">
        <v>4051</v>
      </c>
      <c r="D259" s="7">
        <v>0.15</v>
      </c>
      <c r="E259" s="2">
        <v>17845.35</v>
      </c>
      <c r="F259" s="2">
        <v>2676.8</v>
      </c>
    </row>
    <row r="260" spans="1:6" x14ac:dyDescent="0.25">
      <c r="A260" t="s">
        <v>4052</v>
      </c>
      <c r="B260" t="s">
        <v>4053</v>
      </c>
      <c r="C260" t="s">
        <v>4054</v>
      </c>
      <c r="D260" s="7">
        <v>12</v>
      </c>
      <c r="E260" s="2">
        <v>4235.66</v>
      </c>
      <c r="F260" s="2">
        <v>508.28</v>
      </c>
    </row>
    <row r="261" spans="1:6" x14ac:dyDescent="0.25">
      <c r="A261" t="s">
        <v>4055</v>
      </c>
      <c r="D261" s="7"/>
      <c r="E261" s="2"/>
      <c r="F261" s="2">
        <f>SUBTOTAL(109,A_1_09_23[VALOR PARCIAL])</f>
      </c>
    </row>
  </sheetData>
  <mergeCells count="46">
    <mergeCell ref="A4:F4"/>
    <mergeCell ref="A5:F5"/>
    <mergeCell ref="A13:F13"/>
    <mergeCell ref="A14:F14"/>
    <mergeCell ref="A24:F24"/>
    <mergeCell ref="A25:F25"/>
    <mergeCell ref="A34:F34"/>
    <mergeCell ref="A35:F35"/>
    <mergeCell ref="A45:F45"/>
    <mergeCell ref="A46:F46"/>
    <mergeCell ref="A56:F56"/>
    <mergeCell ref="A57:F57"/>
    <mergeCell ref="A68:F68"/>
    <mergeCell ref="A69:F69"/>
    <mergeCell ref="A80:F80"/>
    <mergeCell ref="A81:F81"/>
    <mergeCell ref="A95:F95"/>
    <mergeCell ref="A96:F96"/>
    <mergeCell ref="A107:F107"/>
    <mergeCell ref="A108:F108"/>
    <mergeCell ref="A119:F119"/>
    <mergeCell ref="A120:F120"/>
    <mergeCell ref="A131:F131"/>
    <mergeCell ref="A132:F132"/>
    <mergeCell ref="A145:F145"/>
    <mergeCell ref="A146:F146"/>
    <mergeCell ref="A158:F158"/>
    <mergeCell ref="A159:F159"/>
    <mergeCell ref="A169:F169"/>
    <mergeCell ref="A170:F170"/>
    <mergeCell ref="A181:F181"/>
    <mergeCell ref="A182:F182"/>
    <mergeCell ref="A190:F190"/>
    <mergeCell ref="A191:F191"/>
    <mergeCell ref="A200:F200"/>
    <mergeCell ref="A201:F201"/>
    <mergeCell ref="A211:F211"/>
    <mergeCell ref="A212:F212"/>
    <mergeCell ref="A222:F222"/>
    <mergeCell ref="A223:F223"/>
    <mergeCell ref="A233:F233"/>
    <mergeCell ref="A234:F234"/>
    <mergeCell ref="A244:F244"/>
    <mergeCell ref="A245:F245"/>
    <mergeCell ref="A254:F254"/>
    <mergeCell ref="A255:F255"/>
  </mergeCells>
  <pageMargins left="0.7" right="0.7" top="0.75" bottom="0.75" header="0.3" footer="0.3"/>
  <pageSetup orientation="portrait" horizontalDpi="4294967295" verticalDpi="4294967295" scale="100" fitToWidth="1" fitToHeight="1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5124</v>
      </c>
    </row>
    <row r="2" spans="1:1" x14ac:dyDescent="0.25">
      <c r="A2" s="4" t="s">
        <v>5125</v>
      </c>
    </row>
    <row r="4" ht="30" customHeight="1" spans="1:6" x14ac:dyDescent="0.25">
      <c r="A4" s="5" t="s">
        <v>5126</v>
      </c>
      <c r="B4" s="5"/>
      <c r="C4" s="5"/>
      <c r="D4" s="5"/>
      <c r="E4" s="5"/>
      <c r="F4" s="5"/>
    </row>
    <row r="5" ht="42" customHeight="1" spans="1:6" x14ac:dyDescent="0.25">
      <c r="A5" s="6" t="s">
        <v>5127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4492</v>
      </c>
      <c r="C7" t="s">
        <v>34</v>
      </c>
      <c r="D7" s="7">
        <v>0.04</v>
      </c>
      <c r="E7" s="2">
        <v>68425</v>
      </c>
      <c r="F7" s="2">
        <v>2737</v>
      </c>
    </row>
    <row r="8" spans="1:6" x14ac:dyDescent="0.25">
      <c r="A8" t="s">
        <v>4062</v>
      </c>
      <c r="B8" t="s">
        <v>4690</v>
      </c>
      <c r="C8" t="s">
        <v>231</v>
      </c>
      <c r="D8" s="7">
        <v>0.51</v>
      </c>
      <c r="E8" s="2">
        <v>2025</v>
      </c>
      <c r="F8" s="2">
        <v>1032.75</v>
      </c>
    </row>
    <row r="9" spans="1:6" x14ac:dyDescent="0.25">
      <c r="A9" t="s">
        <v>4062</v>
      </c>
      <c r="B9" t="s">
        <v>4475</v>
      </c>
      <c r="C9" t="s">
        <v>231</v>
      </c>
      <c r="D9" s="7">
        <v>9.41</v>
      </c>
      <c r="E9" s="2">
        <v>730</v>
      </c>
      <c r="F9" s="2">
        <v>6869.3</v>
      </c>
    </row>
    <row r="10" spans="1:6" x14ac:dyDescent="0.25">
      <c r="A10" t="s">
        <v>4062</v>
      </c>
      <c r="B10" t="s">
        <v>5128</v>
      </c>
      <c r="C10" t="s">
        <v>21</v>
      </c>
      <c r="D10" s="7">
        <v>1.03</v>
      </c>
      <c r="E10" s="2">
        <v>71911</v>
      </c>
      <c r="F10" s="2">
        <v>74068.33</v>
      </c>
    </row>
    <row r="11" spans="1:6" x14ac:dyDescent="0.25">
      <c r="A11" t="s">
        <v>4062</v>
      </c>
      <c r="B11" t="s">
        <v>4076</v>
      </c>
      <c r="C11" t="s">
        <v>3963</v>
      </c>
      <c r="D11" s="7">
        <v>6.48</v>
      </c>
      <c r="E11" s="2">
        <v>21</v>
      </c>
      <c r="F11" s="2">
        <v>136.08</v>
      </c>
    </row>
    <row r="12" spans="1:6" x14ac:dyDescent="0.25">
      <c r="A12" t="s">
        <v>4049</v>
      </c>
      <c r="B12" t="s">
        <v>4050</v>
      </c>
      <c r="C12" t="s">
        <v>4051</v>
      </c>
      <c r="D12" s="7">
        <v>1.3</v>
      </c>
      <c r="E12" s="2">
        <v>9037.33</v>
      </c>
      <c r="F12" s="2">
        <v>11748.53</v>
      </c>
    </row>
    <row r="13" spans="1:6" x14ac:dyDescent="0.25">
      <c r="A13" t="s">
        <v>4049</v>
      </c>
      <c r="B13" t="s">
        <v>4073</v>
      </c>
      <c r="C13" t="s">
        <v>4051</v>
      </c>
      <c r="D13" s="7">
        <v>1.3</v>
      </c>
      <c r="E13" s="2">
        <v>15517.89</v>
      </c>
      <c r="F13" s="2">
        <v>20173.26</v>
      </c>
    </row>
    <row r="14" spans="1:6" x14ac:dyDescent="0.25">
      <c r="A14" t="s">
        <v>4052</v>
      </c>
      <c r="B14" t="s">
        <v>4105</v>
      </c>
      <c r="C14" t="s">
        <v>4106</v>
      </c>
      <c r="D14" s="7">
        <v>0.25</v>
      </c>
      <c r="E14" s="2">
        <v>25125</v>
      </c>
      <c r="F14" s="2">
        <v>6281.25</v>
      </c>
    </row>
    <row r="15" spans="1:6" x14ac:dyDescent="0.25">
      <c r="A15" t="s">
        <v>4052</v>
      </c>
      <c r="B15" t="s">
        <v>4053</v>
      </c>
      <c r="C15" t="s">
        <v>4054</v>
      </c>
      <c r="D15" s="7">
        <v>3.3</v>
      </c>
      <c r="E15" s="2">
        <v>31921.79</v>
      </c>
      <c r="F15" s="2">
        <v>1053.42</v>
      </c>
    </row>
    <row r="16" spans="1:6" x14ac:dyDescent="0.25">
      <c r="A16" t="s">
        <v>4055</v>
      </c>
      <c r="D16" s="7"/>
      <c r="E16" s="2"/>
      <c r="F16" s="2">
        <f>SUBTOTAL(109,A_1_10_01[VALOR PARCIAL])</f>
      </c>
    </row>
    <row r="18" ht="30" customHeight="1" spans="1:6" x14ac:dyDescent="0.25">
      <c r="A18" s="5" t="s">
        <v>5129</v>
      </c>
      <c r="B18" s="5"/>
      <c r="C18" s="5"/>
      <c r="D18" s="5"/>
      <c r="E18" s="5"/>
      <c r="F18" s="5"/>
    </row>
    <row r="19" ht="42" customHeight="1" spans="1:6" x14ac:dyDescent="0.25">
      <c r="A19" s="6" t="s">
        <v>5130</v>
      </c>
      <c r="B19" s="6"/>
      <c r="C19" s="6"/>
      <c r="D19" s="6"/>
      <c r="E19" s="6"/>
      <c r="F19" s="6"/>
    </row>
    <row r="20" spans="1:6" x14ac:dyDescent="0.25">
      <c r="A20" t="s">
        <v>4044</v>
      </c>
      <c r="B20" t="s">
        <v>4045</v>
      </c>
      <c r="C20" t="s">
        <v>5</v>
      </c>
      <c r="D20" t="s">
        <v>4046</v>
      </c>
      <c r="E20" t="s">
        <v>4047</v>
      </c>
      <c r="F20" t="s">
        <v>4048</v>
      </c>
    </row>
    <row r="21" spans="1:6" x14ac:dyDescent="0.25">
      <c r="A21" t="s">
        <v>4062</v>
      </c>
      <c r="B21" t="s">
        <v>4474</v>
      </c>
      <c r="C21" t="s">
        <v>34</v>
      </c>
      <c r="D21" s="7">
        <v>0.04</v>
      </c>
      <c r="E21" s="2">
        <v>114500</v>
      </c>
      <c r="F21" s="2">
        <v>4580</v>
      </c>
    </row>
    <row r="22" spans="1:6" x14ac:dyDescent="0.25">
      <c r="A22" t="s">
        <v>4062</v>
      </c>
      <c r="B22" t="s">
        <v>4690</v>
      </c>
      <c r="C22" t="s">
        <v>231</v>
      </c>
      <c r="D22" s="7">
        <v>0.51</v>
      </c>
      <c r="E22" s="2">
        <v>2025</v>
      </c>
      <c r="F22" s="2">
        <v>1032.75</v>
      </c>
    </row>
    <row r="23" spans="1:6" x14ac:dyDescent="0.25">
      <c r="A23" t="s">
        <v>4062</v>
      </c>
      <c r="B23" t="s">
        <v>4475</v>
      </c>
      <c r="C23" t="s">
        <v>231</v>
      </c>
      <c r="D23" s="7">
        <v>9.41</v>
      </c>
      <c r="E23" s="2">
        <v>730</v>
      </c>
      <c r="F23" s="2">
        <v>6869.3</v>
      </c>
    </row>
    <row r="24" spans="1:6" x14ac:dyDescent="0.25">
      <c r="A24" t="s">
        <v>4062</v>
      </c>
      <c r="B24" t="s">
        <v>5131</v>
      </c>
      <c r="C24" t="s">
        <v>21</v>
      </c>
      <c r="D24" s="7">
        <v>1.03</v>
      </c>
      <c r="E24" s="2">
        <v>110200</v>
      </c>
      <c r="F24" s="2">
        <v>113506</v>
      </c>
    </row>
    <row r="25" spans="1:6" x14ac:dyDescent="0.25">
      <c r="A25" t="s">
        <v>4062</v>
      </c>
      <c r="B25" t="s">
        <v>4076</v>
      </c>
      <c r="C25" t="s">
        <v>3963</v>
      </c>
      <c r="D25" s="7">
        <v>6.48</v>
      </c>
      <c r="E25" s="2">
        <v>21</v>
      </c>
      <c r="F25" s="2">
        <v>136.08</v>
      </c>
    </row>
    <row r="26" spans="1:6" x14ac:dyDescent="0.25">
      <c r="A26" t="s">
        <v>4049</v>
      </c>
      <c r="B26" t="s">
        <v>4050</v>
      </c>
      <c r="C26" t="s">
        <v>4051</v>
      </c>
      <c r="D26" s="7">
        <v>1.3</v>
      </c>
      <c r="E26" s="2">
        <v>9037.33</v>
      </c>
      <c r="F26" s="2">
        <v>11748.53</v>
      </c>
    </row>
    <row r="27" spans="1:6" x14ac:dyDescent="0.25">
      <c r="A27" t="s">
        <v>4049</v>
      </c>
      <c r="B27" t="s">
        <v>4073</v>
      </c>
      <c r="C27" t="s">
        <v>4051</v>
      </c>
      <c r="D27" s="7">
        <v>1.3</v>
      </c>
      <c r="E27" s="2">
        <v>15517.89</v>
      </c>
      <c r="F27" s="2">
        <v>20173.26</v>
      </c>
    </row>
    <row r="28" spans="1:6" x14ac:dyDescent="0.25">
      <c r="A28" t="s">
        <v>4052</v>
      </c>
      <c r="B28" t="s">
        <v>4105</v>
      </c>
      <c r="C28" t="s">
        <v>4106</v>
      </c>
      <c r="D28" s="7">
        <v>0.25</v>
      </c>
      <c r="E28" s="2">
        <v>25125</v>
      </c>
      <c r="F28" s="2">
        <v>6281.25</v>
      </c>
    </row>
    <row r="29" spans="1:6" x14ac:dyDescent="0.25">
      <c r="A29" t="s">
        <v>4052</v>
      </c>
      <c r="B29" t="s">
        <v>4053</v>
      </c>
      <c r="C29" t="s">
        <v>4054</v>
      </c>
      <c r="D29" s="7">
        <v>3.3</v>
      </c>
      <c r="E29" s="2">
        <v>31921.79</v>
      </c>
      <c r="F29" s="2">
        <v>1053.42</v>
      </c>
    </row>
    <row r="30" spans="1:6" x14ac:dyDescent="0.25">
      <c r="A30" t="s">
        <v>4055</v>
      </c>
      <c r="D30" s="7"/>
      <c r="E30" s="2"/>
      <c r="F30" s="2">
        <f>SUBTOTAL(109,A_1_10_02[VALOR PARCIAL])</f>
      </c>
    </row>
    <row r="32" ht="30" customHeight="1" spans="1:6" x14ac:dyDescent="0.25">
      <c r="A32" s="5" t="s">
        <v>5132</v>
      </c>
      <c r="B32" s="5"/>
      <c r="C32" s="5"/>
      <c r="D32" s="5"/>
      <c r="E32" s="5"/>
      <c r="F32" s="5"/>
    </row>
    <row r="33" ht="42" customHeight="1" spans="1:6" x14ac:dyDescent="0.25">
      <c r="A33" s="6" t="s">
        <v>5133</v>
      </c>
      <c r="B33" s="6"/>
      <c r="C33" s="6"/>
      <c r="D33" s="6"/>
      <c r="E33" s="6"/>
      <c r="F33" s="6"/>
    </row>
    <row r="34" spans="1:6" x14ac:dyDescent="0.25">
      <c r="A34" t="s">
        <v>4044</v>
      </c>
      <c r="B34" t="s">
        <v>4045</v>
      </c>
      <c r="C34" t="s">
        <v>5</v>
      </c>
      <c r="D34" t="s">
        <v>4046</v>
      </c>
      <c r="E34" t="s">
        <v>4047</v>
      </c>
      <c r="F34" t="s">
        <v>4048</v>
      </c>
    </row>
    <row r="35" spans="1:6" x14ac:dyDescent="0.25">
      <c r="A35" t="s">
        <v>4062</v>
      </c>
      <c r="B35" t="s">
        <v>4474</v>
      </c>
      <c r="C35" t="s">
        <v>34</v>
      </c>
      <c r="D35" s="7">
        <v>0.04</v>
      </c>
      <c r="E35" s="2">
        <v>114500</v>
      </c>
      <c r="F35" s="2">
        <v>4580</v>
      </c>
    </row>
    <row r="36" spans="1:6" x14ac:dyDescent="0.25">
      <c r="A36" t="s">
        <v>4062</v>
      </c>
      <c r="B36" t="s">
        <v>4690</v>
      </c>
      <c r="C36" t="s">
        <v>231</v>
      </c>
      <c r="D36" s="7">
        <v>0.51</v>
      </c>
      <c r="E36" s="2">
        <v>2025</v>
      </c>
      <c r="F36" s="2">
        <v>1032.75</v>
      </c>
    </row>
    <row r="37" spans="1:6" x14ac:dyDescent="0.25">
      <c r="A37" t="s">
        <v>4062</v>
      </c>
      <c r="B37" t="s">
        <v>4475</v>
      </c>
      <c r="C37" t="s">
        <v>231</v>
      </c>
      <c r="D37" s="7">
        <v>9.41</v>
      </c>
      <c r="E37" s="2">
        <v>730</v>
      </c>
      <c r="F37" s="2">
        <v>6869.3</v>
      </c>
    </row>
    <row r="38" spans="1:6" x14ac:dyDescent="0.25">
      <c r="A38" t="s">
        <v>4062</v>
      </c>
      <c r="B38" t="s">
        <v>5134</v>
      </c>
      <c r="C38" t="s">
        <v>21</v>
      </c>
      <c r="D38" s="7">
        <v>1.03</v>
      </c>
      <c r="E38" s="2">
        <v>53915</v>
      </c>
      <c r="F38" s="2">
        <v>55532.45</v>
      </c>
    </row>
    <row r="39" spans="1:6" x14ac:dyDescent="0.25">
      <c r="A39" t="s">
        <v>4062</v>
      </c>
      <c r="B39" t="s">
        <v>4076</v>
      </c>
      <c r="C39" t="s">
        <v>3963</v>
      </c>
      <c r="D39" s="7">
        <v>6.48</v>
      </c>
      <c r="E39" s="2">
        <v>21</v>
      </c>
      <c r="F39" s="2">
        <v>136.08</v>
      </c>
    </row>
    <row r="40" spans="1:6" x14ac:dyDescent="0.25">
      <c r="A40" t="s">
        <v>4049</v>
      </c>
      <c r="B40" t="s">
        <v>4050</v>
      </c>
      <c r="C40" t="s">
        <v>4051</v>
      </c>
      <c r="D40" s="7">
        <v>1.3</v>
      </c>
      <c r="E40" s="2">
        <v>9037.33</v>
      </c>
      <c r="F40" s="2">
        <v>11748.53</v>
      </c>
    </row>
    <row r="41" spans="1:6" x14ac:dyDescent="0.25">
      <c r="A41" t="s">
        <v>4049</v>
      </c>
      <c r="B41" t="s">
        <v>4073</v>
      </c>
      <c r="C41" t="s">
        <v>4051</v>
      </c>
      <c r="D41" s="7">
        <v>1.3</v>
      </c>
      <c r="E41" s="2">
        <v>15517.89</v>
      </c>
      <c r="F41" s="2">
        <v>20173.26</v>
      </c>
    </row>
    <row r="42" spans="1:6" x14ac:dyDescent="0.25">
      <c r="A42" t="s">
        <v>4052</v>
      </c>
      <c r="B42" t="s">
        <v>4105</v>
      </c>
      <c r="C42" t="s">
        <v>4106</v>
      </c>
      <c r="D42" s="7">
        <v>0.25</v>
      </c>
      <c r="E42" s="2">
        <v>25125</v>
      </c>
      <c r="F42" s="2">
        <v>6281.25</v>
      </c>
    </row>
    <row r="43" spans="1:6" x14ac:dyDescent="0.25">
      <c r="A43" t="s">
        <v>4052</v>
      </c>
      <c r="B43" t="s">
        <v>4053</v>
      </c>
      <c r="C43" t="s">
        <v>4054</v>
      </c>
      <c r="D43" s="7">
        <v>3.3</v>
      </c>
      <c r="E43" s="2">
        <v>31921.79</v>
      </c>
      <c r="F43" s="2">
        <v>1053.42</v>
      </c>
    </row>
    <row r="44" spans="1:6" x14ac:dyDescent="0.25">
      <c r="A44" t="s">
        <v>4055</v>
      </c>
      <c r="D44" s="7"/>
      <c r="E44" s="2"/>
      <c r="F44" s="2">
        <f>SUBTOTAL(109,A_1_10_03[VALOR PARCIAL])</f>
      </c>
    </row>
    <row r="46" ht="30" customHeight="1" spans="1:6" x14ac:dyDescent="0.25">
      <c r="A46" s="5" t="s">
        <v>5135</v>
      </c>
      <c r="B46" s="5"/>
      <c r="C46" s="5"/>
      <c r="D46" s="5"/>
      <c r="E46" s="5"/>
      <c r="F46" s="5"/>
    </row>
    <row r="47" ht="42" customHeight="1" spans="1:6" x14ac:dyDescent="0.25">
      <c r="A47" s="6" t="s">
        <v>5136</v>
      </c>
      <c r="B47" s="6"/>
      <c r="C47" s="6"/>
      <c r="D47" s="6"/>
      <c r="E47" s="6"/>
      <c r="F47" s="6"/>
    </row>
    <row r="48" spans="1:6" x14ac:dyDescent="0.25">
      <c r="A48" t="s">
        <v>4044</v>
      </c>
      <c r="B48" t="s">
        <v>4045</v>
      </c>
      <c r="C48" t="s">
        <v>5</v>
      </c>
      <c r="D48" t="s">
        <v>4046</v>
      </c>
      <c r="E48" t="s">
        <v>4047</v>
      </c>
      <c r="F48" t="s">
        <v>4048</v>
      </c>
    </row>
    <row r="49" spans="1:6" x14ac:dyDescent="0.25">
      <c r="A49" t="s">
        <v>4062</v>
      </c>
      <c r="B49" t="s">
        <v>4690</v>
      </c>
      <c r="C49" t="s">
        <v>231</v>
      </c>
      <c r="D49" s="7">
        <v>0.7</v>
      </c>
      <c r="E49" s="2">
        <v>2025</v>
      </c>
      <c r="F49" s="2">
        <v>1417.5</v>
      </c>
    </row>
    <row r="50" spans="1:6" x14ac:dyDescent="0.25">
      <c r="A50" t="s">
        <v>4062</v>
      </c>
      <c r="B50" t="s">
        <v>5137</v>
      </c>
      <c r="C50" t="s">
        <v>21</v>
      </c>
      <c r="D50" s="7">
        <v>1.05</v>
      </c>
      <c r="E50" s="2">
        <v>23750</v>
      </c>
      <c r="F50" s="2">
        <v>24937.5</v>
      </c>
    </row>
    <row r="51" spans="1:6" x14ac:dyDescent="0.25">
      <c r="A51" t="s">
        <v>4062</v>
      </c>
      <c r="B51" t="s">
        <v>5138</v>
      </c>
      <c r="C51" t="s">
        <v>231</v>
      </c>
      <c r="D51" s="7">
        <v>0.5</v>
      </c>
      <c r="E51" s="2">
        <v>4605.46</v>
      </c>
      <c r="F51" s="2">
        <v>2302.73</v>
      </c>
    </row>
    <row r="52" spans="1:6" x14ac:dyDescent="0.25">
      <c r="A52" t="s">
        <v>4062</v>
      </c>
      <c r="B52" t="s">
        <v>5139</v>
      </c>
      <c r="C52" t="s">
        <v>231</v>
      </c>
      <c r="D52" s="7">
        <v>3.15</v>
      </c>
      <c r="E52" s="2">
        <v>1385</v>
      </c>
      <c r="F52" s="2">
        <v>4362.75</v>
      </c>
    </row>
    <row r="53" spans="1:6" x14ac:dyDescent="0.25">
      <c r="A53" t="s">
        <v>4062</v>
      </c>
      <c r="B53" t="s">
        <v>4076</v>
      </c>
      <c r="C53" t="s">
        <v>3963</v>
      </c>
      <c r="D53" s="7">
        <v>3</v>
      </c>
      <c r="E53" s="2">
        <v>21</v>
      </c>
      <c r="F53" s="2">
        <v>63</v>
      </c>
    </row>
    <row r="54" spans="1:6" x14ac:dyDescent="0.25">
      <c r="A54" t="s">
        <v>4049</v>
      </c>
      <c r="B54" t="s">
        <v>4050</v>
      </c>
      <c r="C54" t="s">
        <v>4051</v>
      </c>
      <c r="D54" s="7">
        <v>0.8</v>
      </c>
      <c r="E54" s="2">
        <v>9037.33</v>
      </c>
      <c r="F54" s="2">
        <v>7229.86</v>
      </c>
    </row>
    <row r="55" spans="1:6" x14ac:dyDescent="0.25">
      <c r="A55" t="s">
        <v>4049</v>
      </c>
      <c r="B55" t="s">
        <v>4073</v>
      </c>
      <c r="C55" t="s">
        <v>4051</v>
      </c>
      <c r="D55" s="7">
        <v>0.8</v>
      </c>
      <c r="E55" s="2">
        <v>15517.89</v>
      </c>
      <c r="F55" s="2">
        <v>12414.31</v>
      </c>
    </row>
    <row r="56" spans="1:6" x14ac:dyDescent="0.25">
      <c r="A56" t="s">
        <v>4052</v>
      </c>
      <c r="B56" t="s">
        <v>4053</v>
      </c>
      <c r="C56" t="s">
        <v>4054</v>
      </c>
      <c r="D56" s="7">
        <v>3.3</v>
      </c>
      <c r="E56" s="2">
        <v>19644.17</v>
      </c>
      <c r="F56" s="2">
        <v>648.26</v>
      </c>
    </row>
    <row r="57" spans="1:6" x14ac:dyDescent="0.25">
      <c r="A57" t="s">
        <v>4055</v>
      </c>
      <c r="D57" s="7"/>
      <c r="E57" s="2"/>
      <c r="F57" s="2">
        <f>SUBTOTAL(109,A_1_10_04[VALOR PARCIAL])</f>
      </c>
    </row>
    <row r="59" ht="30" customHeight="1" spans="1:6" x14ac:dyDescent="0.25">
      <c r="A59" s="5" t="s">
        <v>5140</v>
      </c>
      <c r="B59" s="5"/>
      <c r="C59" s="5"/>
      <c r="D59" s="5"/>
      <c r="E59" s="5"/>
      <c r="F59" s="5"/>
    </row>
    <row r="60" ht="42" customHeight="1" spans="1:6" x14ac:dyDescent="0.25">
      <c r="A60" s="6" t="s">
        <v>5141</v>
      </c>
      <c r="B60" s="6"/>
      <c r="C60" s="6"/>
      <c r="D60" s="6"/>
      <c r="E60" s="6"/>
      <c r="F60" s="6"/>
    </row>
    <row r="61" spans="1:6" x14ac:dyDescent="0.25">
      <c r="A61" t="s">
        <v>4044</v>
      </c>
      <c r="B61" t="s">
        <v>4045</v>
      </c>
      <c r="C61" t="s">
        <v>5</v>
      </c>
      <c r="D61" t="s">
        <v>4046</v>
      </c>
      <c r="E61" t="s">
        <v>4047</v>
      </c>
      <c r="F61" t="s">
        <v>4048</v>
      </c>
    </row>
    <row r="62" spans="1:6" x14ac:dyDescent="0.25">
      <c r="A62" t="s">
        <v>4062</v>
      </c>
      <c r="B62" t="s">
        <v>4690</v>
      </c>
      <c r="C62" t="s">
        <v>231</v>
      </c>
      <c r="D62" s="7">
        <v>0.7</v>
      </c>
      <c r="E62" s="2">
        <v>2025</v>
      </c>
      <c r="F62" s="2">
        <v>1417.5</v>
      </c>
    </row>
    <row r="63" spans="1:6" x14ac:dyDescent="0.25">
      <c r="A63" t="s">
        <v>4062</v>
      </c>
      <c r="B63" t="s">
        <v>5142</v>
      </c>
      <c r="C63" t="s">
        <v>21</v>
      </c>
      <c r="D63" s="7">
        <v>1.05</v>
      </c>
      <c r="E63" s="2">
        <v>24400</v>
      </c>
      <c r="F63" s="2">
        <v>25620</v>
      </c>
    </row>
    <row r="64" spans="1:6" x14ac:dyDescent="0.25">
      <c r="A64" t="s">
        <v>4062</v>
      </c>
      <c r="B64" t="s">
        <v>5138</v>
      </c>
      <c r="C64" t="s">
        <v>231</v>
      </c>
      <c r="D64" s="7">
        <v>0.5</v>
      </c>
      <c r="E64" s="2">
        <v>4605.46</v>
      </c>
      <c r="F64" s="2">
        <v>2302.73</v>
      </c>
    </row>
    <row r="65" spans="1:6" x14ac:dyDescent="0.25">
      <c r="A65" t="s">
        <v>4062</v>
      </c>
      <c r="B65" t="s">
        <v>5139</v>
      </c>
      <c r="C65" t="s">
        <v>231</v>
      </c>
      <c r="D65" s="7">
        <v>3.15</v>
      </c>
      <c r="E65" s="2">
        <v>1385</v>
      </c>
      <c r="F65" s="2">
        <v>4362.75</v>
      </c>
    </row>
    <row r="66" spans="1:6" x14ac:dyDescent="0.25">
      <c r="A66" t="s">
        <v>4062</v>
      </c>
      <c r="B66" t="s">
        <v>4076</v>
      </c>
      <c r="C66" t="s">
        <v>3963</v>
      </c>
      <c r="D66" s="7">
        <v>3</v>
      </c>
      <c r="E66" s="2">
        <v>21</v>
      </c>
      <c r="F66" s="2">
        <v>63</v>
      </c>
    </row>
    <row r="67" spans="1:6" x14ac:dyDescent="0.25">
      <c r="A67" t="s">
        <v>4049</v>
      </c>
      <c r="B67" t="s">
        <v>4050</v>
      </c>
      <c r="C67" t="s">
        <v>4051</v>
      </c>
      <c r="D67" s="7">
        <v>0.74</v>
      </c>
      <c r="E67" s="2">
        <v>9037.33</v>
      </c>
      <c r="F67" s="2">
        <v>6687.62</v>
      </c>
    </row>
    <row r="68" spans="1:6" x14ac:dyDescent="0.25">
      <c r="A68" t="s">
        <v>4049</v>
      </c>
      <c r="B68" t="s">
        <v>4073</v>
      </c>
      <c r="C68" t="s">
        <v>4051</v>
      </c>
      <c r="D68" s="7">
        <v>0.73</v>
      </c>
      <c r="E68" s="2">
        <v>15517.89</v>
      </c>
      <c r="F68" s="2">
        <v>11343.58</v>
      </c>
    </row>
    <row r="69" spans="1:6" x14ac:dyDescent="0.25">
      <c r="A69" t="s">
        <v>4052</v>
      </c>
      <c r="B69" t="s">
        <v>4053</v>
      </c>
      <c r="C69" t="s">
        <v>4054</v>
      </c>
      <c r="D69" s="7">
        <v>3.3</v>
      </c>
      <c r="E69" s="2">
        <v>18031.2</v>
      </c>
      <c r="F69" s="2">
        <v>595.03</v>
      </c>
    </row>
    <row r="70" spans="1:6" x14ac:dyDescent="0.25">
      <c r="A70" t="s">
        <v>4055</v>
      </c>
      <c r="D70" s="7"/>
      <c r="E70" s="2"/>
      <c r="F70" s="2">
        <f>SUBTOTAL(109,A_1_10_05[VALOR PARCIAL])</f>
      </c>
    </row>
    <row r="72" ht="30" customHeight="1" spans="1:6" x14ac:dyDescent="0.25">
      <c r="A72" s="5" t="s">
        <v>5143</v>
      </c>
      <c r="B72" s="5"/>
      <c r="C72" s="5"/>
      <c r="D72" s="5"/>
      <c r="E72" s="5"/>
      <c r="F72" s="5"/>
    </row>
    <row r="73" ht="42" customHeight="1" spans="1:6" x14ac:dyDescent="0.25">
      <c r="A73" s="6" t="s">
        <v>5144</v>
      </c>
      <c r="B73" s="6"/>
      <c r="C73" s="6"/>
      <c r="D73" s="6"/>
      <c r="E73" s="6"/>
      <c r="F73" s="6"/>
    </row>
    <row r="74" spans="1:6" x14ac:dyDescent="0.25">
      <c r="A74" t="s">
        <v>4044</v>
      </c>
      <c r="B74" t="s">
        <v>4045</v>
      </c>
      <c r="C74" t="s">
        <v>5</v>
      </c>
      <c r="D74" t="s">
        <v>4046</v>
      </c>
      <c r="E74" t="s">
        <v>4047</v>
      </c>
      <c r="F74" t="s">
        <v>4048</v>
      </c>
    </row>
    <row r="75" spans="1:6" x14ac:dyDescent="0.25">
      <c r="A75" t="s">
        <v>4062</v>
      </c>
      <c r="B75" t="s">
        <v>5145</v>
      </c>
      <c r="C75" t="s">
        <v>21</v>
      </c>
      <c r="D75" s="7">
        <v>1.03</v>
      </c>
      <c r="E75" s="2">
        <v>148297</v>
      </c>
      <c r="F75" s="2">
        <v>152745.91</v>
      </c>
    </row>
    <row r="76" spans="1:6" x14ac:dyDescent="0.25">
      <c r="A76" t="s">
        <v>4062</v>
      </c>
      <c r="B76" t="s">
        <v>4492</v>
      </c>
      <c r="C76" t="s">
        <v>34</v>
      </c>
      <c r="D76" s="7">
        <v>0.2</v>
      </c>
      <c r="E76" s="2">
        <v>68425</v>
      </c>
      <c r="F76" s="2">
        <v>13685</v>
      </c>
    </row>
    <row r="77" spans="1:6" x14ac:dyDescent="0.25">
      <c r="A77" t="s">
        <v>4062</v>
      </c>
      <c r="B77" t="s">
        <v>4475</v>
      </c>
      <c r="C77" t="s">
        <v>231</v>
      </c>
      <c r="D77" s="7">
        <v>8.31</v>
      </c>
      <c r="E77" s="2">
        <v>730</v>
      </c>
      <c r="F77" s="2">
        <v>6066.3</v>
      </c>
    </row>
    <row r="78" spans="1:6" x14ac:dyDescent="0.25">
      <c r="A78" t="s">
        <v>4062</v>
      </c>
      <c r="B78" t="s">
        <v>4076</v>
      </c>
      <c r="C78" t="s">
        <v>3963</v>
      </c>
      <c r="D78" s="7">
        <v>2.85</v>
      </c>
      <c r="E78" s="2">
        <v>21</v>
      </c>
      <c r="F78" s="2">
        <v>59.85</v>
      </c>
    </row>
    <row r="79" spans="1:6" x14ac:dyDescent="0.25">
      <c r="A79" t="s">
        <v>4049</v>
      </c>
      <c r="B79" t="s">
        <v>4050</v>
      </c>
      <c r="C79" t="s">
        <v>4051</v>
      </c>
      <c r="D79" s="7">
        <v>1.6</v>
      </c>
      <c r="E79" s="2">
        <v>9037.33</v>
      </c>
      <c r="F79" s="2">
        <v>14459.73</v>
      </c>
    </row>
    <row r="80" spans="1:6" x14ac:dyDescent="0.25">
      <c r="A80" t="s">
        <v>4049</v>
      </c>
      <c r="B80" t="s">
        <v>4073</v>
      </c>
      <c r="C80" t="s">
        <v>4051</v>
      </c>
      <c r="D80" s="7">
        <v>1.6</v>
      </c>
      <c r="E80" s="2">
        <v>15517.89</v>
      </c>
      <c r="F80" s="2">
        <v>24828.62</v>
      </c>
    </row>
    <row r="81" spans="1:6" x14ac:dyDescent="0.25">
      <c r="A81" t="s">
        <v>4052</v>
      </c>
      <c r="B81" t="s">
        <v>4053</v>
      </c>
      <c r="C81" t="s">
        <v>4054</v>
      </c>
      <c r="D81" s="7">
        <v>3.3</v>
      </c>
      <c r="E81" s="2">
        <v>39288.35</v>
      </c>
      <c r="F81" s="2">
        <v>1296.52</v>
      </c>
    </row>
    <row r="82" spans="1:6" x14ac:dyDescent="0.25">
      <c r="A82" t="s">
        <v>4055</v>
      </c>
      <c r="D82" s="7"/>
      <c r="E82" s="2"/>
      <c r="F82" s="2">
        <f>SUBTOTAL(109,A_1_10_06[VALOR PARCIAL])</f>
      </c>
    </row>
    <row r="84" ht="30" customHeight="1" spans="1:6" x14ac:dyDescent="0.25">
      <c r="A84" s="5" t="s">
        <v>5146</v>
      </c>
      <c r="B84" s="5"/>
      <c r="C84" s="5"/>
      <c r="D84" s="5"/>
      <c r="E84" s="5"/>
      <c r="F84" s="5"/>
    </row>
    <row r="85" ht="42" customHeight="1" spans="1:6" x14ac:dyDescent="0.25">
      <c r="A85" s="6" t="s">
        <v>5147</v>
      </c>
      <c r="B85" s="6"/>
      <c r="C85" s="6"/>
      <c r="D85" s="6"/>
      <c r="E85" s="6"/>
      <c r="F85" s="6"/>
    </row>
    <row r="86" spans="1:6" x14ac:dyDescent="0.25">
      <c r="A86" t="s">
        <v>4044</v>
      </c>
      <c r="B86" t="s">
        <v>4045</v>
      </c>
      <c r="C86" t="s">
        <v>5</v>
      </c>
      <c r="D86" t="s">
        <v>4046</v>
      </c>
      <c r="E86" t="s">
        <v>4047</v>
      </c>
      <c r="F86" t="s">
        <v>4048</v>
      </c>
    </row>
    <row r="87" spans="1:6" x14ac:dyDescent="0.25">
      <c r="A87" t="s">
        <v>4062</v>
      </c>
      <c r="B87" t="s">
        <v>4690</v>
      </c>
      <c r="C87" t="s">
        <v>231</v>
      </c>
      <c r="D87" s="7">
        <v>1.54</v>
      </c>
      <c r="E87" s="2">
        <v>2025</v>
      </c>
      <c r="F87" s="2">
        <v>3118.5</v>
      </c>
    </row>
    <row r="88" spans="1:6" x14ac:dyDescent="0.25">
      <c r="A88" t="s">
        <v>4062</v>
      </c>
      <c r="B88" t="s">
        <v>5148</v>
      </c>
      <c r="C88" t="s">
        <v>63</v>
      </c>
      <c r="D88" s="7">
        <v>1</v>
      </c>
      <c r="E88" s="2">
        <v>36350</v>
      </c>
      <c r="F88" s="2">
        <v>36350</v>
      </c>
    </row>
    <row r="89" spans="1:6" x14ac:dyDescent="0.25">
      <c r="A89" t="s">
        <v>4049</v>
      </c>
      <c r="B89" t="s">
        <v>4050</v>
      </c>
      <c r="C89" t="s">
        <v>4051</v>
      </c>
      <c r="D89" s="7">
        <v>2</v>
      </c>
      <c r="E89" s="2">
        <v>9037.33</v>
      </c>
      <c r="F89" s="2">
        <v>18074.66</v>
      </c>
    </row>
    <row r="90" spans="1:6" x14ac:dyDescent="0.25">
      <c r="A90" t="s">
        <v>4049</v>
      </c>
      <c r="B90" t="s">
        <v>4073</v>
      </c>
      <c r="C90" t="s">
        <v>4051</v>
      </c>
      <c r="D90" s="7">
        <v>2</v>
      </c>
      <c r="E90" s="2">
        <v>15517.89</v>
      </c>
      <c r="F90" s="2">
        <v>31035.78</v>
      </c>
    </row>
    <row r="91" spans="1:6" x14ac:dyDescent="0.25">
      <c r="A91" t="s">
        <v>4052</v>
      </c>
      <c r="B91" t="s">
        <v>4053</v>
      </c>
      <c r="C91" t="s">
        <v>4054</v>
      </c>
      <c r="D91" s="7">
        <v>3.3</v>
      </c>
      <c r="E91" s="2">
        <v>49110.44</v>
      </c>
      <c r="F91" s="2">
        <v>1620.64</v>
      </c>
    </row>
    <row r="92" spans="1:6" x14ac:dyDescent="0.25">
      <c r="A92" t="s">
        <v>4055</v>
      </c>
      <c r="D92" s="7"/>
      <c r="E92" s="2"/>
      <c r="F92" s="2">
        <f>SUBTOTAL(109,A_1_10_07[VALOR PARCIAL])</f>
      </c>
    </row>
    <row r="94" ht="30" customHeight="1" spans="1:6" x14ac:dyDescent="0.25">
      <c r="A94" s="5" t="s">
        <v>5149</v>
      </c>
      <c r="B94" s="5"/>
      <c r="C94" s="5"/>
      <c r="D94" s="5"/>
      <c r="E94" s="5"/>
      <c r="F94" s="5"/>
    </row>
    <row r="95" ht="42" customHeight="1" spans="1:6" x14ac:dyDescent="0.25">
      <c r="A95" s="6" t="s">
        <v>5150</v>
      </c>
      <c r="B95" s="6"/>
      <c r="C95" s="6"/>
      <c r="D95" s="6"/>
      <c r="E95" s="6"/>
      <c r="F95" s="6"/>
    </row>
    <row r="96" spans="1:6" x14ac:dyDescent="0.25">
      <c r="A96" t="s">
        <v>4044</v>
      </c>
      <c r="B96" t="s">
        <v>4045</v>
      </c>
      <c r="C96" t="s">
        <v>5</v>
      </c>
      <c r="D96" t="s">
        <v>4046</v>
      </c>
      <c r="E96" t="s">
        <v>4047</v>
      </c>
      <c r="F96" t="s">
        <v>4048</v>
      </c>
    </row>
    <row r="97" spans="1:6" x14ac:dyDescent="0.25">
      <c r="A97" t="s">
        <v>4062</v>
      </c>
      <c r="B97" t="s">
        <v>4690</v>
      </c>
      <c r="C97" t="s">
        <v>231</v>
      </c>
      <c r="D97" s="7">
        <v>1.54</v>
      </c>
      <c r="E97" s="2">
        <v>2025</v>
      </c>
      <c r="F97" s="2">
        <v>3118.5</v>
      </c>
    </row>
    <row r="98" spans="1:6" x14ac:dyDescent="0.25">
      <c r="A98" t="s">
        <v>4062</v>
      </c>
      <c r="B98" t="s">
        <v>5151</v>
      </c>
      <c r="C98" t="s">
        <v>63</v>
      </c>
      <c r="D98" s="7">
        <v>1</v>
      </c>
      <c r="E98" s="2">
        <v>96400</v>
      </c>
      <c r="F98" s="2">
        <v>96400</v>
      </c>
    </row>
    <row r="99" spans="1:6" x14ac:dyDescent="0.25">
      <c r="A99" t="s">
        <v>4049</v>
      </c>
      <c r="B99" t="s">
        <v>4050</v>
      </c>
      <c r="C99" t="s">
        <v>4051</v>
      </c>
      <c r="D99" s="7">
        <v>2</v>
      </c>
      <c r="E99" s="2">
        <v>9037.33</v>
      </c>
      <c r="F99" s="2">
        <v>18074.66</v>
      </c>
    </row>
    <row r="100" spans="1:6" x14ac:dyDescent="0.25">
      <c r="A100" t="s">
        <v>4049</v>
      </c>
      <c r="B100" t="s">
        <v>4073</v>
      </c>
      <c r="C100" t="s">
        <v>4051</v>
      </c>
      <c r="D100" s="7">
        <v>2</v>
      </c>
      <c r="E100" s="2">
        <v>15517.89</v>
      </c>
      <c r="F100" s="2">
        <v>31035.78</v>
      </c>
    </row>
    <row r="101" spans="1:6" x14ac:dyDescent="0.25">
      <c r="A101" t="s">
        <v>4052</v>
      </c>
      <c r="B101" t="s">
        <v>4053</v>
      </c>
      <c r="C101" t="s">
        <v>4054</v>
      </c>
      <c r="D101" s="7">
        <v>3.3</v>
      </c>
      <c r="E101" s="2">
        <v>49110.44</v>
      </c>
      <c r="F101" s="2">
        <v>1620.64</v>
      </c>
    </row>
    <row r="102" spans="1:6" x14ac:dyDescent="0.25">
      <c r="A102" t="s">
        <v>4055</v>
      </c>
      <c r="D102" s="7"/>
      <c r="E102" s="2"/>
      <c r="F102" s="2">
        <f>SUBTOTAL(109,A_1_10_08[VALOR PARCIAL])</f>
      </c>
    </row>
    <row r="104" ht="30" customHeight="1" spans="1:6" x14ac:dyDescent="0.25">
      <c r="A104" s="5" t="s">
        <v>5152</v>
      </c>
      <c r="B104" s="5"/>
      <c r="C104" s="5"/>
      <c r="D104" s="5"/>
      <c r="E104" s="5"/>
      <c r="F104" s="5"/>
    </row>
    <row r="105" ht="42" customHeight="1" spans="1:6" x14ac:dyDescent="0.25">
      <c r="A105" s="6" t="s">
        <v>5153</v>
      </c>
      <c r="B105" s="6"/>
      <c r="C105" s="6"/>
      <c r="D105" s="6"/>
      <c r="E105" s="6"/>
      <c r="F105" s="6"/>
    </row>
    <row r="106" spans="1:6" x14ac:dyDescent="0.25">
      <c r="A106" t="s">
        <v>4044</v>
      </c>
      <c r="B106" t="s">
        <v>4045</v>
      </c>
      <c r="C106" t="s">
        <v>5</v>
      </c>
      <c r="D106" t="s">
        <v>4046</v>
      </c>
      <c r="E106" t="s">
        <v>4047</v>
      </c>
      <c r="F106" t="s">
        <v>4048</v>
      </c>
    </row>
    <row r="107" spans="1:6" x14ac:dyDescent="0.25">
      <c r="A107" t="s">
        <v>4062</v>
      </c>
      <c r="B107" t="s">
        <v>4690</v>
      </c>
      <c r="C107" t="s">
        <v>231</v>
      </c>
      <c r="D107" s="7">
        <v>1.54</v>
      </c>
      <c r="E107" s="2">
        <v>2025</v>
      </c>
      <c r="F107" s="2">
        <v>3118.5</v>
      </c>
    </row>
    <row r="108" spans="1:6" x14ac:dyDescent="0.25">
      <c r="A108" t="s">
        <v>4062</v>
      </c>
      <c r="B108" t="s">
        <v>5154</v>
      </c>
      <c r="C108" t="s">
        <v>63</v>
      </c>
      <c r="D108" s="7">
        <v>1</v>
      </c>
      <c r="E108" s="2">
        <v>128437.93</v>
      </c>
      <c r="F108" s="2">
        <v>128437.93</v>
      </c>
    </row>
    <row r="109" spans="1:6" x14ac:dyDescent="0.25">
      <c r="A109" t="s">
        <v>4049</v>
      </c>
      <c r="B109" t="s">
        <v>4050</v>
      </c>
      <c r="C109" t="s">
        <v>4051</v>
      </c>
      <c r="D109" s="7">
        <v>2.5</v>
      </c>
      <c r="E109" s="2">
        <v>9037.33</v>
      </c>
      <c r="F109" s="2">
        <v>22593.33</v>
      </c>
    </row>
    <row r="110" spans="1:6" x14ac:dyDescent="0.25">
      <c r="A110" t="s">
        <v>4049</v>
      </c>
      <c r="B110" t="s">
        <v>4073</v>
      </c>
      <c r="C110" t="s">
        <v>4051</v>
      </c>
      <c r="D110" s="7">
        <v>2.5</v>
      </c>
      <c r="E110" s="2">
        <v>15517.89</v>
      </c>
      <c r="F110" s="2">
        <v>38794.72</v>
      </c>
    </row>
    <row r="111" spans="1:6" x14ac:dyDescent="0.25">
      <c r="A111" t="s">
        <v>4052</v>
      </c>
      <c r="B111" t="s">
        <v>4053</v>
      </c>
      <c r="C111" t="s">
        <v>4054</v>
      </c>
      <c r="D111" s="7">
        <v>3.3</v>
      </c>
      <c r="E111" s="2">
        <v>61388.05</v>
      </c>
      <c r="F111" s="2">
        <v>2025.81</v>
      </c>
    </row>
    <row r="112" spans="1:6" x14ac:dyDescent="0.25">
      <c r="A112" t="s">
        <v>4055</v>
      </c>
      <c r="D112" s="7"/>
      <c r="E112" s="2"/>
      <c r="F112" s="2">
        <f>SUBTOTAL(109,A_1_10_09[VALOR PARCIAL])</f>
      </c>
    </row>
    <row r="114" ht="30" customHeight="1" spans="1:6" x14ac:dyDescent="0.25">
      <c r="A114" s="5" t="s">
        <v>5155</v>
      </c>
      <c r="B114" s="5"/>
      <c r="C114" s="5"/>
      <c r="D114" s="5"/>
      <c r="E114" s="5"/>
      <c r="F114" s="5"/>
    </row>
    <row r="115" ht="42" customHeight="1" spans="1:6" x14ac:dyDescent="0.25">
      <c r="A115" s="6" t="s">
        <v>5156</v>
      </c>
      <c r="B115" s="6"/>
      <c r="C115" s="6"/>
      <c r="D115" s="6"/>
      <c r="E115" s="6"/>
      <c r="F115" s="6"/>
    </row>
    <row r="116" spans="1:6" x14ac:dyDescent="0.25">
      <c r="A116" t="s">
        <v>4044</v>
      </c>
      <c r="B116" t="s">
        <v>4045</v>
      </c>
      <c r="C116" t="s">
        <v>5</v>
      </c>
      <c r="D116" t="s">
        <v>4046</v>
      </c>
      <c r="E116" t="s">
        <v>4047</v>
      </c>
      <c r="F116" t="s">
        <v>4048</v>
      </c>
    </row>
    <row r="117" spans="1:6" x14ac:dyDescent="0.25">
      <c r="A117" t="s">
        <v>4062</v>
      </c>
      <c r="B117" t="s">
        <v>5157</v>
      </c>
      <c r="C117" t="s">
        <v>42</v>
      </c>
      <c r="D117" s="7">
        <v>1.1</v>
      </c>
      <c r="E117" s="2">
        <v>6596.5</v>
      </c>
      <c r="F117" s="2">
        <v>7256.15</v>
      </c>
    </row>
    <row r="118" spans="1:6" x14ac:dyDescent="0.25">
      <c r="A118" t="s">
        <v>4062</v>
      </c>
      <c r="B118" t="s">
        <v>4004</v>
      </c>
      <c r="C118" t="s">
        <v>34</v>
      </c>
      <c r="D118" s="7">
        <v>0.02</v>
      </c>
      <c r="E118" s="2">
        <v>426702.51</v>
      </c>
      <c r="F118" s="2">
        <v>8534.05</v>
      </c>
    </row>
    <row r="119" spans="1:6" x14ac:dyDescent="0.25">
      <c r="A119" t="s">
        <v>4062</v>
      </c>
      <c r="B119" t="s">
        <v>5158</v>
      </c>
      <c r="C119" t="s">
        <v>63</v>
      </c>
      <c r="D119" s="7">
        <v>0.66</v>
      </c>
      <c r="E119" s="2">
        <v>5633</v>
      </c>
      <c r="F119" s="2">
        <v>3717.78</v>
      </c>
    </row>
    <row r="120" spans="1:6" x14ac:dyDescent="0.25">
      <c r="A120" t="s">
        <v>4062</v>
      </c>
      <c r="B120" t="s">
        <v>4690</v>
      </c>
      <c r="C120" t="s">
        <v>231</v>
      </c>
      <c r="D120" s="7">
        <v>0.58</v>
      </c>
      <c r="E120" s="2">
        <v>2025</v>
      </c>
      <c r="F120" s="2">
        <v>1174.5</v>
      </c>
    </row>
    <row r="121" spans="1:6" x14ac:dyDescent="0.25">
      <c r="A121" t="s">
        <v>4062</v>
      </c>
      <c r="B121" t="s">
        <v>5142</v>
      </c>
      <c r="C121" t="s">
        <v>21</v>
      </c>
      <c r="D121" s="7">
        <v>0.4</v>
      </c>
      <c r="E121" s="2">
        <v>24400</v>
      </c>
      <c r="F121" s="2">
        <v>9760</v>
      </c>
    </row>
    <row r="122" spans="1:6" x14ac:dyDescent="0.25">
      <c r="A122" t="s">
        <v>4062</v>
      </c>
      <c r="B122" t="s">
        <v>5138</v>
      </c>
      <c r="C122" t="s">
        <v>231</v>
      </c>
      <c r="D122" s="7">
        <v>0.3</v>
      </c>
      <c r="E122" s="2">
        <v>4605.46</v>
      </c>
      <c r="F122" s="2">
        <v>1381.64</v>
      </c>
    </row>
    <row r="123" spans="1:6" x14ac:dyDescent="0.25">
      <c r="A123" t="s">
        <v>4062</v>
      </c>
      <c r="B123" t="s">
        <v>5139</v>
      </c>
      <c r="C123" t="s">
        <v>231</v>
      </c>
      <c r="D123" s="7">
        <v>1.04</v>
      </c>
      <c r="E123" s="2">
        <v>1385</v>
      </c>
      <c r="F123" s="2">
        <v>1440.4</v>
      </c>
    </row>
    <row r="124" spans="1:6" x14ac:dyDescent="0.25">
      <c r="A124" t="s">
        <v>4049</v>
      </c>
      <c r="B124" t="s">
        <v>4050</v>
      </c>
      <c r="C124" t="s">
        <v>4051</v>
      </c>
      <c r="D124" s="7">
        <v>0.79</v>
      </c>
      <c r="E124" s="2">
        <v>9037.33</v>
      </c>
      <c r="F124" s="2">
        <v>7139.49</v>
      </c>
    </row>
    <row r="125" spans="1:6" x14ac:dyDescent="0.25">
      <c r="A125" t="s">
        <v>4049</v>
      </c>
      <c r="B125" t="s">
        <v>4073</v>
      </c>
      <c r="C125" t="s">
        <v>4051</v>
      </c>
      <c r="D125" s="7">
        <v>0.79</v>
      </c>
      <c r="E125" s="2">
        <v>15517.89</v>
      </c>
      <c r="F125" s="2">
        <v>12259.13</v>
      </c>
    </row>
    <row r="126" spans="1:6" x14ac:dyDescent="0.25">
      <c r="A126" t="s">
        <v>4052</v>
      </c>
      <c r="B126" t="s">
        <v>4053</v>
      </c>
      <c r="C126" t="s">
        <v>4054</v>
      </c>
      <c r="D126" s="7">
        <v>3.3</v>
      </c>
      <c r="E126" s="2">
        <v>19398.62</v>
      </c>
      <c r="F126" s="2">
        <v>640.15</v>
      </c>
    </row>
    <row r="127" spans="1:6" x14ac:dyDescent="0.25">
      <c r="A127" t="s">
        <v>4055</v>
      </c>
      <c r="D127" s="7"/>
      <c r="E127" s="2"/>
      <c r="F127" s="2">
        <f>SUBTOTAL(109,A_1_10_10[VALOR PARCIAL])</f>
      </c>
    </row>
    <row r="129" ht="30" customHeight="1" spans="1:6" x14ac:dyDescent="0.25">
      <c r="A129" s="5" t="s">
        <v>5159</v>
      </c>
      <c r="B129" s="5"/>
      <c r="C129" s="5"/>
      <c r="D129" s="5"/>
      <c r="E129" s="5"/>
      <c r="F129" s="5"/>
    </row>
    <row r="130" ht="42" customHeight="1" spans="1:6" x14ac:dyDescent="0.25">
      <c r="A130" s="6" t="s">
        <v>5160</v>
      </c>
      <c r="B130" s="6"/>
      <c r="C130" s="6"/>
      <c r="D130" s="6"/>
      <c r="E130" s="6"/>
      <c r="F130" s="6"/>
    </row>
    <row r="131" spans="1:6" x14ac:dyDescent="0.25">
      <c r="A131" t="s">
        <v>4044</v>
      </c>
      <c r="B131" t="s">
        <v>4045</v>
      </c>
      <c r="C131" t="s">
        <v>5</v>
      </c>
      <c r="D131" t="s">
        <v>4046</v>
      </c>
      <c r="E131" t="s">
        <v>4047</v>
      </c>
      <c r="F131" t="s">
        <v>4048</v>
      </c>
    </row>
    <row r="132" spans="1:6" x14ac:dyDescent="0.25">
      <c r="A132" t="s">
        <v>4062</v>
      </c>
      <c r="B132" t="s">
        <v>4004</v>
      </c>
      <c r="C132" t="s">
        <v>34</v>
      </c>
      <c r="D132" s="7">
        <v>0.02</v>
      </c>
      <c r="E132" s="2">
        <v>426702.51</v>
      </c>
      <c r="F132" s="2">
        <v>8534.05</v>
      </c>
    </row>
    <row r="133" spans="1:6" x14ac:dyDescent="0.25">
      <c r="A133" t="s">
        <v>4062</v>
      </c>
      <c r="B133" t="s">
        <v>5158</v>
      </c>
      <c r="C133" t="s">
        <v>63</v>
      </c>
      <c r="D133" s="7">
        <v>0.66</v>
      </c>
      <c r="E133" s="2">
        <v>5633</v>
      </c>
      <c r="F133" s="2">
        <v>3717.78</v>
      </c>
    </row>
    <row r="134" spans="1:6" x14ac:dyDescent="0.25">
      <c r="A134" t="s">
        <v>4062</v>
      </c>
      <c r="B134" t="s">
        <v>4690</v>
      </c>
      <c r="C134" t="s">
        <v>231</v>
      </c>
      <c r="D134" s="7">
        <v>0.58</v>
      </c>
      <c r="E134" s="2">
        <v>2025</v>
      </c>
      <c r="F134" s="2">
        <v>1174.5</v>
      </c>
    </row>
    <row r="135" spans="1:6" x14ac:dyDescent="0.25">
      <c r="A135" t="s">
        <v>4062</v>
      </c>
      <c r="B135" t="s">
        <v>5142</v>
      </c>
      <c r="C135" t="s">
        <v>21</v>
      </c>
      <c r="D135" s="7">
        <v>0.7</v>
      </c>
      <c r="E135" s="2">
        <v>24400</v>
      </c>
      <c r="F135" s="2">
        <v>17080</v>
      </c>
    </row>
    <row r="136" spans="1:6" x14ac:dyDescent="0.25">
      <c r="A136" t="s">
        <v>4062</v>
      </c>
      <c r="B136" t="s">
        <v>5138</v>
      </c>
      <c r="C136" t="s">
        <v>231</v>
      </c>
      <c r="D136" s="7">
        <v>0.3</v>
      </c>
      <c r="E136" s="2">
        <v>4605.46</v>
      </c>
      <c r="F136" s="2">
        <v>1381.64</v>
      </c>
    </row>
    <row r="137" spans="1:6" x14ac:dyDescent="0.25">
      <c r="A137" t="s">
        <v>4062</v>
      </c>
      <c r="B137" t="s">
        <v>5139</v>
      </c>
      <c r="C137" t="s">
        <v>231</v>
      </c>
      <c r="D137" s="7">
        <v>1</v>
      </c>
      <c r="E137" s="2">
        <v>1385</v>
      </c>
      <c r="F137" s="2">
        <v>1385</v>
      </c>
    </row>
    <row r="138" spans="1:6" x14ac:dyDescent="0.25">
      <c r="A138" t="s">
        <v>4049</v>
      </c>
      <c r="B138" t="s">
        <v>4050</v>
      </c>
      <c r="C138" t="s">
        <v>4051</v>
      </c>
      <c r="D138" s="7">
        <v>0.79</v>
      </c>
      <c r="E138" s="2">
        <v>9037.33</v>
      </c>
      <c r="F138" s="2">
        <v>7139.49</v>
      </c>
    </row>
    <row r="139" spans="1:6" x14ac:dyDescent="0.25">
      <c r="A139" t="s">
        <v>4049</v>
      </c>
      <c r="B139" t="s">
        <v>4073</v>
      </c>
      <c r="C139" t="s">
        <v>4051</v>
      </c>
      <c r="D139" s="7">
        <v>0.79</v>
      </c>
      <c r="E139" s="2">
        <v>15517.89</v>
      </c>
      <c r="F139" s="2">
        <v>12259.13</v>
      </c>
    </row>
    <row r="140" spans="1:6" x14ac:dyDescent="0.25">
      <c r="A140" t="s">
        <v>4052</v>
      </c>
      <c r="B140" t="s">
        <v>4053</v>
      </c>
      <c r="C140" t="s">
        <v>4054</v>
      </c>
      <c r="D140" s="7">
        <v>3.3</v>
      </c>
      <c r="E140" s="2">
        <v>19398.62</v>
      </c>
      <c r="F140" s="2">
        <v>640.15</v>
      </c>
    </row>
    <row r="141" spans="1:6" x14ac:dyDescent="0.25">
      <c r="A141" t="s">
        <v>4055</v>
      </c>
      <c r="D141" s="7"/>
      <c r="E141" s="2"/>
      <c r="F141" s="2">
        <f>SUBTOTAL(109,A_1_10_11[VALOR PARCIAL])</f>
      </c>
    </row>
    <row r="143" ht="30" customHeight="1" spans="1:6" x14ac:dyDescent="0.25">
      <c r="A143" s="5" t="s">
        <v>5161</v>
      </c>
      <c r="B143" s="5"/>
      <c r="C143" s="5"/>
      <c r="D143" s="5"/>
      <c r="E143" s="5"/>
      <c r="F143" s="5"/>
    </row>
    <row r="144" ht="42" customHeight="1" spans="1:6" x14ac:dyDescent="0.25">
      <c r="A144" s="6" t="s">
        <v>5162</v>
      </c>
      <c r="B144" s="6"/>
      <c r="C144" s="6"/>
      <c r="D144" s="6"/>
      <c r="E144" s="6"/>
      <c r="F144" s="6"/>
    </row>
    <row r="145" spans="1:6" x14ac:dyDescent="0.25">
      <c r="A145" t="s">
        <v>4044</v>
      </c>
      <c r="B145" t="s">
        <v>4045</v>
      </c>
      <c r="C145" t="s">
        <v>5</v>
      </c>
      <c r="D145" t="s">
        <v>4046</v>
      </c>
      <c r="E145" t="s">
        <v>4047</v>
      </c>
      <c r="F145" t="s">
        <v>4048</v>
      </c>
    </row>
    <row r="146" spans="1:6" x14ac:dyDescent="0.25">
      <c r="A146" t="s">
        <v>4062</v>
      </c>
      <c r="B146" t="s">
        <v>4690</v>
      </c>
      <c r="C146" t="s">
        <v>231</v>
      </c>
      <c r="D146" s="7">
        <v>0.2</v>
      </c>
      <c r="E146" s="2">
        <v>2025</v>
      </c>
      <c r="F146" s="2">
        <v>405</v>
      </c>
    </row>
    <row r="147" spans="1:6" x14ac:dyDescent="0.25">
      <c r="A147" t="s">
        <v>4062</v>
      </c>
      <c r="B147" t="s">
        <v>5163</v>
      </c>
      <c r="C147" t="s">
        <v>63</v>
      </c>
      <c r="D147" s="7">
        <v>1</v>
      </c>
      <c r="E147" s="2">
        <v>20250</v>
      </c>
      <c r="F147" s="2">
        <v>20250</v>
      </c>
    </row>
    <row r="148" spans="1:6" x14ac:dyDescent="0.25">
      <c r="A148" t="s">
        <v>4049</v>
      </c>
      <c r="B148" t="s">
        <v>4050</v>
      </c>
      <c r="C148" t="s">
        <v>4051</v>
      </c>
      <c r="D148" s="7">
        <v>0.3</v>
      </c>
      <c r="E148" s="2">
        <v>9037.33</v>
      </c>
      <c r="F148" s="2">
        <v>2711.2</v>
      </c>
    </row>
    <row r="149" spans="1:6" x14ac:dyDescent="0.25">
      <c r="A149" t="s">
        <v>4049</v>
      </c>
      <c r="B149" t="s">
        <v>4073</v>
      </c>
      <c r="C149" t="s">
        <v>4051</v>
      </c>
      <c r="D149" s="7">
        <v>0.3</v>
      </c>
      <c r="E149" s="2">
        <v>15517.89</v>
      </c>
      <c r="F149" s="2">
        <v>4655.37</v>
      </c>
    </row>
    <row r="150" spans="1:6" x14ac:dyDescent="0.25">
      <c r="A150" t="s">
        <v>4052</v>
      </c>
      <c r="B150" t="s">
        <v>4053</v>
      </c>
      <c r="C150" t="s">
        <v>4054</v>
      </c>
      <c r="D150" s="7">
        <v>3.3</v>
      </c>
      <c r="E150" s="2">
        <v>7366.57</v>
      </c>
      <c r="F150" s="2">
        <v>243.1</v>
      </c>
    </row>
    <row r="151" spans="1:6" x14ac:dyDescent="0.25">
      <c r="A151" t="s">
        <v>4055</v>
      </c>
      <c r="D151" s="7"/>
      <c r="E151" s="2"/>
      <c r="F151" s="2">
        <f>SUBTOTAL(109,A_1_10_12[VALOR PARCIAL])</f>
      </c>
    </row>
    <row r="153" ht="30" customHeight="1" spans="1:6" x14ac:dyDescent="0.25">
      <c r="A153" s="5" t="s">
        <v>5164</v>
      </c>
      <c r="B153" s="5"/>
      <c r="C153" s="5"/>
      <c r="D153" s="5"/>
      <c r="E153" s="5"/>
      <c r="F153" s="5"/>
    </row>
    <row r="154" ht="42" customHeight="1" spans="1:6" x14ac:dyDescent="0.25">
      <c r="A154" s="6" t="s">
        <v>5165</v>
      </c>
      <c r="B154" s="6"/>
      <c r="C154" s="6"/>
      <c r="D154" s="6"/>
      <c r="E154" s="6"/>
      <c r="F154" s="6"/>
    </row>
    <row r="155" spans="1:6" x14ac:dyDescent="0.25">
      <c r="A155" t="s">
        <v>4044</v>
      </c>
      <c r="B155" t="s">
        <v>4045</v>
      </c>
      <c r="C155" t="s">
        <v>5</v>
      </c>
      <c r="D155" t="s">
        <v>4046</v>
      </c>
      <c r="E155" t="s">
        <v>4047</v>
      </c>
      <c r="F155" t="s">
        <v>4048</v>
      </c>
    </row>
    <row r="156" spans="1:6" x14ac:dyDescent="0.25">
      <c r="A156" t="s">
        <v>4062</v>
      </c>
      <c r="B156" t="s">
        <v>4690</v>
      </c>
      <c r="C156" t="s">
        <v>231</v>
      </c>
      <c r="D156" s="7">
        <v>0.2</v>
      </c>
      <c r="E156" s="2">
        <v>2025</v>
      </c>
      <c r="F156" s="2">
        <v>405</v>
      </c>
    </row>
    <row r="157" spans="1:6" x14ac:dyDescent="0.25">
      <c r="A157" t="s">
        <v>4062</v>
      </c>
      <c r="B157" t="s">
        <v>5166</v>
      </c>
      <c r="C157" t="s">
        <v>63</v>
      </c>
      <c r="D157" s="7">
        <v>1</v>
      </c>
      <c r="E157" s="2">
        <v>26518.39</v>
      </c>
      <c r="F157" s="2">
        <v>26518.39</v>
      </c>
    </row>
    <row r="158" spans="1:6" x14ac:dyDescent="0.25">
      <c r="A158" t="s">
        <v>4049</v>
      </c>
      <c r="B158" t="s">
        <v>4050</v>
      </c>
      <c r="C158" t="s">
        <v>4051</v>
      </c>
      <c r="D158" s="7">
        <v>0.3</v>
      </c>
      <c r="E158" s="2">
        <v>9037.33</v>
      </c>
      <c r="F158" s="2">
        <v>2711.2</v>
      </c>
    </row>
    <row r="159" spans="1:6" x14ac:dyDescent="0.25">
      <c r="A159" t="s">
        <v>4049</v>
      </c>
      <c r="B159" t="s">
        <v>4073</v>
      </c>
      <c r="C159" t="s">
        <v>4051</v>
      </c>
      <c r="D159" s="7">
        <v>0.3</v>
      </c>
      <c r="E159" s="2">
        <v>15517.89</v>
      </c>
      <c r="F159" s="2">
        <v>4655.37</v>
      </c>
    </row>
    <row r="160" spans="1:6" x14ac:dyDescent="0.25">
      <c r="A160" t="s">
        <v>4052</v>
      </c>
      <c r="B160" t="s">
        <v>4053</v>
      </c>
      <c r="C160" t="s">
        <v>4054</v>
      </c>
      <c r="D160" s="7">
        <v>3.3</v>
      </c>
      <c r="E160" s="2">
        <v>7366.57</v>
      </c>
      <c r="F160" s="2">
        <v>243.1</v>
      </c>
    </row>
    <row r="161" spans="1:6" x14ac:dyDescent="0.25">
      <c r="A161" t="s">
        <v>4055</v>
      </c>
      <c r="D161" s="7"/>
      <c r="E161" s="2"/>
      <c r="F161" s="2">
        <f>SUBTOTAL(109,A_1_10_13[VALOR PARCIAL])</f>
      </c>
    </row>
    <row r="163" ht="30" customHeight="1" spans="1:6" x14ac:dyDescent="0.25">
      <c r="A163" s="5" t="s">
        <v>5167</v>
      </c>
      <c r="B163" s="5"/>
      <c r="C163" s="5"/>
      <c r="D163" s="5"/>
      <c r="E163" s="5"/>
      <c r="F163" s="5"/>
    </row>
    <row r="164" ht="42" customHeight="1" spans="1:6" x14ac:dyDescent="0.25">
      <c r="A164" s="6" t="s">
        <v>5168</v>
      </c>
      <c r="B164" s="6"/>
      <c r="C164" s="6"/>
      <c r="D164" s="6"/>
      <c r="E164" s="6"/>
      <c r="F164" s="6"/>
    </row>
    <row r="165" spans="1:6" x14ac:dyDescent="0.25">
      <c r="A165" t="s">
        <v>4044</v>
      </c>
      <c r="B165" t="s">
        <v>4045</v>
      </c>
      <c r="C165" t="s">
        <v>5</v>
      </c>
      <c r="D165" t="s">
        <v>4046</v>
      </c>
      <c r="E165" t="s">
        <v>4047</v>
      </c>
      <c r="F165" t="s">
        <v>4048</v>
      </c>
    </row>
    <row r="166" spans="1:6" x14ac:dyDescent="0.25">
      <c r="A166" t="s">
        <v>4062</v>
      </c>
      <c r="B166" t="s">
        <v>4690</v>
      </c>
      <c r="C166" t="s">
        <v>231</v>
      </c>
      <c r="D166" s="7">
        <v>0.2</v>
      </c>
      <c r="E166" s="2">
        <v>2025</v>
      </c>
      <c r="F166" s="2">
        <v>405</v>
      </c>
    </row>
    <row r="167" spans="1:6" x14ac:dyDescent="0.25">
      <c r="A167" t="s">
        <v>4062</v>
      </c>
      <c r="B167" t="s">
        <v>5169</v>
      </c>
      <c r="C167" t="s">
        <v>63</v>
      </c>
      <c r="D167" s="7">
        <v>1</v>
      </c>
      <c r="E167" s="2">
        <v>11533.33</v>
      </c>
      <c r="F167" s="2">
        <v>11533.33</v>
      </c>
    </row>
    <row r="168" spans="1:6" x14ac:dyDescent="0.25">
      <c r="A168" t="s">
        <v>4049</v>
      </c>
      <c r="B168" t="s">
        <v>4050</v>
      </c>
      <c r="C168" t="s">
        <v>4051</v>
      </c>
      <c r="D168" s="7">
        <v>0.3</v>
      </c>
      <c r="E168" s="2">
        <v>9037.33</v>
      </c>
      <c r="F168" s="2">
        <v>2711.2</v>
      </c>
    </row>
    <row r="169" spans="1:6" x14ac:dyDescent="0.25">
      <c r="A169" t="s">
        <v>4049</v>
      </c>
      <c r="B169" t="s">
        <v>4073</v>
      </c>
      <c r="C169" t="s">
        <v>4051</v>
      </c>
      <c r="D169" s="7">
        <v>0.3</v>
      </c>
      <c r="E169" s="2">
        <v>15517.89</v>
      </c>
      <c r="F169" s="2">
        <v>4655.37</v>
      </c>
    </row>
    <row r="170" spans="1:6" x14ac:dyDescent="0.25">
      <c r="A170" t="s">
        <v>4052</v>
      </c>
      <c r="B170" t="s">
        <v>4053</v>
      </c>
      <c r="C170" t="s">
        <v>4054</v>
      </c>
      <c r="D170" s="7">
        <v>3.3</v>
      </c>
      <c r="E170" s="2">
        <v>7366.57</v>
      </c>
      <c r="F170" s="2">
        <v>243.1</v>
      </c>
    </row>
    <row r="171" spans="1:6" x14ac:dyDescent="0.25">
      <c r="A171" t="s">
        <v>4055</v>
      </c>
      <c r="D171" s="7"/>
      <c r="E171" s="2"/>
      <c r="F171" s="2">
        <f>SUBTOTAL(109,A_1_10_14[VALOR PARCIAL])</f>
      </c>
    </row>
    <row r="173" ht="30" customHeight="1" spans="1:6" x14ac:dyDescent="0.25">
      <c r="A173" s="5" t="s">
        <v>5170</v>
      </c>
      <c r="B173" s="5"/>
      <c r="C173" s="5"/>
      <c r="D173" s="5"/>
      <c r="E173" s="5"/>
      <c r="F173" s="5"/>
    </row>
    <row r="174" ht="42" customHeight="1" spans="1:6" x14ac:dyDescent="0.25">
      <c r="A174" s="6" t="s">
        <v>5171</v>
      </c>
      <c r="B174" s="6"/>
      <c r="C174" s="6"/>
      <c r="D174" s="6"/>
      <c r="E174" s="6"/>
      <c r="F174" s="6"/>
    </row>
    <row r="175" spans="1:6" x14ac:dyDescent="0.25">
      <c r="A175" t="s">
        <v>4044</v>
      </c>
      <c r="B175" t="s">
        <v>4045</v>
      </c>
      <c r="C175" t="s">
        <v>5</v>
      </c>
      <c r="D175" t="s">
        <v>4046</v>
      </c>
      <c r="E175" t="s">
        <v>4047</v>
      </c>
      <c r="F175" t="s">
        <v>4048</v>
      </c>
    </row>
    <row r="176" spans="1:6" x14ac:dyDescent="0.25">
      <c r="A176" t="s">
        <v>4062</v>
      </c>
      <c r="B176" t="s">
        <v>4690</v>
      </c>
      <c r="C176" t="s">
        <v>231</v>
      </c>
      <c r="D176" s="7">
        <v>0.2</v>
      </c>
      <c r="E176" s="2">
        <v>2025</v>
      </c>
      <c r="F176" s="2">
        <v>405</v>
      </c>
    </row>
    <row r="177" spans="1:6" x14ac:dyDescent="0.25">
      <c r="A177" t="s">
        <v>4062</v>
      </c>
      <c r="B177" t="s">
        <v>5172</v>
      </c>
      <c r="C177" t="s">
        <v>63</v>
      </c>
      <c r="D177" s="7">
        <v>1</v>
      </c>
      <c r="E177" s="2">
        <v>24900</v>
      </c>
      <c r="F177" s="2">
        <v>24900</v>
      </c>
    </row>
    <row r="178" spans="1:6" x14ac:dyDescent="0.25">
      <c r="A178" t="s">
        <v>4049</v>
      </c>
      <c r="B178" t="s">
        <v>4050</v>
      </c>
      <c r="C178" t="s">
        <v>4051</v>
      </c>
      <c r="D178" s="7">
        <v>0.3</v>
      </c>
      <c r="E178" s="2">
        <v>9037.33</v>
      </c>
      <c r="F178" s="2">
        <v>2711.2</v>
      </c>
    </row>
    <row r="179" spans="1:6" x14ac:dyDescent="0.25">
      <c r="A179" t="s">
        <v>4049</v>
      </c>
      <c r="B179" t="s">
        <v>4073</v>
      </c>
      <c r="C179" t="s">
        <v>4051</v>
      </c>
      <c r="D179" s="7">
        <v>0.3</v>
      </c>
      <c r="E179" s="2">
        <v>15517.89</v>
      </c>
      <c r="F179" s="2">
        <v>4655.37</v>
      </c>
    </row>
    <row r="180" spans="1:6" x14ac:dyDescent="0.25">
      <c r="A180" t="s">
        <v>4052</v>
      </c>
      <c r="B180" t="s">
        <v>4053</v>
      </c>
      <c r="C180" t="s">
        <v>4054</v>
      </c>
      <c r="D180" s="7">
        <v>3.3</v>
      </c>
      <c r="E180" s="2">
        <v>7366.57</v>
      </c>
      <c r="F180" s="2">
        <v>243.1</v>
      </c>
    </row>
    <row r="181" spans="1:6" x14ac:dyDescent="0.25">
      <c r="A181" t="s">
        <v>4055</v>
      </c>
      <c r="D181" s="7"/>
      <c r="E181" s="2"/>
      <c r="F181" s="2">
        <f>SUBTOTAL(109,A_1_10_15[VALOR PARCIAL])</f>
      </c>
    </row>
    <row r="183" ht="30" customHeight="1" spans="1:6" x14ac:dyDescent="0.25">
      <c r="A183" s="5" t="s">
        <v>5173</v>
      </c>
      <c r="B183" s="5"/>
      <c r="C183" s="5"/>
      <c r="D183" s="5"/>
      <c r="E183" s="5"/>
      <c r="F183" s="5"/>
    </row>
    <row r="184" ht="42" customHeight="1" spans="1:6" x14ac:dyDescent="0.25">
      <c r="A184" s="6" t="s">
        <v>5174</v>
      </c>
      <c r="B184" s="6"/>
      <c r="C184" s="6"/>
      <c r="D184" s="6"/>
      <c r="E184" s="6"/>
      <c r="F184" s="6"/>
    </row>
    <row r="185" spans="1:6" x14ac:dyDescent="0.25">
      <c r="A185" t="s">
        <v>4044</v>
      </c>
      <c r="B185" t="s">
        <v>4045</v>
      </c>
      <c r="C185" t="s">
        <v>5</v>
      </c>
      <c r="D185" t="s">
        <v>4046</v>
      </c>
      <c r="E185" t="s">
        <v>4047</v>
      </c>
      <c r="F185" t="s">
        <v>4048</v>
      </c>
    </row>
    <row r="186" spans="1:6" x14ac:dyDescent="0.25">
      <c r="A186" t="s">
        <v>4062</v>
      </c>
      <c r="B186" t="s">
        <v>4690</v>
      </c>
      <c r="C186" t="s">
        <v>231</v>
      </c>
      <c r="D186" s="7">
        <v>0.05</v>
      </c>
      <c r="E186" s="2">
        <v>2025</v>
      </c>
      <c r="F186" s="2">
        <v>101.25</v>
      </c>
    </row>
    <row r="187" spans="1:6" x14ac:dyDescent="0.25">
      <c r="A187" t="s">
        <v>4062</v>
      </c>
      <c r="B187" t="s">
        <v>5175</v>
      </c>
      <c r="C187" t="s">
        <v>63</v>
      </c>
      <c r="D187" s="7">
        <v>1</v>
      </c>
      <c r="E187" s="2">
        <v>10465.63</v>
      </c>
      <c r="F187" s="2">
        <v>10465.63</v>
      </c>
    </row>
    <row r="188" spans="1:6" x14ac:dyDescent="0.25">
      <c r="A188" t="s">
        <v>4049</v>
      </c>
      <c r="B188" t="s">
        <v>4050</v>
      </c>
      <c r="C188" t="s">
        <v>4051</v>
      </c>
      <c r="D188" s="7">
        <v>0.3</v>
      </c>
      <c r="E188" s="2">
        <v>9037.33</v>
      </c>
      <c r="F188" s="2">
        <v>2711.2</v>
      </c>
    </row>
    <row r="189" spans="1:6" x14ac:dyDescent="0.25">
      <c r="A189" t="s">
        <v>4049</v>
      </c>
      <c r="B189" t="s">
        <v>4073</v>
      </c>
      <c r="C189" t="s">
        <v>4051</v>
      </c>
      <c r="D189" s="7">
        <v>0.3</v>
      </c>
      <c r="E189" s="2">
        <v>15517.89</v>
      </c>
      <c r="F189" s="2">
        <v>4655.37</v>
      </c>
    </row>
    <row r="190" spans="1:6" x14ac:dyDescent="0.25">
      <c r="A190" t="s">
        <v>4052</v>
      </c>
      <c r="B190" t="s">
        <v>4053</v>
      </c>
      <c r="C190" t="s">
        <v>4054</v>
      </c>
      <c r="D190" s="7">
        <v>3.3</v>
      </c>
      <c r="E190" s="2">
        <v>7366.57</v>
      </c>
      <c r="F190" s="2">
        <v>243.1</v>
      </c>
    </row>
    <row r="191" spans="1:6" x14ac:dyDescent="0.25">
      <c r="A191" t="s">
        <v>4055</v>
      </c>
      <c r="D191" s="7"/>
      <c r="E191" s="2"/>
      <c r="F191" s="2">
        <f>SUBTOTAL(109,A_1_10_16[VALOR PARCIAL])</f>
      </c>
    </row>
    <row r="193" ht="30" customHeight="1" spans="1:6" x14ac:dyDescent="0.25">
      <c r="A193" s="5" t="s">
        <v>5176</v>
      </c>
      <c r="B193" s="5"/>
      <c r="C193" s="5"/>
      <c r="D193" s="5"/>
      <c r="E193" s="5"/>
      <c r="F193" s="5"/>
    </row>
    <row r="194" ht="42" customHeight="1" spans="1:6" x14ac:dyDescent="0.25">
      <c r="A194" s="6" t="s">
        <v>5177</v>
      </c>
      <c r="B194" s="6"/>
      <c r="C194" s="6"/>
      <c r="D194" s="6"/>
      <c r="E194" s="6"/>
      <c r="F194" s="6"/>
    </row>
    <row r="195" spans="1:6" x14ac:dyDescent="0.25">
      <c r="A195" t="s">
        <v>4044</v>
      </c>
      <c r="B195" t="s">
        <v>4045</v>
      </c>
      <c r="C195" t="s">
        <v>5</v>
      </c>
      <c r="D195" t="s">
        <v>4046</v>
      </c>
      <c r="E195" t="s">
        <v>4047</v>
      </c>
      <c r="F195" t="s">
        <v>4048</v>
      </c>
    </row>
    <row r="196" spans="1:6" x14ac:dyDescent="0.25">
      <c r="A196" t="s">
        <v>4062</v>
      </c>
      <c r="B196" t="s">
        <v>4690</v>
      </c>
      <c r="C196" t="s">
        <v>231</v>
      </c>
      <c r="D196" s="7">
        <v>0.05</v>
      </c>
      <c r="E196" s="2">
        <v>2025</v>
      </c>
      <c r="F196" s="2">
        <v>101.25</v>
      </c>
    </row>
    <row r="197" spans="1:6" x14ac:dyDescent="0.25">
      <c r="A197" t="s">
        <v>4062</v>
      </c>
      <c r="B197" t="s">
        <v>5178</v>
      </c>
      <c r="C197" t="s">
        <v>63</v>
      </c>
      <c r="D197" s="7">
        <v>1</v>
      </c>
      <c r="E197" s="2">
        <v>3950</v>
      </c>
      <c r="F197" s="2">
        <v>3950</v>
      </c>
    </row>
    <row r="198" spans="1:6" x14ac:dyDescent="0.25">
      <c r="A198" t="s">
        <v>4049</v>
      </c>
      <c r="B198" t="s">
        <v>4050</v>
      </c>
      <c r="C198" t="s">
        <v>4051</v>
      </c>
      <c r="D198" s="7">
        <v>0.3</v>
      </c>
      <c r="E198" s="2">
        <v>9037.33</v>
      </c>
      <c r="F198" s="2">
        <v>2711.2</v>
      </c>
    </row>
    <row r="199" spans="1:6" x14ac:dyDescent="0.25">
      <c r="A199" t="s">
        <v>4049</v>
      </c>
      <c r="B199" t="s">
        <v>4073</v>
      </c>
      <c r="C199" t="s">
        <v>4051</v>
      </c>
      <c r="D199" s="7">
        <v>0.3</v>
      </c>
      <c r="E199" s="2">
        <v>15517.89</v>
      </c>
      <c r="F199" s="2">
        <v>4655.37</v>
      </c>
    </row>
    <row r="200" spans="1:6" x14ac:dyDescent="0.25">
      <c r="A200" t="s">
        <v>4052</v>
      </c>
      <c r="B200" t="s">
        <v>4053</v>
      </c>
      <c r="C200" t="s">
        <v>4054</v>
      </c>
      <c r="D200" s="7">
        <v>3.3</v>
      </c>
      <c r="E200" s="2">
        <v>7366.57</v>
      </c>
      <c r="F200" s="2">
        <v>243.1</v>
      </c>
    </row>
    <row r="201" spans="1:6" x14ac:dyDescent="0.25">
      <c r="A201" t="s">
        <v>4055</v>
      </c>
      <c r="D201" s="7"/>
      <c r="E201" s="2"/>
      <c r="F201" s="2">
        <f>SUBTOTAL(109,A_1_10_17[VALOR PARCIAL])</f>
      </c>
    </row>
    <row r="203" ht="30" customHeight="1" spans="1:6" x14ac:dyDescent="0.25">
      <c r="A203" s="5" t="s">
        <v>5179</v>
      </c>
      <c r="B203" s="5"/>
      <c r="C203" s="5"/>
      <c r="D203" s="5"/>
      <c r="E203" s="5"/>
      <c r="F203" s="5"/>
    </row>
    <row r="204" ht="42" customHeight="1" spans="1:6" x14ac:dyDescent="0.25">
      <c r="A204" s="6" t="s">
        <v>5171</v>
      </c>
      <c r="B204" s="6"/>
      <c r="C204" s="6"/>
      <c r="D204" s="6"/>
      <c r="E204" s="6"/>
      <c r="F204" s="6"/>
    </row>
    <row r="205" spans="1:6" x14ac:dyDescent="0.25">
      <c r="A205" t="s">
        <v>4044</v>
      </c>
      <c r="B205" t="s">
        <v>4045</v>
      </c>
      <c r="C205" t="s">
        <v>5</v>
      </c>
      <c r="D205" t="s">
        <v>4046</v>
      </c>
      <c r="E205" t="s">
        <v>4047</v>
      </c>
      <c r="F205" t="s">
        <v>4048</v>
      </c>
    </row>
    <row r="206" spans="1:6" x14ac:dyDescent="0.25">
      <c r="A206" t="s">
        <v>4062</v>
      </c>
      <c r="B206" t="s">
        <v>4690</v>
      </c>
      <c r="C206" t="s">
        <v>231</v>
      </c>
      <c r="D206" s="7">
        <v>0.2</v>
      </c>
      <c r="E206" s="2">
        <v>2025</v>
      </c>
      <c r="F206" s="2">
        <v>405</v>
      </c>
    </row>
    <row r="207" spans="1:6" x14ac:dyDescent="0.25">
      <c r="A207" t="s">
        <v>4062</v>
      </c>
      <c r="B207" t="s">
        <v>5172</v>
      </c>
      <c r="C207" t="s">
        <v>63</v>
      </c>
      <c r="D207" s="7">
        <v>1</v>
      </c>
      <c r="E207" s="2">
        <v>24900</v>
      </c>
      <c r="F207" s="2">
        <v>24900</v>
      </c>
    </row>
    <row r="208" spans="1:6" x14ac:dyDescent="0.25">
      <c r="A208" t="s">
        <v>4049</v>
      </c>
      <c r="B208" t="s">
        <v>4050</v>
      </c>
      <c r="C208" t="s">
        <v>4051</v>
      </c>
      <c r="D208" s="7">
        <v>0.3</v>
      </c>
      <c r="E208" s="2">
        <v>9037.33</v>
      </c>
      <c r="F208" s="2">
        <v>2711.2</v>
      </c>
    </row>
    <row r="209" spans="1:6" x14ac:dyDescent="0.25">
      <c r="A209" t="s">
        <v>4049</v>
      </c>
      <c r="B209" t="s">
        <v>4073</v>
      </c>
      <c r="C209" t="s">
        <v>4051</v>
      </c>
      <c r="D209" s="7">
        <v>0.3</v>
      </c>
      <c r="E209" s="2">
        <v>15517.89</v>
      </c>
      <c r="F209" s="2">
        <v>4655.37</v>
      </c>
    </row>
    <row r="210" spans="1:6" x14ac:dyDescent="0.25">
      <c r="A210" t="s">
        <v>4052</v>
      </c>
      <c r="B210" t="s">
        <v>4053</v>
      </c>
      <c r="C210" t="s">
        <v>4054</v>
      </c>
      <c r="D210" s="7">
        <v>3.3</v>
      </c>
      <c r="E210" s="2">
        <v>7366.57</v>
      </c>
      <c r="F210" s="2">
        <v>243.1</v>
      </c>
    </row>
    <row r="211" spans="1:6" x14ac:dyDescent="0.25">
      <c r="A211" t="s">
        <v>4055</v>
      </c>
      <c r="D211" s="7"/>
      <c r="E211" s="2"/>
      <c r="F211" s="2">
        <f>SUBTOTAL(109,A_1_10_18[VALOR PARCIAL])</f>
      </c>
    </row>
    <row r="213" ht="30" customHeight="1" spans="1:6" x14ac:dyDescent="0.25">
      <c r="A213" s="5" t="s">
        <v>5180</v>
      </c>
      <c r="B213" s="5"/>
      <c r="C213" s="5"/>
      <c r="D213" s="5"/>
      <c r="E213" s="5"/>
      <c r="F213" s="5"/>
    </row>
    <row r="214" ht="42" customHeight="1" spans="1:6" x14ac:dyDescent="0.25">
      <c r="A214" s="6" t="s">
        <v>5181</v>
      </c>
      <c r="B214" s="6"/>
      <c r="C214" s="6"/>
      <c r="D214" s="6"/>
      <c r="E214" s="6"/>
      <c r="F214" s="6"/>
    </row>
    <row r="215" spans="1:6" x14ac:dyDescent="0.25">
      <c r="A215" t="s">
        <v>4044</v>
      </c>
      <c r="B215" t="s">
        <v>4045</v>
      </c>
      <c r="C215" t="s">
        <v>5</v>
      </c>
      <c r="D215" t="s">
        <v>4046</v>
      </c>
      <c r="E215" t="s">
        <v>4047</v>
      </c>
      <c r="F215" t="s">
        <v>4048</v>
      </c>
    </row>
    <row r="216" spans="1:6" x14ac:dyDescent="0.25">
      <c r="A216" t="s">
        <v>4062</v>
      </c>
      <c r="B216" t="s">
        <v>4690</v>
      </c>
      <c r="C216" t="s">
        <v>231</v>
      </c>
      <c r="D216" s="7">
        <v>0.2</v>
      </c>
      <c r="E216" s="2">
        <v>2025</v>
      </c>
      <c r="F216" s="2">
        <v>405</v>
      </c>
    </row>
    <row r="217" spans="1:6" x14ac:dyDescent="0.25">
      <c r="A217" t="s">
        <v>4049</v>
      </c>
      <c r="B217" t="s">
        <v>4050</v>
      </c>
      <c r="C217" t="s">
        <v>4051</v>
      </c>
      <c r="D217" s="7">
        <v>0.29</v>
      </c>
      <c r="E217" s="2">
        <v>9037.33</v>
      </c>
      <c r="F217" s="2">
        <v>2620.83</v>
      </c>
    </row>
    <row r="218" spans="1:6" x14ac:dyDescent="0.25">
      <c r="A218" t="s">
        <v>4049</v>
      </c>
      <c r="B218" t="s">
        <v>4073</v>
      </c>
      <c r="C218" t="s">
        <v>4051</v>
      </c>
      <c r="D218" s="7">
        <v>0.29</v>
      </c>
      <c r="E218" s="2">
        <v>15517.89</v>
      </c>
      <c r="F218" s="2">
        <v>4500.19</v>
      </c>
    </row>
    <row r="219" spans="1:6" x14ac:dyDescent="0.25">
      <c r="A219" t="s">
        <v>4052</v>
      </c>
      <c r="B219" t="s">
        <v>5182</v>
      </c>
      <c r="C219" t="s">
        <v>63</v>
      </c>
      <c r="D219" s="7">
        <v>1.05</v>
      </c>
      <c r="E219" s="2">
        <v>1101.49</v>
      </c>
      <c r="F219" s="2">
        <v>1156.56</v>
      </c>
    </row>
    <row r="220" spans="1:6" x14ac:dyDescent="0.25">
      <c r="A220" t="s">
        <v>4052</v>
      </c>
      <c r="B220" t="s">
        <v>4053</v>
      </c>
      <c r="C220" t="s">
        <v>4054</v>
      </c>
      <c r="D220" s="7">
        <v>3.3</v>
      </c>
      <c r="E220" s="2">
        <v>7121.02</v>
      </c>
      <c r="F220" s="2">
        <v>234.99</v>
      </c>
    </row>
    <row r="221" spans="1:6" x14ac:dyDescent="0.25">
      <c r="A221" t="s">
        <v>4055</v>
      </c>
      <c r="D221" s="7"/>
      <c r="E221" s="2"/>
      <c r="F221" s="2">
        <f>SUBTOTAL(109,A_1_10_19[VALOR PARCIAL])</f>
      </c>
    </row>
    <row r="223" ht="30" customHeight="1" spans="1:6" x14ac:dyDescent="0.25">
      <c r="A223" s="5" t="s">
        <v>5183</v>
      </c>
      <c r="B223" s="5"/>
      <c r="C223" s="5"/>
      <c r="D223" s="5"/>
      <c r="E223" s="5"/>
      <c r="F223" s="5"/>
    </row>
    <row r="224" ht="42" customHeight="1" spans="1:6" x14ac:dyDescent="0.25">
      <c r="A224" s="6" t="s">
        <v>5184</v>
      </c>
      <c r="B224" s="6"/>
      <c r="C224" s="6"/>
      <c r="D224" s="6"/>
      <c r="E224" s="6"/>
      <c r="F224" s="6"/>
    </row>
    <row r="225" spans="1:6" x14ac:dyDescent="0.25">
      <c r="A225" t="s">
        <v>4044</v>
      </c>
      <c r="B225" t="s">
        <v>4045</v>
      </c>
      <c r="C225" t="s">
        <v>5</v>
      </c>
      <c r="D225" t="s">
        <v>4046</v>
      </c>
      <c r="E225" t="s">
        <v>4047</v>
      </c>
      <c r="F225" t="s">
        <v>4048</v>
      </c>
    </row>
    <row r="226" spans="1:6" x14ac:dyDescent="0.25">
      <c r="A226" t="s">
        <v>4062</v>
      </c>
      <c r="B226" t="s">
        <v>5158</v>
      </c>
      <c r="C226" t="s">
        <v>63</v>
      </c>
      <c r="D226" s="7">
        <v>0.67</v>
      </c>
      <c r="E226" s="2">
        <v>5633</v>
      </c>
      <c r="F226" s="2">
        <v>3755.52</v>
      </c>
    </row>
    <row r="227" spans="1:6" x14ac:dyDescent="0.25">
      <c r="A227" t="s">
        <v>4062</v>
      </c>
      <c r="B227" t="s">
        <v>4690</v>
      </c>
      <c r="C227" t="s">
        <v>231</v>
      </c>
      <c r="D227" s="7">
        <v>0.51</v>
      </c>
      <c r="E227" s="2">
        <v>2025</v>
      </c>
      <c r="F227" s="2">
        <v>1032.75</v>
      </c>
    </row>
    <row r="228" spans="1:6" x14ac:dyDescent="0.25">
      <c r="A228" t="s">
        <v>4062</v>
      </c>
      <c r="B228" t="s">
        <v>5139</v>
      </c>
      <c r="C228" t="s">
        <v>231</v>
      </c>
      <c r="D228" s="7">
        <v>1.05</v>
      </c>
      <c r="E228" s="2">
        <v>1385</v>
      </c>
      <c r="F228" s="2">
        <v>1454.25</v>
      </c>
    </row>
    <row r="229" spans="1:6" x14ac:dyDescent="0.25">
      <c r="A229" t="s">
        <v>4049</v>
      </c>
      <c r="B229" t="s">
        <v>4050</v>
      </c>
      <c r="C229" t="s">
        <v>4051</v>
      </c>
      <c r="D229" s="7">
        <v>0.5</v>
      </c>
      <c r="E229" s="2">
        <v>9037.33</v>
      </c>
      <c r="F229" s="2">
        <v>4518.66</v>
      </c>
    </row>
    <row r="230" spans="1:6" x14ac:dyDescent="0.25">
      <c r="A230" t="s">
        <v>4049</v>
      </c>
      <c r="B230" t="s">
        <v>4073</v>
      </c>
      <c r="C230" t="s">
        <v>4051</v>
      </c>
      <c r="D230" s="7">
        <v>0.5</v>
      </c>
      <c r="E230" s="2">
        <v>15517.89</v>
      </c>
      <c r="F230" s="2">
        <v>7758.94</v>
      </c>
    </row>
    <row r="231" spans="1:6" x14ac:dyDescent="0.25">
      <c r="A231" t="s">
        <v>4052</v>
      </c>
      <c r="B231" t="s">
        <v>4053</v>
      </c>
      <c r="C231" t="s">
        <v>4054</v>
      </c>
      <c r="D231" s="7">
        <v>3.3</v>
      </c>
      <c r="E231" s="2">
        <v>12277.6</v>
      </c>
      <c r="F231" s="2">
        <v>405.16</v>
      </c>
    </row>
    <row r="232" spans="1:6" x14ac:dyDescent="0.25">
      <c r="A232" t="s">
        <v>4055</v>
      </c>
      <c r="D232" s="7"/>
      <c r="E232" s="2"/>
      <c r="F232" s="2">
        <f>SUBTOTAL(109,A_1_10_20[VALOR PARCIAL])</f>
      </c>
    </row>
    <row r="234" ht="30" customHeight="1" spans="1:6" x14ac:dyDescent="0.25">
      <c r="A234" s="5" t="s">
        <v>5185</v>
      </c>
      <c r="B234" s="5"/>
      <c r="C234" s="5"/>
      <c r="D234" s="5"/>
      <c r="E234" s="5"/>
      <c r="F234" s="5"/>
    </row>
    <row r="235" ht="42" customHeight="1" spans="1:6" x14ac:dyDescent="0.25">
      <c r="A235" s="6" t="s">
        <v>5186</v>
      </c>
      <c r="B235" s="6"/>
      <c r="C235" s="6"/>
      <c r="D235" s="6"/>
      <c r="E235" s="6"/>
      <c r="F235" s="6"/>
    </row>
    <row r="236" spans="1:6" x14ac:dyDescent="0.25">
      <c r="A236" t="s">
        <v>4044</v>
      </c>
      <c r="B236" t="s">
        <v>4045</v>
      </c>
      <c r="C236" t="s">
        <v>5</v>
      </c>
      <c r="D236" t="s">
        <v>4046</v>
      </c>
      <c r="E236" t="s">
        <v>4047</v>
      </c>
      <c r="F236" t="s">
        <v>4048</v>
      </c>
    </row>
    <row r="237" spans="1:6" x14ac:dyDescent="0.25">
      <c r="A237" t="s">
        <v>4062</v>
      </c>
      <c r="B237" t="s">
        <v>5187</v>
      </c>
      <c r="C237" t="s">
        <v>63</v>
      </c>
      <c r="D237" s="7">
        <v>2</v>
      </c>
      <c r="E237" s="2">
        <v>1244.6</v>
      </c>
      <c r="F237" s="2">
        <v>2489.2</v>
      </c>
    </row>
    <row r="238" spans="1:6" x14ac:dyDescent="0.25">
      <c r="A238" t="s">
        <v>4062</v>
      </c>
      <c r="B238" t="s">
        <v>5188</v>
      </c>
      <c r="C238" t="s">
        <v>42</v>
      </c>
      <c r="D238" s="7">
        <v>1.5</v>
      </c>
      <c r="E238" s="2">
        <v>8950</v>
      </c>
      <c r="F238" s="2">
        <v>13425</v>
      </c>
    </row>
    <row r="239" spans="1:6" x14ac:dyDescent="0.25">
      <c r="A239" t="s">
        <v>4049</v>
      </c>
      <c r="B239" t="s">
        <v>4050</v>
      </c>
      <c r="C239" t="s">
        <v>4051</v>
      </c>
      <c r="D239" s="7">
        <v>0.3</v>
      </c>
      <c r="E239" s="2">
        <v>9037.33</v>
      </c>
      <c r="F239" s="2">
        <v>2711.2</v>
      </c>
    </row>
    <row r="240" spans="1:6" x14ac:dyDescent="0.25">
      <c r="A240" t="s">
        <v>4049</v>
      </c>
      <c r="B240" t="s">
        <v>4073</v>
      </c>
      <c r="C240" t="s">
        <v>4051</v>
      </c>
      <c r="D240" s="7">
        <v>0.3</v>
      </c>
      <c r="E240" s="2">
        <v>15517.89</v>
      </c>
      <c r="F240" s="2">
        <v>4655.37</v>
      </c>
    </row>
    <row r="241" spans="1:6" x14ac:dyDescent="0.25">
      <c r="A241" t="s">
        <v>4052</v>
      </c>
      <c r="B241" t="s">
        <v>4053</v>
      </c>
      <c r="C241" t="s">
        <v>4054</v>
      </c>
      <c r="D241" s="7">
        <v>3.3</v>
      </c>
      <c r="E241" s="2">
        <v>7366.57</v>
      </c>
      <c r="F241" s="2">
        <v>243.1</v>
      </c>
    </row>
    <row r="242" spans="1:6" x14ac:dyDescent="0.25">
      <c r="A242" t="s">
        <v>4055</v>
      </c>
      <c r="D242" s="7"/>
      <c r="E242" s="2"/>
      <c r="F242" s="2">
        <f>SUBTOTAL(109,A_1_10_21[VALOR PARCIAL])</f>
      </c>
    </row>
  </sheetData>
  <mergeCells count="42">
    <mergeCell ref="A4:F4"/>
    <mergeCell ref="A5:F5"/>
    <mergeCell ref="A18:F18"/>
    <mergeCell ref="A19:F19"/>
    <mergeCell ref="A32:F32"/>
    <mergeCell ref="A33:F33"/>
    <mergeCell ref="A46:F46"/>
    <mergeCell ref="A47:F47"/>
    <mergeCell ref="A59:F59"/>
    <mergeCell ref="A60:F60"/>
    <mergeCell ref="A72:F72"/>
    <mergeCell ref="A73:F73"/>
    <mergeCell ref="A84:F84"/>
    <mergeCell ref="A85:F85"/>
    <mergeCell ref="A94:F94"/>
    <mergeCell ref="A95:F95"/>
    <mergeCell ref="A104:F104"/>
    <mergeCell ref="A105:F105"/>
    <mergeCell ref="A114:F114"/>
    <mergeCell ref="A115:F115"/>
    <mergeCell ref="A129:F129"/>
    <mergeCell ref="A130:F130"/>
    <mergeCell ref="A143:F143"/>
    <mergeCell ref="A144:F144"/>
    <mergeCell ref="A153:F153"/>
    <mergeCell ref="A154:F154"/>
    <mergeCell ref="A163:F163"/>
    <mergeCell ref="A164:F164"/>
    <mergeCell ref="A173:F173"/>
    <mergeCell ref="A174:F174"/>
    <mergeCell ref="A183:F183"/>
    <mergeCell ref="A184:F184"/>
    <mergeCell ref="A193:F193"/>
    <mergeCell ref="A194:F194"/>
    <mergeCell ref="A203:F203"/>
    <mergeCell ref="A204:F204"/>
    <mergeCell ref="A213:F213"/>
    <mergeCell ref="A214:F214"/>
    <mergeCell ref="A223:F223"/>
    <mergeCell ref="A224:F224"/>
    <mergeCell ref="A234:F234"/>
    <mergeCell ref="A235:F235"/>
  </mergeCells>
  <pageMargins left="0.7" right="0.7" top="0.75" bottom="0.75" header="0.3" footer="0.3"/>
  <pageSetup orientation="portrait" horizontalDpi="4294967295" verticalDpi="4294967295" scale="100" fitToWidth="1" fitToHeight="1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0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5189</v>
      </c>
    </row>
    <row r="2" spans="1:1" x14ac:dyDescent="0.25">
      <c r="A2" s="4" t="s">
        <v>5190</v>
      </c>
    </row>
    <row r="4" ht="30" customHeight="1" spans="1:6" x14ac:dyDescent="0.25">
      <c r="A4" s="5" t="s">
        <v>5191</v>
      </c>
      <c r="B4" s="5"/>
      <c r="C4" s="5"/>
      <c r="D4" s="5"/>
      <c r="E4" s="5"/>
      <c r="F4" s="5"/>
    </row>
    <row r="5" ht="42" customHeight="1" spans="1:6" x14ac:dyDescent="0.25">
      <c r="A5" s="6" t="s">
        <v>5192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3972</v>
      </c>
      <c r="C7" t="s">
        <v>34</v>
      </c>
      <c r="D7" s="7">
        <v>0.04</v>
      </c>
      <c r="E7" s="2">
        <v>470829.15</v>
      </c>
      <c r="F7" s="2">
        <v>18833.17</v>
      </c>
    </row>
    <row r="8" spans="1:6" x14ac:dyDescent="0.25">
      <c r="A8" t="s">
        <v>4062</v>
      </c>
      <c r="B8" t="s">
        <v>5193</v>
      </c>
      <c r="C8" t="s">
        <v>231</v>
      </c>
      <c r="D8" s="7">
        <v>3.5</v>
      </c>
      <c r="E8" s="2">
        <v>4997</v>
      </c>
      <c r="F8" s="2">
        <v>17489.5</v>
      </c>
    </row>
    <row r="9" spans="1:6" x14ac:dyDescent="0.25">
      <c r="A9" t="s">
        <v>4049</v>
      </c>
      <c r="B9" t="s">
        <v>4487</v>
      </c>
      <c r="C9" t="s">
        <v>4236</v>
      </c>
      <c r="D9" s="7">
        <v>0.3</v>
      </c>
      <c r="E9" s="2">
        <v>24555.22</v>
      </c>
      <c r="F9" s="2">
        <v>7366.57</v>
      </c>
    </row>
    <row r="10" spans="1:6" x14ac:dyDescent="0.25">
      <c r="A10" t="s">
        <v>4052</v>
      </c>
      <c r="B10" t="s">
        <v>4053</v>
      </c>
      <c r="C10" t="s">
        <v>4054</v>
      </c>
      <c r="D10" s="7">
        <v>5</v>
      </c>
      <c r="E10" s="2">
        <v>7366.57</v>
      </c>
      <c r="F10" s="2">
        <v>368.33</v>
      </c>
    </row>
    <row r="11" spans="1:6" x14ac:dyDescent="0.25">
      <c r="A11" t="s">
        <v>4055</v>
      </c>
      <c r="D11" s="7"/>
      <c r="E11" s="2"/>
      <c r="F11" s="2">
        <f>SUBTOTAL(109,A_1_11_01[VALOR PARCIAL])</f>
      </c>
    </row>
    <row r="13" ht="30" customHeight="1" spans="1:6" x14ac:dyDescent="0.25">
      <c r="A13" s="5" t="s">
        <v>5194</v>
      </c>
      <c r="B13" s="5"/>
      <c r="C13" s="5"/>
      <c r="D13" s="5"/>
      <c r="E13" s="5"/>
      <c r="F13" s="5"/>
    </row>
    <row r="14" ht="42" customHeight="1" spans="1:6" x14ac:dyDescent="0.25">
      <c r="A14" s="6" t="s">
        <v>5195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5196</v>
      </c>
      <c r="C16" t="s">
        <v>42</v>
      </c>
      <c r="D16" s="7">
        <v>3</v>
      </c>
      <c r="E16" s="2">
        <v>1141</v>
      </c>
      <c r="F16" s="2">
        <v>3423</v>
      </c>
    </row>
    <row r="17" spans="1:6" x14ac:dyDescent="0.25">
      <c r="A17" t="s">
        <v>4062</v>
      </c>
      <c r="B17" t="s">
        <v>4492</v>
      </c>
      <c r="C17" t="s">
        <v>34</v>
      </c>
      <c r="D17" s="7">
        <v>0.01</v>
      </c>
      <c r="E17" s="2">
        <v>68425</v>
      </c>
      <c r="F17" s="2">
        <v>684.25</v>
      </c>
    </row>
    <row r="18" spans="1:6" x14ac:dyDescent="0.25">
      <c r="A18" t="s">
        <v>4062</v>
      </c>
      <c r="B18" t="s">
        <v>4475</v>
      </c>
      <c r="C18" t="s">
        <v>231</v>
      </c>
      <c r="D18" s="7">
        <v>1.22</v>
      </c>
      <c r="E18" s="2">
        <v>730</v>
      </c>
      <c r="F18" s="2">
        <v>890.6</v>
      </c>
    </row>
    <row r="19" spans="1:6" x14ac:dyDescent="0.25">
      <c r="A19" t="s">
        <v>4062</v>
      </c>
      <c r="B19" t="s">
        <v>4076</v>
      </c>
      <c r="C19" t="s">
        <v>3963</v>
      </c>
      <c r="D19" s="7">
        <v>0.55</v>
      </c>
      <c r="E19" s="2">
        <v>21</v>
      </c>
      <c r="F19" s="2">
        <v>11.55</v>
      </c>
    </row>
    <row r="20" spans="1:6" x14ac:dyDescent="0.25">
      <c r="A20" t="s">
        <v>4049</v>
      </c>
      <c r="B20" t="s">
        <v>4487</v>
      </c>
      <c r="C20" t="s">
        <v>4236</v>
      </c>
      <c r="D20" s="7">
        <v>0.4</v>
      </c>
      <c r="E20" s="2">
        <v>24555.22</v>
      </c>
      <c r="F20" s="2">
        <v>9822.09</v>
      </c>
    </row>
    <row r="21" spans="1:6" x14ac:dyDescent="0.25">
      <c r="A21" t="s">
        <v>4052</v>
      </c>
      <c r="B21" t="s">
        <v>4053</v>
      </c>
      <c r="C21" t="s">
        <v>4054</v>
      </c>
      <c r="D21" s="7">
        <v>5</v>
      </c>
      <c r="E21" s="2">
        <v>9822.09</v>
      </c>
      <c r="F21" s="2">
        <v>491.1</v>
      </c>
    </row>
    <row r="22" spans="1:6" x14ac:dyDescent="0.25">
      <c r="A22" t="s">
        <v>4055</v>
      </c>
      <c r="D22" s="7"/>
      <c r="E22" s="2"/>
      <c r="F22" s="2">
        <f>SUBTOTAL(109,A_1_11_02[VALOR PARCIAL])</f>
      </c>
    </row>
    <row r="24" ht="30" customHeight="1" spans="1:6" x14ac:dyDescent="0.25">
      <c r="A24" s="5" t="s">
        <v>5197</v>
      </c>
      <c r="B24" s="5"/>
      <c r="C24" s="5"/>
      <c r="D24" s="5"/>
      <c r="E24" s="5"/>
      <c r="F24" s="5"/>
    </row>
    <row r="25" ht="42" customHeight="1" spans="1:6" x14ac:dyDescent="0.25">
      <c r="A25" s="6" t="s">
        <v>5198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3975</v>
      </c>
      <c r="C27" t="s">
        <v>34</v>
      </c>
      <c r="D27" s="7">
        <v>0.04</v>
      </c>
      <c r="E27" s="2">
        <v>586929.15</v>
      </c>
      <c r="F27" s="2">
        <v>23477.17</v>
      </c>
    </row>
    <row r="28" spans="1:6" x14ac:dyDescent="0.25">
      <c r="A28" t="s">
        <v>4049</v>
      </c>
      <c r="B28" t="s">
        <v>4050</v>
      </c>
      <c r="C28" t="s">
        <v>4051</v>
      </c>
      <c r="D28" s="7">
        <v>0.4</v>
      </c>
      <c r="E28" s="2">
        <v>9037.33</v>
      </c>
      <c r="F28" s="2">
        <v>3614.93</v>
      </c>
    </row>
    <row r="29" spans="1:6" x14ac:dyDescent="0.25">
      <c r="A29" t="s">
        <v>4049</v>
      </c>
      <c r="B29" t="s">
        <v>4073</v>
      </c>
      <c r="C29" t="s">
        <v>4051</v>
      </c>
      <c r="D29" s="7">
        <v>0.4</v>
      </c>
      <c r="E29" s="2">
        <v>15517.89</v>
      </c>
      <c r="F29" s="2">
        <v>6207.16</v>
      </c>
    </row>
    <row r="30" spans="1:6" x14ac:dyDescent="0.25">
      <c r="A30" t="s">
        <v>4052</v>
      </c>
      <c r="B30" t="s">
        <v>4053</v>
      </c>
      <c r="C30" t="s">
        <v>4054</v>
      </c>
      <c r="D30" s="7">
        <v>5</v>
      </c>
      <c r="E30" s="2">
        <v>9822.09</v>
      </c>
      <c r="F30" s="2">
        <v>491.1</v>
      </c>
    </row>
    <row r="31" spans="1:6" x14ac:dyDescent="0.25">
      <c r="A31" t="s">
        <v>4055</v>
      </c>
      <c r="D31" s="7"/>
      <c r="E31" s="2"/>
      <c r="F31" s="2">
        <f>SUBTOTAL(109,A_1_11_03[VALOR PARCIAL])</f>
      </c>
    </row>
    <row r="33" ht="30" customHeight="1" spans="1:6" x14ac:dyDescent="0.25">
      <c r="A33" s="5" t="s">
        <v>5199</v>
      </c>
      <c r="B33" s="5"/>
      <c r="C33" s="5"/>
      <c r="D33" s="5"/>
      <c r="E33" s="5"/>
      <c r="F33" s="5"/>
    </row>
    <row r="34" ht="42" customHeight="1" spans="1:6" x14ac:dyDescent="0.25">
      <c r="A34" s="6" t="s">
        <v>5200</v>
      </c>
      <c r="B34" s="6"/>
      <c r="C34" s="6"/>
      <c r="D34" s="6"/>
      <c r="E34" s="6"/>
      <c r="F34" s="6"/>
    </row>
    <row r="35" spans="1:6" x14ac:dyDescent="0.25">
      <c r="A35" t="s">
        <v>4044</v>
      </c>
      <c r="B35" t="s">
        <v>4045</v>
      </c>
      <c r="C35" t="s">
        <v>5</v>
      </c>
      <c r="D35" t="s">
        <v>4046</v>
      </c>
      <c r="E35" t="s">
        <v>4047</v>
      </c>
      <c r="F35" t="s">
        <v>4048</v>
      </c>
    </row>
    <row r="36" spans="1:6" x14ac:dyDescent="0.25">
      <c r="A36" t="s">
        <v>4062</v>
      </c>
      <c r="B36" t="s">
        <v>3981</v>
      </c>
      <c r="C36" t="s">
        <v>34</v>
      </c>
      <c r="D36" s="7">
        <v>0.04</v>
      </c>
      <c r="E36" s="2">
        <v>365704.15</v>
      </c>
      <c r="F36" s="2">
        <v>14628.17</v>
      </c>
    </row>
    <row r="37" spans="1:6" x14ac:dyDescent="0.25">
      <c r="A37" t="s">
        <v>4049</v>
      </c>
      <c r="B37" t="s">
        <v>4050</v>
      </c>
      <c r="C37" t="s">
        <v>4051</v>
      </c>
      <c r="D37" s="7">
        <v>0.4</v>
      </c>
      <c r="E37" s="2">
        <v>9037.33</v>
      </c>
      <c r="F37" s="2">
        <v>3614.93</v>
      </c>
    </row>
    <row r="38" spans="1:6" x14ac:dyDescent="0.25">
      <c r="A38" t="s">
        <v>4049</v>
      </c>
      <c r="B38" t="s">
        <v>4073</v>
      </c>
      <c r="C38" t="s">
        <v>4051</v>
      </c>
      <c r="D38" s="7">
        <v>0.4</v>
      </c>
      <c r="E38" s="2">
        <v>15517.89</v>
      </c>
      <c r="F38" s="2">
        <v>6207.16</v>
      </c>
    </row>
    <row r="39" spans="1:6" x14ac:dyDescent="0.25">
      <c r="A39" t="s">
        <v>4052</v>
      </c>
      <c r="B39" t="s">
        <v>4053</v>
      </c>
      <c r="C39" t="s">
        <v>4054</v>
      </c>
      <c r="D39" s="7">
        <v>5</v>
      </c>
      <c r="E39" s="2">
        <v>9822.09</v>
      </c>
      <c r="F39" s="2">
        <v>491.1</v>
      </c>
    </row>
    <row r="40" spans="1:6" x14ac:dyDescent="0.25">
      <c r="A40" t="s">
        <v>4055</v>
      </c>
      <c r="D40" s="7"/>
      <c r="E40" s="2"/>
      <c r="F40" s="2">
        <f>SUBTOTAL(109,A_1_11_04[VALOR PARCIAL])</f>
      </c>
    </row>
    <row r="42" ht="30" customHeight="1" spans="1:6" x14ac:dyDescent="0.25">
      <c r="A42" s="5" t="s">
        <v>5201</v>
      </c>
      <c r="B42" s="5"/>
      <c r="C42" s="5"/>
      <c r="D42" s="5"/>
      <c r="E42" s="5"/>
      <c r="F42" s="5"/>
    </row>
    <row r="43" ht="42" customHeight="1" spans="1:6" x14ac:dyDescent="0.25">
      <c r="A43" s="6" t="s">
        <v>5202</v>
      </c>
      <c r="B43" s="6"/>
      <c r="C43" s="6"/>
      <c r="D43" s="6"/>
      <c r="E43" s="6"/>
      <c r="F43" s="6"/>
    </row>
    <row r="44" spans="1:6" x14ac:dyDescent="0.25">
      <c r="A44" t="s">
        <v>4044</v>
      </c>
      <c r="B44" t="s">
        <v>4045</v>
      </c>
      <c r="C44" t="s">
        <v>5</v>
      </c>
      <c r="D44" t="s">
        <v>4046</v>
      </c>
      <c r="E44" t="s">
        <v>4047</v>
      </c>
      <c r="F44" t="s">
        <v>4048</v>
      </c>
    </row>
    <row r="45" spans="1:6" x14ac:dyDescent="0.25">
      <c r="A45" t="s">
        <v>4062</v>
      </c>
      <c r="B45" t="s">
        <v>4492</v>
      </c>
      <c r="C45" t="s">
        <v>34</v>
      </c>
      <c r="D45" s="7">
        <v>0.1</v>
      </c>
      <c r="E45" s="2">
        <v>68425</v>
      </c>
      <c r="F45" s="2">
        <v>6842.5</v>
      </c>
    </row>
    <row r="46" spans="1:6" x14ac:dyDescent="0.25">
      <c r="A46" t="s">
        <v>4062</v>
      </c>
      <c r="B46" t="s">
        <v>4475</v>
      </c>
      <c r="C46" t="s">
        <v>231</v>
      </c>
      <c r="D46" s="7">
        <v>24.88</v>
      </c>
      <c r="E46" s="2">
        <v>730</v>
      </c>
      <c r="F46" s="2">
        <v>18162.4</v>
      </c>
    </row>
    <row r="47" spans="1:6" x14ac:dyDescent="0.25">
      <c r="A47" t="s">
        <v>4062</v>
      </c>
      <c r="B47" t="s">
        <v>4076</v>
      </c>
      <c r="C47" t="s">
        <v>3963</v>
      </c>
      <c r="D47" s="7">
        <v>14.8</v>
      </c>
      <c r="E47" s="2">
        <v>21</v>
      </c>
      <c r="F47" s="2">
        <v>310.8</v>
      </c>
    </row>
    <row r="48" spans="1:6" x14ac:dyDescent="0.25">
      <c r="A48" t="s">
        <v>4062</v>
      </c>
      <c r="B48" t="s">
        <v>4544</v>
      </c>
      <c r="C48" t="s">
        <v>231</v>
      </c>
      <c r="D48" s="7">
        <v>1.8</v>
      </c>
      <c r="E48" s="2">
        <v>25521</v>
      </c>
      <c r="F48" s="2">
        <v>45937.8</v>
      </c>
    </row>
    <row r="49" spans="1:6" x14ac:dyDescent="0.25">
      <c r="A49" t="s">
        <v>4049</v>
      </c>
      <c r="B49" t="s">
        <v>4487</v>
      </c>
      <c r="C49" t="s">
        <v>4236</v>
      </c>
      <c r="D49" s="7">
        <v>0.6</v>
      </c>
      <c r="E49" s="2">
        <v>24555.22</v>
      </c>
      <c r="F49" s="2">
        <v>14733.13</v>
      </c>
    </row>
    <row r="50" spans="1:6" x14ac:dyDescent="0.25">
      <c r="A50" t="s">
        <v>4052</v>
      </c>
      <c r="B50" t="s">
        <v>4053</v>
      </c>
      <c r="C50" t="s">
        <v>4054</v>
      </c>
      <c r="D50" s="7">
        <v>5</v>
      </c>
      <c r="E50" s="2">
        <v>14733.13</v>
      </c>
      <c r="F50" s="2">
        <v>736.66</v>
      </c>
    </row>
    <row r="51" spans="1:6" x14ac:dyDescent="0.25">
      <c r="A51" t="s">
        <v>4055</v>
      </c>
      <c r="D51" s="7"/>
      <c r="E51" s="2"/>
      <c r="F51" s="2">
        <f>SUBTOTAL(109,A_1_11_05[VALOR PARCIAL])</f>
      </c>
    </row>
    <row r="53" ht="30" customHeight="1" spans="1:6" x14ac:dyDescent="0.25">
      <c r="A53" s="5" t="s">
        <v>5203</v>
      </c>
      <c r="B53" s="5"/>
      <c r="C53" s="5"/>
      <c r="D53" s="5"/>
      <c r="E53" s="5"/>
      <c r="F53" s="5"/>
    </row>
    <row r="54" ht="42" customHeight="1" spans="1:6" x14ac:dyDescent="0.25">
      <c r="A54" s="6" t="s">
        <v>5204</v>
      </c>
      <c r="B54" s="6"/>
      <c r="C54" s="6"/>
      <c r="D54" s="6"/>
      <c r="E54" s="6"/>
      <c r="F54" s="6"/>
    </row>
    <row r="55" spans="1:6" x14ac:dyDescent="0.25">
      <c r="A55" t="s">
        <v>4044</v>
      </c>
      <c r="B55" t="s">
        <v>4045</v>
      </c>
      <c r="C55" t="s">
        <v>5</v>
      </c>
      <c r="D55" t="s">
        <v>4046</v>
      </c>
      <c r="E55" t="s">
        <v>4047</v>
      </c>
      <c r="F55" t="s">
        <v>4048</v>
      </c>
    </row>
    <row r="56" spans="1:6" x14ac:dyDescent="0.25">
      <c r="A56" t="s">
        <v>4062</v>
      </c>
      <c r="B56" t="s">
        <v>5205</v>
      </c>
      <c r="C56" t="s">
        <v>34</v>
      </c>
      <c r="D56" s="7">
        <v>1.2</v>
      </c>
      <c r="E56" s="2">
        <v>28333.33</v>
      </c>
      <c r="F56" s="2">
        <v>34000</v>
      </c>
    </row>
    <row r="57" spans="1:6" x14ac:dyDescent="0.25">
      <c r="A57" t="s">
        <v>4062</v>
      </c>
      <c r="B57" t="s">
        <v>4076</v>
      </c>
      <c r="C57" t="s">
        <v>3963</v>
      </c>
      <c r="D57" s="7">
        <v>0.25</v>
      </c>
      <c r="E57" s="2">
        <v>21</v>
      </c>
      <c r="F57" s="2">
        <v>5.25</v>
      </c>
    </row>
    <row r="58" spans="1:6" x14ac:dyDescent="0.25">
      <c r="A58" t="s">
        <v>4049</v>
      </c>
      <c r="B58" t="s">
        <v>4176</v>
      </c>
      <c r="C58" t="s">
        <v>4177</v>
      </c>
      <c r="D58" s="7">
        <v>0.1</v>
      </c>
      <c r="E58" s="2">
        <v>72300.17</v>
      </c>
      <c r="F58" s="2">
        <v>7230.02</v>
      </c>
    </row>
    <row r="59" spans="1:6" x14ac:dyDescent="0.25">
      <c r="A59" t="s">
        <v>4049</v>
      </c>
      <c r="B59" t="s">
        <v>4313</v>
      </c>
      <c r="C59" t="s">
        <v>4177</v>
      </c>
      <c r="D59" s="7">
        <v>0.1</v>
      </c>
      <c r="E59" s="2">
        <v>124137.15</v>
      </c>
      <c r="F59" s="2">
        <v>12413.72</v>
      </c>
    </row>
    <row r="60" spans="1:6" x14ac:dyDescent="0.25">
      <c r="A60" t="s">
        <v>4052</v>
      </c>
      <c r="B60" t="s">
        <v>4342</v>
      </c>
      <c r="C60" t="s">
        <v>287</v>
      </c>
      <c r="D60" s="7">
        <v>0.33</v>
      </c>
      <c r="E60" s="2">
        <v>8333.33</v>
      </c>
      <c r="F60" s="2">
        <v>2750</v>
      </c>
    </row>
    <row r="61" spans="1:6" x14ac:dyDescent="0.25">
      <c r="A61" t="s">
        <v>4052</v>
      </c>
      <c r="B61" t="s">
        <v>4053</v>
      </c>
      <c r="C61" t="s">
        <v>4054</v>
      </c>
      <c r="D61" s="7">
        <v>3.3</v>
      </c>
      <c r="E61" s="2">
        <v>19643.74</v>
      </c>
      <c r="F61" s="2">
        <v>648.24</v>
      </c>
    </row>
    <row r="62" spans="1:6" x14ac:dyDescent="0.25">
      <c r="A62" t="s">
        <v>4055</v>
      </c>
      <c r="D62" s="7"/>
      <c r="E62" s="2"/>
      <c r="F62" s="2">
        <f>SUBTOTAL(109,A_1_11_06[VALOR PARCIAL])</f>
      </c>
    </row>
    <row r="64" ht="30" customHeight="1" spans="1:6" x14ac:dyDescent="0.25">
      <c r="A64" s="5" t="s">
        <v>5206</v>
      </c>
      <c r="B64" s="5"/>
      <c r="C64" s="5"/>
      <c r="D64" s="5"/>
      <c r="E64" s="5"/>
      <c r="F64" s="5"/>
    </row>
    <row r="65" ht="42" customHeight="1" spans="1:6" x14ac:dyDescent="0.25">
      <c r="A65" s="6" t="s">
        <v>5207</v>
      </c>
      <c r="B65" s="6"/>
      <c r="C65" s="6"/>
      <c r="D65" s="6"/>
      <c r="E65" s="6"/>
      <c r="F65" s="6"/>
    </row>
    <row r="66" spans="1:6" x14ac:dyDescent="0.25">
      <c r="A66" t="s">
        <v>4044</v>
      </c>
      <c r="B66" t="s">
        <v>4045</v>
      </c>
      <c r="C66" t="s">
        <v>5</v>
      </c>
      <c r="D66" t="s">
        <v>4046</v>
      </c>
      <c r="E66" t="s">
        <v>4047</v>
      </c>
      <c r="F66" t="s">
        <v>4048</v>
      </c>
    </row>
    <row r="67" spans="1:6" x14ac:dyDescent="0.25">
      <c r="A67" t="s">
        <v>4062</v>
      </c>
      <c r="B67" t="s">
        <v>4475</v>
      </c>
      <c r="C67" t="s">
        <v>231</v>
      </c>
      <c r="D67" s="7">
        <v>6</v>
      </c>
      <c r="E67" s="2">
        <v>730</v>
      </c>
      <c r="F67" s="2">
        <v>4380</v>
      </c>
    </row>
    <row r="68" spans="1:6" x14ac:dyDescent="0.25">
      <c r="A68" t="s">
        <v>4062</v>
      </c>
      <c r="B68" t="s">
        <v>5208</v>
      </c>
      <c r="C68" t="s">
        <v>42</v>
      </c>
      <c r="D68" s="7">
        <v>0.36</v>
      </c>
      <c r="E68" s="2">
        <v>12961</v>
      </c>
      <c r="F68" s="2">
        <v>4665.96</v>
      </c>
    </row>
    <row r="69" spans="1:6" x14ac:dyDescent="0.25">
      <c r="A69" t="s">
        <v>4062</v>
      </c>
      <c r="B69" t="s">
        <v>5209</v>
      </c>
      <c r="C69" t="s">
        <v>5090</v>
      </c>
      <c r="D69" s="7">
        <v>0.05</v>
      </c>
      <c r="E69" s="2">
        <v>20230</v>
      </c>
      <c r="F69" s="2">
        <v>910.35</v>
      </c>
    </row>
    <row r="70" spans="1:6" x14ac:dyDescent="0.25">
      <c r="A70" t="s">
        <v>4062</v>
      </c>
      <c r="B70" t="s">
        <v>3972</v>
      </c>
      <c r="C70" t="s">
        <v>34</v>
      </c>
      <c r="D70" s="7">
        <v>0.01</v>
      </c>
      <c r="E70" s="2">
        <v>470829.15</v>
      </c>
      <c r="F70" s="2">
        <v>3766.63</v>
      </c>
    </row>
    <row r="71" spans="1:6" x14ac:dyDescent="0.25">
      <c r="A71" t="s">
        <v>4062</v>
      </c>
      <c r="B71" t="s">
        <v>5103</v>
      </c>
      <c r="C71" t="s">
        <v>5090</v>
      </c>
      <c r="D71" s="7">
        <v>0.08</v>
      </c>
      <c r="E71" s="2">
        <v>16597</v>
      </c>
      <c r="F71" s="2">
        <v>1244.77</v>
      </c>
    </row>
    <row r="72" spans="1:6" x14ac:dyDescent="0.25">
      <c r="A72" t="s">
        <v>4062</v>
      </c>
      <c r="B72" t="s">
        <v>5210</v>
      </c>
      <c r="C72" t="s">
        <v>231</v>
      </c>
      <c r="D72" s="7">
        <v>0.2</v>
      </c>
      <c r="E72" s="2">
        <v>8133.33</v>
      </c>
      <c r="F72" s="2">
        <v>1626.67</v>
      </c>
    </row>
    <row r="73" spans="1:6" x14ac:dyDescent="0.25">
      <c r="A73" t="s">
        <v>4062</v>
      </c>
      <c r="B73" t="s">
        <v>4076</v>
      </c>
      <c r="C73" t="s">
        <v>3963</v>
      </c>
      <c r="D73" s="7">
        <v>3.5</v>
      </c>
      <c r="E73" s="2">
        <v>21</v>
      </c>
      <c r="F73" s="2">
        <v>73.5</v>
      </c>
    </row>
    <row r="74" spans="1:6" x14ac:dyDescent="0.25">
      <c r="A74" t="s">
        <v>4049</v>
      </c>
      <c r="B74" t="s">
        <v>4050</v>
      </c>
      <c r="C74" t="s">
        <v>4051</v>
      </c>
      <c r="D74" s="7">
        <v>0.5</v>
      </c>
      <c r="E74" s="2">
        <v>9037.33</v>
      </c>
      <c r="F74" s="2">
        <v>4518.66</v>
      </c>
    </row>
    <row r="75" spans="1:6" x14ac:dyDescent="0.25">
      <c r="A75" t="s">
        <v>4049</v>
      </c>
      <c r="B75" t="s">
        <v>4073</v>
      </c>
      <c r="C75" t="s">
        <v>4051</v>
      </c>
      <c r="D75" s="7">
        <v>2</v>
      </c>
      <c r="E75" s="2">
        <v>15517.89</v>
      </c>
      <c r="F75" s="2">
        <v>31035.78</v>
      </c>
    </row>
    <row r="76" spans="1:6" x14ac:dyDescent="0.25">
      <c r="A76" t="s">
        <v>4052</v>
      </c>
      <c r="B76" t="s">
        <v>4113</v>
      </c>
      <c r="C76" t="s">
        <v>4106</v>
      </c>
      <c r="D76" s="7">
        <v>0.2</v>
      </c>
      <c r="E76" s="2">
        <v>43805.88</v>
      </c>
      <c r="F76" s="2">
        <v>8761.18</v>
      </c>
    </row>
    <row r="77" spans="1:6" x14ac:dyDescent="0.25">
      <c r="A77" t="s">
        <v>4052</v>
      </c>
      <c r="B77" t="s">
        <v>4053</v>
      </c>
      <c r="C77" t="s">
        <v>4054</v>
      </c>
      <c r="D77" s="7">
        <v>1</v>
      </c>
      <c r="E77" s="2">
        <v>35554.44</v>
      </c>
      <c r="F77" s="2">
        <v>355.54</v>
      </c>
    </row>
    <row r="78" spans="1:6" x14ac:dyDescent="0.25">
      <c r="A78" t="s">
        <v>4055</v>
      </c>
      <c r="D78" s="7"/>
      <c r="E78" s="2"/>
      <c r="F78" s="2">
        <f>SUBTOTAL(109,A_1_11_07[VALOR PARCIAL])</f>
      </c>
    </row>
    <row r="80" ht="30" customHeight="1" spans="1:6" x14ac:dyDescent="0.25">
      <c r="A80" s="5" t="s">
        <v>5211</v>
      </c>
      <c r="B80" s="5"/>
      <c r="C80" s="5"/>
      <c r="D80" s="5"/>
      <c r="E80" s="5"/>
      <c r="F80" s="5"/>
    </row>
    <row r="81" ht="42" customHeight="1" spans="1:6" x14ac:dyDescent="0.25">
      <c r="A81" s="6" t="s">
        <v>5212</v>
      </c>
      <c r="B81" s="6"/>
      <c r="C81" s="6"/>
      <c r="D81" s="6"/>
      <c r="E81" s="6"/>
      <c r="F81" s="6"/>
    </row>
    <row r="82" spans="1:6" x14ac:dyDescent="0.25">
      <c r="A82" t="s">
        <v>4044</v>
      </c>
      <c r="B82" t="s">
        <v>4045</v>
      </c>
      <c r="C82" t="s">
        <v>5</v>
      </c>
      <c r="D82" t="s">
        <v>4046</v>
      </c>
      <c r="E82" t="s">
        <v>4047</v>
      </c>
      <c r="F82" t="s">
        <v>4048</v>
      </c>
    </row>
    <row r="83" spans="1:6" x14ac:dyDescent="0.25">
      <c r="A83" t="s">
        <v>4062</v>
      </c>
      <c r="B83" t="s">
        <v>4475</v>
      </c>
      <c r="C83" t="s">
        <v>231</v>
      </c>
      <c r="D83" s="7">
        <v>6</v>
      </c>
      <c r="E83" s="2">
        <v>730</v>
      </c>
      <c r="F83" s="2">
        <v>4380</v>
      </c>
    </row>
    <row r="84" spans="1:6" x14ac:dyDescent="0.25">
      <c r="A84" t="s">
        <v>4062</v>
      </c>
      <c r="B84" t="s">
        <v>5208</v>
      </c>
      <c r="C84" t="s">
        <v>42</v>
      </c>
      <c r="D84" s="7">
        <v>0.36</v>
      </c>
      <c r="E84" s="2">
        <v>12961</v>
      </c>
      <c r="F84" s="2">
        <v>4665.96</v>
      </c>
    </row>
    <row r="85" spans="1:6" x14ac:dyDescent="0.25">
      <c r="A85" t="s">
        <v>4062</v>
      </c>
      <c r="B85" t="s">
        <v>5209</v>
      </c>
      <c r="C85" t="s">
        <v>5090</v>
      </c>
      <c r="D85" s="7">
        <v>0.05</v>
      </c>
      <c r="E85" s="2">
        <v>20230</v>
      </c>
      <c r="F85" s="2">
        <v>910.35</v>
      </c>
    </row>
    <row r="86" spans="1:6" x14ac:dyDescent="0.25">
      <c r="A86" t="s">
        <v>4062</v>
      </c>
      <c r="B86" t="s">
        <v>3972</v>
      </c>
      <c r="C86" t="s">
        <v>34</v>
      </c>
      <c r="D86" s="7">
        <v>0.01</v>
      </c>
      <c r="E86" s="2">
        <v>470829.15</v>
      </c>
      <c r="F86" s="2">
        <v>3766.63</v>
      </c>
    </row>
    <row r="87" spans="1:6" x14ac:dyDescent="0.25">
      <c r="A87" t="s">
        <v>4062</v>
      </c>
      <c r="B87" t="s">
        <v>5103</v>
      </c>
      <c r="C87" t="s">
        <v>5090</v>
      </c>
      <c r="D87" s="7">
        <v>0.08</v>
      </c>
      <c r="E87" s="2">
        <v>16597</v>
      </c>
      <c r="F87" s="2">
        <v>1244.77</v>
      </c>
    </row>
    <row r="88" spans="1:6" x14ac:dyDescent="0.25">
      <c r="A88" t="s">
        <v>4062</v>
      </c>
      <c r="B88" t="s">
        <v>5210</v>
      </c>
      <c r="C88" t="s">
        <v>231</v>
      </c>
      <c r="D88" s="7">
        <v>0.2</v>
      </c>
      <c r="E88" s="2">
        <v>8133.33</v>
      </c>
      <c r="F88" s="2">
        <v>1626.67</v>
      </c>
    </row>
    <row r="89" spans="1:6" x14ac:dyDescent="0.25">
      <c r="A89" t="s">
        <v>4062</v>
      </c>
      <c r="B89" t="s">
        <v>4076</v>
      </c>
      <c r="C89" t="s">
        <v>3963</v>
      </c>
      <c r="D89" s="7">
        <v>3.5</v>
      </c>
      <c r="E89" s="2">
        <v>21</v>
      </c>
      <c r="F89" s="2">
        <v>73.5</v>
      </c>
    </row>
    <row r="90" spans="1:6" x14ac:dyDescent="0.25">
      <c r="A90" t="s">
        <v>4049</v>
      </c>
      <c r="B90" t="s">
        <v>4050</v>
      </c>
      <c r="C90" t="s">
        <v>4051</v>
      </c>
      <c r="D90" s="7">
        <v>0.5</v>
      </c>
      <c r="E90" s="2">
        <v>9037.33</v>
      </c>
      <c r="F90" s="2">
        <v>4518.66</v>
      </c>
    </row>
    <row r="91" spans="1:6" x14ac:dyDescent="0.25">
      <c r="A91" t="s">
        <v>4049</v>
      </c>
      <c r="B91" t="s">
        <v>4073</v>
      </c>
      <c r="C91" t="s">
        <v>4051</v>
      </c>
      <c r="D91" s="7">
        <v>1.6</v>
      </c>
      <c r="E91" s="2">
        <v>15517.89</v>
      </c>
      <c r="F91" s="2">
        <v>24828.62</v>
      </c>
    </row>
    <row r="92" spans="1:6" x14ac:dyDescent="0.25">
      <c r="A92" t="s">
        <v>4052</v>
      </c>
      <c r="B92" t="s">
        <v>4053</v>
      </c>
      <c r="C92" t="s">
        <v>4054</v>
      </c>
      <c r="D92" s="7">
        <v>0.7</v>
      </c>
      <c r="E92" s="2">
        <v>29347.28</v>
      </c>
      <c r="F92" s="2">
        <v>205.43</v>
      </c>
    </row>
    <row r="93" spans="1:6" x14ac:dyDescent="0.25">
      <c r="A93" t="s">
        <v>4055</v>
      </c>
      <c r="D93" s="7"/>
      <c r="E93" s="2"/>
      <c r="F93" s="2">
        <f>SUBTOTAL(109,A_1_11_08[VALOR PARCIAL])</f>
      </c>
    </row>
    <row r="95" ht="30" customHeight="1" spans="1:6" x14ac:dyDescent="0.25">
      <c r="A95" s="5" t="s">
        <v>5213</v>
      </c>
      <c r="B95" s="5"/>
      <c r="C95" s="5"/>
      <c r="D95" s="5"/>
      <c r="E95" s="5"/>
      <c r="F95" s="5"/>
    </row>
    <row r="96" ht="42" customHeight="1" spans="1:6" x14ac:dyDescent="0.25">
      <c r="A96" s="6" t="s">
        <v>5214</v>
      </c>
      <c r="B96" s="6"/>
      <c r="C96" s="6"/>
      <c r="D96" s="6"/>
      <c r="E96" s="6"/>
      <c r="F96" s="6"/>
    </row>
    <row r="97" spans="1:6" x14ac:dyDescent="0.25">
      <c r="A97" t="s">
        <v>4044</v>
      </c>
      <c r="B97" t="s">
        <v>4045</v>
      </c>
      <c r="C97" t="s">
        <v>5</v>
      </c>
      <c r="D97" t="s">
        <v>4046</v>
      </c>
      <c r="E97" t="s">
        <v>4047</v>
      </c>
      <c r="F97" t="s">
        <v>4048</v>
      </c>
    </row>
    <row r="98" spans="1:6" x14ac:dyDescent="0.25">
      <c r="A98" t="s">
        <v>4062</v>
      </c>
      <c r="B98" t="s">
        <v>4474</v>
      </c>
      <c r="C98" t="s">
        <v>34</v>
      </c>
      <c r="D98" s="7">
        <v>0.07</v>
      </c>
      <c r="E98" s="2">
        <v>114500</v>
      </c>
      <c r="F98" s="2">
        <v>8015</v>
      </c>
    </row>
    <row r="99" spans="1:6" x14ac:dyDescent="0.25">
      <c r="A99" t="s">
        <v>4062</v>
      </c>
      <c r="B99" t="s">
        <v>4690</v>
      </c>
      <c r="C99" t="s">
        <v>231</v>
      </c>
      <c r="D99" s="7">
        <v>10.5</v>
      </c>
      <c r="E99" s="2">
        <v>2025</v>
      </c>
      <c r="F99" s="2">
        <v>21262.5</v>
      </c>
    </row>
    <row r="100" spans="1:6" x14ac:dyDescent="0.25">
      <c r="A100" t="s">
        <v>4062</v>
      </c>
      <c r="B100" t="s">
        <v>4475</v>
      </c>
      <c r="C100" t="s">
        <v>231</v>
      </c>
      <c r="D100" s="7">
        <v>12</v>
      </c>
      <c r="E100" s="2">
        <v>730</v>
      </c>
      <c r="F100" s="2">
        <v>8760</v>
      </c>
    </row>
    <row r="101" spans="1:6" x14ac:dyDescent="0.25">
      <c r="A101" t="s">
        <v>4062</v>
      </c>
      <c r="B101" t="s">
        <v>5208</v>
      </c>
      <c r="C101" t="s">
        <v>42</v>
      </c>
      <c r="D101" s="7">
        <v>0.2</v>
      </c>
      <c r="E101" s="2">
        <v>12961</v>
      </c>
      <c r="F101" s="2">
        <v>2592.2</v>
      </c>
    </row>
    <row r="102" spans="1:6" x14ac:dyDescent="0.25">
      <c r="A102" t="s">
        <v>4062</v>
      </c>
      <c r="B102" t="s">
        <v>5215</v>
      </c>
      <c r="C102" t="s">
        <v>5090</v>
      </c>
      <c r="D102" s="7">
        <v>0.38</v>
      </c>
      <c r="E102" s="2">
        <v>25667</v>
      </c>
      <c r="F102" s="2">
        <v>9753.46</v>
      </c>
    </row>
    <row r="103" spans="1:6" x14ac:dyDescent="0.25">
      <c r="A103" t="s">
        <v>4062</v>
      </c>
      <c r="B103" t="s">
        <v>5103</v>
      </c>
      <c r="C103" t="s">
        <v>5090</v>
      </c>
      <c r="D103" s="7">
        <v>0.25</v>
      </c>
      <c r="E103" s="2">
        <v>16597</v>
      </c>
      <c r="F103" s="2">
        <v>4149.25</v>
      </c>
    </row>
    <row r="104" spans="1:6" x14ac:dyDescent="0.25">
      <c r="A104" t="s">
        <v>4062</v>
      </c>
      <c r="B104" t="s">
        <v>5210</v>
      </c>
      <c r="C104" t="s">
        <v>231</v>
      </c>
      <c r="D104" s="7">
        <v>0.15</v>
      </c>
      <c r="E104" s="2">
        <v>8133.33</v>
      </c>
      <c r="F104" s="2">
        <v>1220</v>
      </c>
    </row>
    <row r="105" spans="1:6" x14ac:dyDescent="0.25">
      <c r="A105" t="s">
        <v>4062</v>
      </c>
      <c r="B105" t="s">
        <v>5216</v>
      </c>
      <c r="C105" t="s">
        <v>42</v>
      </c>
      <c r="D105" s="7">
        <v>1.03</v>
      </c>
      <c r="E105" s="2">
        <v>8949</v>
      </c>
      <c r="F105" s="2">
        <v>9217.47</v>
      </c>
    </row>
    <row r="106" spans="1:6" x14ac:dyDescent="0.25">
      <c r="A106" t="s">
        <v>4062</v>
      </c>
      <c r="B106" t="s">
        <v>4076</v>
      </c>
      <c r="C106" t="s">
        <v>3963</v>
      </c>
      <c r="D106" s="7">
        <v>3.7</v>
      </c>
      <c r="E106" s="2">
        <v>21</v>
      </c>
      <c r="F106" s="2">
        <v>77.7</v>
      </c>
    </row>
    <row r="107" spans="1:6" x14ac:dyDescent="0.25">
      <c r="A107" t="s">
        <v>4049</v>
      </c>
      <c r="B107" t="s">
        <v>4050</v>
      </c>
      <c r="C107" t="s">
        <v>4051</v>
      </c>
      <c r="D107" s="7">
        <v>2.3</v>
      </c>
      <c r="E107" s="2">
        <v>9037.33</v>
      </c>
      <c r="F107" s="2">
        <v>20785.86</v>
      </c>
    </row>
    <row r="108" spans="1:6" x14ac:dyDescent="0.25">
      <c r="A108" t="s">
        <v>4049</v>
      </c>
      <c r="B108" t="s">
        <v>4073</v>
      </c>
      <c r="C108" t="s">
        <v>4051</v>
      </c>
      <c r="D108" s="7">
        <v>2.3</v>
      </c>
      <c r="E108" s="2">
        <v>15517.89</v>
      </c>
      <c r="F108" s="2">
        <v>35691.15</v>
      </c>
    </row>
    <row r="109" spans="1:6" x14ac:dyDescent="0.25">
      <c r="A109" t="s">
        <v>4052</v>
      </c>
      <c r="B109" t="s">
        <v>4053</v>
      </c>
      <c r="C109" t="s">
        <v>4054</v>
      </c>
      <c r="D109" s="7">
        <v>5</v>
      </c>
      <c r="E109" s="2">
        <v>56477.01</v>
      </c>
      <c r="F109" s="2">
        <v>2823.85</v>
      </c>
    </row>
    <row r="110" spans="1:6" x14ac:dyDescent="0.25">
      <c r="A110" t="s">
        <v>4055</v>
      </c>
      <c r="D110" s="7"/>
      <c r="E110" s="2"/>
      <c r="F110" s="2">
        <f>SUBTOTAL(109,A_1_11_09[VALOR PARCIAL])</f>
      </c>
    </row>
    <row r="112" ht="30" customHeight="1" spans="1:6" x14ac:dyDescent="0.25">
      <c r="A112" s="5" t="s">
        <v>5217</v>
      </c>
      <c r="B112" s="5"/>
      <c r="C112" s="5"/>
      <c r="D112" s="5"/>
      <c r="E112" s="5"/>
      <c r="F112" s="5"/>
    </row>
    <row r="113" ht="42" customHeight="1" spans="1:6" x14ac:dyDescent="0.25">
      <c r="A113" s="6" t="s">
        <v>5218</v>
      </c>
      <c r="B113" s="6"/>
      <c r="C113" s="6"/>
      <c r="D113" s="6"/>
      <c r="E113" s="6"/>
      <c r="F113" s="6"/>
    </row>
    <row r="114" spans="1:6" x14ac:dyDescent="0.25">
      <c r="A114" t="s">
        <v>4044</v>
      </c>
      <c r="B114" t="s">
        <v>4045</v>
      </c>
      <c r="C114" t="s">
        <v>5</v>
      </c>
      <c r="D114" t="s">
        <v>4046</v>
      </c>
      <c r="E114" t="s">
        <v>4047</v>
      </c>
      <c r="F114" t="s">
        <v>4048</v>
      </c>
    </row>
    <row r="115" spans="1:6" x14ac:dyDescent="0.25">
      <c r="A115" t="s">
        <v>4062</v>
      </c>
      <c r="B115" t="s">
        <v>4690</v>
      </c>
      <c r="C115" t="s">
        <v>231</v>
      </c>
      <c r="D115" s="7">
        <v>3.5</v>
      </c>
      <c r="E115" s="2">
        <v>2025</v>
      </c>
      <c r="F115" s="2">
        <v>7087.5</v>
      </c>
    </row>
    <row r="116" spans="1:6" x14ac:dyDescent="0.25">
      <c r="A116" t="s">
        <v>4062</v>
      </c>
      <c r="B116" t="s">
        <v>5219</v>
      </c>
      <c r="C116" t="s">
        <v>34</v>
      </c>
      <c r="D116" s="7">
        <v>0.1</v>
      </c>
      <c r="E116" s="2">
        <v>92880</v>
      </c>
      <c r="F116" s="2">
        <v>9288</v>
      </c>
    </row>
    <row r="117" spans="1:6" x14ac:dyDescent="0.25">
      <c r="A117" t="s">
        <v>4062</v>
      </c>
      <c r="B117" t="s">
        <v>5210</v>
      </c>
      <c r="C117" t="s">
        <v>231</v>
      </c>
      <c r="D117" s="7">
        <v>0.15</v>
      </c>
      <c r="E117" s="2">
        <v>8133.33</v>
      </c>
      <c r="F117" s="2">
        <v>1220</v>
      </c>
    </row>
    <row r="118" spans="1:6" x14ac:dyDescent="0.25">
      <c r="A118" t="s">
        <v>4062</v>
      </c>
      <c r="B118" t="s">
        <v>5216</v>
      </c>
      <c r="C118" t="s">
        <v>42</v>
      </c>
      <c r="D118" s="7">
        <v>1.03</v>
      </c>
      <c r="E118" s="2">
        <v>8949</v>
      </c>
      <c r="F118" s="2">
        <v>9217.47</v>
      </c>
    </row>
    <row r="119" spans="1:6" x14ac:dyDescent="0.25">
      <c r="A119" t="s">
        <v>4062</v>
      </c>
      <c r="B119" t="s">
        <v>4076</v>
      </c>
      <c r="C119" t="s">
        <v>3963</v>
      </c>
      <c r="D119" s="7">
        <v>1.59</v>
      </c>
      <c r="E119" s="2">
        <v>21</v>
      </c>
      <c r="F119" s="2">
        <v>33.39</v>
      </c>
    </row>
    <row r="120" spans="1:6" x14ac:dyDescent="0.25">
      <c r="A120" t="s">
        <v>4049</v>
      </c>
      <c r="B120" t="s">
        <v>4050</v>
      </c>
      <c r="C120" t="s">
        <v>4051</v>
      </c>
      <c r="D120" s="7">
        <v>2.3</v>
      </c>
      <c r="E120" s="2">
        <v>9037.33</v>
      </c>
      <c r="F120" s="2">
        <v>20785.86</v>
      </c>
    </row>
    <row r="121" spans="1:6" x14ac:dyDescent="0.25">
      <c r="A121" t="s">
        <v>4049</v>
      </c>
      <c r="B121" t="s">
        <v>4073</v>
      </c>
      <c r="C121" t="s">
        <v>4051</v>
      </c>
      <c r="D121" s="7">
        <v>2.3</v>
      </c>
      <c r="E121" s="2">
        <v>15517.89</v>
      </c>
      <c r="F121" s="2">
        <v>35691.15</v>
      </c>
    </row>
    <row r="122" spans="1:6" x14ac:dyDescent="0.25">
      <c r="A122" t="s">
        <v>4052</v>
      </c>
      <c r="B122" t="s">
        <v>4053</v>
      </c>
      <c r="C122" t="s">
        <v>4054</v>
      </c>
      <c r="D122" s="7">
        <v>5</v>
      </c>
      <c r="E122" s="2">
        <v>56477.01</v>
      </c>
      <c r="F122" s="2">
        <v>2823.85</v>
      </c>
    </row>
    <row r="123" spans="1:6" x14ac:dyDescent="0.25">
      <c r="A123" t="s">
        <v>4055</v>
      </c>
      <c r="D123" s="7"/>
      <c r="E123" s="2"/>
      <c r="F123" s="2">
        <f>SUBTOTAL(109,A_1_11_10[VALOR PARCIAL])</f>
      </c>
    </row>
    <row r="125" ht="30" customHeight="1" spans="1:6" x14ac:dyDescent="0.25">
      <c r="A125" s="5" t="s">
        <v>5220</v>
      </c>
      <c r="B125" s="5"/>
      <c r="C125" s="5"/>
      <c r="D125" s="5"/>
      <c r="E125" s="5"/>
      <c r="F125" s="5"/>
    </row>
    <row r="126" ht="42" customHeight="1" spans="1:6" x14ac:dyDescent="0.25">
      <c r="A126" s="6" t="s">
        <v>5221</v>
      </c>
      <c r="B126" s="6"/>
      <c r="C126" s="6"/>
      <c r="D126" s="6"/>
      <c r="E126" s="6"/>
      <c r="F126" s="6"/>
    </row>
    <row r="127" spans="1:6" x14ac:dyDescent="0.25">
      <c r="A127" t="s">
        <v>4044</v>
      </c>
      <c r="B127" t="s">
        <v>4045</v>
      </c>
      <c r="C127" t="s">
        <v>5</v>
      </c>
      <c r="D127" t="s">
        <v>4046</v>
      </c>
      <c r="E127" t="s">
        <v>4047</v>
      </c>
      <c r="F127" t="s">
        <v>4048</v>
      </c>
    </row>
    <row r="128" spans="1:6" x14ac:dyDescent="0.25">
      <c r="A128" t="s">
        <v>4062</v>
      </c>
      <c r="B128" t="s">
        <v>5222</v>
      </c>
      <c r="C128" t="s">
        <v>63</v>
      </c>
      <c r="D128" s="7">
        <v>3</v>
      </c>
      <c r="E128" s="2">
        <v>17</v>
      </c>
      <c r="F128" s="2">
        <v>51</v>
      </c>
    </row>
    <row r="129" spans="1:6" x14ac:dyDescent="0.25">
      <c r="A129" t="s">
        <v>4062</v>
      </c>
      <c r="B129" t="s">
        <v>5216</v>
      </c>
      <c r="C129" t="s">
        <v>42</v>
      </c>
      <c r="D129" s="7">
        <v>1.03</v>
      </c>
      <c r="E129" s="2">
        <v>8949</v>
      </c>
      <c r="F129" s="2">
        <v>9217.47</v>
      </c>
    </row>
    <row r="130" spans="1:6" x14ac:dyDescent="0.25">
      <c r="A130" t="s">
        <v>4049</v>
      </c>
      <c r="B130" t="s">
        <v>4487</v>
      </c>
      <c r="C130" t="s">
        <v>4236</v>
      </c>
      <c r="D130" s="7">
        <v>0.3</v>
      </c>
      <c r="E130" s="2">
        <v>24555.22</v>
      </c>
      <c r="F130" s="2">
        <v>7366.57</v>
      </c>
    </row>
    <row r="131" spans="1:6" x14ac:dyDescent="0.25">
      <c r="A131" t="s">
        <v>4052</v>
      </c>
      <c r="B131" t="s">
        <v>4053</v>
      </c>
      <c r="C131" t="s">
        <v>4054</v>
      </c>
      <c r="D131" s="7">
        <v>5</v>
      </c>
      <c r="E131" s="2">
        <v>7366.57</v>
      </c>
      <c r="F131" s="2">
        <v>368.33</v>
      </c>
    </row>
    <row r="132" spans="1:6" x14ac:dyDescent="0.25">
      <c r="A132" t="s">
        <v>4055</v>
      </c>
      <c r="D132" s="7"/>
      <c r="E132" s="2"/>
      <c r="F132" s="2">
        <f>SUBTOTAL(109,A_1_11_11[VALOR PARCIAL])</f>
      </c>
    </row>
    <row r="134" ht="30" customHeight="1" spans="1:6" x14ac:dyDescent="0.25">
      <c r="A134" s="5" t="s">
        <v>5223</v>
      </c>
      <c r="B134" s="5"/>
      <c r="C134" s="5"/>
      <c r="D134" s="5"/>
      <c r="E134" s="5"/>
      <c r="F134" s="5"/>
    </row>
    <row r="135" ht="42" customHeight="1" spans="1:6" x14ac:dyDescent="0.25">
      <c r="A135" s="6" t="s">
        <v>5224</v>
      </c>
      <c r="B135" s="6"/>
      <c r="C135" s="6"/>
      <c r="D135" s="6"/>
      <c r="E135" s="6"/>
      <c r="F135" s="6"/>
    </row>
    <row r="136" spans="1:6" x14ac:dyDescent="0.25">
      <c r="A136" t="s">
        <v>4044</v>
      </c>
      <c r="B136" t="s">
        <v>4045</v>
      </c>
      <c r="C136" t="s">
        <v>5</v>
      </c>
      <c r="D136" t="s">
        <v>4046</v>
      </c>
      <c r="E136" t="s">
        <v>4047</v>
      </c>
      <c r="F136" t="s">
        <v>4048</v>
      </c>
    </row>
    <row r="137" spans="1:6" x14ac:dyDescent="0.25">
      <c r="A137" t="s">
        <v>4062</v>
      </c>
      <c r="B137" t="s">
        <v>4492</v>
      </c>
      <c r="C137" t="s">
        <v>34</v>
      </c>
      <c r="D137" s="7">
        <v>0.02</v>
      </c>
      <c r="E137" s="2">
        <v>68425</v>
      </c>
      <c r="F137" s="2">
        <v>1368.5</v>
      </c>
    </row>
    <row r="138" spans="1:6" x14ac:dyDescent="0.25">
      <c r="A138" t="s">
        <v>4062</v>
      </c>
      <c r="B138" t="s">
        <v>4475</v>
      </c>
      <c r="C138" t="s">
        <v>231</v>
      </c>
      <c r="D138" s="7">
        <v>3.32</v>
      </c>
      <c r="E138" s="2">
        <v>730</v>
      </c>
      <c r="F138" s="2">
        <v>2423.6</v>
      </c>
    </row>
    <row r="139" spans="1:6" x14ac:dyDescent="0.25">
      <c r="A139" t="s">
        <v>4062</v>
      </c>
      <c r="B139" t="s">
        <v>4588</v>
      </c>
      <c r="C139" t="s">
        <v>63</v>
      </c>
      <c r="D139" s="7">
        <v>11</v>
      </c>
      <c r="E139" s="2">
        <v>487</v>
      </c>
      <c r="F139" s="2">
        <v>5357</v>
      </c>
    </row>
    <row r="140" spans="1:6" x14ac:dyDescent="0.25">
      <c r="A140" t="s">
        <v>4049</v>
      </c>
      <c r="B140" t="s">
        <v>4487</v>
      </c>
      <c r="C140" t="s">
        <v>4236</v>
      </c>
      <c r="D140" s="7">
        <v>0.84</v>
      </c>
      <c r="E140" s="2">
        <v>24555.22</v>
      </c>
      <c r="F140" s="2">
        <v>20626.38</v>
      </c>
    </row>
    <row r="141" spans="1:6" x14ac:dyDescent="0.25">
      <c r="A141" t="s">
        <v>4052</v>
      </c>
      <c r="B141" t="s">
        <v>4053</v>
      </c>
      <c r="C141" t="s">
        <v>4054</v>
      </c>
      <c r="D141" s="7">
        <v>5</v>
      </c>
      <c r="E141" s="2">
        <v>20626.38</v>
      </c>
      <c r="F141" s="2">
        <v>1031.32</v>
      </c>
    </row>
    <row r="142" spans="1:6" x14ac:dyDescent="0.25">
      <c r="A142" t="s">
        <v>4055</v>
      </c>
      <c r="D142" s="7"/>
      <c r="E142" s="2"/>
      <c r="F142" s="2">
        <f>SUBTOTAL(109,A_1_11_12[VALOR PARCIAL])</f>
      </c>
    </row>
    <row r="144" ht="30" customHeight="1" spans="1:6" x14ac:dyDescent="0.25">
      <c r="A144" s="5" t="s">
        <v>5225</v>
      </c>
      <c r="B144" s="5"/>
      <c r="C144" s="5"/>
      <c r="D144" s="5"/>
      <c r="E144" s="5"/>
      <c r="F144" s="5"/>
    </row>
    <row r="145" ht="42" customHeight="1" spans="1:6" x14ac:dyDescent="0.25">
      <c r="A145" s="6" t="s">
        <v>5226</v>
      </c>
      <c r="B145" s="6"/>
      <c r="C145" s="6"/>
      <c r="D145" s="6"/>
      <c r="E145" s="6"/>
      <c r="F145" s="6"/>
    </row>
    <row r="146" spans="1:6" x14ac:dyDescent="0.25">
      <c r="A146" t="s">
        <v>4044</v>
      </c>
      <c r="B146" t="s">
        <v>4045</v>
      </c>
      <c r="C146" t="s">
        <v>5</v>
      </c>
      <c r="D146" t="s">
        <v>4046</v>
      </c>
      <c r="E146" t="s">
        <v>4047</v>
      </c>
      <c r="F146" t="s">
        <v>4048</v>
      </c>
    </row>
    <row r="147" spans="1:6" x14ac:dyDescent="0.25">
      <c r="A147" t="s">
        <v>4062</v>
      </c>
      <c r="B147" t="s">
        <v>5227</v>
      </c>
      <c r="C147" t="s">
        <v>4377</v>
      </c>
      <c r="D147" s="7">
        <v>0.3</v>
      </c>
      <c r="E147" s="2">
        <v>7951</v>
      </c>
      <c r="F147" s="2">
        <v>2385.3</v>
      </c>
    </row>
    <row r="148" spans="1:6" x14ac:dyDescent="0.25">
      <c r="A148" t="s">
        <v>4062</v>
      </c>
      <c r="B148" t="s">
        <v>5228</v>
      </c>
      <c r="C148" t="s">
        <v>21</v>
      </c>
      <c r="D148" s="7">
        <v>1.05</v>
      </c>
      <c r="E148" s="2">
        <v>39275</v>
      </c>
      <c r="F148" s="2">
        <v>41238.75</v>
      </c>
    </row>
    <row r="149" spans="1:6" x14ac:dyDescent="0.25">
      <c r="A149" t="s">
        <v>4049</v>
      </c>
      <c r="B149" t="s">
        <v>4050</v>
      </c>
      <c r="C149" t="s">
        <v>4051</v>
      </c>
      <c r="D149" s="7">
        <v>0.16</v>
      </c>
      <c r="E149" s="2">
        <v>9037.33</v>
      </c>
      <c r="F149" s="2">
        <v>1445.97</v>
      </c>
    </row>
    <row r="150" spans="1:6" x14ac:dyDescent="0.25">
      <c r="A150" t="s">
        <v>4049</v>
      </c>
      <c r="B150" t="s">
        <v>4073</v>
      </c>
      <c r="C150" t="s">
        <v>4051</v>
      </c>
      <c r="D150" s="7">
        <v>0.16</v>
      </c>
      <c r="E150" s="2">
        <v>15517.89</v>
      </c>
      <c r="F150" s="2">
        <v>2482.86</v>
      </c>
    </row>
    <row r="151" spans="1:6" x14ac:dyDescent="0.25">
      <c r="A151" t="s">
        <v>4052</v>
      </c>
      <c r="B151" t="s">
        <v>4053</v>
      </c>
      <c r="C151" t="s">
        <v>4054</v>
      </c>
      <c r="D151" s="7">
        <v>5</v>
      </c>
      <c r="E151" s="2">
        <v>3928.83</v>
      </c>
      <c r="F151" s="2">
        <v>196.44</v>
      </c>
    </row>
    <row r="152" spans="1:6" x14ac:dyDescent="0.25">
      <c r="A152" t="s">
        <v>4055</v>
      </c>
      <c r="D152" s="7"/>
      <c r="E152" s="2"/>
      <c r="F152" s="2">
        <f>SUBTOTAL(109,A_1_11_13[VALOR PARCIAL])</f>
      </c>
    </row>
    <row r="154" ht="30" customHeight="1" spans="1:6" x14ac:dyDescent="0.25">
      <c r="A154" s="5" t="s">
        <v>5229</v>
      </c>
      <c r="B154" s="5"/>
      <c r="C154" s="5"/>
      <c r="D154" s="5"/>
      <c r="E154" s="5"/>
      <c r="F154" s="5"/>
    </row>
    <row r="155" ht="42" customHeight="1" spans="1:6" x14ac:dyDescent="0.25">
      <c r="A155" s="6" t="s">
        <v>5230</v>
      </c>
      <c r="B155" s="6"/>
      <c r="C155" s="6"/>
      <c r="D155" s="6"/>
      <c r="E155" s="6"/>
      <c r="F155" s="6"/>
    </row>
    <row r="156" spans="1:6" x14ac:dyDescent="0.25">
      <c r="A156" t="s">
        <v>4044</v>
      </c>
      <c r="B156" t="s">
        <v>4045</v>
      </c>
      <c r="C156" t="s">
        <v>5</v>
      </c>
      <c r="D156" t="s">
        <v>4046</v>
      </c>
      <c r="E156" t="s">
        <v>4047</v>
      </c>
      <c r="F156" t="s">
        <v>4048</v>
      </c>
    </row>
    <row r="157" spans="1:6" x14ac:dyDescent="0.25">
      <c r="A157" t="s">
        <v>4062</v>
      </c>
      <c r="B157" t="s">
        <v>5227</v>
      </c>
      <c r="C157" t="s">
        <v>4377</v>
      </c>
      <c r="D157" s="7">
        <v>0.3</v>
      </c>
      <c r="E157" s="2">
        <v>7951</v>
      </c>
      <c r="F157" s="2">
        <v>2385.3</v>
      </c>
    </row>
    <row r="158" spans="1:6" x14ac:dyDescent="0.25">
      <c r="A158" t="s">
        <v>4062</v>
      </c>
      <c r="B158" t="s">
        <v>5231</v>
      </c>
      <c r="C158" t="s">
        <v>21</v>
      </c>
      <c r="D158" s="7">
        <v>1.05</v>
      </c>
      <c r="E158" s="2">
        <v>51467</v>
      </c>
      <c r="F158" s="2">
        <v>54040.35</v>
      </c>
    </row>
    <row r="159" spans="1:6" x14ac:dyDescent="0.25">
      <c r="A159" t="s">
        <v>4049</v>
      </c>
      <c r="B159" t="s">
        <v>4050</v>
      </c>
      <c r="C159" t="s">
        <v>4051</v>
      </c>
      <c r="D159" s="7">
        <v>0.1</v>
      </c>
      <c r="E159" s="2">
        <v>9037.33</v>
      </c>
      <c r="F159" s="2">
        <v>903.73</v>
      </c>
    </row>
    <row r="160" spans="1:6" x14ac:dyDescent="0.25">
      <c r="A160" t="s">
        <v>4049</v>
      </c>
      <c r="B160" t="s">
        <v>4073</v>
      </c>
      <c r="C160" t="s">
        <v>4051</v>
      </c>
      <c r="D160" s="7">
        <v>0.1</v>
      </c>
      <c r="E160" s="2">
        <v>15517.89</v>
      </c>
      <c r="F160" s="2">
        <v>1551.79</v>
      </c>
    </row>
    <row r="161" spans="1:6" x14ac:dyDescent="0.25">
      <c r="A161" t="s">
        <v>4052</v>
      </c>
      <c r="B161" t="s">
        <v>4053</v>
      </c>
      <c r="C161" t="s">
        <v>4054</v>
      </c>
      <c r="D161" s="7">
        <v>5</v>
      </c>
      <c r="E161" s="2">
        <v>2455.52</v>
      </c>
      <c r="F161" s="2">
        <v>122.78</v>
      </c>
    </row>
    <row r="162" spans="1:6" x14ac:dyDescent="0.25">
      <c r="A162" t="s">
        <v>4055</v>
      </c>
      <c r="D162" s="7"/>
      <c r="E162" s="2"/>
      <c r="F162" s="2">
        <f>SUBTOTAL(109,A_1_11_14[VALOR PARCIAL])</f>
      </c>
    </row>
    <row r="164" ht="30" customHeight="1" spans="1:6" x14ac:dyDescent="0.25">
      <c r="A164" s="5" t="s">
        <v>5232</v>
      </c>
      <c r="B164" s="5"/>
      <c r="C164" s="5"/>
      <c r="D164" s="5"/>
      <c r="E164" s="5"/>
      <c r="F164" s="5"/>
    </row>
    <row r="165" ht="42" customHeight="1" spans="1:6" x14ac:dyDescent="0.25">
      <c r="A165" s="6" t="s">
        <v>5233</v>
      </c>
      <c r="B165" s="6"/>
      <c r="C165" s="6"/>
      <c r="D165" s="6"/>
      <c r="E165" s="6"/>
      <c r="F165" s="6"/>
    </row>
    <row r="166" spans="1:6" x14ac:dyDescent="0.25">
      <c r="A166" t="s">
        <v>4044</v>
      </c>
      <c r="B166" t="s">
        <v>4045</v>
      </c>
      <c r="C166" t="s">
        <v>5</v>
      </c>
      <c r="D166" t="s">
        <v>4046</v>
      </c>
      <c r="E166" t="s">
        <v>4047</v>
      </c>
      <c r="F166" t="s">
        <v>4048</v>
      </c>
    </row>
    <row r="167" spans="1:6" x14ac:dyDescent="0.25">
      <c r="A167" t="s">
        <v>4062</v>
      </c>
      <c r="B167" t="s">
        <v>5234</v>
      </c>
      <c r="C167" t="s">
        <v>231</v>
      </c>
      <c r="D167" s="7">
        <v>0.5</v>
      </c>
      <c r="E167" s="2">
        <v>4950</v>
      </c>
      <c r="F167" s="2">
        <v>2475</v>
      </c>
    </row>
    <row r="168" spans="1:6" x14ac:dyDescent="0.25">
      <c r="A168" t="s">
        <v>4062</v>
      </c>
      <c r="B168" t="s">
        <v>5138</v>
      </c>
      <c r="C168" t="s">
        <v>231</v>
      </c>
      <c r="D168" s="7">
        <v>0.2</v>
      </c>
      <c r="E168" s="2">
        <v>4605.46</v>
      </c>
      <c r="F168" s="2">
        <v>921.09</v>
      </c>
    </row>
    <row r="169" spans="1:6" x14ac:dyDescent="0.25">
      <c r="A169" t="s">
        <v>4062</v>
      </c>
      <c r="B169" t="s">
        <v>5139</v>
      </c>
      <c r="C169" t="s">
        <v>231</v>
      </c>
      <c r="D169" s="7">
        <v>3.1</v>
      </c>
      <c r="E169" s="2">
        <v>1385</v>
      </c>
      <c r="F169" s="2">
        <v>4293.5</v>
      </c>
    </row>
    <row r="170" spans="1:6" x14ac:dyDescent="0.25">
      <c r="A170" t="s">
        <v>4062</v>
      </c>
      <c r="B170" t="s">
        <v>5235</v>
      </c>
      <c r="C170" t="s">
        <v>21</v>
      </c>
      <c r="D170" s="7">
        <v>1.05</v>
      </c>
      <c r="E170" s="2">
        <v>18620</v>
      </c>
      <c r="F170" s="2">
        <v>19551</v>
      </c>
    </row>
    <row r="171" spans="1:6" x14ac:dyDescent="0.25">
      <c r="A171" t="s">
        <v>4062</v>
      </c>
      <c r="B171" t="s">
        <v>4076</v>
      </c>
      <c r="C171" t="s">
        <v>3963</v>
      </c>
      <c r="D171" s="7">
        <v>14.83</v>
      </c>
      <c r="E171" s="2">
        <v>21</v>
      </c>
      <c r="F171" s="2">
        <v>311.43</v>
      </c>
    </row>
    <row r="172" spans="1:6" x14ac:dyDescent="0.25">
      <c r="A172" t="s">
        <v>4049</v>
      </c>
      <c r="B172" t="s">
        <v>4050</v>
      </c>
      <c r="C172" t="s">
        <v>4051</v>
      </c>
      <c r="D172" s="7">
        <v>0.85</v>
      </c>
      <c r="E172" s="2">
        <v>9037.33</v>
      </c>
      <c r="F172" s="2">
        <v>7681.73</v>
      </c>
    </row>
    <row r="173" spans="1:6" x14ac:dyDescent="0.25">
      <c r="A173" t="s">
        <v>4049</v>
      </c>
      <c r="B173" t="s">
        <v>4073</v>
      </c>
      <c r="C173" t="s">
        <v>4051</v>
      </c>
      <c r="D173" s="7">
        <v>0.85</v>
      </c>
      <c r="E173" s="2">
        <v>15517.89</v>
      </c>
      <c r="F173" s="2">
        <v>13190.21</v>
      </c>
    </row>
    <row r="174" spans="1:6" x14ac:dyDescent="0.25">
      <c r="A174" t="s">
        <v>4052</v>
      </c>
      <c r="B174" t="s">
        <v>4053</v>
      </c>
      <c r="C174" t="s">
        <v>4054</v>
      </c>
      <c r="D174" s="7">
        <v>5</v>
      </c>
      <c r="E174" s="2">
        <v>20871.94</v>
      </c>
      <c r="F174" s="2">
        <v>1043.6</v>
      </c>
    </row>
    <row r="175" spans="1:6" x14ac:dyDescent="0.25">
      <c r="A175" t="s">
        <v>4055</v>
      </c>
      <c r="D175" s="7"/>
      <c r="E175" s="2"/>
      <c r="F175" s="2">
        <f>SUBTOTAL(109,A_1_11_15[VALOR PARCIAL])</f>
      </c>
    </row>
    <row r="177" ht="30" customHeight="1" spans="1:6" x14ac:dyDescent="0.25">
      <c r="A177" s="5" t="s">
        <v>5236</v>
      </c>
      <c r="B177" s="5"/>
      <c r="C177" s="5"/>
      <c r="D177" s="5"/>
      <c r="E177" s="5"/>
      <c r="F177" s="5"/>
    </row>
    <row r="178" ht="42" customHeight="1" spans="1:6" x14ac:dyDescent="0.25">
      <c r="A178" s="6" t="s">
        <v>5237</v>
      </c>
      <c r="B178" s="6"/>
      <c r="C178" s="6"/>
      <c r="D178" s="6"/>
      <c r="E178" s="6"/>
      <c r="F178" s="6"/>
    </row>
    <row r="179" spans="1:6" x14ac:dyDescent="0.25">
      <c r="A179" t="s">
        <v>4044</v>
      </c>
      <c r="B179" t="s">
        <v>4045</v>
      </c>
      <c r="C179" t="s">
        <v>5</v>
      </c>
      <c r="D179" t="s">
        <v>4046</v>
      </c>
      <c r="E179" t="s">
        <v>4047</v>
      </c>
      <c r="F179" t="s">
        <v>4048</v>
      </c>
    </row>
    <row r="180" spans="1:6" x14ac:dyDescent="0.25">
      <c r="A180" t="s">
        <v>4062</v>
      </c>
      <c r="B180" t="s">
        <v>4547</v>
      </c>
      <c r="C180" t="s">
        <v>34</v>
      </c>
      <c r="D180" s="7">
        <v>0.02</v>
      </c>
      <c r="E180" s="2">
        <v>57129.33</v>
      </c>
      <c r="F180" s="2">
        <v>1142.59</v>
      </c>
    </row>
    <row r="181" spans="1:6" x14ac:dyDescent="0.25">
      <c r="A181" t="s">
        <v>4062</v>
      </c>
      <c r="B181" t="s">
        <v>5238</v>
      </c>
      <c r="C181" t="s">
        <v>21</v>
      </c>
      <c r="D181" s="7">
        <v>1.1</v>
      </c>
      <c r="E181" s="2">
        <v>3533</v>
      </c>
      <c r="F181" s="2">
        <v>3886.3</v>
      </c>
    </row>
    <row r="182" spans="1:6" x14ac:dyDescent="0.25">
      <c r="A182" t="s">
        <v>4049</v>
      </c>
      <c r="B182" t="s">
        <v>4487</v>
      </c>
      <c r="C182" t="s">
        <v>4236</v>
      </c>
      <c r="D182" s="7">
        <v>0.1</v>
      </c>
      <c r="E182" s="2">
        <v>24555.22</v>
      </c>
      <c r="F182" s="2">
        <v>2455.52</v>
      </c>
    </row>
    <row r="183" spans="1:6" x14ac:dyDescent="0.25">
      <c r="A183" t="s">
        <v>4052</v>
      </c>
      <c r="B183" t="s">
        <v>4053</v>
      </c>
      <c r="C183" t="s">
        <v>4054</v>
      </c>
      <c r="D183" s="7">
        <v>5</v>
      </c>
      <c r="E183" s="2">
        <v>2455.52</v>
      </c>
      <c r="F183" s="2">
        <v>122.78</v>
      </c>
    </row>
    <row r="184" spans="1:6" x14ac:dyDescent="0.25">
      <c r="A184" t="s">
        <v>4055</v>
      </c>
      <c r="D184" s="7"/>
      <c r="E184" s="2"/>
      <c r="F184" s="2">
        <f>SUBTOTAL(109,A_1_11_16[VALOR PARCIAL])</f>
      </c>
    </row>
    <row r="186" ht="30" customHeight="1" spans="1:6" x14ac:dyDescent="0.25">
      <c r="A186" s="5" t="s">
        <v>5239</v>
      </c>
      <c r="B186" s="5"/>
      <c r="C186" s="5"/>
      <c r="D186" s="5"/>
      <c r="E186" s="5"/>
      <c r="F186" s="5"/>
    </row>
    <row r="187" ht="42" customHeight="1" spans="1:6" x14ac:dyDescent="0.25">
      <c r="A187" s="6" t="s">
        <v>5240</v>
      </c>
      <c r="B187" s="6"/>
      <c r="C187" s="6"/>
      <c r="D187" s="6"/>
      <c r="E187" s="6"/>
      <c r="F187" s="6"/>
    </row>
    <row r="188" spans="1:6" x14ac:dyDescent="0.25">
      <c r="A188" t="s">
        <v>4044</v>
      </c>
      <c r="B188" t="s">
        <v>4045</v>
      </c>
      <c r="C188" t="s">
        <v>5</v>
      </c>
      <c r="D188" t="s">
        <v>4046</v>
      </c>
      <c r="E188" t="s">
        <v>4047</v>
      </c>
      <c r="F188" t="s">
        <v>4048</v>
      </c>
    </row>
    <row r="189" spans="1:6" x14ac:dyDescent="0.25">
      <c r="A189" t="s">
        <v>4062</v>
      </c>
      <c r="B189" t="s">
        <v>4474</v>
      </c>
      <c r="C189" t="s">
        <v>34</v>
      </c>
      <c r="D189" s="7">
        <v>0.09</v>
      </c>
      <c r="E189" s="2">
        <v>114500</v>
      </c>
      <c r="F189" s="2">
        <v>10305</v>
      </c>
    </row>
    <row r="190" spans="1:6" x14ac:dyDescent="0.25">
      <c r="A190" t="s">
        <v>4062</v>
      </c>
      <c r="B190" t="s">
        <v>4690</v>
      </c>
      <c r="C190" t="s">
        <v>231</v>
      </c>
      <c r="D190" s="7">
        <v>21</v>
      </c>
      <c r="E190" s="2">
        <v>2025</v>
      </c>
      <c r="F190" s="2">
        <v>42525</v>
      </c>
    </row>
    <row r="191" spans="1:6" x14ac:dyDescent="0.25">
      <c r="A191" t="s">
        <v>4062</v>
      </c>
      <c r="B191" t="s">
        <v>4475</v>
      </c>
      <c r="C191" t="s">
        <v>231</v>
      </c>
      <c r="D191" s="7">
        <v>18.7</v>
      </c>
      <c r="E191" s="2">
        <v>730</v>
      </c>
      <c r="F191" s="2">
        <v>13651</v>
      </c>
    </row>
    <row r="192" spans="1:6" x14ac:dyDescent="0.25">
      <c r="A192" t="s">
        <v>4062</v>
      </c>
      <c r="B192" t="s">
        <v>5208</v>
      </c>
      <c r="C192" t="s">
        <v>42</v>
      </c>
      <c r="D192" s="7">
        <v>1.35</v>
      </c>
      <c r="E192" s="2">
        <v>12961</v>
      </c>
      <c r="F192" s="2">
        <v>17497.35</v>
      </c>
    </row>
    <row r="193" spans="1:6" x14ac:dyDescent="0.25">
      <c r="A193" t="s">
        <v>4062</v>
      </c>
      <c r="B193" t="s">
        <v>5215</v>
      </c>
      <c r="C193" t="s">
        <v>5090</v>
      </c>
      <c r="D193" s="7">
        <v>0.75</v>
      </c>
      <c r="E193" s="2">
        <v>25667</v>
      </c>
      <c r="F193" s="2">
        <v>19250.25</v>
      </c>
    </row>
    <row r="194" spans="1:6" x14ac:dyDescent="0.25">
      <c r="A194" t="s">
        <v>4062</v>
      </c>
      <c r="B194" t="s">
        <v>5103</v>
      </c>
      <c r="C194" t="s">
        <v>5090</v>
      </c>
      <c r="D194" s="7">
        <v>0.5</v>
      </c>
      <c r="E194" s="2">
        <v>16597</v>
      </c>
      <c r="F194" s="2">
        <v>8298.5</v>
      </c>
    </row>
    <row r="195" spans="1:6" x14ac:dyDescent="0.25">
      <c r="A195" t="s">
        <v>4062</v>
      </c>
      <c r="B195" t="s">
        <v>5210</v>
      </c>
      <c r="C195" t="s">
        <v>231</v>
      </c>
      <c r="D195" s="7">
        <v>0.33</v>
      </c>
      <c r="E195" s="2">
        <v>8133.33</v>
      </c>
      <c r="F195" s="2">
        <v>2684</v>
      </c>
    </row>
    <row r="196" spans="1:6" x14ac:dyDescent="0.25">
      <c r="A196" t="s">
        <v>4062</v>
      </c>
      <c r="B196" t="s">
        <v>4076</v>
      </c>
      <c r="C196" t="s">
        <v>3963</v>
      </c>
      <c r="D196" s="7">
        <v>7.41</v>
      </c>
      <c r="E196" s="2">
        <v>21</v>
      </c>
      <c r="F196" s="2">
        <v>155.61</v>
      </c>
    </row>
    <row r="197" spans="1:6" x14ac:dyDescent="0.25">
      <c r="A197" t="s">
        <v>4049</v>
      </c>
      <c r="B197" t="s">
        <v>4050</v>
      </c>
      <c r="C197" t="s">
        <v>4051</v>
      </c>
      <c r="D197" s="7">
        <v>1.5</v>
      </c>
      <c r="E197" s="2">
        <v>9037.33</v>
      </c>
      <c r="F197" s="2">
        <v>13555.99</v>
      </c>
    </row>
    <row r="198" spans="1:6" x14ac:dyDescent="0.25">
      <c r="A198" t="s">
        <v>4049</v>
      </c>
      <c r="B198" t="s">
        <v>4073</v>
      </c>
      <c r="C198" t="s">
        <v>4051</v>
      </c>
      <c r="D198" s="7">
        <v>1.5</v>
      </c>
      <c r="E198" s="2">
        <v>15517.89</v>
      </c>
      <c r="F198" s="2">
        <v>23276.83</v>
      </c>
    </row>
    <row r="199" spans="1:6" x14ac:dyDescent="0.25">
      <c r="A199" t="s">
        <v>4052</v>
      </c>
      <c r="B199" t="s">
        <v>4053</v>
      </c>
      <c r="C199" t="s">
        <v>4054</v>
      </c>
      <c r="D199" s="7">
        <v>5</v>
      </c>
      <c r="E199" s="2">
        <v>36832.82</v>
      </c>
      <c r="F199" s="2">
        <v>1841.64</v>
      </c>
    </row>
    <row r="200" spans="1:6" x14ac:dyDescent="0.25">
      <c r="A200" t="s">
        <v>4055</v>
      </c>
      <c r="D200" s="7"/>
      <c r="E200" s="2"/>
      <c r="F200" s="2">
        <f>SUBTOTAL(109,A_1_11_17[VALOR PARCIAL])</f>
      </c>
    </row>
    <row r="202" ht="30" customHeight="1" spans="1:6" x14ac:dyDescent="0.25">
      <c r="A202" s="5" t="s">
        <v>5241</v>
      </c>
      <c r="B202" s="5"/>
      <c r="C202" s="5"/>
      <c r="D202" s="5"/>
      <c r="E202" s="5"/>
      <c r="F202" s="5"/>
    </row>
    <row r="203" ht="42" customHeight="1" spans="1:6" x14ac:dyDescent="0.25">
      <c r="A203" s="6" t="s">
        <v>5242</v>
      </c>
      <c r="B203" s="6"/>
      <c r="C203" s="6"/>
      <c r="D203" s="6"/>
      <c r="E203" s="6"/>
      <c r="F203" s="6"/>
    </row>
    <row r="204" spans="1:6" x14ac:dyDescent="0.25">
      <c r="A204" t="s">
        <v>4044</v>
      </c>
      <c r="B204" t="s">
        <v>4045</v>
      </c>
      <c r="C204" t="s">
        <v>5</v>
      </c>
      <c r="D204" t="s">
        <v>4046</v>
      </c>
      <c r="E204" t="s">
        <v>4047</v>
      </c>
      <c r="F204" t="s">
        <v>4048</v>
      </c>
    </row>
    <row r="205" spans="1:6" x14ac:dyDescent="0.25">
      <c r="A205" t="s">
        <v>4062</v>
      </c>
      <c r="B205" t="s">
        <v>5243</v>
      </c>
      <c r="C205" t="s">
        <v>34</v>
      </c>
      <c r="D205" s="7">
        <v>1.2</v>
      </c>
      <c r="E205" s="2">
        <v>275000</v>
      </c>
      <c r="F205" s="2">
        <v>330000</v>
      </c>
    </row>
    <row r="206" spans="1:6" x14ac:dyDescent="0.25">
      <c r="A206" t="s">
        <v>4049</v>
      </c>
      <c r="B206" t="s">
        <v>4342</v>
      </c>
      <c r="C206" t="s">
        <v>4106</v>
      </c>
      <c r="D206" s="7">
        <v>0.04</v>
      </c>
      <c r="E206" s="2">
        <v>66666.67</v>
      </c>
      <c r="F206" s="2">
        <v>2666.67</v>
      </c>
    </row>
    <row r="207" spans="1:6" x14ac:dyDescent="0.25">
      <c r="A207" t="s">
        <v>4049</v>
      </c>
      <c r="B207" t="s">
        <v>4487</v>
      </c>
      <c r="C207" t="s">
        <v>4236</v>
      </c>
      <c r="D207" s="7">
        <v>0.7</v>
      </c>
      <c r="E207" s="2">
        <v>24555.22</v>
      </c>
      <c r="F207" s="2">
        <v>17188.65</v>
      </c>
    </row>
    <row r="208" spans="1:6" x14ac:dyDescent="0.25">
      <c r="A208" t="s">
        <v>4055</v>
      </c>
      <c r="D208" s="7"/>
      <c r="E208" s="2"/>
      <c r="F208" s="2">
        <f>SUBTOTAL(109,A_1_11_18[VALOR PARCIAL])</f>
      </c>
    </row>
    <row r="210" ht="30" customHeight="1" spans="1:6" x14ac:dyDescent="0.25">
      <c r="A210" s="5" t="s">
        <v>5244</v>
      </c>
      <c r="B210" s="5"/>
      <c r="C210" s="5"/>
      <c r="D210" s="5"/>
      <c r="E210" s="5"/>
      <c r="F210" s="5"/>
    </row>
    <row r="211" ht="42" customHeight="1" spans="1:6" x14ac:dyDescent="0.25">
      <c r="A211" s="6" t="s">
        <v>5245</v>
      </c>
      <c r="B211" s="6"/>
      <c r="C211" s="6"/>
      <c r="D211" s="6"/>
      <c r="E211" s="6"/>
      <c r="F211" s="6"/>
    </row>
    <row r="212" spans="1:6" x14ac:dyDescent="0.25">
      <c r="A212" t="s">
        <v>4044</v>
      </c>
      <c r="B212" t="s">
        <v>4045</v>
      </c>
      <c r="C212" t="s">
        <v>5</v>
      </c>
      <c r="D212" t="s">
        <v>4046</v>
      </c>
      <c r="E212" t="s">
        <v>4047</v>
      </c>
      <c r="F212" t="s">
        <v>4048</v>
      </c>
    </row>
    <row r="213" spans="1:6" x14ac:dyDescent="0.25">
      <c r="A213" t="s">
        <v>4062</v>
      </c>
      <c r="B213" t="s">
        <v>4474</v>
      </c>
      <c r="C213" t="s">
        <v>34</v>
      </c>
      <c r="D213" s="7">
        <v>0.09</v>
      </c>
      <c r="E213" s="2">
        <v>114500</v>
      </c>
      <c r="F213" s="2">
        <v>10305</v>
      </c>
    </row>
    <row r="214" spans="1:6" x14ac:dyDescent="0.25">
      <c r="A214" t="s">
        <v>4062</v>
      </c>
      <c r="B214" t="s">
        <v>4690</v>
      </c>
      <c r="C214" t="s">
        <v>231</v>
      </c>
      <c r="D214" s="7">
        <v>18.7</v>
      </c>
      <c r="E214" s="2">
        <v>2025</v>
      </c>
      <c r="F214" s="2">
        <v>37867.5</v>
      </c>
    </row>
    <row r="215" spans="1:6" x14ac:dyDescent="0.25">
      <c r="A215" t="s">
        <v>4062</v>
      </c>
      <c r="B215" t="s">
        <v>4475</v>
      </c>
      <c r="C215" t="s">
        <v>231</v>
      </c>
      <c r="D215" s="7">
        <v>15</v>
      </c>
      <c r="E215" s="2">
        <v>730</v>
      </c>
      <c r="F215" s="2">
        <v>10950</v>
      </c>
    </row>
    <row r="216" spans="1:6" x14ac:dyDescent="0.25">
      <c r="A216" t="s">
        <v>4062</v>
      </c>
      <c r="B216" t="s">
        <v>5208</v>
      </c>
      <c r="C216" t="s">
        <v>42</v>
      </c>
      <c r="D216" s="7">
        <v>1.35</v>
      </c>
      <c r="E216" s="2">
        <v>12961</v>
      </c>
      <c r="F216" s="2">
        <v>17497.35</v>
      </c>
    </row>
    <row r="217" spans="1:6" x14ac:dyDescent="0.25">
      <c r="A217" t="s">
        <v>4062</v>
      </c>
      <c r="B217" t="s">
        <v>5215</v>
      </c>
      <c r="C217" t="s">
        <v>5090</v>
      </c>
      <c r="D217" s="7">
        <v>0.75</v>
      </c>
      <c r="E217" s="2">
        <v>25667</v>
      </c>
      <c r="F217" s="2">
        <v>19250.25</v>
      </c>
    </row>
    <row r="218" spans="1:6" x14ac:dyDescent="0.25">
      <c r="A218" t="s">
        <v>4062</v>
      </c>
      <c r="B218" t="s">
        <v>5103</v>
      </c>
      <c r="C218" t="s">
        <v>5090</v>
      </c>
      <c r="D218" s="7">
        <v>0.5</v>
      </c>
      <c r="E218" s="2">
        <v>16597</v>
      </c>
      <c r="F218" s="2">
        <v>8298.5</v>
      </c>
    </row>
    <row r="219" spans="1:6" x14ac:dyDescent="0.25">
      <c r="A219" t="s">
        <v>4062</v>
      </c>
      <c r="B219" t="s">
        <v>5210</v>
      </c>
      <c r="C219" t="s">
        <v>231</v>
      </c>
      <c r="D219" s="7">
        <v>0.33</v>
      </c>
      <c r="E219" s="2">
        <v>8133.33</v>
      </c>
      <c r="F219" s="2">
        <v>2684</v>
      </c>
    </row>
    <row r="220" spans="1:6" x14ac:dyDescent="0.25">
      <c r="A220" t="s">
        <v>4062</v>
      </c>
      <c r="B220" t="s">
        <v>4076</v>
      </c>
      <c r="C220" t="s">
        <v>3963</v>
      </c>
      <c r="D220" s="7">
        <v>7.41</v>
      </c>
      <c r="E220" s="2">
        <v>21</v>
      </c>
      <c r="F220" s="2">
        <v>155.61</v>
      </c>
    </row>
    <row r="221" spans="1:6" x14ac:dyDescent="0.25">
      <c r="A221" t="s">
        <v>4049</v>
      </c>
      <c r="B221" t="s">
        <v>4113</v>
      </c>
      <c r="C221" t="s">
        <v>4106</v>
      </c>
      <c r="D221" s="7">
        <v>0.25</v>
      </c>
      <c r="E221" s="2">
        <v>43805.88</v>
      </c>
      <c r="F221" s="2">
        <v>10951.47</v>
      </c>
    </row>
    <row r="222" spans="1:6" x14ac:dyDescent="0.25">
      <c r="A222" t="s">
        <v>4049</v>
      </c>
      <c r="B222" t="s">
        <v>4050</v>
      </c>
      <c r="C222" t="s">
        <v>4051</v>
      </c>
      <c r="D222" s="7">
        <v>1.5</v>
      </c>
      <c r="E222" s="2">
        <v>9037.33</v>
      </c>
      <c r="F222" s="2">
        <v>13555.99</v>
      </c>
    </row>
    <row r="223" spans="1:6" x14ac:dyDescent="0.25">
      <c r="A223" t="s">
        <v>4049</v>
      </c>
      <c r="B223" t="s">
        <v>4073</v>
      </c>
      <c r="C223" t="s">
        <v>4051</v>
      </c>
      <c r="D223" s="7">
        <v>1.5</v>
      </c>
      <c r="E223" s="2">
        <v>15517.89</v>
      </c>
      <c r="F223" s="2">
        <v>23276.83</v>
      </c>
    </row>
    <row r="224" spans="1:6" x14ac:dyDescent="0.25">
      <c r="A224" t="s">
        <v>4052</v>
      </c>
      <c r="B224" t="s">
        <v>4053</v>
      </c>
      <c r="C224" t="s">
        <v>4054</v>
      </c>
      <c r="D224" s="7">
        <v>5</v>
      </c>
      <c r="E224" s="2">
        <v>36832.82</v>
      </c>
      <c r="F224" s="2">
        <v>1841.64</v>
      </c>
    </row>
    <row r="225" spans="1:6" x14ac:dyDescent="0.25">
      <c r="A225" t="s">
        <v>4055</v>
      </c>
      <c r="D225" s="7"/>
      <c r="E225" s="2"/>
      <c r="F225" s="2">
        <f>SUBTOTAL(109,A_1_11_19[VALOR PARCIAL])</f>
      </c>
    </row>
    <row r="227" ht="30" customHeight="1" spans="1:6" x14ac:dyDescent="0.25">
      <c r="A227" s="5" t="s">
        <v>5246</v>
      </c>
      <c r="B227" s="5"/>
      <c r="C227" s="5"/>
      <c r="D227" s="5"/>
      <c r="E227" s="5"/>
      <c r="F227" s="5"/>
    </row>
    <row r="228" ht="42" customHeight="1" spans="1:6" x14ac:dyDescent="0.25">
      <c r="A228" s="6" t="s">
        <v>5247</v>
      </c>
      <c r="B228" s="6"/>
      <c r="C228" s="6"/>
      <c r="D228" s="6"/>
      <c r="E228" s="6"/>
      <c r="F228" s="6"/>
    </row>
    <row r="229" spans="1:6" x14ac:dyDescent="0.25">
      <c r="A229" t="s">
        <v>4044</v>
      </c>
      <c r="B229" t="s">
        <v>4045</v>
      </c>
      <c r="C229" t="s">
        <v>5</v>
      </c>
      <c r="D229" t="s">
        <v>4046</v>
      </c>
      <c r="E229" t="s">
        <v>4047</v>
      </c>
      <c r="F229" t="s">
        <v>4048</v>
      </c>
    </row>
    <row r="230" spans="1:6" x14ac:dyDescent="0.25">
      <c r="A230" t="s">
        <v>4062</v>
      </c>
      <c r="B230" t="s">
        <v>4474</v>
      </c>
      <c r="C230" t="s">
        <v>34</v>
      </c>
      <c r="D230" s="7">
        <v>0.03</v>
      </c>
      <c r="E230" s="2">
        <v>114500</v>
      </c>
      <c r="F230" s="2">
        <v>3435</v>
      </c>
    </row>
    <row r="231" spans="1:6" x14ac:dyDescent="0.25">
      <c r="A231" t="s">
        <v>4062</v>
      </c>
      <c r="B231" t="s">
        <v>4475</v>
      </c>
      <c r="C231" t="s">
        <v>231</v>
      </c>
      <c r="D231" s="7">
        <v>6.98</v>
      </c>
      <c r="E231" s="2">
        <v>730</v>
      </c>
      <c r="F231" s="2">
        <v>5095.4</v>
      </c>
    </row>
    <row r="232" spans="1:6" x14ac:dyDescent="0.25">
      <c r="A232" t="s">
        <v>4062</v>
      </c>
      <c r="B232" t="s">
        <v>5208</v>
      </c>
      <c r="C232" t="s">
        <v>42</v>
      </c>
      <c r="D232" s="7">
        <v>0.8</v>
      </c>
      <c r="E232" s="2">
        <v>12961</v>
      </c>
      <c r="F232" s="2">
        <v>10368.8</v>
      </c>
    </row>
    <row r="233" spans="1:6" x14ac:dyDescent="0.25">
      <c r="A233" t="s">
        <v>4062</v>
      </c>
      <c r="B233" t="s">
        <v>5219</v>
      </c>
      <c r="C233" t="s">
        <v>34</v>
      </c>
      <c r="D233" s="7">
        <v>0.02</v>
      </c>
      <c r="E233" s="2">
        <v>92880</v>
      </c>
      <c r="F233" s="2">
        <v>1857.6</v>
      </c>
    </row>
    <row r="234" spans="1:6" x14ac:dyDescent="0.25">
      <c r="A234" t="s">
        <v>4062</v>
      </c>
      <c r="B234" t="s">
        <v>5210</v>
      </c>
      <c r="C234" t="s">
        <v>231</v>
      </c>
      <c r="D234" s="7">
        <v>1.03</v>
      </c>
      <c r="E234" s="2">
        <v>8133.33</v>
      </c>
      <c r="F234" s="2">
        <v>8377.33</v>
      </c>
    </row>
    <row r="235" spans="1:6" x14ac:dyDescent="0.25">
      <c r="A235" t="s">
        <v>4062</v>
      </c>
      <c r="B235" t="s">
        <v>4076</v>
      </c>
      <c r="C235" t="s">
        <v>3963</v>
      </c>
      <c r="D235" s="7">
        <v>3.18</v>
      </c>
      <c r="E235" s="2">
        <v>21</v>
      </c>
      <c r="F235" s="2">
        <v>66.78</v>
      </c>
    </row>
    <row r="236" spans="1:6" x14ac:dyDescent="0.25">
      <c r="A236" t="s">
        <v>4049</v>
      </c>
      <c r="B236" t="s">
        <v>4050</v>
      </c>
      <c r="C236" t="s">
        <v>4051</v>
      </c>
      <c r="D236" s="7">
        <v>2.5</v>
      </c>
      <c r="E236" s="2">
        <v>9037.33</v>
      </c>
      <c r="F236" s="2">
        <v>22593.33</v>
      </c>
    </row>
    <row r="237" spans="1:6" x14ac:dyDescent="0.25">
      <c r="A237" t="s">
        <v>4049</v>
      </c>
      <c r="B237" t="s">
        <v>4073</v>
      </c>
      <c r="C237" t="s">
        <v>4051</v>
      </c>
      <c r="D237" s="7">
        <v>2.5</v>
      </c>
      <c r="E237" s="2">
        <v>15517.89</v>
      </c>
      <c r="F237" s="2">
        <v>38794.72</v>
      </c>
    </row>
    <row r="238" spans="1:6" x14ac:dyDescent="0.25">
      <c r="A238" t="s">
        <v>4052</v>
      </c>
      <c r="B238" t="s">
        <v>4053</v>
      </c>
      <c r="C238" t="s">
        <v>4054</v>
      </c>
      <c r="D238" s="7">
        <v>5</v>
      </c>
      <c r="E238" s="2">
        <v>61388.05</v>
      </c>
      <c r="F238" s="2">
        <v>3069.4</v>
      </c>
    </row>
    <row r="239" spans="1:6" x14ac:dyDescent="0.25">
      <c r="A239" t="s">
        <v>4055</v>
      </c>
      <c r="D239" s="7"/>
      <c r="E239" s="2"/>
      <c r="F239" s="2">
        <f>SUBTOTAL(109,A_1_11_20[VALOR PARCIAL])</f>
      </c>
    </row>
    <row r="241" ht="30" customHeight="1" spans="1:6" x14ac:dyDescent="0.25">
      <c r="A241" s="5" t="s">
        <v>5248</v>
      </c>
      <c r="B241" s="5"/>
      <c r="C241" s="5"/>
      <c r="D241" s="5"/>
      <c r="E241" s="5"/>
      <c r="F241" s="5"/>
    </row>
    <row r="242" ht="42" customHeight="1" spans="1:6" x14ac:dyDescent="0.25">
      <c r="A242" s="6" t="s">
        <v>5249</v>
      </c>
      <c r="B242" s="6"/>
      <c r="C242" s="6"/>
      <c r="D242" s="6"/>
      <c r="E242" s="6"/>
      <c r="F242" s="6"/>
    </row>
    <row r="243" spans="1:6" x14ac:dyDescent="0.25">
      <c r="A243" t="s">
        <v>4044</v>
      </c>
      <c r="B243" t="s">
        <v>4045</v>
      </c>
      <c r="C243" t="s">
        <v>5</v>
      </c>
      <c r="D243" t="s">
        <v>4046</v>
      </c>
      <c r="E243" t="s">
        <v>4047</v>
      </c>
      <c r="F243" t="s">
        <v>4048</v>
      </c>
    </row>
    <row r="244" spans="1:6" x14ac:dyDescent="0.25">
      <c r="A244" t="s">
        <v>4062</v>
      </c>
      <c r="B244" t="s">
        <v>5250</v>
      </c>
      <c r="C244" t="s">
        <v>63</v>
      </c>
      <c r="D244" s="7">
        <v>40</v>
      </c>
      <c r="E244" s="2">
        <v>185</v>
      </c>
      <c r="F244" s="2">
        <v>7400</v>
      </c>
    </row>
    <row r="245" spans="1:6" x14ac:dyDescent="0.25">
      <c r="A245" t="s">
        <v>4062</v>
      </c>
      <c r="B245" t="s">
        <v>5251</v>
      </c>
      <c r="C245" t="s">
        <v>63</v>
      </c>
      <c r="D245" s="7">
        <v>40</v>
      </c>
      <c r="E245" s="2">
        <v>782.4</v>
      </c>
      <c r="F245" s="2">
        <v>31296</v>
      </c>
    </row>
    <row r="246" spans="1:6" x14ac:dyDescent="0.25">
      <c r="A246" t="s">
        <v>4062</v>
      </c>
      <c r="B246" t="s">
        <v>5252</v>
      </c>
      <c r="C246" t="s">
        <v>21</v>
      </c>
      <c r="D246" s="7">
        <v>1.1</v>
      </c>
      <c r="E246" s="2">
        <v>22891.7</v>
      </c>
      <c r="F246" s="2">
        <v>25180.87</v>
      </c>
    </row>
    <row r="247" spans="1:6" x14ac:dyDescent="0.25">
      <c r="A247" t="s">
        <v>4062</v>
      </c>
      <c r="B247" t="s">
        <v>5253</v>
      </c>
      <c r="C247" t="s">
        <v>4377</v>
      </c>
      <c r="D247" s="7">
        <v>0.3</v>
      </c>
      <c r="E247" s="2">
        <v>60500</v>
      </c>
      <c r="F247" s="2">
        <v>18150</v>
      </c>
    </row>
    <row r="248" spans="1:6" x14ac:dyDescent="0.25">
      <c r="A248" t="s">
        <v>4062</v>
      </c>
      <c r="B248" t="s">
        <v>5254</v>
      </c>
      <c r="C248" t="s">
        <v>4377</v>
      </c>
      <c r="D248" s="7">
        <v>0.01</v>
      </c>
      <c r="E248" s="2">
        <v>25500</v>
      </c>
      <c r="F248" s="2">
        <v>255</v>
      </c>
    </row>
    <row r="249" spans="1:6" x14ac:dyDescent="0.25">
      <c r="A249" t="s">
        <v>4049</v>
      </c>
      <c r="B249" t="s">
        <v>4182</v>
      </c>
      <c r="C249" t="s">
        <v>4051</v>
      </c>
      <c r="D249" s="7">
        <v>0.5</v>
      </c>
      <c r="E249" s="2">
        <v>10845.1</v>
      </c>
      <c r="F249" s="2">
        <v>5422.55</v>
      </c>
    </row>
    <row r="250" spans="1:6" x14ac:dyDescent="0.25">
      <c r="A250" t="s">
        <v>4049</v>
      </c>
      <c r="B250" t="s">
        <v>4183</v>
      </c>
      <c r="C250" t="s">
        <v>4051</v>
      </c>
      <c r="D250" s="7">
        <v>0.5</v>
      </c>
      <c r="E250" s="2">
        <v>18621.17</v>
      </c>
      <c r="F250" s="2">
        <v>9310.58</v>
      </c>
    </row>
    <row r="251" spans="1:6" x14ac:dyDescent="0.25">
      <c r="A251" t="s">
        <v>4052</v>
      </c>
      <c r="B251" t="s">
        <v>4053</v>
      </c>
      <c r="C251" t="s">
        <v>4054</v>
      </c>
      <c r="D251" s="7">
        <v>5</v>
      </c>
      <c r="E251" s="2">
        <v>14733.13</v>
      </c>
      <c r="F251" s="2">
        <v>736.66</v>
      </c>
    </row>
    <row r="252" spans="1:6" x14ac:dyDescent="0.25">
      <c r="A252" t="s">
        <v>4055</v>
      </c>
      <c r="D252" s="7"/>
      <c r="E252" s="2"/>
      <c r="F252" s="2">
        <f>SUBTOTAL(109,A_1_11_21[VALOR PARCIAL])</f>
      </c>
    </row>
    <row r="254" ht="30" customHeight="1" spans="1:6" x14ac:dyDescent="0.25">
      <c r="A254" s="5" t="s">
        <v>5255</v>
      </c>
      <c r="B254" s="5"/>
      <c r="C254" s="5"/>
      <c r="D254" s="5"/>
      <c r="E254" s="5"/>
      <c r="F254" s="5"/>
    </row>
    <row r="255" ht="42" customHeight="1" spans="1:6" x14ac:dyDescent="0.25">
      <c r="A255" s="6" t="s">
        <v>5256</v>
      </c>
      <c r="B255" s="6"/>
      <c r="C255" s="6"/>
      <c r="D255" s="6"/>
      <c r="E255" s="6"/>
      <c r="F255" s="6"/>
    </row>
    <row r="256" spans="1:6" x14ac:dyDescent="0.25">
      <c r="A256" t="s">
        <v>4044</v>
      </c>
      <c r="B256" t="s">
        <v>4045</v>
      </c>
      <c r="C256" t="s">
        <v>5</v>
      </c>
      <c r="D256" t="s">
        <v>4046</v>
      </c>
      <c r="E256" t="s">
        <v>4047</v>
      </c>
      <c r="F256" t="s">
        <v>4048</v>
      </c>
    </row>
    <row r="257" spans="1:6" x14ac:dyDescent="0.25">
      <c r="A257" t="s">
        <v>4062</v>
      </c>
      <c r="B257" t="s">
        <v>4690</v>
      </c>
      <c r="C257" t="s">
        <v>231</v>
      </c>
      <c r="D257" s="7">
        <v>1.03</v>
      </c>
      <c r="E257" s="2">
        <v>2025</v>
      </c>
      <c r="F257" s="2">
        <v>2085.75</v>
      </c>
    </row>
    <row r="258" spans="1:6" x14ac:dyDescent="0.25">
      <c r="A258" t="s">
        <v>4062</v>
      </c>
      <c r="B258" t="s">
        <v>3978</v>
      </c>
      <c r="C258" t="s">
        <v>34</v>
      </c>
      <c r="D258" s="7">
        <v>0.02</v>
      </c>
      <c r="E258" s="2">
        <v>409741.65</v>
      </c>
      <c r="F258" s="2">
        <v>8194.83</v>
      </c>
    </row>
    <row r="259" spans="1:6" x14ac:dyDescent="0.25">
      <c r="A259" t="s">
        <v>4062</v>
      </c>
      <c r="B259" t="s">
        <v>5257</v>
      </c>
      <c r="C259" t="s">
        <v>21</v>
      </c>
      <c r="D259" s="7">
        <v>1.03</v>
      </c>
      <c r="E259" s="2">
        <v>120600</v>
      </c>
      <c r="F259" s="2">
        <v>124218</v>
      </c>
    </row>
    <row r="260" spans="1:6" x14ac:dyDescent="0.25">
      <c r="A260" t="s">
        <v>4049</v>
      </c>
      <c r="B260" t="s">
        <v>4050</v>
      </c>
      <c r="C260" t="s">
        <v>4051</v>
      </c>
      <c r="D260" s="7">
        <v>1.3</v>
      </c>
      <c r="E260" s="2">
        <v>9037.33</v>
      </c>
      <c r="F260" s="2">
        <v>11748.53</v>
      </c>
    </row>
    <row r="261" spans="1:6" x14ac:dyDescent="0.25">
      <c r="A261" t="s">
        <v>4049</v>
      </c>
      <c r="B261" t="s">
        <v>4073</v>
      </c>
      <c r="C261" t="s">
        <v>4051</v>
      </c>
      <c r="D261" s="7">
        <v>1.3</v>
      </c>
      <c r="E261" s="2">
        <v>15517.89</v>
      </c>
      <c r="F261" s="2">
        <v>20173.26</v>
      </c>
    </row>
    <row r="262" spans="1:6" x14ac:dyDescent="0.25">
      <c r="A262" t="s">
        <v>4052</v>
      </c>
      <c r="B262" t="s">
        <v>4053</v>
      </c>
      <c r="C262" t="s">
        <v>4054</v>
      </c>
      <c r="D262" s="7">
        <v>5</v>
      </c>
      <c r="E262" s="2">
        <v>31921.79</v>
      </c>
      <c r="F262" s="2">
        <v>1596.09</v>
      </c>
    </row>
    <row r="263" spans="1:6" x14ac:dyDescent="0.25">
      <c r="A263" t="s">
        <v>4055</v>
      </c>
      <c r="D263" s="7"/>
      <c r="E263" s="2"/>
      <c r="F263" s="2">
        <f>SUBTOTAL(109,A_1_11_22[VALOR PARCIAL])</f>
      </c>
    </row>
    <row r="265" ht="30" customHeight="1" spans="1:6" x14ac:dyDescent="0.25">
      <c r="A265" s="5" t="s">
        <v>5258</v>
      </c>
      <c r="B265" s="5"/>
      <c r="C265" s="5"/>
      <c r="D265" s="5"/>
      <c r="E265" s="5"/>
      <c r="F265" s="5"/>
    </row>
    <row r="266" ht="42" customHeight="1" spans="1:6" x14ac:dyDescent="0.25">
      <c r="A266" s="6" t="s">
        <v>5259</v>
      </c>
      <c r="B266" s="6"/>
      <c r="C266" s="6"/>
      <c r="D266" s="6"/>
      <c r="E266" s="6"/>
      <c r="F266" s="6"/>
    </row>
    <row r="267" spans="1:6" x14ac:dyDescent="0.25">
      <c r="A267" t="s">
        <v>4044</v>
      </c>
      <c r="B267" t="s">
        <v>4045</v>
      </c>
      <c r="C267" t="s">
        <v>5</v>
      </c>
      <c r="D267" t="s">
        <v>4046</v>
      </c>
      <c r="E267" t="s">
        <v>4047</v>
      </c>
      <c r="F267" t="s">
        <v>4048</v>
      </c>
    </row>
    <row r="268" spans="1:6" x14ac:dyDescent="0.25">
      <c r="A268" t="s">
        <v>4062</v>
      </c>
      <c r="B268" t="s">
        <v>4475</v>
      </c>
      <c r="C268" t="s">
        <v>231</v>
      </c>
      <c r="D268" s="7">
        <v>2.1</v>
      </c>
      <c r="E268" s="2">
        <v>730</v>
      </c>
      <c r="F268" s="2">
        <v>1533</v>
      </c>
    </row>
    <row r="269" spans="1:6" x14ac:dyDescent="0.25">
      <c r="A269" t="s">
        <v>4062</v>
      </c>
      <c r="B269" t="s">
        <v>3978</v>
      </c>
      <c r="C269" t="s">
        <v>34</v>
      </c>
      <c r="D269" s="7">
        <v>0.03</v>
      </c>
      <c r="E269" s="2">
        <v>409741.65</v>
      </c>
      <c r="F269" s="2">
        <v>12292.25</v>
      </c>
    </row>
    <row r="270" spans="1:6" x14ac:dyDescent="0.25">
      <c r="A270" t="s">
        <v>4062</v>
      </c>
      <c r="B270" t="s">
        <v>5260</v>
      </c>
      <c r="C270" t="s">
        <v>21</v>
      </c>
      <c r="D270" s="7">
        <v>1.05</v>
      </c>
      <c r="E270" s="2">
        <v>18200</v>
      </c>
      <c r="F270" s="2">
        <v>19110</v>
      </c>
    </row>
    <row r="271" spans="1:6" x14ac:dyDescent="0.25">
      <c r="A271" t="s">
        <v>4049</v>
      </c>
      <c r="B271" t="s">
        <v>4050</v>
      </c>
      <c r="C271" t="s">
        <v>4051</v>
      </c>
      <c r="D271" s="7">
        <v>1</v>
      </c>
      <c r="E271" s="2">
        <v>9037.33</v>
      </c>
      <c r="F271" s="2">
        <v>9037.33</v>
      </c>
    </row>
    <row r="272" spans="1:6" x14ac:dyDescent="0.25">
      <c r="A272" t="s">
        <v>4049</v>
      </c>
      <c r="B272" t="s">
        <v>4073</v>
      </c>
      <c r="C272" t="s">
        <v>4051</v>
      </c>
      <c r="D272" s="7">
        <v>0.8</v>
      </c>
      <c r="E272" s="2">
        <v>15517.89</v>
      </c>
      <c r="F272" s="2">
        <v>12414.31</v>
      </c>
    </row>
    <row r="273" spans="1:6" x14ac:dyDescent="0.25">
      <c r="A273" t="s">
        <v>4052</v>
      </c>
      <c r="B273" t="s">
        <v>4113</v>
      </c>
      <c r="C273" t="s">
        <v>4106</v>
      </c>
      <c r="D273" s="7">
        <v>0.05</v>
      </c>
      <c r="E273" s="2">
        <v>43805.88</v>
      </c>
      <c r="F273" s="2">
        <v>2190.29</v>
      </c>
    </row>
    <row r="274" spans="1:6" x14ac:dyDescent="0.25">
      <c r="A274" t="s">
        <v>4052</v>
      </c>
      <c r="B274" t="s">
        <v>4053</v>
      </c>
      <c r="C274" t="s">
        <v>4054</v>
      </c>
      <c r="D274" s="7">
        <v>4.9</v>
      </c>
      <c r="E274" s="2">
        <v>21451.64</v>
      </c>
      <c r="F274" s="2">
        <v>1051.13</v>
      </c>
    </row>
    <row r="275" spans="1:6" x14ac:dyDescent="0.25">
      <c r="A275" t="s">
        <v>4055</v>
      </c>
      <c r="D275" s="7"/>
      <c r="E275" s="2"/>
      <c r="F275" s="2">
        <f>SUBTOTAL(109,A_1_11_23[VALOR PARCIAL])</f>
      </c>
    </row>
    <row r="277" ht="30" customHeight="1" spans="1:6" x14ac:dyDescent="0.25">
      <c r="A277" s="5" t="s">
        <v>5261</v>
      </c>
      <c r="B277" s="5"/>
      <c r="C277" s="5"/>
      <c r="D277" s="5"/>
      <c r="E277" s="5"/>
      <c r="F277" s="5"/>
    </row>
    <row r="278" ht="42" customHeight="1" spans="1:6" x14ac:dyDescent="0.25">
      <c r="A278" s="6" t="s">
        <v>5262</v>
      </c>
      <c r="B278" s="6"/>
      <c r="C278" s="6"/>
      <c r="D278" s="6"/>
      <c r="E278" s="6"/>
      <c r="F278" s="6"/>
    </row>
    <row r="279" spans="1:6" x14ac:dyDescent="0.25">
      <c r="A279" t="s">
        <v>4044</v>
      </c>
      <c r="B279" t="s">
        <v>4045</v>
      </c>
      <c r="C279" t="s">
        <v>5</v>
      </c>
      <c r="D279" t="s">
        <v>4046</v>
      </c>
      <c r="E279" t="s">
        <v>4047</v>
      </c>
      <c r="F279" t="s">
        <v>4048</v>
      </c>
    </row>
    <row r="280" spans="1:6" x14ac:dyDescent="0.25">
      <c r="A280" t="s">
        <v>4062</v>
      </c>
      <c r="B280" t="s">
        <v>5253</v>
      </c>
      <c r="C280" t="s">
        <v>4377</v>
      </c>
      <c r="D280" s="7">
        <v>0.09</v>
      </c>
      <c r="E280" s="2">
        <v>60500</v>
      </c>
      <c r="F280" s="2">
        <v>5445</v>
      </c>
    </row>
    <row r="281" spans="1:6" x14ac:dyDescent="0.25">
      <c r="A281" t="s">
        <v>4062</v>
      </c>
      <c r="B281" t="s">
        <v>5263</v>
      </c>
      <c r="C281" t="s">
        <v>21</v>
      </c>
      <c r="D281" s="7">
        <v>1</v>
      </c>
      <c r="E281" s="2">
        <v>25900</v>
      </c>
      <c r="F281" s="2">
        <v>25900</v>
      </c>
    </row>
    <row r="282" spans="1:6" x14ac:dyDescent="0.25">
      <c r="A282" t="s">
        <v>4049</v>
      </c>
      <c r="B282" t="s">
        <v>4050</v>
      </c>
      <c r="C282" t="s">
        <v>4051</v>
      </c>
      <c r="D282" s="7">
        <v>0.25</v>
      </c>
      <c r="E282" s="2">
        <v>9037.33</v>
      </c>
      <c r="F282" s="2">
        <v>2259.33</v>
      </c>
    </row>
    <row r="283" spans="1:6" x14ac:dyDescent="0.25">
      <c r="A283" t="s">
        <v>4049</v>
      </c>
      <c r="B283" t="s">
        <v>4073</v>
      </c>
      <c r="C283" t="s">
        <v>4051</v>
      </c>
      <c r="D283" s="7">
        <v>0.25</v>
      </c>
      <c r="E283" s="2">
        <v>15517.89</v>
      </c>
      <c r="F283" s="2">
        <v>3879.47</v>
      </c>
    </row>
    <row r="284" spans="1:6" x14ac:dyDescent="0.25">
      <c r="A284" t="s">
        <v>4052</v>
      </c>
      <c r="B284" t="s">
        <v>4053</v>
      </c>
      <c r="C284" t="s">
        <v>4054</v>
      </c>
      <c r="D284" s="7">
        <v>5</v>
      </c>
      <c r="E284" s="2">
        <v>6138.8</v>
      </c>
      <c r="F284" s="2">
        <v>306.94</v>
      </c>
    </row>
    <row r="285" spans="1:6" x14ac:dyDescent="0.25">
      <c r="A285" t="s">
        <v>4055</v>
      </c>
      <c r="D285" s="7"/>
      <c r="E285" s="2"/>
      <c r="F285" s="2">
        <f>SUBTOTAL(109,A_1_11_24[VALOR PARCIAL])</f>
      </c>
    </row>
    <row r="287" ht="30" customHeight="1" spans="1:6" x14ac:dyDescent="0.25">
      <c r="A287" s="5" t="s">
        <v>5264</v>
      </c>
      <c r="B287" s="5"/>
      <c r="C287" s="5"/>
      <c r="D287" s="5"/>
      <c r="E287" s="5"/>
      <c r="F287" s="5"/>
    </row>
    <row r="288" ht="42" customHeight="1" spans="1:6" x14ac:dyDescent="0.25">
      <c r="A288" s="6" t="s">
        <v>5265</v>
      </c>
      <c r="B288" s="6"/>
      <c r="C288" s="6"/>
      <c r="D288" s="6"/>
      <c r="E288" s="6"/>
      <c r="F288" s="6"/>
    </row>
    <row r="289" spans="1:6" x14ac:dyDescent="0.25">
      <c r="A289" t="s">
        <v>4044</v>
      </c>
      <c r="B289" t="s">
        <v>4045</v>
      </c>
      <c r="C289" t="s">
        <v>5</v>
      </c>
      <c r="D289" t="s">
        <v>4046</v>
      </c>
      <c r="E289" t="s">
        <v>4047</v>
      </c>
      <c r="F289" t="s">
        <v>4048</v>
      </c>
    </row>
    <row r="290" spans="1:6" x14ac:dyDescent="0.25">
      <c r="A290" t="s">
        <v>4062</v>
      </c>
      <c r="B290" t="s">
        <v>4001</v>
      </c>
      <c r="C290" t="s">
        <v>34</v>
      </c>
      <c r="D290" s="7">
        <v>0.09</v>
      </c>
      <c r="E290" s="2">
        <v>450245.66</v>
      </c>
      <c r="F290" s="2">
        <v>38270.88</v>
      </c>
    </row>
    <row r="291" spans="1:6" x14ac:dyDescent="0.25">
      <c r="A291" t="s">
        <v>4062</v>
      </c>
      <c r="B291" t="s">
        <v>5266</v>
      </c>
      <c r="C291" t="s">
        <v>42</v>
      </c>
      <c r="D291" s="7">
        <v>0.51</v>
      </c>
      <c r="E291" s="2">
        <v>5823.14</v>
      </c>
      <c r="F291" s="2">
        <v>2969.8</v>
      </c>
    </row>
    <row r="292" spans="1:6" x14ac:dyDescent="0.25">
      <c r="A292" t="s">
        <v>4049</v>
      </c>
      <c r="B292" t="s">
        <v>4050</v>
      </c>
      <c r="C292" t="s">
        <v>4051</v>
      </c>
      <c r="D292" s="7">
        <v>0.8</v>
      </c>
      <c r="E292" s="2">
        <v>9037.33</v>
      </c>
      <c r="F292" s="2">
        <v>7229.86</v>
      </c>
    </row>
    <row r="293" spans="1:6" x14ac:dyDescent="0.25">
      <c r="A293" t="s">
        <v>4049</v>
      </c>
      <c r="B293" t="s">
        <v>4073</v>
      </c>
      <c r="C293" t="s">
        <v>4051</v>
      </c>
      <c r="D293" s="7">
        <v>0.8</v>
      </c>
      <c r="E293" s="2">
        <v>15517.89</v>
      </c>
      <c r="F293" s="2">
        <v>12414.31</v>
      </c>
    </row>
    <row r="294" spans="1:6" x14ac:dyDescent="0.25">
      <c r="A294" t="s">
        <v>4052</v>
      </c>
      <c r="B294" t="s">
        <v>4053</v>
      </c>
      <c r="C294" t="s">
        <v>4054</v>
      </c>
      <c r="D294" s="7">
        <v>5</v>
      </c>
      <c r="E294" s="2">
        <v>19644.17</v>
      </c>
      <c r="F294" s="2">
        <v>982.21</v>
      </c>
    </row>
    <row r="295" spans="1:6" x14ac:dyDescent="0.25">
      <c r="A295" t="s">
        <v>4055</v>
      </c>
      <c r="D295" s="7"/>
      <c r="E295" s="2"/>
      <c r="F295" s="2">
        <f>SUBTOTAL(109,A_1_11_25[VALOR PARCIAL])</f>
      </c>
    </row>
    <row r="297" ht="30" customHeight="1" spans="1:6" x14ac:dyDescent="0.25">
      <c r="A297" s="5" t="s">
        <v>5267</v>
      </c>
      <c r="B297" s="5"/>
      <c r="C297" s="5"/>
      <c r="D297" s="5"/>
      <c r="E297" s="5"/>
      <c r="F297" s="5"/>
    </row>
    <row r="298" ht="42" customHeight="1" spans="1:6" x14ac:dyDescent="0.25">
      <c r="A298" s="6" t="s">
        <v>5268</v>
      </c>
      <c r="B298" s="6"/>
      <c r="C298" s="6"/>
      <c r="D298" s="6"/>
      <c r="E298" s="6"/>
      <c r="F298" s="6"/>
    </row>
    <row r="299" spans="1:6" x14ac:dyDescent="0.25">
      <c r="A299" t="s">
        <v>4044</v>
      </c>
      <c r="B299" t="s">
        <v>4045</v>
      </c>
      <c r="C299" t="s">
        <v>5</v>
      </c>
      <c r="D299" t="s">
        <v>4046</v>
      </c>
      <c r="E299" t="s">
        <v>4047</v>
      </c>
      <c r="F299" t="s">
        <v>4048</v>
      </c>
    </row>
    <row r="300" spans="1:6" x14ac:dyDescent="0.25">
      <c r="A300" t="s">
        <v>4062</v>
      </c>
      <c r="B300" t="s">
        <v>4001</v>
      </c>
      <c r="C300" t="s">
        <v>34</v>
      </c>
      <c r="D300" s="7">
        <v>0.11</v>
      </c>
      <c r="E300" s="2">
        <v>450245.66</v>
      </c>
      <c r="F300" s="2">
        <v>47275.79</v>
      </c>
    </row>
    <row r="301" spans="1:6" x14ac:dyDescent="0.25">
      <c r="A301" t="s">
        <v>4062</v>
      </c>
      <c r="B301" t="s">
        <v>5266</v>
      </c>
      <c r="C301" t="s">
        <v>42</v>
      </c>
      <c r="D301" s="7">
        <v>0.51</v>
      </c>
      <c r="E301" s="2">
        <v>5823.14</v>
      </c>
      <c r="F301" s="2">
        <v>2969.8</v>
      </c>
    </row>
    <row r="302" spans="1:6" x14ac:dyDescent="0.25">
      <c r="A302" t="s">
        <v>4049</v>
      </c>
      <c r="B302" t="s">
        <v>4050</v>
      </c>
      <c r="C302" t="s">
        <v>4051</v>
      </c>
      <c r="D302" s="7">
        <v>0.66</v>
      </c>
      <c r="E302" s="2">
        <v>9037.33</v>
      </c>
      <c r="F302" s="2">
        <v>5964.64</v>
      </c>
    </row>
    <row r="303" spans="1:6" x14ac:dyDescent="0.25">
      <c r="A303" t="s">
        <v>4049</v>
      </c>
      <c r="B303" t="s">
        <v>4073</v>
      </c>
      <c r="C303" t="s">
        <v>4051</v>
      </c>
      <c r="D303" s="7">
        <v>0.66</v>
      </c>
      <c r="E303" s="2">
        <v>15517.89</v>
      </c>
      <c r="F303" s="2">
        <v>10241.81</v>
      </c>
    </row>
    <row r="304" spans="1:6" x14ac:dyDescent="0.25">
      <c r="A304" t="s">
        <v>4052</v>
      </c>
      <c r="B304" t="s">
        <v>4053</v>
      </c>
      <c r="C304" t="s">
        <v>4054</v>
      </c>
      <c r="D304" s="7">
        <v>3</v>
      </c>
      <c r="E304" s="2">
        <v>16206.45</v>
      </c>
      <c r="F304" s="2">
        <v>486.19</v>
      </c>
    </row>
    <row r="305" spans="1:6" x14ac:dyDescent="0.25">
      <c r="A305" t="s">
        <v>4055</v>
      </c>
      <c r="D305" s="7"/>
      <c r="E305" s="2"/>
      <c r="F305" s="2">
        <f>SUBTOTAL(109,A_1_11_26[VALOR PARCIAL])</f>
      </c>
    </row>
    <row r="307" ht="30" customHeight="1" spans="1:6" x14ac:dyDescent="0.25">
      <c r="A307" s="5" t="s">
        <v>5269</v>
      </c>
      <c r="B307" s="5"/>
      <c r="C307" s="5"/>
      <c r="D307" s="5"/>
      <c r="E307" s="5"/>
      <c r="F307" s="5"/>
    </row>
    <row r="308" ht="42" customHeight="1" spans="1:6" x14ac:dyDescent="0.25">
      <c r="A308" s="6" t="s">
        <v>5270</v>
      </c>
      <c r="B308" s="6"/>
      <c r="C308" s="6"/>
      <c r="D308" s="6"/>
      <c r="E308" s="6"/>
      <c r="F308" s="6"/>
    </row>
    <row r="309" spans="1:6" x14ac:dyDescent="0.25">
      <c r="A309" t="s">
        <v>4044</v>
      </c>
      <c r="B309" t="s">
        <v>4045</v>
      </c>
      <c r="C309" t="s">
        <v>5</v>
      </c>
      <c r="D309" t="s">
        <v>4046</v>
      </c>
      <c r="E309" t="s">
        <v>4047</v>
      </c>
      <c r="F309" t="s">
        <v>4048</v>
      </c>
    </row>
    <row r="310" spans="1:6" x14ac:dyDescent="0.25">
      <c r="A310" t="s">
        <v>4062</v>
      </c>
      <c r="B310" t="s">
        <v>4001</v>
      </c>
      <c r="C310" t="s">
        <v>34</v>
      </c>
      <c r="D310" s="7">
        <v>0.05</v>
      </c>
      <c r="E310" s="2">
        <v>450245.66</v>
      </c>
      <c r="F310" s="2">
        <v>22512.28</v>
      </c>
    </row>
    <row r="311" spans="1:6" x14ac:dyDescent="0.25">
      <c r="A311" t="s">
        <v>4062</v>
      </c>
      <c r="B311" t="s">
        <v>5266</v>
      </c>
      <c r="C311" t="s">
        <v>42</v>
      </c>
      <c r="D311" s="7">
        <v>1</v>
      </c>
      <c r="E311" s="2">
        <v>5823.14</v>
      </c>
      <c r="F311" s="2">
        <v>5823.14</v>
      </c>
    </row>
    <row r="312" spans="1:6" x14ac:dyDescent="0.25">
      <c r="A312" t="s">
        <v>4049</v>
      </c>
      <c r="B312" t="s">
        <v>4050</v>
      </c>
      <c r="C312" t="s">
        <v>4051</v>
      </c>
      <c r="D312" s="7">
        <v>0.52</v>
      </c>
      <c r="E312" s="2">
        <v>9037.33</v>
      </c>
      <c r="F312" s="2">
        <v>4699.41</v>
      </c>
    </row>
    <row r="313" spans="1:6" x14ac:dyDescent="0.25">
      <c r="A313" t="s">
        <v>4049</v>
      </c>
      <c r="B313" t="s">
        <v>4073</v>
      </c>
      <c r="C313" t="s">
        <v>4051</v>
      </c>
      <c r="D313" s="7">
        <v>0.52</v>
      </c>
      <c r="E313" s="2">
        <v>15517.89</v>
      </c>
      <c r="F313" s="2">
        <v>8069.3</v>
      </c>
    </row>
    <row r="314" spans="1:6" x14ac:dyDescent="0.25">
      <c r="A314" t="s">
        <v>4052</v>
      </c>
      <c r="B314" t="s">
        <v>4053</v>
      </c>
      <c r="C314" t="s">
        <v>4054</v>
      </c>
      <c r="D314" s="7">
        <v>5</v>
      </c>
      <c r="E314" s="2">
        <v>12768.71</v>
      </c>
      <c r="F314" s="2">
        <v>638.44</v>
      </c>
    </row>
    <row r="315" spans="1:6" x14ac:dyDescent="0.25">
      <c r="A315" t="s">
        <v>4055</v>
      </c>
      <c r="D315" s="7"/>
      <c r="E315" s="2"/>
      <c r="F315" s="2">
        <f>SUBTOTAL(109,A_1_11_27[VALOR PARCIAL])</f>
      </c>
    </row>
    <row r="317" ht="30" customHeight="1" spans="1:6" x14ac:dyDescent="0.25">
      <c r="A317" s="5" t="s">
        <v>5271</v>
      </c>
      <c r="B317" s="5"/>
      <c r="C317" s="5"/>
      <c r="D317" s="5"/>
      <c r="E317" s="5"/>
      <c r="F317" s="5"/>
    </row>
    <row r="318" ht="42" customHeight="1" spans="1:6" x14ac:dyDescent="0.25">
      <c r="A318" s="6" t="s">
        <v>5272</v>
      </c>
      <c r="B318" s="6"/>
      <c r="C318" s="6"/>
      <c r="D318" s="6"/>
      <c r="E318" s="6"/>
      <c r="F318" s="6"/>
    </row>
    <row r="319" spans="1:6" x14ac:dyDescent="0.25">
      <c r="A319" t="s">
        <v>4044</v>
      </c>
      <c r="B319" t="s">
        <v>4045</v>
      </c>
      <c r="C319" t="s">
        <v>5</v>
      </c>
      <c r="D319" t="s">
        <v>4046</v>
      </c>
      <c r="E319" t="s">
        <v>4047</v>
      </c>
      <c r="F319" t="s">
        <v>4048</v>
      </c>
    </row>
    <row r="320" spans="1:6" x14ac:dyDescent="0.25">
      <c r="A320" t="s">
        <v>4062</v>
      </c>
      <c r="B320" t="s">
        <v>5273</v>
      </c>
      <c r="C320" t="s">
        <v>4377</v>
      </c>
      <c r="D320" s="7">
        <v>0.03</v>
      </c>
      <c r="E320" s="2">
        <v>37750</v>
      </c>
      <c r="F320" s="2">
        <v>943.75</v>
      </c>
    </row>
    <row r="321" spans="1:6" x14ac:dyDescent="0.25">
      <c r="A321" t="s">
        <v>4062</v>
      </c>
      <c r="B321" t="s">
        <v>4076</v>
      </c>
      <c r="C321" t="s">
        <v>3963</v>
      </c>
      <c r="D321" s="7">
        <v>2</v>
      </c>
      <c r="E321" s="2">
        <v>21</v>
      </c>
      <c r="F321" s="2">
        <v>42</v>
      </c>
    </row>
    <row r="322" spans="1:6" x14ac:dyDescent="0.25">
      <c r="A322" t="s">
        <v>4049</v>
      </c>
      <c r="B322" t="s">
        <v>4050</v>
      </c>
      <c r="C322" t="s">
        <v>4051</v>
      </c>
      <c r="D322" s="7">
        <v>0.35</v>
      </c>
      <c r="E322" s="2">
        <v>9037.33</v>
      </c>
      <c r="F322" s="2">
        <v>3163.07</v>
      </c>
    </row>
    <row r="323" spans="1:6" x14ac:dyDescent="0.25">
      <c r="A323" t="s">
        <v>4049</v>
      </c>
      <c r="B323" t="s">
        <v>4073</v>
      </c>
      <c r="C323" t="s">
        <v>4051</v>
      </c>
      <c r="D323" s="7">
        <v>0.35</v>
      </c>
      <c r="E323" s="2">
        <v>15517.89</v>
      </c>
      <c r="F323" s="2">
        <v>5431.26</v>
      </c>
    </row>
    <row r="324" spans="1:6" x14ac:dyDescent="0.25">
      <c r="A324" t="s">
        <v>4052</v>
      </c>
      <c r="B324" t="s">
        <v>5274</v>
      </c>
      <c r="C324" t="s">
        <v>4106</v>
      </c>
      <c r="D324" s="7">
        <v>0.25</v>
      </c>
      <c r="E324" s="2">
        <v>22356</v>
      </c>
      <c r="F324" s="2">
        <v>5589</v>
      </c>
    </row>
    <row r="325" spans="1:6" x14ac:dyDescent="0.25">
      <c r="A325" t="s">
        <v>4052</v>
      </c>
      <c r="B325" t="s">
        <v>4053</v>
      </c>
      <c r="C325" t="s">
        <v>4054</v>
      </c>
      <c r="D325" s="7">
        <v>5</v>
      </c>
      <c r="E325" s="2">
        <v>8594.33</v>
      </c>
      <c r="F325" s="2">
        <v>429.72</v>
      </c>
    </row>
    <row r="326" spans="1:6" x14ac:dyDescent="0.25">
      <c r="A326" t="s">
        <v>4055</v>
      </c>
      <c r="D326" s="7"/>
      <c r="E326" s="2"/>
      <c r="F326" s="2">
        <f>SUBTOTAL(109,A_1_11_28[VALOR PARCIAL])</f>
      </c>
    </row>
    <row r="328" ht="30" customHeight="1" spans="1:6" x14ac:dyDescent="0.25">
      <c r="A328" s="5" t="s">
        <v>5275</v>
      </c>
      <c r="B328" s="5"/>
      <c r="C328" s="5"/>
      <c r="D328" s="5"/>
      <c r="E328" s="5"/>
      <c r="F328" s="5"/>
    </row>
    <row r="329" ht="42" customHeight="1" spans="1:6" x14ac:dyDescent="0.25">
      <c r="A329" s="6" t="s">
        <v>5276</v>
      </c>
      <c r="B329" s="6"/>
      <c r="C329" s="6"/>
      <c r="D329" s="6"/>
      <c r="E329" s="6"/>
      <c r="F329" s="6"/>
    </row>
    <row r="330" spans="1:6" x14ac:dyDescent="0.25">
      <c r="A330" t="s">
        <v>4044</v>
      </c>
      <c r="B330" t="s">
        <v>4045</v>
      </c>
      <c r="C330" t="s">
        <v>5</v>
      </c>
      <c r="D330" t="s">
        <v>4046</v>
      </c>
      <c r="E330" t="s">
        <v>4047</v>
      </c>
      <c r="F330" t="s">
        <v>4048</v>
      </c>
    </row>
    <row r="331" spans="1:6" x14ac:dyDescent="0.25">
      <c r="A331" t="s">
        <v>4049</v>
      </c>
      <c r="B331" t="s">
        <v>4050</v>
      </c>
      <c r="C331" t="s">
        <v>4051</v>
      </c>
      <c r="D331" s="7">
        <v>0.7</v>
      </c>
      <c r="E331" s="2">
        <v>9037.33</v>
      </c>
      <c r="F331" s="2">
        <v>6326.13</v>
      </c>
    </row>
    <row r="332" spans="1:6" x14ac:dyDescent="0.25">
      <c r="A332" t="s">
        <v>4049</v>
      </c>
      <c r="B332" t="s">
        <v>4073</v>
      </c>
      <c r="C332" t="s">
        <v>4051</v>
      </c>
      <c r="D332" s="7">
        <v>0.7</v>
      </c>
      <c r="E332" s="2">
        <v>15517.89</v>
      </c>
      <c r="F332" s="2">
        <v>10862.52</v>
      </c>
    </row>
    <row r="333" spans="1:6" x14ac:dyDescent="0.25">
      <c r="A333" t="s">
        <v>4052</v>
      </c>
      <c r="B333" t="s">
        <v>4113</v>
      </c>
      <c r="C333" t="s">
        <v>4106</v>
      </c>
      <c r="D333" s="7">
        <v>0.15</v>
      </c>
      <c r="E333" s="2">
        <v>43805.88</v>
      </c>
      <c r="F333" s="2">
        <v>6570.88</v>
      </c>
    </row>
    <row r="334" spans="1:6" x14ac:dyDescent="0.25">
      <c r="A334" t="s">
        <v>4052</v>
      </c>
      <c r="B334" t="s">
        <v>4053</v>
      </c>
      <c r="C334" t="s">
        <v>4054</v>
      </c>
      <c r="D334" s="7">
        <v>5.25</v>
      </c>
      <c r="E334" s="2">
        <v>17188.65</v>
      </c>
      <c r="F334" s="2">
        <v>902.4</v>
      </c>
    </row>
    <row r="335" spans="1:6" x14ac:dyDescent="0.25">
      <c r="A335" t="s">
        <v>4055</v>
      </c>
      <c r="D335" s="7"/>
      <c r="E335" s="2"/>
      <c r="F335" s="2">
        <f>SUBTOTAL(109,A_1_11_29[VALOR PARCIAL])</f>
      </c>
    </row>
    <row r="337" ht="30" customHeight="1" spans="1:6" x14ac:dyDescent="0.25">
      <c r="A337" s="5" t="s">
        <v>5277</v>
      </c>
      <c r="B337" s="5"/>
      <c r="C337" s="5"/>
      <c r="D337" s="5"/>
      <c r="E337" s="5"/>
      <c r="F337" s="5"/>
    </row>
    <row r="338" ht="42" customHeight="1" spans="1:6" x14ac:dyDescent="0.25">
      <c r="A338" s="6" t="s">
        <v>5278</v>
      </c>
      <c r="B338" s="6"/>
      <c r="C338" s="6"/>
      <c r="D338" s="6"/>
      <c r="E338" s="6"/>
      <c r="F338" s="6"/>
    </row>
    <row r="339" spans="1:6" x14ac:dyDescent="0.25">
      <c r="A339" t="s">
        <v>4044</v>
      </c>
      <c r="B339" t="s">
        <v>4045</v>
      </c>
      <c r="C339" t="s">
        <v>5</v>
      </c>
      <c r="D339" t="s">
        <v>4046</v>
      </c>
      <c r="E339" t="s">
        <v>4047</v>
      </c>
      <c r="F339" t="s">
        <v>4048</v>
      </c>
    </row>
    <row r="340" spans="1:6" x14ac:dyDescent="0.25">
      <c r="A340" t="s">
        <v>4062</v>
      </c>
      <c r="B340" t="s">
        <v>4587</v>
      </c>
      <c r="C340" t="s">
        <v>34</v>
      </c>
      <c r="D340" s="7">
        <v>0.03</v>
      </c>
      <c r="E340" s="2">
        <v>82125</v>
      </c>
      <c r="F340" s="2">
        <v>2463.75</v>
      </c>
    </row>
    <row r="341" spans="1:6" x14ac:dyDescent="0.25">
      <c r="A341" t="s">
        <v>4062</v>
      </c>
      <c r="B341" t="s">
        <v>5279</v>
      </c>
      <c r="C341" t="s">
        <v>63</v>
      </c>
      <c r="D341" s="7">
        <v>50</v>
      </c>
      <c r="E341" s="2">
        <v>666.67</v>
      </c>
      <c r="F341" s="2">
        <v>33333.5</v>
      </c>
    </row>
    <row r="342" spans="1:6" x14ac:dyDescent="0.25">
      <c r="A342" t="s">
        <v>4062</v>
      </c>
      <c r="B342" t="s">
        <v>4076</v>
      </c>
      <c r="C342" t="s">
        <v>3963</v>
      </c>
      <c r="D342" s="7">
        <v>2.85</v>
      </c>
      <c r="E342" s="2">
        <v>21</v>
      </c>
      <c r="F342" s="2">
        <v>59.85</v>
      </c>
    </row>
    <row r="343" spans="1:6" x14ac:dyDescent="0.25">
      <c r="A343" t="s">
        <v>4049</v>
      </c>
      <c r="B343" t="s">
        <v>4487</v>
      </c>
      <c r="C343" t="s">
        <v>4236</v>
      </c>
      <c r="D343" s="7">
        <v>0.5</v>
      </c>
      <c r="E343" s="2">
        <v>24555.22</v>
      </c>
      <c r="F343" s="2">
        <v>12277.61</v>
      </c>
    </row>
    <row r="344" spans="1:6" x14ac:dyDescent="0.25">
      <c r="A344" t="s">
        <v>4052</v>
      </c>
      <c r="B344" t="s">
        <v>4053</v>
      </c>
      <c r="C344" t="s">
        <v>4054</v>
      </c>
      <c r="D344" s="7">
        <v>5</v>
      </c>
      <c r="E344" s="2">
        <v>12277.61</v>
      </c>
      <c r="F344" s="2">
        <v>613.88</v>
      </c>
    </row>
    <row r="345" spans="1:6" x14ac:dyDescent="0.25">
      <c r="A345" t="s">
        <v>4055</v>
      </c>
      <c r="D345" s="7"/>
      <c r="E345" s="2"/>
      <c r="F345" s="2">
        <f>SUBTOTAL(109,A_1_11_30[VALOR PARCIAL])</f>
      </c>
    </row>
    <row r="347" ht="30" customHeight="1" spans="1:6" x14ac:dyDescent="0.25">
      <c r="A347" s="5" t="s">
        <v>5280</v>
      </c>
      <c r="B347" s="5"/>
      <c r="C347" s="5"/>
      <c r="D347" s="5"/>
      <c r="E347" s="5"/>
      <c r="F347" s="5"/>
    </row>
    <row r="348" ht="42" customHeight="1" spans="1:6" x14ac:dyDescent="0.25">
      <c r="A348" s="6" t="s">
        <v>5281</v>
      </c>
      <c r="B348" s="6"/>
      <c r="C348" s="6"/>
      <c r="D348" s="6"/>
      <c r="E348" s="6"/>
      <c r="F348" s="6"/>
    </row>
    <row r="349" spans="1:6" x14ac:dyDescent="0.25">
      <c r="A349" t="s">
        <v>4044</v>
      </c>
      <c r="B349" t="s">
        <v>4045</v>
      </c>
      <c r="C349" t="s">
        <v>5</v>
      </c>
      <c r="D349" t="s">
        <v>4046</v>
      </c>
      <c r="E349" t="s">
        <v>4047</v>
      </c>
      <c r="F349" t="s">
        <v>4048</v>
      </c>
    </row>
    <row r="350" spans="1:6" x14ac:dyDescent="0.25">
      <c r="A350" t="s">
        <v>4062</v>
      </c>
      <c r="B350" t="s">
        <v>4587</v>
      </c>
      <c r="C350" t="s">
        <v>34</v>
      </c>
      <c r="D350" s="7">
        <v>0.03</v>
      </c>
      <c r="E350" s="2">
        <v>82125</v>
      </c>
      <c r="F350" s="2">
        <v>2463.75</v>
      </c>
    </row>
    <row r="351" spans="1:6" x14ac:dyDescent="0.25">
      <c r="A351" t="s">
        <v>4062</v>
      </c>
      <c r="B351" t="s">
        <v>5282</v>
      </c>
      <c r="C351" t="s">
        <v>63</v>
      </c>
      <c r="D351" s="7">
        <v>50</v>
      </c>
      <c r="E351" s="2">
        <v>690</v>
      </c>
      <c r="F351" s="2">
        <v>34500</v>
      </c>
    </row>
    <row r="352" spans="1:6" x14ac:dyDescent="0.25">
      <c r="A352" t="s">
        <v>4062</v>
      </c>
      <c r="B352" t="s">
        <v>4076</v>
      </c>
      <c r="C352" t="s">
        <v>3963</v>
      </c>
      <c r="D352" s="7">
        <v>2.85</v>
      </c>
      <c r="E352" s="2">
        <v>21</v>
      </c>
      <c r="F352" s="2">
        <v>59.85</v>
      </c>
    </row>
    <row r="353" spans="1:6" x14ac:dyDescent="0.25">
      <c r="A353" t="s">
        <v>4049</v>
      </c>
      <c r="B353" t="s">
        <v>4487</v>
      </c>
      <c r="C353" t="s">
        <v>4236</v>
      </c>
      <c r="D353" s="7">
        <v>0.7</v>
      </c>
      <c r="E353" s="2">
        <v>24555.22</v>
      </c>
      <c r="F353" s="2">
        <v>17188.65</v>
      </c>
    </row>
    <row r="354" spans="1:6" x14ac:dyDescent="0.25">
      <c r="A354" t="s">
        <v>4052</v>
      </c>
      <c r="B354" t="s">
        <v>4053</v>
      </c>
      <c r="C354" t="s">
        <v>4054</v>
      </c>
      <c r="D354" s="7">
        <v>5</v>
      </c>
      <c r="E354" s="2">
        <v>17188.65</v>
      </c>
      <c r="F354" s="2">
        <v>859.43</v>
      </c>
    </row>
    <row r="355" spans="1:6" x14ac:dyDescent="0.25">
      <c r="A355" t="s">
        <v>4055</v>
      </c>
      <c r="D355" s="7"/>
      <c r="E355" s="2"/>
      <c r="F355" s="2">
        <f>SUBTOTAL(109,A_1_11_31[VALOR PARCIAL])</f>
      </c>
    </row>
    <row r="357" ht="30" customHeight="1" spans="1:6" x14ac:dyDescent="0.25">
      <c r="A357" s="5" t="s">
        <v>5283</v>
      </c>
      <c r="B357" s="5"/>
      <c r="C357" s="5"/>
      <c r="D357" s="5"/>
      <c r="E357" s="5"/>
      <c r="F357" s="5"/>
    </row>
    <row r="358" ht="42" customHeight="1" spans="1:6" x14ac:dyDescent="0.25">
      <c r="A358" s="6" t="s">
        <v>5284</v>
      </c>
      <c r="B358" s="6"/>
      <c r="C358" s="6"/>
      <c r="D358" s="6"/>
      <c r="E358" s="6"/>
      <c r="F358" s="6"/>
    </row>
    <row r="359" spans="1:6" x14ac:dyDescent="0.25">
      <c r="A359" t="s">
        <v>4044</v>
      </c>
      <c r="B359" t="s">
        <v>4045</v>
      </c>
      <c r="C359" t="s">
        <v>5</v>
      </c>
      <c r="D359" t="s">
        <v>4046</v>
      </c>
      <c r="E359" t="s">
        <v>4047</v>
      </c>
      <c r="F359" t="s">
        <v>4048</v>
      </c>
    </row>
    <row r="360" spans="1:6" x14ac:dyDescent="0.25">
      <c r="A360" t="s">
        <v>4062</v>
      </c>
      <c r="B360" t="s">
        <v>4492</v>
      </c>
      <c r="C360" t="s">
        <v>34</v>
      </c>
      <c r="D360" s="7">
        <v>0.02</v>
      </c>
      <c r="E360" s="2">
        <v>68425</v>
      </c>
      <c r="F360" s="2">
        <v>1368.5</v>
      </c>
    </row>
    <row r="361" spans="1:6" x14ac:dyDescent="0.25">
      <c r="A361" t="s">
        <v>4062</v>
      </c>
      <c r="B361" t="s">
        <v>5210</v>
      </c>
      <c r="C361" t="s">
        <v>231</v>
      </c>
      <c r="D361" s="7">
        <v>1.03</v>
      </c>
      <c r="E361" s="2">
        <v>8133.33</v>
      </c>
      <c r="F361" s="2">
        <v>8377.33</v>
      </c>
    </row>
    <row r="362" spans="1:6" x14ac:dyDescent="0.25">
      <c r="A362" t="s">
        <v>4062</v>
      </c>
      <c r="B362" t="s">
        <v>5285</v>
      </c>
      <c r="C362" t="s">
        <v>21</v>
      </c>
      <c r="D362" s="7">
        <v>1.03</v>
      </c>
      <c r="E362" s="2">
        <v>38296</v>
      </c>
      <c r="F362" s="2">
        <v>39444.88</v>
      </c>
    </row>
    <row r="363" spans="1:6" x14ac:dyDescent="0.25">
      <c r="A363" t="s">
        <v>4062</v>
      </c>
      <c r="B363" t="s">
        <v>4076</v>
      </c>
      <c r="C363" t="s">
        <v>3963</v>
      </c>
      <c r="D363" s="7">
        <v>2.8</v>
      </c>
      <c r="E363" s="2">
        <v>21</v>
      </c>
      <c r="F363" s="2">
        <v>58.8</v>
      </c>
    </row>
    <row r="364" spans="1:6" x14ac:dyDescent="0.25">
      <c r="A364" t="s">
        <v>4049</v>
      </c>
      <c r="B364" t="s">
        <v>4050</v>
      </c>
      <c r="C364" t="s">
        <v>4051</v>
      </c>
      <c r="D364" s="7">
        <v>1</v>
      </c>
      <c r="E364" s="2">
        <v>9037.33</v>
      </c>
      <c r="F364" s="2">
        <v>9037.33</v>
      </c>
    </row>
    <row r="365" spans="1:6" x14ac:dyDescent="0.25">
      <c r="A365" t="s">
        <v>4049</v>
      </c>
      <c r="B365" t="s">
        <v>4073</v>
      </c>
      <c r="C365" t="s">
        <v>4051</v>
      </c>
      <c r="D365" s="7">
        <v>1.05</v>
      </c>
      <c r="E365" s="2">
        <v>15517.89</v>
      </c>
      <c r="F365" s="2">
        <v>16293.78</v>
      </c>
    </row>
    <row r="366" spans="1:6" x14ac:dyDescent="0.25">
      <c r="A366" t="s">
        <v>4052</v>
      </c>
      <c r="B366" t="s">
        <v>4053</v>
      </c>
      <c r="C366" t="s">
        <v>4054</v>
      </c>
      <c r="D366" s="7">
        <v>5</v>
      </c>
      <c r="E366" s="2">
        <v>25331.11</v>
      </c>
      <c r="F366" s="2">
        <v>1266.56</v>
      </c>
    </row>
    <row r="367" spans="1:6" x14ac:dyDescent="0.25">
      <c r="A367" t="s">
        <v>4055</v>
      </c>
      <c r="D367" s="7"/>
      <c r="E367" s="2"/>
      <c r="F367" s="2">
        <f>SUBTOTAL(109,A_1_11_32[VALOR PARCIAL])</f>
      </c>
    </row>
    <row r="369" ht="30" customHeight="1" spans="1:6" x14ac:dyDescent="0.25">
      <c r="A369" s="5" t="s">
        <v>5286</v>
      </c>
      <c r="B369" s="5"/>
      <c r="C369" s="5"/>
      <c r="D369" s="5"/>
      <c r="E369" s="5"/>
      <c r="F369" s="5"/>
    </row>
    <row r="370" ht="42" customHeight="1" spans="1:6" x14ac:dyDescent="0.25">
      <c r="A370" s="6" t="s">
        <v>5287</v>
      </c>
      <c r="B370" s="6"/>
      <c r="C370" s="6"/>
      <c r="D370" s="6"/>
      <c r="E370" s="6"/>
      <c r="F370" s="6"/>
    </row>
    <row r="371" spans="1:6" x14ac:dyDescent="0.25">
      <c r="A371" t="s">
        <v>4044</v>
      </c>
      <c r="B371" t="s">
        <v>4045</v>
      </c>
      <c r="C371" t="s">
        <v>5</v>
      </c>
      <c r="D371" t="s">
        <v>4046</v>
      </c>
      <c r="E371" t="s">
        <v>4047</v>
      </c>
      <c r="F371" t="s">
        <v>4048</v>
      </c>
    </row>
    <row r="372" spans="1:6" x14ac:dyDescent="0.25">
      <c r="A372" t="s">
        <v>4062</v>
      </c>
      <c r="B372" t="s">
        <v>4690</v>
      </c>
      <c r="C372" t="s">
        <v>231</v>
      </c>
      <c r="D372" s="7">
        <v>0.3</v>
      </c>
      <c r="E372" s="2">
        <v>2025</v>
      </c>
      <c r="F372" s="2">
        <v>607.5</v>
      </c>
    </row>
    <row r="373" spans="1:6" x14ac:dyDescent="0.25">
      <c r="A373" t="s">
        <v>4062</v>
      </c>
      <c r="B373" t="s">
        <v>3978</v>
      </c>
      <c r="C373" t="s">
        <v>34</v>
      </c>
      <c r="D373" s="7">
        <v>0.02</v>
      </c>
      <c r="E373" s="2">
        <v>409741.65</v>
      </c>
      <c r="F373" s="2">
        <v>8194.83</v>
      </c>
    </row>
    <row r="374" spans="1:6" x14ac:dyDescent="0.25">
      <c r="A374" t="s">
        <v>4062</v>
      </c>
      <c r="B374" t="s">
        <v>5288</v>
      </c>
      <c r="C374" t="s">
        <v>21</v>
      </c>
      <c r="D374" s="7">
        <v>1.03</v>
      </c>
      <c r="E374" s="2">
        <v>28802</v>
      </c>
      <c r="F374" s="2">
        <v>29666.06</v>
      </c>
    </row>
    <row r="375" spans="1:6" x14ac:dyDescent="0.25">
      <c r="A375" t="s">
        <v>4049</v>
      </c>
      <c r="B375" t="s">
        <v>4050</v>
      </c>
      <c r="C375" t="s">
        <v>4051</v>
      </c>
      <c r="D375" s="7">
        <v>0.95</v>
      </c>
      <c r="E375" s="2">
        <v>9037.33</v>
      </c>
      <c r="F375" s="2">
        <v>8585.46</v>
      </c>
    </row>
    <row r="376" spans="1:6" x14ac:dyDescent="0.25">
      <c r="A376" t="s">
        <v>4049</v>
      </c>
      <c r="B376" t="s">
        <v>4073</v>
      </c>
      <c r="C376" t="s">
        <v>4051</v>
      </c>
      <c r="D376" s="7">
        <v>0.95</v>
      </c>
      <c r="E376" s="2">
        <v>15517.89</v>
      </c>
      <c r="F376" s="2">
        <v>14742</v>
      </c>
    </row>
    <row r="377" spans="1:6" x14ac:dyDescent="0.25">
      <c r="A377" t="s">
        <v>4052</v>
      </c>
      <c r="B377" t="s">
        <v>4053</v>
      </c>
      <c r="C377" t="s">
        <v>4054</v>
      </c>
      <c r="D377" s="7">
        <v>5</v>
      </c>
      <c r="E377" s="2">
        <v>23327.46</v>
      </c>
      <c r="F377" s="2">
        <v>1166.37</v>
      </c>
    </row>
    <row r="378" spans="1:6" x14ac:dyDescent="0.25">
      <c r="A378" t="s">
        <v>4055</v>
      </c>
      <c r="D378" s="7"/>
      <c r="E378" s="2"/>
      <c r="F378" s="2">
        <f>SUBTOTAL(109,A_1_11_33[VALOR PARCIAL])</f>
      </c>
    </row>
    <row r="380" ht="30" customHeight="1" spans="1:6" x14ac:dyDescent="0.25">
      <c r="A380" s="5" t="s">
        <v>5289</v>
      </c>
      <c r="B380" s="5"/>
      <c r="C380" s="5"/>
      <c r="D380" s="5"/>
      <c r="E380" s="5"/>
      <c r="F380" s="5"/>
    </row>
    <row r="381" ht="42" customHeight="1" spans="1:6" x14ac:dyDescent="0.25">
      <c r="A381" s="6" t="s">
        <v>5290</v>
      </c>
      <c r="B381" s="6"/>
      <c r="C381" s="6"/>
      <c r="D381" s="6"/>
      <c r="E381" s="6"/>
      <c r="F381" s="6"/>
    </row>
    <row r="382" spans="1:6" x14ac:dyDescent="0.25">
      <c r="A382" t="s">
        <v>4044</v>
      </c>
      <c r="B382" t="s">
        <v>4045</v>
      </c>
      <c r="C382" t="s">
        <v>5</v>
      </c>
      <c r="D382" t="s">
        <v>4046</v>
      </c>
      <c r="E382" t="s">
        <v>4047</v>
      </c>
      <c r="F382" t="s">
        <v>4048</v>
      </c>
    </row>
    <row r="383" spans="1:6" x14ac:dyDescent="0.25">
      <c r="A383" t="s">
        <v>4062</v>
      </c>
      <c r="B383" t="s">
        <v>4690</v>
      </c>
      <c r="C383" t="s">
        <v>231</v>
      </c>
      <c r="D383" s="7">
        <v>0.25</v>
      </c>
      <c r="E383" s="2">
        <v>2025</v>
      </c>
      <c r="F383" s="2">
        <v>506.25</v>
      </c>
    </row>
    <row r="384" spans="1:6" x14ac:dyDescent="0.25">
      <c r="A384" t="s">
        <v>4062</v>
      </c>
      <c r="B384" t="s">
        <v>3978</v>
      </c>
      <c r="C384" t="s">
        <v>34</v>
      </c>
      <c r="D384" s="7">
        <v>0.02</v>
      </c>
      <c r="E384" s="2">
        <v>409741.65</v>
      </c>
      <c r="F384" s="2">
        <v>8194.83</v>
      </c>
    </row>
    <row r="385" spans="1:6" x14ac:dyDescent="0.25">
      <c r="A385" t="s">
        <v>4062</v>
      </c>
      <c r="B385" t="s">
        <v>5291</v>
      </c>
      <c r="C385" t="s">
        <v>21</v>
      </c>
      <c r="D385" s="7">
        <v>1.03</v>
      </c>
      <c r="E385" s="2">
        <v>40329</v>
      </c>
      <c r="F385" s="2">
        <v>41538.87</v>
      </c>
    </row>
    <row r="386" spans="1:6" x14ac:dyDescent="0.25">
      <c r="A386" t="s">
        <v>4049</v>
      </c>
      <c r="B386" t="s">
        <v>4050</v>
      </c>
      <c r="C386" t="s">
        <v>4051</v>
      </c>
      <c r="D386" s="7">
        <v>0.95</v>
      </c>
      <c r="E386" s="2">
        <v>9037.33</v>
      </c>
      <c r="F386" s="2">
        <v>8585.46</v>
      </c>
    </row>
    <row r="387" spans="1:6" x14ac:dyDescent="0.25">
      <c r="A387" t="s">
        <v>4049</v>
      </c>
      <c r="B387" t="s">
        <v>4073</v>
      </c>
      <c r="C387" t="s">
        <v>4051</v>
      </c>
      <c r="D387" s="7">
        <v>0.95</v>
      </c>
      <c r="E387" s="2">
        <v>15517.89</v>
      </c>
      <c r="F387" s="2">
        <v>14742</v>
      </c>
    </row>
    <row r="388" spans="1:6" x14ac:dyDescent="0.25">
      <c r="A388" t="s">
        <v>4052</v>
      </c>
      <c r="B388" t="s">
        <v>4053</v>
      </c>
      <c r="C388" t="s">
        <v>4054</v>
      </c>
      <c r="D388" s="7">
        <v>5</v>
      </c>
      <c r="E388" s="2">
        <v>23327.46</v>
      </c>
      <c r="F388" s="2">
        <v>1166.37</v>
      </c>
    </row>
    <row r="389" spans="1:6" x14ac:dyDescent="0.25">
      <c r="A389" t="s">
        <v>4055</v>
      </c>
      <c r="D389" s="7"/>
      <c r="E389" s="2"/>
      <c r="F389" s="2">
        <f>SUBTOTAL(109,A_1_11_34[VALOR PARCIAL])</f>
      </c>
    </row>
    <row r="391" ht="30" customHeight="1" spans="1:6" x14ac:dyDescent="0.25">
      <c r="A391" s="5" t="s">
        <v>5292</v>
      </c>
      <c r="B391" s="5"/>
      <c r="C391" s="5"/>
      <c r="D391" s="5"/>
      <c r="E391" s="5"/>
      <c r="F391" s="5"/>
    </row>
    <row r="392" ht="42" customHeight="1" spans="1:6" x14ac:dyDescent="0.25">
      <c r="A392" s="6" t="s">
        <v>5293</v>
      </c>
      <c r="B392" s="6"/>
      <c r="C392" s="6"/>
      <c r="D392" s="6"/>
      <c r="E392" s="6"/>
      <c r="F392" s="6"/>
    </row>
    <row r="393" spans="1:6" x14ac:dyDescent="0.25">
      <c r="A393" t="s">
        <v>4044</v>
      </c>
      <c r="B393" t="s">
        <v>4045</v>
      </c>
      <c r="C393" t="s">
        <v>5</v>
      </c>
      <c r="D393" t="s">
        <v>4046</v>
      </c>
      <c r="E393" t="s">
        <v>4047</v>
      </c>
      <c r="F393" t="s">
        <v>4048</v>
      </c>
    </row>
    <row r="394" spans="1:6" x14ac:dyDescent="0.25">
      <c r="A394" t="s">
        <v>4062</v>
      </c>
      <c r="B394" t="s">
        <v>4298</v>
      </c>
      <c r="C394" t="s">
        <v>42</v>
      </c>
      <c r="D394" s="7">
        <v>0.33</v>
      </c>
      <c r="E394" s="2">
        <v>6466.67</v>
      </c>
      <c r="F394" s="2">
        <v>2134</v>
      </c>
    </row>
    <row r="395" spans="1:6" x14ac:dyDescent="0.25">
      <c r="A395" t="s">
        <v>4062</v>
      </c>
      <c r="B395" t="s">
        <v>4004</v>
      </c>
      <c r="C395" t="s">
        <v>34</v>
      </c>
      <c r="D395" s="7">
        <v>0.02</v>
      </c>
      <c r="E395" s="2">
        <v>426702.51</v>
      </c>
      <c r="F395" s="2">
        <v>8534.05</v>
      </c>
    </row>
    <row r="396" spans="1:6" x14ac:dyDescent="0.25">
      <c r="A396" t="s">
        <v>4049</v>
      </c>
      <c r="B396" t="s">
        <v>4487</v>
      </c>
      <c r="C396" t="s">
        <v>4236</v>
      </c>
      <c r="D396" s="7">
        <v>0.8</v>
      </c>
      <c r="E396" s="2">
        <v>24555.22</v>
      </c>
      <c r="F396" s="2">
        <v>19644.18</v>
      </c>
    </row>
    <row r="397" spans="1:6" x14ac:dyDescent="0.25">
      <c r="A397" t="s">
        <v>4052</v>
      </c>
      <c r="B397" t="s">
        <v>4053</v>
      </c>
      <c r="C397" t="s">
        <v>4054</v>
      </c>
      <c r="D397" s="7">
        <v>5</v>
      </c>
      <c r="E397" s="2">
        <v>19644.18</v>
      </c>
      <c r="F397" s="2">
        <v>982.21</v>
      </c>
    </row>
    <row r="398" spans="1:6" x14ac:dyDescent="0.25">
      <c r="A398" t="s">
        <v>4055</v>
      </c>
      <c r="D398" s="7"/>
      <c r="E398" s="2"/>
      <c r="F398" s="2">
        <f>SUBTOTAL(109,A_1_11_35[VALOR PARCIAL])</f>
      </c>
    </row>
    <row r="400" ht="30" customHeight="1" spans="1:6" x14ac:dyDescent="0.25">
      <c r="A400" s="5" t="s">
        <v>5294</v>
      </c>
      <c r="B400" s="5"/>
      <c r="C400" s="5"/>
      <c r="D400" s="5"/>
      <c r="E400" s="5"/>
      <c r="F400" s="5"/>
    </row>
    <row r="401" ht="42" customHeight="1" spans="1:6" x14ac:dyDescent="0.25">
      <c r="A401" s="6" t="s">
        <v>5295</v>
      </c>
      <c r="B401" s="6"/>
      <c r="C401" s="6"/>
      <c r="D401" s="6"/>
      <c r="E401" s="6"/>
      <c r="F401" s="6"/>
    </row>
    <row r="402" spans="1:6" x14ac:dyDescent="0.25">
      <c r="A402" t="s">
        <v>4044</v>
      </c>
      <c r="B402" t="s">
        <v>4045</v>
      </c>
      <c r="C402" t="s">
        <v>5</v>
      </c>
      <c r="D402" t="s">
        <v>4046</v>
      </c>
      <c r="E402" t="s">
        <v>4047</v>
      </c>
      <c r="F402" t="s">
        <v>4048</v>
      </c>
    </row>
    <row r="403" spans="1:6" x14ac:dyDescent="0.25">
      <c r="A403" t="s">
        <v>4062</v>
      </c>
      <c r="B403" t="s">
        <v>4690</v>
      </c>
      <c r="C403" t="s">
        <v>231</v>
      </c>
      <c r="D403" s="7">
        <v>0.25</v>
      </c>
      <c r="E403" s="2">
        <v>2025</v>
      </c>
      <c r="F403" s="2">
        <v>506.25</v>
      </c>
    </row>
    <row r="404" spans="1:6" x14ac:dyDescent="0.25">
      <c r="A404" t="s">
        <v>4062</v>
      </c>
      <c r="B404" t="s">
        <v>5296</v>
      </c>
      <c r="C404" t="s">
        <v>42</v>
      </c>
      <c r="D404" s="7">
        <v>1.03</v>
      </c>
      <c r="E404" s="2">
        <v>13427</v>
      </c>
      <c r="F404" s="2">
        <v>13829.81</v>
      </c>
    </row>
    <row r="405" spans="1:6" x14ac:dyDescent="0.25">
      <c r="A405" t="s">
        <v>4062</v>
      </c>
      <c r="B405" t="s">
        <v>5103</v>
      </c>
      <c r="C405" t="s">
        <v>5090</v>
      </c>
      <c r="D405" s="7">
        <v>0.1</v>
      </c>
      <c r="E405" s="2">
        <v>16597</v>
      </c>
      <c r="F405" s="2">
        <v>1659.7</v>
      </c>
    </row>
    <row r="406" spans="1:6" x14ac:dyDescent="0.25">
      <c r="A406" t="s">
        <v>4062</v>
      </c>
      <c r="B406" t="s">
        <v>3978</v>
      </c>
      <c r="C406" t="s">
        <v>34</v>
      </c>
      <c r="D406" s="7">
        <v>0</v>
      </c>
      <c r="E406" s="2">
        <v>409741.65</v>
      </c>
      <c r="F406" s="2">
        <v>614.61</v>
      </c>
    </row>
    <row r="407" spans="1:6" x14ac:dyDescent="0.25">
      <c r="A407" t="s">
        <v>4062</v>
      </c>
      <c r="B407" t="s">
        <v>5297</v>
      </c>
      <c r="C407" t="s">
        <v>21</v>
      </c>
      <c r="D407" s="7">
        <v>0.4</v>
      </c>
      <c r="E407" s="2">
        <v>19363.66</v>
      </c>
      <c r="F407" s="2">
        <v>7745.46</v>
      </c>
    </row>
    <row r="408" spans="1:6" x14ac:dyDescent="0.25">
      <c r="A408" t="s">
        <v>4049</v>
      </c>
      <c r="B408" t="s">
        <v>4050</v>
      </c>
      <c r="C408" t="s">
        <v>4051</v>
      </c>
      <c r="D408" s="7">
        <v>0.5</v>
      </c>
      <c r="E408" s="2">
        <v>9037.33</v>
      </c>
      <c r="F408" s="2">
        <v>4518.66</v>
      </c>
    </row>
    <row r="409" spans="1:6" x14ac:dyDescent="0.25">
      <c r="A409" t="s">
        <v>4049</v>
      </c>
      <c r="B409" t="s">
        <v>4073</v>
      </c>
      <c r="C409" t="s">
        <v>4051</v>
      </c>
      <c r="D409" s="7">
        <v>0.5</v>
      </c>
      <c r="E409" s="2">
        <v>15517.89</v>
      </c>
      <c r="F409" s="2">
        <v>7758.94</v>
      </c>
    </row>
    <row r="410" spans="1:6" x14ac:dyDescent="0.25">
      <c r="A410" t="s">
        <v>4052</v>
      </c>
      <c r="B410" t="s">
        <v>4053</v>
      </c>
      <c r="C410" t="s">
        <v>4054</v>
      </c>
      <c r="D410" s="7">
        <v>5</v>
      </c>
      <c r="E410" s="2">
        <v>12277.6</v>
      </c>
      <c r="F410" s="2">
        <v>613.88</v>
      </c>
    </row>
    <row r="411" spans="1:6" x14ac:dyDescent="0.25">
      <c r="A411" t="s">
        <v>4055</v>
      </c>
      <c r="D411" s="7"/>
      <c r="E411" s="2"/>
      <c r="F411" s="2">
        <f>SUBTOTAL(109,A_1_11_36[VALOR PARCIAL])</f>
      </c>
    </row>
    <row r="413" ht="30" customHeight="1" spans="1:6" x14ac:dyDescent="0.25">
      <c r="A413" s="5" t="s">
        <v>5298</v>
      </c>
      <c r="B413" s="5"/>
      <c r="C413" s="5"/>
      <c r="D413" s="5"/>
      <c r="E413" s="5"/>
      <c r="F413" s="5"/>
    </row>
    <row r="414" ht="42" customHeight="1" spans="1:6" x14ac:dyDescent="0.25">
      <c r="A414" s="6" t="s">
        <v>5299</v>
      </c>
      <c r="B414" s="6"/>
      <c r="C414" s="6"/>
      <c r="D414" s="6"/>
      <c r="E414" s="6"/>
      <c r="F414" s="6"/>
    </row>
    <row r="415" spans="1:6" x14ac:dyDescent="0.25">
      <c r="A415" t="s">
        <v>4044</v>
      </c>
      <c r="B415" t="s">
        <v>4045</v>
      </c>
      <c r="C415" t="s">
        <v>5</v>
      </c>
      <c r="D415" t="s">
        <v>4046</v>
      </c>
      <c r="E415" t="s">
        <v>4047</v>
      </c>
      <c r="F415" t="s">
        <v>4048</v>
      </c>
    </row>
    <row r="416" spans="1:6" x14ac:dyDescent="0.25">
      <c r="A416" t="s">
        <v>4062</v>
      </c>
      <c r="B416" t="s">
        <v>4690</v>
      </c>
      <c r="C416" t="s">
        <v>231</v>
      </c>
      <c r="D416" s="7">
        <v>0.25</v>
      </c>
      <c r="E416" s="2">
        <v>2025</v>
      </c>
      <c r="F416" s="2">
        <v>506.25</v>
      </c>
    </row>
    <row r="417" spans="1:6" x14ac:dyDescent="0.25">
      <c r="A417" t="s">
        <v>4062</v>
      </c>
      <c r="B417" t="s">
        <v>5300</v>
      </c>
      <c r="C417" t="s">
        <v>63</v>
      </c>
      <c r="D417" s="7">
        <v>4.92</v>
      </c>
      <c r="E417" s="2">
        <v>5282</v>
      </c>
      <c r="F417" s="2">
        <v>25987.44</v>
      </c>
    </row>
    <row r="418" spans="1:6" x14ac:dyDescent="0.25">
      <c r="A418" t="s">
        <v>4062</v>
      </c>
      <c r="B418" t="s">
        <v>3978</v>
      </c>
      <c r="C418" t="s">
        <v>34</v>
      </c>
      <c r="D418" s="7">
        <v>0</v>
      </c>
      <c r="E418" s="2">
        <v>409741.65</v>
      </c>
      <c r="F418" s="2">
        <v>614.61</v>
      </c>
    </row>
    <row r="419" spans="1:6" x14ac:dyDescent="0.25">
      <c r="A419" t="s">
        <v>4049</v>
      </c>
      <c r="B419" t="s">
        <v>4050</v>
      </c>
      <c r="C419" t="s">
        <v>4051</v>
      </c>
      <c r="D419" s="7">
        <v>0.5</v>
      </c>
      <c r="E419" s="2">
        <v>9037.33</v>
      </c>
      <c r="F419" s="2">
        <v>4518.66</v>
      </c>
    </row>
    <row r="420" spans="1:6" x14ac:dyDescent="0.25">
      <c r="A420" t="s">
        <v>4049</v>
      </c>
      <c r="B420" t="s">
        <v>4073</v>
      </c>
      <c r="C420" t="s">
        <v>4051</v>
      </c>
      <c r="D420" s="7">
        <v>0.5</v>
      </c>
      <c r="E420" s="2">
        <v>15517.89</v>
      </c>
      <c r="F420" s="2">
        <v>7758.94</v>
      </c>
    </row>
    <row r="421" spans="1:6" x14ac:dyDescent="0.25">
      <c r="A421" t="s">
        <v>4052</v>
      </c>
      <c r="B421" t="s">
        <v>4053</v>
      </c>
      <c r="C421" t="s">
        <v>4054</v>
      </c>
      <c r="D421" s="7">
        <v>5</v>
      </c>
      <c r="E421" s="2">
        <v>12277.6</v>
      </c>
      <c r="F421" s="2">
        <v>613.88</v>
      </c>
    </row>
    <row r="422" spans="1:6" x14ac:dyDescent="0.25">
      <c r="A422" t="s">
        <v>4055</v>
      </c>
      <c r="D422" s="7"/>
      <c r="E422" s="2"/>
      <c r="F422" s="2">
        <f>SUBTOTAL(109,A_1_11_37[VALOR PARCIAL])</f>
      </c>
    </row>
    <row r="424" ht="30" customHeight="1" spans="1:6" x14ac:dyDescent="0.25">
      <c r="A424" s="5" t="s">
        <v>5301</v>
      </c>
      <c r="B424" s="5"/>
      <c r="C424" s="5"/>
      <c r="D424" s="5"/>
      <c r="E424" s="5"/>
      <c r="F424" s="5"/>
    </row>
    <row r="425" ht="42" customHeight="1" spans="1:6" x14ac:dyDescent="0.25">
      <c r="A425" s="6" t="s">
        <v>5302</v>
      </c>
      <c r="B425" s="6"/>
      <c r="C425" s="6"/>
      <c r="D425" s="6"/>
      <c r="E425" s="6"/>
      <c r="F425" s="6"/>
    </row>
    <row r="426" spans="1:6" x14ac:dyDescent="0.25">
      <c r="A426" t="s">
        <v>4044</v>
      </c>
      <c r="B426" t="s">
        <v>4045</v>
      </c>
      <c r="C426" t="s">
        <v>5</v>
      </c>
      <c r="D426" t="s">
        <v>4046</v>
      </c>
      <c r="E426" t="s">
        <v>4047</v>
      </c>
      <c r="F426" t="s">
        <v>4048</v>
      </c>
    </row>
    <row r="427" spans="1:6" x14ac:dyDescent="0.25">
      <c r="A427" t="s">
        <v>4062</v>
      </c>
      <c r="B427" t="s">
        <v>5303</v>
      </c>
      <c r="C427" t="s">
        <v>42</v>
      </c>
      <c r="D427" s="7">
        <v>1.05</v>
      </c>
      <c r="E427" s="2">
        <v>16358</v>
      </c>
      <c r="F427" s="2">
        <v>17175.9</v>
      </c>
    </row>
    <row r="428" spans="1:6" x14ac:dyDescent="0.25">
      <c r="A428" t="s">
        <v>4062</v>
      </c>
      <c r="B428" t="s">
        <v>4690</v>
      </c>
      <c r="C428" t="s">
        <v>231</v>
      </c>
      <c r="D428" s="7">
        <v>4</v>
      </c>
      <c r="E428" s="2">
        <v>2025</v>
      </c>
      <c r="F428" s="2">
        <v>8100</v>
      </c>
    </row>
    <row r="429" spans="1:6" x14ac:dyDescent="0.25">
      <c r="A429" t="s">
        <v>4062</v>
      </c>
      <c r="B429" t="s">
        <v>5103</v>
      </c>
      <c r="C429" t="s">
        <v>5090</v>
      </c>
      <c r="D429" s="7">
        <v>0.15</v>
      </c>
      <c r="E429" s="2">
        <v>16597</v>
      </c>
      <c r="F429" s="2">
        <v>2489.55</v>
      </c>
    </row>
    <row r="430" spans="1:6" x14ac:dyDescent="0.25">
      <c r="A430" t="s">
        <v>4062</v>
      </c>
      <c r="B430" t="s">
        <v>5210</v>
      </c>
      <c r="C430" t="s">
        <v>231</v>
      </c>
      <c r="D430" s="7">
        <v>0.1</v>
      </c>
      <c r="E430" s="2">
        <v>8133.33</v>
      </c>
      <c r="F430" s="2">
        <v>813.33</v>
      </c>
    </row>
    <row r="431" spans="1:6" x14ac:dyDescent="0.25">
      <c r="A431" t="s">
        <v>4049</v>
      </c>
      <c r="B431" t="s">
        <v>4050</v>
      </c>
      <c r="C431" t="s">
        <v>4051</v>
      </c>
      <c r="D431" s="7">
        <v>0.5</v>
      </c>
      <c r="E431" s="2">
        <v>9037.33</v>
      </c>
      <c r="F431" s="2">
        <v>4518.66</v>
      </c>
    </row>
    <row r="432" spans="1:6" x14ac:dyDescent="0.25">
      <c r="A432" t="s">
        <v>4049</v>
      </c>
      <c r="B432" t="s">
        <v>4073</v>
      </c>
      <c r="C432" t="s">
        <v>4051</v>
      </c>
      <c r="D432" s="7">
        <v>0.5</v>
      </c>
      <c r="E432" s="2">
        <v>15517.89</v>
      </c>
      <c r="F432" s="2">
        <v>7758.94</v>
      </c>
    </row>
    <row r="433" spans="1:6" x14ac:dyDescent="0.25">
      <c r="A433" t="s">
        <v>4052</v>
      </c>
      <c r="B433" t="s">
        <v>4053</v>
      </c>
      <c r="C433" t="s">
        <v>4054</v>
      </c>
      <c r="D433" s="7">
        <v>5</v>
      </c>
      <c r="E433" s="2">
        <v>12277.6</v>
      </c>
      <c r="F433" s="2">
        <v>613.88</v>
      </c>
    </row>
    <row r="434" spans="1:6" x14ac:dyDescent="0.25">
      <c r="A434" t="s">
        <v>4055</v>
      </c>
      <c r="D434" s="7"/>
      <c r="E434" s="2"/>
      <c r="F434" s="2">
        <f>SUBTOTAL(109,A_1_11_38[VALOR PARCIAL])</f>
      </c>
    </row>
    <row r="436" ht="30" customHeight="1" spans="1:6" x14ac:dyDescent="0.25">
      <c r="A436" s="5" t="s">
        <v>5304</v>
      </c>
      <c r="B436" s="5"/>
      <c r="C436" s="5"/>
      <c r="D436" s="5"/>
      <c r="E436" s="5"/>
      <c r="F436" s="5"/>
    </row>
    <row r="437" ht="42" customHeight="1" spans="1:6" x14ac:dyDescent="0.25">
      <c r="A437" s="6" t="s">
        <v>5305</v>
      </c>
      <c r="B437" s="6"/>
      <c r="C437" s="6"/>
      <c r="D437" s="6"/>
      <c r="E437" s="6"/>
      <c r="F437" s="6"/>
    </row>
    <row r="438" spans="1:6" x14ac:dyDescent="0.25">
      <c r="A438" t="s">
        <v>4044</v>
      </c>
      <c r="B438" t="s">
        <v>4045</v>
      </c>
      <c r="C438" t="s">
        <v>5</v>
      </c>
      <c r="D438" t="s">
        <v>4046</v>
      </c>
      <c r="E438" t="s">
        <v>4047</v>
      </c>
      <c r="F438" t="s">
        <v>4048</v>
      </c>
    </row>
    <row r="439" spans="1:6" x14ac:dyDescent="0.25">
      <c r="A439" t="s">
        <v>4062</v>
      </c>
      <c r="B439" t="s">
        <v>5306</v>
      </c>
      <c r="C439" t="s">
        <v>42</v>
      </c>
      <c r="D439" s="7">
        <v>1.03</v>
      </c>
      <c r="E439" s="2">
        <v>6466</v>
      </c>
      <c r="F439" s="2">
        <v>6659.98</v>
      </c>
    </row>
    <row r="440" spans="1:6" x14ac:dyDescent="0.25">
      <c r="A440" t="s">
        <v>4062</v>
      </c>
      <c r="B440" t="s">
        <v>5253</v>
      </c>
      <c r="C440" t="s">
        <v>4377</v>
      </c>
      <c r="D440" s="7">
        <v>0.06</v>
      </c>
      <c r="E440" s="2">
        <v>60500</v>
      </c>
      <c r="F440" s="2">
        <v>3630</v>
      </c>
    </row>
    <row r="441" spans="1:6" x14ac:dyDescent="0.25">
      <c r="A441" t="s">
        <v>4049</v>
      </c>
      <c r="B441" t="s">
        <v>4050</v>
      </c>
      <c r="C441" t="s">
        <v>4051</v>
      </c>
      <c r="D441" s="7">
        <v>0.25</v>
      </c>
      <c r="E441" s="2">
        <v>9037.33</v>
      </c>
      <c r="F441" s="2">
        <v>2259.33</v>
      </c>
    </row>
    <row r="442" spans="1:6" x14ac:dyDescent="0.25">
      <c r="A442" t="s">
        <v>4049</v>
      </c>
      <c r="B442" t="s">
        <v>4073</v>
      </c>
      <c r="C442" t="s">
        <v>4051</v>
      </c>
      <c r="D442" s="7">
        <v>0.25</v>
      </c>
      <c r="E442" s="2">
        <v>15517.89</v>
      </c>
      <c r="F442" s="2">
        <v>3879.47</v>
      </c>
    </row>
    <row r="443" spans="1:6" x14ac:dyDescent="0.25">
      <c r="A443" t="s">
        <v>4052</v>
      </c>
      <c r="B443" t="s">
        <v>4053</v>
      </c>
      <c r="C443" t="s">
        <v>4054</v>
      </c>
      <c r="D443" s="7">
        <v>5</v>
      </c>
      <c r="E443" s="2">
        <v>6138.8</v>
      </c>
      <c r="F443" s="2">
        <v>306.94</v>
      </c>
    </row>
    <row r="444" spans="1:6" x14ac:dyDescent="0.25">
      <c r="A444" t="s">
        <v>4055</v>
      </c>
      <c r="D444" s="7"/>
      <c r="E444" s="2"/>
      <c r="F444" s="2">
        <f>SUBTOTAL(109,A_1_11_39[VALOR PARCIAL])</f>
      </c>
    </row>
    <row r="446" ht="30" customHeight="1" spans="1:6" x14ac:dyDescent="0.25">
      <c r="A446" s="5" t="s">
        <v>5307</v>
      </c>
      <c r="B446" s="5"/>
      <c r="C446" s="5"/>
      <c r="D446" s="5"/>
      <c r="E446" s="5"/>
      <c r="F446" s="5"/>
    </row>
    <row r="447" ht="42" customHeight="1" spans="1:6" x14ac:dyDescent="0.25">
      <c r="A447" s="6" t="s">
        <v>5308</v>
      </c>
      <c r="B447" s="6"/>
      <c r="C447" s="6"/>
      <c r="D447" s="6"/>
      <c r="E447" s="6"/>
      <c r="F447" s="6"/>
    </row>
    <row r="448" spans="1:6" x14ac:dyDescent="0.25">
      <c r="A448" t="s">
        <v>4044</v>
      </c>
      <c r="B448" t="s">
        <v>4045</v>
      </c>
      <c r="C448" t="s">
        <v>5</v>
      </c>
      <c r="D448" t="s">
        <v>4046</v>
      </c>
      <c r="E448" t="s">
        <v>4047</v>
      </c>
      <c r="F448" t="s">
        <v>4048</v>
      </c>
    </row>
    <row r="449" spans="1:6" x14ac:dyDescent="0.25">
      <c r="A449" t="s">
        <v>4062</v>
      </c>
      <c r="B449" t="s">
        <v>5309</v>
      </c>
      <c r="C449" t="s">
        <v>63</v>
      </c>
      <c r="D449" s="7">
        <v>2</v>
      </c>
      <c r="E449" s="2">
        <v>925</v>
      </c>
      <c r="F449" s="2">
        <v>1850</v>
      </c>
    </row>
    <row r="450" spans="1:6" x14ac:dyDescent="0.25">
      <c r="A450" t="s">
        <v>4062</v>
      </c>
      <c r="B450" t="s">
        <v>5310</v>
      </c>
      <c r="C450" t="s">
        <v>42</v>
      </c>
      <c r="D450" s="7">
        <v>1.03</v>
      </c>
      <c r="E450" s="2">
        <v>3170.94</v>
      </c>
      <c r="F450" s="2">
        <v>3266.07</v>
      </c>
    </row>
    <row r="451" spans="1:6" x14ac:dyDescent="0.25">
      <c r="A451" t="s">
        <v>4049</v>
      </c>
      <c r="B451" t="s">
        <v>4050</v>
      </c>
      <c r="C451" t="s">
        <v>4051</v>
      </c>
      <c r="D451" s="7">
        <v>0.2</v>
      </c>
      <c r="E451" s="2">
        <v>9037.33</v>
      </c>
      <c r="F451" s="2">
        <v>1807.47</v>
      </c>
    </row>
    <row r="452" spans="1:6" x14ac:dyDescent="0.25">
      <c r="A452" t="s">
        <v>4049</v>
      </c>
      <c r="B452" t="s">
        <v>4073</v>
      </c>
      <c r="C452" t="s">
        <v>4051</v>
      </c>
      <c r="D452" s="7">
        <v>0.2</v>
      </c>
      <c r="E452" s="2">
        <v>15517.89</v>
      </c>
      <c r="F452" s="2">
        <v>3103.58</v>
      </c>
    </row>
    <row r="453" spans="1:6" x14ac:dyDescent="0.25">
      <c r="A453" t="s">
        <v>4052</v>
      </c>
      <c r="B453" t="s">
        <v>4053</v>
      </c>
      <c r="C453" t="s">
        <v>4054</v>
      </c>
      <c r="D453" s="7">
        <v>5</v>
      </c>
      <c r="E453" s="2">
        <v>4911.05</v>
      </c>
      <c r="F453" s="2">
        <v>245.55</v>
      </c>
    </row>
    <row r="454" spans="1:6" x14ac:dyDescent="0.25">
      <c r="A454" t="s">
        <v>4055</v>
      </c>
      <c r="D454" s="7"/>
      <c r="E454" s="2"/>
      <c r="F454" s="2">
        <f>SUBTOTAL(109,A_1_11_40[VALOR PARCIAL])</f>
      </c>
    </row>
    <row r="456" ht="30" customHeight="1" spans="1:6" x14ac:dyDescent="0.25">
      <c r="A456" s="5" t="s">
        <v>5311</v>
      </c>
      <c r="B456" s="5"/>
      <c r="C456" s="5"/>
      <c r="D456" s="5"/>
      <c r="E456" s="5"/>
      <c r="F456" s="5"/>
    </row>
    <row r="457" ht="42" customHeight="1" spans="1:6" x14ac:dyDescent="0.25">
      <c r="A457" s="6" t="s">
        <v>5312</v>
      </c>
      <c r="B457" s="6"/>
      <c r="C457" s="6"/>
      <c r="D457" s="6"/>
      <c r="E457" s="6"/>
      <c r="F457" s="6"/>
    </row>
    <row r="458" spans="1:6" x14ac:dyDescent="0.25">
      <c r="A458" t="s">
        <v>4044</v>
      </c>
      <c r="B458" t="s">
        <v>4045</v>
      </c>
      <c r="C458" t="s">
        <v>5</v>
      </c>
      <c r="D458" t="s">
        <v>4046</v>
      </c>
      <c r="E458" t="s">
        <v>4047</v>
      </c>
      <c r="F458" t="s">
        <v>4048</v>
      </c>
    </row>
    <row r="459" spans="1:6" x14ac:dyDescent="0.25">
      <c r="A459" t="s">
        <v>4062</v>
      </c>
      <c r="B459" t="s">
        <v>5073</v>
      </c>
      <c r="C459" t="s">
        <v>4377</v>
      </c>
      <c r="D459" s="7">
        <v>0</v>
      </c>
      <c r="E459" s="2">
        <v>20966.67</v>
      </c>
      <c r="F459" s="2">
        <v>20.97</v>
      </c>
    </row>
    <row r="460" spans="1:6" x14ac:dyDescent="0.25">
      <c r="A460" t="s">
        <v>4062</v>
      </c>
      <c r="B460" t="s">
        <v>5313</v>
      </c>
      <c r="C460" t="s">
        <v>42</v>
      </c>
      <c r="D460" s="7">
        <v>1.03</v>
      </c>
      <c r="E460" s="2">
        <v>7167</v>
      </c>
      <c r="F460" s="2">
        <v>7382.01</v>
      </c>
    </row>
    <row r="461" spans="1:6" x14ac:dyDescent="0.25">
      <c r="A461" t="s">
        <v>4062</v>
      </c>
      <c r="B461" t="s">
        <v>5314</v>
      </c>
      <c r="C461" t="s">
        <v>3963</v>
      </c>
      <c r="D461" s="7">
        <v>0.08</v>
      </c>
      <c r="E461" s="2">
        <v>12875</v>
      </c>
      <c r="F461" s="2">
        <v>1030</v>
      </c>
    </row>
    <row r="462" spans="1:6" x14ac:dyDescent="0.25">
      <c r="A462" t="s">
        <v>4062</v>
      </c>
      <c r="B462" t="s">
        <v>4600</v>
      </c>
      <c r="C462" t="s">
        <v>63</v>
      </c>
      <c r="D462" s="7">
        <v>0.05</v>
      </c>
      <c r="E462" s="2">
        <v>1195</v>
      </c>
      <c r="F462" s="2">
        <v>59.75</v>
      </c>
    </row>
    <row r="463" spans="1:6" x14ac:dyDescent="0.25">
      <c r="A463" t="s">
        <v>4062</v>
      </c>
      <c r="B463" t="s">
        <v>5315</v>
      </c>
      <c r="C463" t="s">
        <v>4377</v>
      </c>
      <c r="D463" s="7">
        <v>0.01</v>
      </c>
      <c r="E463" s="2">
        <v>4783.33</v>
      </c>
      <c r="F463" s="2">
        <v>33.48</v>
      </c>
    </row>
    <row r="464" spans="1:6" x14ac:dyDescent="0.25">
      <c r="A464" t="s">
        <v>4049</v>
      </c>
      <c r="B464" t="s">
        <v>4182</v>
      </c>
      <c r="C464" t="s">
        <v>4051</v>
      </c>
      <c r="D464" s="7">
        <v>0.2</v>
      </c>
      <c r="E464" s="2">
        <v>10845.1</v>
      </c>
      <c r="F464" s="2">
        <v>2169.02</v>
      </c>
    </row>
    <row r="465" spans="1:6" x14ac:dyDescent="0.25">
      <c r="A465" t="s">
        <v>4049</v>
      </c>
      <c r="B465" t="s">
        <v>5067</v>
      </c>
      <c r="C465" t="s">
        <v>4051</v>
      </c>
      <c r="D465" s="7">
        <v>0.05</v>
      </c>
      <c r="E465" s="2">
        <v>10392.41</v>
      </c>
      <c r="F465" s="2">
        <v>519.62</v>
      </c>
    </row>
    <row r="466" spans="1:6" x14ac:dyDescent="0.25">
      <c r="A466" t="s">
        <v>4049</v>
      </c>
      <c r="B466" t="s">
        <v>4183</v>
      </c>
      <c r="C466" t="s">
        <v>4051</v>
      </c>
      <c r="D466" s="7">
        <v>0.2</v>
      </c>
      <c r="E466" s="2">
        <v>18621.17</v>
      </c>
      <c r="F466" s="2">
        <v>3724.23</v>
      </c>
    </row>
    <row r="467" spans="1:6" x14ac:dyDescent="0.25">
      <c r="A467" t="s">
        <v>4049</v>
      </c>
      <c r="B467" t="s">
        <v>5068</v>
      </c>
      <c r="C467" t="s">
        <v>4051</v>
      </c>
      <c r="D467" s="7">
        <v>0.05</v>
      </c>
      <c r="E467" s="2">
        <v>17845.35</v>
      </c>
      <c r="F467" s="2">
        <v>892.27</v>
      </c>
    </row>
    <row r="468" spans="1:6" x14ac:dyDescent="0.25">
      <c r="A468" t="s">
        <v>4052</v>
      </c>
      <c r="B468" t="s">
        <v>4053</v>
      </c>
      <c r="C468" t="s">
        <v>4054</v>
      </c>
      <c r="D468" s="7">
        <v>5</v>
      </c>
      <c r="E468" s="2">
        <v>7305.14</v>
      </c>
      <c r="F468" s="2">
        <v>365.26</v>
      </c>
    </row>
    <row r="469" spans="1:6" x14ac:dyDescent="0.25">
      <c r="A469" t="s">
        <v>4055</v>
      </c>
      <c r="D469" s="7"/>
      <c r="E469" s="2"/>
      <c r="F469" s="2">
        <f>SUBTOTAL(109,A_1_11_41[VALOR PARCIAL])</f>
      </c>
    </row>
    <row r="471" ht="30" customHeight="1" spans="1:6" x14ac:dyDescent="0.25">
      <c r="A471" s="5" t="s">
        <v>5316</v>
      </c>
      <c r="B471" s="5"/>
      <c r="C471" s="5"/>
      <c r="D471" s="5"/>
      <c r="E471" s="5"/>
      <c r="F471" s="5"/>
    </row>
    <row r="472" ht="42" customHeight="1" spans="1:6" x14ac:dyDescent="0.25">
      <c r="A472" s="6" t="s">
        <v>5317</v>
      </c>
      <c r="B472" s="6"/>
      <c r="C472" s="6"/>
      <c r="D472" s="6"/>
      <c r="E472" s="6"/>
      <c r="F472" s="6"/>
    </row>
    <row r="473" spans="1:6" x14ac:dyDescent="0.25">
      <c r="A473" t="s">
        <v>4044</v>
      </c>
      <c r="B473" t="s">
        <v>4045</v>
      </c>
      <c r="C473" t="s">
        <v>5</v>
      </c>
      <c r="D473" t="s">
        <v>4046</v>
      </c>
      <c r="E473" t="s">
        <v>4047</v>
      </c>
      <c r="F473" t="s">
        <v>4048</v>
      </c>
    </row>
    <row r="474" spans="1:6" x14ac:dyDescent="0.25">
      <c r="A474" t="s">
        <v>4062</v>
      </c>
      <c r="B474" t="s">
        <v>3978</v>
      </c>
      <c r="C474" t="s">
        <v>34</v>
      </c>
      <c r="D474" s="7">
        <v>0.02</v>
      </c>
      <c r="E474" s="2">
        <v>409741.65</v>
      </c>
      <c r="F474" s="2">
        <v>8194.83</v>
      </c>
    </row>
    <row r="475" spans="1:6" x14ac:dyDescent="0.25">
      <c r="A475" t="s">
        <v>4062</v>
      </c>
      <c r="B475" t="s">
        <v>5318</v>
      </c>
      <c r="C475" t="s">
        <v>21</v>
      </c>
      <c r="D475" s="7">
        <v>1.05</v>
      </c>
      <c r="E475" s="2">
        <v>14500</v>
      </c>
      <c r="F475" s="2">
        <v>15225</v>
      </c>
    </row>
    <row r="476" spans="1:6" x14ac:dyDescent="0.25">
      <c r="A476" t="s">
        <v>4049</v>
      </c>
      <c r="B476" t="s">
        <v>4050</v>
      </c>
      <c r="C476" t="s">
        <v>4051</v>
      </c>
      <c r="D476" s="7">
        <v>0.7</v>
      </c>
      <c r="E476" s="2">
        <v>9037.33</v>
      </c>
      <c r="F476" s="2">
        <v>6326.13</v>
      </c>
    </row>
    <row r="477" spans="1:6" x14ac:dyDescent="0.25">
      <c r="A477" t="s">
        <v>4049</v>
      </c>
      <c r="B477" t="s">
        <v>4073</v>
      </c>
      <c r="C477" t="s">
        <v>4051</v>
      </c>
      <c r="D477" s="7">
        <v>0.7</v>
      </c>
      <c r="E477" s="2">
        <v>15517.89</v>
      </c>
      <c r="F477" s="2">
        <v>10862.52</v>
      </c>
    </row>
    <row r="478" spans="1:6" x14ac:dyDescent="0.25">
      <c r="A478" t="s">
        <v>4052</v>
      </c>
      <c r="B478" t="s">
        <v>4053</v>
      </c>
      <c r="C478" t="s">
        <v>4054</v>
      </c>
      <c r="D478" s="7">
        <v>5</v>
      </c>
      <c r="E478" s="2">
        <v>17188.65</v>
      </c>
      <c r="F478" s="2">
        <v>859.43</v>
      </c>
    </row>
    <row r="479" spans="1:6" x14ac:dyDescent="0.25">
      <c r="A479" t="s">
        <v>4055</v>
      </c>
      <c r="D479" s="7"/>
      <c r="E479" s="2"/>
      <c r="F479" s="2">
        <f>SUBTOTAL(109,A_1_11_42[VALOR PARCIAL])</f>
      </c>
    </row>
    <row r="481" ht="30" customHeight="1" spans="1:6" x14ac:dyDescent="0.25">
      <c r="A481" s="5" t="s">
        <v>5319</v>
      </c>
      <c r="B481" s="5"/>
      <c r="C481" s="5"/>
      <c r="D481" s="5"/>
      <c r="E481" s="5"/>
      <c r="F481" s="5"/>
    </row>
    <row r="482" ht="42" customHeight="1" spans="1:6" x14ac:dyDescent="0.25">
      <c r="A482" s="6" t="s">
        <v>5320</v>
      </c>
      <c r="B482" s="6"/>
      <c r="C482" s="6"/>
      <c r="D482" s="6"/>
      <c r="E482" s="6"/>
      <c r="F482" s="6"/>
    </row>
    <row r="483" spans="1:6" x14ac:dyDescent="0.25">
      <c r="A483" t="s">
        <v>4044</v>
      </c>
      <c r="B483" t="s">
        <v>4045</v>
      </c>
      <c r="C483" t="s">
        <v>5</v>
      </c>
      <c r="D483" t="s">
        <v>4046</v>
      </c>
      <c r="E483" t="s">
        <v>4047</v>
      </c>
      <c r="F483" t="s">
        <v>4048</v>
      </c>
    </row>
    <row r="484" spans="1:6" x14ac:dyDescent="0.25">
      <c r="A484" t="s">
        <v>4062</v>
      </c>
      <c r="B484" t="s">
        <v>5234</v>
      </c>
      <c r="C484" t="s">
        <v>231</v>
      </c>
      <c r="D484" s="7">
        <v>2.05</v>
      </c>
      <c r="E484" s="2">
        <v>4950</v>
      </c>
      <c r="F484" s="2">
        <v>10147.5</v>
      </c>
    </row>
    <row r="485" spans="1:6" x14ac:dyDescent="0.25">
      <c r="A485" t="s">
        <v>4062</v>
      </c>
      <c r="B485" t="s">
        <v>3978</v>
      </c>
      <c r="C485" t="s">
        <v>34</v>
      </c>
      <c r="D485" s="7">
        <v>0.03</v>
      </c>
      <c r="E485" s="2">
        <v>409741.65</v>
      </c>
      <c r="F485" s="2">
        <v>12292.25</v>
      </c>
    </row>
    <row r="486" spans="1:6" x14ac:dyDescent="0.25">
      <c r="A486" t="s">
        <v>4062</v>
      </c>
      <c r="B486" t="s">
        <v>5260</v>
      </c>
      <c r="C486" t="s">
        <v>21</v>
      </c>
      <c r="D486" s="7">
        <v>1.05</v>
      </c>
      <c r="E486" s="2">
        <v>18200</v>
      </c>
      <c r="F486" s="2">
        <v>19110</v>
      </c>
    </row>
    <row r="487" spans="1:6" x14ac:dyDescent="0.25">
      <c r="A487" t="s">
        <v>4049</v>
      </c>
      <c r="B487" t="s">
        <v>4050</v>
      </c>
      <c r="C487" t="s">
        <v>4051</v>
      </c>
      <c r="D487" s="7">
        <v>0.5</v>
      </c>
      <c r="E487" s="2">
        <v>9037.33</v>
      </c>
      <c r="F487" s="2">
        <v>4518.66</v>
      </c>
    </row>
    <row r="488" spans="1:6" x14ac:dyDescent="0.25">
      <c r="A488" t="s">
        <v>4049</v>
      </c>
      <c r="B488" t="s">
        <v>4073</v>
      </c>
      <c r="C488" t="s">
        <v>4051</v>
      </c>
      <c r="D488" s="7">
        <v>0.5</v>
      </c>
      <c r="E488" s="2">
        <v>15517.89</v>
      </c>
      <c r="F488" s="2">
        <v>7758.94</v>
      </c>
    </row>
    <row r="489" spans="1:6" x14ac:dyDescent="0.25">
      <c r="A489" t="s">
        <v>4052</v>
      </c>
      <c r="B489" t="s">
        <v>4053</v>
      </c>
      <c r="C489" t="s">
        <v>4054</v>
      </c>
      <c r="D489" s="7">
        <v>5</v>
      </c>
      <c r="E489" s="2">
        <v>12277.6</v>
      </c>
      <c r="F489" s="2">
        <v>613.88</v>
      </c>
    </row>
    <row r="490" spans="1:6" x14ac:dyDescent="0.25">
      <c r="A490" t="s">
        <v>4055</v>
      </c>
      <c r="D490" s="7"/>
      <c r="E490" s="2"/>
      <c r="F490" s="2">
        <f>SUBTOTAL(109,A_1_11_43[VALOR PARCIAL])</f>
      </c>
    </row>
  </sheetData>
  <mergeCells count="86">
    <mergeCell ref="A4:F4"/>
    <mergeCell ref="A5:F5"/>
    <mergeCell ref="A13:F13"/>
    <mergeCell ref="A14:F14"/>
    <mergeCell ref="A24:F24"/>
    <mergeCell ref="A25:F25"/>
    <mergeCell ref="A33:F33"/>
    <mergeCell ref="A34:F34"/>
    <mergeCell ref="A42:F42"/>
    <mergeCell ref="A43:F43"/>
    <mergeCell ref="A53:F53"/>
    <mergeCell ref="A54:F54"/>
    <mergeCell ref="A64:F64"/>
    <mergeCell ref="A65:F65"/>
    <mergeCell ref="A80:F80"/>
    <mergeCell ref="A81:F81"/>
    <mergeCell ref="A95:F95"/>
    <mergeCell ref="A96:F96"/>
    <mergeCell ref="A112:F112"/>
    <mergeCell ref="A113:F113"/>
    <mergeCell ref="A125:F125"/>
    <mergeCell ref="A126:F126"/>
    <mergeCell ref="A134:F134"/>
    <mergeCell ref="A135:F135"/>
    <mergeCell ref="A144:F144"/>
    <mergeCell ref="A145:F145"/>
    <mergeCell ref="A154:F154"/>
    <mergeCell ref="A155:F155"/>
    <mergeCell ref="A164:F164"/>
    <mergeCell ref="A165:F165"/>
    <mergeCell ref="A177:F177"/>
    <mergeCell ref="A178:F178"/>
    <mergeCell ref="A186:F186"/>
    <mergeCell ref="A187:F187"/>
    <mergeCell ref="A202:F202"/>
    <mergeCell ref="A203:F203"/>
    <mergeCell ref="A210:F210"/>
    <mergeCell ref="A211:F211"/>
    <mergeCell ref="A227:F227"/>
    <mergeCell ref="A228:F228"/>
    <mergeCell ref="A241:F241"/>
    <mergeCell ref="A242:F242"/>
    <mergeCell ref="A254:F254"/>
    <mergeCell ref="A255:F255"/>
    <mergeCell ref="A265:F265"/>
    <mergeCell ref="A266:F266"/>
    <mergeCell ref="A277:F277"/>
    <mergeCell ref="A278:F278"/>
    <mergeCell ref="A287:F287"/>
    <mergeCell ref="A288:F288"/>
    <mergeCell ref="A297:F297"/>
    <mergeCell ref="A298:F298"/>
    <mergeCell ref="A307:F307"/>
    <mergeCell ref="A308:F308"/>
    <mergeCell ref="A317:F317"/>
    <mergeCell ref="A318:F318"/>
    <mergeCell ref="A328:F328"/>
    <mergeCell ref="A329:F329"/>
    <mergeCell ref="A337:F337"/>
    <mergeCell ref="A338:F338"/>
    <mergeCell ref="A347:F347"/>
    <mergeCell ref="A348:F348"/>
    <mergeCell ref="A357:F357"/>
    <mergeCell ref="A358:F358"/>
    <mergeCell ref="A369:F369"/>
    <mergeCell ref="A370:F370"/>
    <mergeCell ref="A380:F380"/>
    <mergeCell ref="A381:F381"/>
    <mergeCell ref="A391:F391"/>
    <mergeCell ref="A392:F392"/>
    <mergeCell ref="A400:F400"/>
    <mergeCell ref="A401:F401"/>
    <mergeCell ref="A413:F413"/>
    <mergeCell ref="A414:F414"/>
    <mergeCell ref="A424:F424"/>
    <mergeCell ref="A425:F425"/>
    <mergeCell ref="A436:F436"/>
    <mergeCell ref="A437:F437"/>
    <mergeCell ref="A446:F446"/>
    <mergeCell ref="A447:F447"/>
    <mergeCell ref="A456:F456"/>
    <mergeCell ref="A457:F457"/>
    <mergeCell ref="A471:F471"/>
    <mergeCell ref="A472:F472"/>
    <mergeCell ref="A481:F481"/>
    <mergeCell ref="A482:F482"/>
  </mergeCells>
  <pageMargins left="0.7" right="0.7" top="0.75" bottom="0.75" header="0.3" footer="0.3"/>
  <pageSetup orientation="portrait" horizontalDpi="4294967295" verticalDpi="4294967295" scale="100" fitToWidth="1" fitToHeight="1"/>
  <tableParts count="4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0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5321</v>
      </c>
    </row>
    <row r="2" spans="1:1" x14ac:dyDescent="0.25">
      <c r="A2" s="4" t="s">
        <v>5322</v>
      </c>
    </row>
    <row r="4" ht="30" customHeight="1" spans="1:6" x14ac:dyDescent="0.25">
      <c r="A4" s="5" t="s">
        <v>5323</v>
      </c>
      <c r="B4" s="5"/>
      <c r="C4" s="5"/>
      <c r="D4" s="5"/>
      <c r="E4" s="5"/>
      <c r="F4" s="5"/>
    </row>
    <row r="5" ht="42" customHeight="1" spans="1:6" x14ac:dyDescent="0.25">
      <c r="A5" s="6" t="s">
        <v>5324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4474</v>
      </c>
      <c r="C7" t="s">
        <v>34</v>
      </c>
      <c r="D7" s="7">
        <v>0.06</v>
      </c>
      <c r="E7" s="2">
        <v>114500</v>
      </c>
      <c r="F7" s="2">
        <v>6870</v>
      </c>
    </row>
    <row r="8" spans="1:6" x14ac:dyDescent="0.25">
      <c r="A8" t="s">
        <v>4062</v>
      </c>
      <c r="B8" t="s">
        <v>4475</v>
      </c>
      <c r="C8" t="s">
        <v>231</v>
      </c>
      <c r="D8" s="7">
        <v>23.38</v>
      </c>
      <c r="E8" s="2">
        <v>730</v>
      </c>
      <c r="F8" s="2">
        <v>17067.4</v>
      </c>
    </row>
    <row r="9" spans="1:6" x14ac:dyDescent="0.25">
      <c r="A9" t="s">
        <v>4062</v>
      </c>
      <c r="B9" t="s">
        <v>4076</v>
      </c>
      <c r="C9" t="s">
        <v>3963</v>
      </c>
      <c r="D9" s="7">
        <v>13.93</v>
      </c>
      <c r="E9" s="2">
        <v>21</v>
      </c>
      <c r="F9" s="2">
        <v>292.53</v>
      </c>
    </row>
    <row r="10" spans="1:6" x14ac:dyDescent="0.25">
      <c r="A10" t="s">
        <v>4049</v>
      </c>
      <c r="B10" t="s">
        <v>4050</v>
      </c>
      <c r="C10" t="s">
        <v>4051</v>
      </c>
      <c r="D10" s="7">
        <v>0.7</v>
      </c>
      <c r="E10" s="2">
        <v>9037.33</v>
      </c>
      <c r="F10" s="2">
        <v>6326.13</v>
      </c>
    </row>
    <row r="11" spans="1:6" x14ac:dyDescent="0.25">
      <c r="A11" t="s">
        <v>4049</v>
      </c>
      <c r="B11" t="s">
        <v>4073</v>
      </c>
      <c r="C11" t="s">
        <v>4051</v>
      </c>
      <c r="D11" s="7">
        <v>0.7</v>
      </c>
      <c r="E11" s="2">
        <v>15517.89</v>
      </c>
      <c r="F11" s="2">
        <v>10862.52</v>
      </c>
    </row>
    <row r="12" spans="1:6" x14ac:dyDescent="0.25">
      <c r="A12" t="s">
        <v>4052</v>
      </c>
      <c r="B12" t="s">
        <v>4105</v>
      </c>
      <c r="C12" t="s">
        <v>4106</v>
      </c>
      <c r="D12" s="7">
        <v>0.1</v>
      </c>
      <c r="E12" s="2">
        <v>25125</v>
      </c>
      <c r="F12" s="2">
        <v>2512.5</v>
      </c>
    </row>
    <row r="13" spans="1:6" x14ac:dyDescent="0.25">
      <c r="A13" t="s">
        <v>4052</v>
      </c>
      <c r="B13" t="s">
        <v>4053</v>
      </c>
      <c r="C13" t="s">
        <v>4054</v>
      </c>
      <c r="D13" s="7">
        <v>20</v>
      </c>
      <c r="E13" s="2">
        <v>17188.65</v>
      </c>
      <c r="F13" s="2">
        <v>3437.73</v>
      </c>
    </row>
    <row r="14" spans="1:6" x14ac:dyDescent="0.25">
      <c r="A14" t="s">
        <v>4055</v>
      </c>
      <c r="D14" s="7"/>
      <c r="E14" s="2"/>
      <c r="F14" s="2">
        <f>SUBTOTAL(109,A_1_12_01[VALOR PARCIAL])</f>
      </c>
    </row>
    <row r="16" ht="30" customHeight="1" spans="1:6" x14ac:dyDescent="0.25">
      <c r="A16" s="5" t="s">
        <v>5325</v>
      </c>
      <c r="B16" s="5"/>
      <c r="C16" s="5"/>
      <c r="D16" s="5"/>
      <c r="E16" s="5"/>
      <c r="F16" s="5"/>
    </row>
    <row r="17" ht="42" customHeight="1" spans="1:6" x14ac:dyDescent="0.25">
      <c r="A17" s="6" t="s">
        <v>5326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4062</v>
      </c>
      <c r="B19" t="s">
        <v>4390</v>
      </c>
      <c r="C19" t="s">
        <v>231</v>
      </c>
      <c r="D19" s="7">
        <v>0.02</v>
      </c>
      <c r="E19" s="2">
        <v>4155</v>
      </c>
      <c r="F19" s="2">
        <v>83.1</v>
      </c>
    </row>
    <row r="20" spans="1:6" x14ac:dyDescent="0.25">
      <c r="A20" t="s">
        <v>4062</v>
      </c>
      <c r="B20" t="s">
        <v>3975</v>
      </c>
      <c r="C20" t="s">
        <v>34</v>
      </c>
      <c r="D20" s="7">
        <v>0.05</v>
      </c>
      <c r="E20" s="2">
        <v>586929.15</v>
      </c>
      <c r="F20" s="2">
        <v>29346.46</v>
      </c>
    </row>
    <row r="21" spans="1:6" x14ac:dyDescent="0.25">
      <c r="A21" t="s">
        <v>4062</v>
      </c>
      <c r="B21" t="s">
        <v>5327</v>
      </c>
      <c r="C21" t="s">
        <v>231</v>
      </c>
      <c r="D21" s="7">
        <v>1.02</v>
      </c>
      <c r="E21" s="2">
        <v>2087.7</v>
      </c>
      <c r="F21" s="2">
        <v>2129.45</v>
      </c>
    </row>
    <row r="22" spans="1:6" x14ac:dyDescent="0.25">
      <c r="A22" t="s">
        <v>4062</v>
      </c>
      <c r="B22" t="s">
        <v>5328</v>
      </c>
      <c r="C22" t="s">
        <v>63</v>
      </c>
      <c r="D22" s="7">
        <v>0.85</v>
      </c>
      <c r="E22" s="2">
        <v>32833</v>
      </c>
      <c r="F22" s="2">
        <v>27908.05</v>
      </c>
    </row>
    <row r="23" spans="1:6" x14ac:dyDescent="0.25">
      <c r="A23" t="s">
        <v>4062</v>
      </c>
      <c r="B23" t="s">
        <v>4065</v>
      </c>
      <c r="C23" t="s">
        <v>4066</v>
      </c>
      <c r="D23" s="7">
        <v>0.05</v>
      </c>
      <c r="E23" s="2">
        <v>3433</v>
      </c>
      <c r="F23" s="2">
        <v>171.65</v>
      </c>
    </row>
    <row r="24" spans="1:6" x14ac:dyDescent="0.25">
      <c r="A24" t="s">
        <v>4062</v>
      </c>
      <c r="B24" t="s">
        <v>4067</v>
      </c>
      <c r="C24" t="s">
        <v>231</v>
      </c>
      <c r="D24" s="7">
        <v>6.3</v>
      </c>
      <c r="E24" s="2">
        <v>7080</v>
      </c>
      <c r="F24" s="2">
        <v>44604</v>
      </c>
    </row>
    <row r="25" spans="1:6" x14ac:dyDescent="0.25">
      <c r="A25" t="s">
        <v>4049</v>
      </c>
      <c r="B25" t="s">
        <v>4241</v>
      </c>
      <c r="C25" t="s">
        <v>4051</v>
      </c>
      <c r="D25" s="7">
        <v>1.4</v>
      </c>
      <c r="E25" s="2">
        <v>9941.22</v>
      </c>
      <c r="F25" s="2">
        <v>13917.71</v>
      </c>
    </row>
    <row r="26" spans="1:6" x14ac:dyDescent="0.25">
      <c r="A26" t="s">
        <v>4049</v>
      </c>
      <c r="B26" t="s">
        <v>4073</v>
      </c>
      <c r="C26" t="s">
        <v>4051</v>
      </c>
      <c r="D26" s="7">
        <v>1.4</v>
      </c>
      <c r="E26" s="2">
        <v>15517.89</v>
      </c>
      <c r="F26" s="2">
        <v>21725.05</v>
      </c>
    </row>
    <row r="27" spans="1:6" x14ac:dyDescent="0.25">
      <c r="A27" t="s">
        <v>4052</v>
      </c>
      <c r="B27" t="s">
        <v>4105</v>
      </c>
      <c r="C27" t="s">
        <v>4106</v>
      </c>
      <c r="D27" s="7">
        <v>0.1</v>
      </c>
      <c r="E27" s="2">
        <v>25125</v>
      </c>
      <c r="F27" s="2">
        <v>2512.5</v>
      </c>
    </row>
    <row r="28" spans="1:6" x14ac:dyDescent="0.25">
      <c r="A28" t="s">
        <v>4052</v>
      </c>
      <c r="B28" t="s">
        <v>4053</v>
      </c>
      <c r="C28" t="s">
        <v>4054</v>
      </c>
      <c r="D28" s="7">
        <v>3.3</v>
      </c>
      <c r="E28" s="2">
        <v>35642.76</v>
      </c>
      <c r="F28" s="2">
        <v>1176.21</v>
      </c>
    </row>
    <row r="29" spans="1:6" x14ac:dyDescent="0.25">
      <c r="A29" t="s">
        <v>4055</v>
      </c>
      <c r="D29" s="7"/>
      <c r="E29" s="2"/>
      <c r="F29" s="2">
        <f>SUBTOTAL(109,A_1_12_02[VALOR PARCIAL])</f>
      </c>
    </row>
    <row r="31" ht="30" customHeight="1" spans="1:6" x14ac:dyDescent="0.25">
      <c r="A31" s="5" t="s">
        <v>5329</v>
      </c>
      <c r="B31" s="5"/>
      <c r="C31" s="5"/>
      <c r="D31" s="5"/>
      <c r="E31" s="5"/>
      <c r="F31" s="5"/>
    </row>
    <row r="32" ht="42" customHeight="1" spans="1:6" x14ac:dyDescent="0.25">
      <c r="A32" s="6" t="s">
        <v>5330</v>
      </c>
      <c r="B32" s="6"/>
      <c r="C32" s="6"/>
      <c r="D32" s="6"/>
      <c r="E32" s="6"/>
      <c r="F32" s="6"/>
    </row>
    <row r="33" spans="1:6" x14ac:dyDescent="0.25">
      <c r="A33" t="s">
        <v>4044</v>
      </c>
      <c r="B33" t="s">
        <v>4045</v>
      </c>
      <c r="C33" t="s">
        <v>5</v>
      </c>
      <c r="D33" t="s">
        <v>4046</v>
      </c>
      <c r="E33" t="s">
        <v>4047</v>
      </c>
      <c r="F33" t="s">
        <v>4048</v>
      </c>
    </row>
    <row r="34" spans="1:6" x14ac:dyDescent="0.25">
      <c r="A34" t="s">
        <v>4062</v>
      </c>
      <c r="B34" t="s">
        <v>5222</v>
      </c>
      <c r="C34" t="s">
        <v>63</v>
      </c>
      <c r="D34" s="7">
        <v>2</v>
      </c>
      <c r="E34" s="2">
        <v>17</v>
      </c>
      <c r="F34" s="2">
        <v>34</v>
      </c>
    </row>
    <row r="35" spans="1:6" x14ac:dyDescent="0.25">
      <c r="A35" t="s">
        <v>4062</v>
      </c>
      <c r="B35" t="s">
        <v>5331</v>
      </c>
      <c r="C35" t="s">
        <v>63</v>
      </c>
      <c r="D35" s="7">
        <v>0.34</v>
      </c>
      <c r="E35" s="2">
        <v>13250</v>
      </c>
      <c r="F35" s="2">
        <v>4505</v>
      </c>
    </row>
    <row r="36" spans="1:6" x14ac:dyDescent="0.25">
      <c r="A36" t="s">
        <v>4062</v>
      </c>
      <c r="B36" t="s">
        <v>5332</v>
      </c>
      <c r="C36" t="s">
        <v>42</v>
      </c>
      <c r="D36" s="7">
        <v>1.05</v>
      </c>
      <c r="E36" s="2">
        <v>34500</v>
      </c>
      <c r="F36" s="2">
        <v>36225</v>
      </c>
    </row>
    <row r="37" spans="1:6" x14ac:dyDescent="0.25">
      <c r="A37" t="s">
        <v>4062</v>
      </c>
      <c r="B37" t="s">
        <v>5333</v>
      </c>
      <c r="C37" t="s">
        <v>63</v>
      </c>
      <c r="D37" s="7">
        <v>0.17</v>
      </c>
      <c r="E37" s="2">
        <v>4866.67</v>
      </c>
      <c r="F37" s="2">
        <v>827.33</v>
      </c>
    </row>
    <row r="38" spans="1:6" x14ac:dyDescent="0.25">
      <c r="A38" t="s">
        <v>4062</v>
      </c>
      <c r="B38" t="s">
        <v>5334</v>
      </c>
      <c r="C38" t="s">
        <v>63</v>
      </c>
      <c r="D38" s="7">
        <v>3</v>
      </c>
      <c r="E38" s="2">
        <v>2144.08</v>
      </c>
      <c r="F38" s="2">
        <v>6432.24</v>
      </c>
    </row>
    <row r="39" spans="1:6" x14ac:dyDescent="0.25">
      <c r="A39" t="s">
        <v>4049</v>
      </c>
      <c r="B39" t="s">
        <v>4105</v>
      </c>
      <c r="C39" t="s">
        <v>4106</v>
      </c>
      <c r="D39" s="7">
        <v>0.1</v>
      </c>
      <c r="E39" s="2">
        <v>25125</v>
      </c>
      <c r="F39" s="2">
        <v>2512.5</v>
      </c>
    </row>
    <row r="40" spans="1:6" x14ac:dyDescent="0.25">
      <c r="A40" t="s">
        <v>4049</v>
      </c>
      <c r="B40" t="s">
        <v>4235</v>
      </c>
      <c r="C40" t="s">
        <v>4236</v>
      </c>
      <c r="D40" s="7">
        <v>0.6</v>
      </c>
      <c r="E40" s="2">
        <v>27010.74</v>
      </c>
      <c r="F40" s="2">
        <v>16206.44</v>
      </c>
    </row>
    <row r="41" spans="1:6" x14ac:dyDescent="0.25">
      <c r="A41" t="s">
        <v>4052</v>
      </c>
      <c r="B41" t="s">
        <v>4053</v>
      </c>
      <c r="C41" t="s">
        <v>4054</v>
      </c>
      <c r="D41" s="7">
        <v>3.3</v>
      </c>
      <c r="E41" s="2">
        <v>16206.44</v>
      </c>
      <c r="F41" s="2">
        <v>534.81</v>
      </c>
    </row>
    <row r="42" spans="1:6" x14ac:dyDescent="0.25">
      <c r="A42" t="s">
        <v>4055</v>
      </c>
      <c r="D42" s="7"/>
      <c r="E42" s="2"/>
      <c r="F42" s="2">
        <f>SUBTOTAL(109,A_1_12_03[VALOR PARCIAL])</f>
      </c>
    </row>
    <row r="44" ht="30" customHeight="1" spans="1:6" x14ac:dyDescent="0.25">
      <c r="A44" s="5" t="s">
        <v>5335</v>
      </c>
      <c r="B44" s="5"/>
      <c r="C44" s="5"/>
      <c r="D44" s="5"/>
      <c r="E44" s="5"/>
      <c r="F44" s="5"/>
    </row>
    <row r="45" ht="42" customHeight="1" spans="1:6" x14ac:dyDescent="0.25">
      <c r="A45" s="6" t="s">
        <v>5336</v>
      </c>
      <c r="B45" s="6"/>
      <c r="C45" s="6"/>
      <c r="D45" s="6"/>
      <c r="E45" s="6"/>
      <c r="F45" s="6"/>
    </row>
    <row r="46" spans="1:6" x14ac:dyDescent="0.25">
      <c r="A46" t="s">
        <v>4044</v>
      </c>
      <c r="B46" t="s">
        <v>4045</v>
      </c>
      <c r="C46" t="s">
        <v>5</v>
      </c>
      <c r="D46" t="s">
        <v>4046</v>
      </c>
      <c r="E46" t="s">
        <v>4047</v>
      </c>
      <c r="F46" t="s">
        <v>4048</v>
      </c>
    </row>
    <row r="47" spans="1:6" x14ac:dyDescent="0.25">
      <c r="A47" t="s">
        <v>4062</v>
      </c>
      <c r="B47" t="s">
        <v>5337</v>
      </c>
      <c r="C47" t="s">
        <v>63</v>
      </c>
      <c r="D47" s="7">
        <v>0.68</v>
      </c>
      <c r="E47" s="2">
        <v>5710</v>
      </c>
      <c r="F47" s="2">
        <v>3882.8</v>
      </c>
    </row>
    <row r="48" spans="1:6" x14ac:dyDescent="0.25">
      <c r="A48" t="s">
        <v>4062</v>
      </c>
      <c r="B48" t="s">
        <v>5331</v>
      </c>
      <c r="C48" t="s">
        <v>63</v>
      </c>
      <c r="D48" s="7">
        <v>0.34</v>
      </c>
      <c r="E48" s="2">
        <v>13250</v>
      </c>
      <c r="F48" s="2">
        <v>4505</v>
      </c>
    </row>
    <row r="49" spans="1:6" x14ac:dyDescent="0.25">
      <c r="A49" t="s">
        <v>4062</v>
      </c>
      <c r="B49" t="s">
        <v>5338</v>
      </c>
      <c r="C49" t="s">
        <v>42</v>
      </c>
      <c r="D49" s="7">
        <v>1.03</v>
      </c>
      <c r="E49" s="2">
        <v>36850</v>
      </c>
      <c r="F49" s="2">
        <v>37955.5</v>
      </c>
    </row>
    <row r="50" spans="1:6" x14ac:dyDescent="0.25">
      <c r="A50" t="s">
        <v>4062</v>
      </c>
      <c r="B50" t="s">
        <v>5339</v>
      </c>
      <c r="C50" t="s">
        <v>63</v>
      </c>
      <c r="D50" s="7">
        <v>3</v>
      </c>
      <c r="E50" s="2">
        <v>6600</v>
      </c>
      <c r="F50" s="2">
        <v>19800</v>
      </c>
    </row>
    <row r="51" spans="1:6" x14ac:dyDescent="0.25">
      <c r="A51" t="s">
        <v>4049</v>
      </c>
      <c r="B51" t="s">
        <v>4235</v>
      </c>
      <c r="C51" t="s">
        <v>4236</v>
      </c>
      <c r="D51" s="7">
        <v>0.85</v>
      </c>
      <c r="E51" s="2">
        <v>27010.74</v>
      </c>
      <c r="F51" s="2">
        <v>22959.13</v>
      </c>
    </row>
    <row r="52" spans="1:6" x14ac:dyDescent="0.25">
      <c r="A52" t="s">
        <v>4052</v>
      </c>
      <c r="B52" t="s">
        <v>4053</v>
      </c>
      <c r="C52" t="s">
        <v>4054</v>
      </c>
      <c r="D52" s="7">
        <v>3.3</v>
      </c>
      <c r="E52" s="2">
        <v>22959.13</v>
      </c>
      <c r="F52" s="2">
        <v>757.65</v>
      </c>
    </row>
    <row r="53" spans="1:6" x14ac:dyDescent="0.25">
      <c r="A53" t="s">
        <v>4055</v>
      </c>
      <c r="D53" s="7"/>
      <c r="E53" s="2"/>
      <c r="F53" s="2">
        <f>SUBTOTAL(109,A_1_12_04[VALOR PARCIAL])</f>
      </c>
    </row>
    <row r="55" ht="30" customHeight="1" spans="1:6" x14ac:dyDescent="0.25">
      <c r="A55" s="5" t="s">
        <v>5340</v>
      </c>
      <c r="B55" s="5"/>
      <c r="C55" s="5"/>
      <c r="D55" s="5"/>
      <c r="E55" s="5"/>
      <c r="F55" s="5"/>
    </row>
    <row r="56" ht="42" customHeight="1" spans="1:6" x14ac:dyDescent="0.25">
      <c r="A56" s="6" t="s">
        <v>5341</v>
      </c>
      <c r="B56" s="6"/>
      <c r="C56" s="6"/>
      <c r="D56" s="6"/>
      <c r="E56" s="6"/>
      <c r="F56" s="6"/>
    </row>
    <row r="57" spans="1:6" x14ac:dyDescent="0.25">
      <c r="A57" t="s">
        <v>4044</v>
      </c>
      <c r="B57" t="s">
        <v>4045</v>
      </c>
      <c r="C57" t="s">
        <v>5</v>
      </c>
      <c r="D57" t="s">
        <v>4046</v>
      </c>
      <c r="E57" t="s">
        <v>4047</v>
      </c>
      <c r="F57" t="s">
        <v>4048</v>
      </c>
    </row>
    <row r="58" spans="1:6" x14ac:dyDescent="0.25">
      <c r="A58" t="s">
        <v>4062</v>
      </c>
      <c r="B58" t="s">
        <v>5342</v>
      </c>
      <c r="C58" t="s">
        <v>63</v>
      </c>
      <c r="D58" s="7">
        <v>0.17</v>
      </c>
      <c r="E58" s="2">
        <v>4933.33</v>
      </c>
      <c r="F58" s="2">
        <v>838.67</v>
      </c>
    </row>
    <row r="59" spans="1:6" x14ac:dyDescent="0.25">
      <c r="A59" t="s">
        <v>4062</v>
      </c>
      <c r="B59" t="s">
        <v>5343</v>
      </c>
      <c r="C59" t="s">
        <v>63</v>
      </c>
      <c r="D59" s="7">
        <v>0.17</v>
      </c>
      <c r="E59" s="2">
        <v>6800</v>
      </c>
      <c r="F59" s="2">
        <v>1156</v>
      </c>
    </row>
    <row r="60" spans="1:6" x14ac:dyDescent="0.25">
      <c r="A60" t="s">
        <v>4062</v>
      </c>
      <c r="B60" t="s">
        <v>5344</v>
      </c>
      <c r="C60" t="s">
        <v>42</v>
      </c>
      <c r="D60" s="7">
        <v>1.03</v>
      </c>
      <c r="E60" s="2">
        <v>26983.33</v>
      </c>
      <c r="F60" s="2">
        <v>27792.83</v>
      </c>
    </row>
    <row r="61" spans="1:6" x14ac:dyDescent="0.25">
      <c r="A61" t="s">
        <v>4062</v>
      </c>
      <c r="B61" t="s">
        <v>5345</v>
      </c>
      <c r="C61" t="s">
        <v>63</v>
      </c>
      <c r="D61" s="7">
        <v>3</v>
      </c>
      <c r="E61" s="2">
        <v>4559.38</v>
      </c>
      <c r="F61" s="2">
        <v>13678.14</v>
      </c>
    </row>
    <row r="62" spans="1:6" x14ac:dyDescent="0.25">
      <c r="A62" t="s">
        <v>4049</v>
      </c>
      <c r="B62" t="s">
        <v>4235</v>
      </c>
      <c r="C62" t="s">
        <v>4236</v>
      </c>
      <c r="D62" s="7">
        <v>0.8</v>
      </c>
      <c r="E62" s="2">
        <v>27010.74</v>
      </c>
      <c r="F62" s="2">
        <v>21608.59</v>
      </c>
    </row>
    <row r="63" spans="1:6" x14ac:dyDescent="0.25">
      <c r="A63" t="s">
        <v>4052</v>
      </c>
      <c r="B63" t="s">
        <v>4053</v>
      </c>
      <c r="C63" t="s">
        <v>4054</v>
      </c>
      <c r="D63" s="7">
        <v>3.3</v>
      </c>
      <c r="E63" s="2">
        <v>21608.59</v>
      </c>
      <c r="F63" s="2">
        <v>713.08</v>
      </c>
    </row>
    <row r="64" spans="1:6" x14ac:dyDescent="0.25">
      <c r="A64" t="s">
        <v>4055</v>
      </c>
      <c r="D64" s="7"/>
      <c r="E64" s="2"/>
      <c r="F64" s="2">
        <f>SUBTOTAL(109,A_1_12_05[VALOR PARCIAL])</f>
      </c>
    </row>
    <row r="66" ht="30" customHeight="1" spans="1:6" x14ac:dyDescent="0.25">
      <c r="A66" s="5" t="s">
        <v>5346</v>
      </c>
      <c r="B66" s="5"/>
      <c r="C66" s="5"/>
      <c r="D66" s="5"/>
      <c r="E66" s="5"/>
      <c r="F66" s="5"/>
    </row>
    <row r="67" ht="42" customHeight="1" spans="1:6" x14ac:dyDescent="0.25">
      <c r="A67" s="6" t="s">
        <v>5347</v>
      </c>
      <c r="B67" s="6"/>
      <c r="C67" s="6"/>
      <c r="D67" s="6"/>
      <c r="E67" s="6"/>
      <c r="F67" s="6"/>
    </row>
    <row r="68" spans="1:6" x14ac:dyDescent="0.25">
      <c r="A68" t="s">
        <v>4044</v>
      </c>
      <c r="B68" t="s">
        <v>4045</v>
      </c>
      <c r="C68" t="s">
        <v>5</v>
      </c>
      <c r="D68" t="s">
        <v>4046</v>
      </c>
      <c r="E68" t="s">
        <v>4047</v>
      </c>
      <c r="F68" t="s">
        <v>4048</v>
      </c>
    </row>
    <row r="69" spans="1:6" x14ac:dyDescent="0.25">
      <c r="A69" t="s">
        <v>4062</v>
      </c>
      <c r="B69" t="s">
        <v>5337</v>
      </c>
      <c r="C69" t="s">
        <v>63</v>
      </c>
      <c r="D69" s="7">
        <v>0.17</v>
      </c>
      <c r="E69" s="2">
        <v>5710</v>
      </c>
      <c r="F69" s="2">
        <v>970.7</v>
      </c>
    </row>
    <row r="70" spans="1:6" x14ac:dyDescent="0.25">
      <c r="A70" t="s">
        <v>4062</v>
      </c>
      <c r="B70" t="s">
        <v>5222</v>
      </c>
      <c r="C70" t="s">
        <v>63</v>
      </c>
      <c r="D70" s="7">
        <v>4</v>
      </c>
      <c r="E70" s="2">
        <v>17</v>
      </c>
      <c r="F70" s="2">
        <v>68</v>
      </c>
    </row>
    <row r="71" spans="1:6" x14ac:dyDescent="0.25">
      <c r="A71" t="s">
        <v>4062</v>
      </c>
      <c r="B71" t="s">
        <v>5348</v>
      </c>
      <c r="C71" t="s">
        <v>63</v>
      </c>
      <c r="D71" s="7">
        <v>0.17</v>
      </c>
      <c r="E71" s="2">
        <v>10201</v>
      </c>
      <c r="F71" s="2">
        <v>1734.17</v>
      </c>
    </row>
    <row r="72" spans="1:6" x14ac:dyDescent="0.25">
      <c r="A72" t="s">
        <v>4062</v>
      </c>
      <c r="B72" t="s">
        <v>5349</v>
      </c>
      <c r="C72" t="s">
        <v>42</v>
      </c>
      <c r="D72" s="7">
        <v>1.03</v>
      </c>
      <c r="E72" s="2">
        <v>19263</v>
      </c>
      <c r="F72" s="2">
        <v>19840.89</v>
      </c>
    </row>
    <row r="73" spans="1:6" x14ac:dyDescent="0.25">
      <c r="A73" t="s">
        <v>4062</v>
      </c>
      <c r="B73" t="s">
        <v>5350</v>
      </c>
      <c r="C73" t="s">
        <v>63</v>
      </c>
      <c r="D73" s="7">
        <v>3</v>
      </c>
      <c r="E73" s="2">
        <v>3504.02</v>
      </c>
      <c r="F73" s="2">
        <v>10512.06</v>
      </c>
    </row>
    <row r="74" spans="1:6" x14ac:dyDescent="0.25">
      <c r="A74" t="s">
        <v>4049</v>
      </c>
      <c r="B74" t="s">
        <v>4105</v>
      </c>
      <c r="C74" t="s">
        <v>4106</v>
      </c>
      <c r="D74" s="7">
        <v>0.09</v>
      </c>
      <c r="E74" s="2">
        <v>25125</v>
      </c>
      <c r="F74" s="2">
        <v>2261.25</v>
      </c>
    </row>
    <row r="75" spans="1:6" x14ac:dyDescent="0.25">
      <c r="A75" t="s">
        <v>4049</v>
      </c>
      <c r="B75" t="s">
        <v>4235</v>
      </c>
      <c r="C75" t="s">
        <v>4236</v>
      </c>
      <c r="D75" s="7">
        <v>0.74</v>
      </c>
      <c r="E75" s="2">
        <v>27010.74</v>
      </c>
      <c r="F75" s="2">
        <v>19987.95</v>
      </c>
    </row>
    <row r="76" spans="1:6" x14ac:dyDescent="0.25">
      <c r="A76" t="s">
        <v>4052</v>
      </c>
      <c r="B76" t="s">
        <v>4053</v>
      </c>
      <c r="C76" t="s">
        <v>4054</v>
      </c>
      <c r="D76" s="7">
        <v>3.3</v>
      </c>
      <c r="E76" s="2">
        <v>19987.95</v>
      </c>
      <c r="F76" s="2">
        <v>659.6</v>
      </c>
    </row>
    <row r="77" spans="1:6" x14ac:dyDescent="0.25">
      <c r="A77" t="s">
        <v>4055</v>
      </c>
      <c r="D77" s="7"/>
      <c r="E77" s="2"/>
      <c r="F77" s="2">
        <f>SUBTOTAL(109,A_1_12_06[VALOR PARCIAL])</f>
      </c>
    </row>
    <row r="79" ht="30" customHeight="1" spans="1:6" x14ac:dyDescent="0.25">
      <c r="A79" s="5" t="s">
        <v>5351</v>
      </c>
      <c r="B79" s="5"/>
      <c r="C79" s="5"/>
      <c r="D79" s="5"/>
      <c r="E79" s="5"/>
      <c r="F79" s="5"/>
    </row>
    <row r="80" ht="42" customHeight="1" spans="1:6" x14ac:dyDescent="0.25">
      <c r="A80" s="6" t="s">
        <v>5352</v>
      </c>
      <c r="B80" s="6"/>
      <c r="C80" s="6"/>
      <c r="D80" s="6"/>
      <c r="E80" s="6"/>
      <c r="F80" s="6"/>
    </row>
    <row r="81" spans="1:6" x14ac:dyDescent="0.25">
      <c r="A81" t="s">
        <v>4044</v>
      </c>
      <c r="B81" t="s">
        <v>4045</v>
      </c>
      <c r="C81" t="s">
        <v>5</v>
      </c>
      <c r="D81" t="s">
        <v>4046</v>
      </c>
      <c r="E81" t="s">
        <v>4047</v>
      </c>
      <c r="F81" t="s">
        <v>4048</v>
      </c>
    </row>
    <row r="82" spans="1:6" x14ac:dyDescent="0.25">
      <c r="A82" t="s">
        <v>4062</v>
      </c>
      <c r="B82" t="s">
        <v>5353</v>
      </c>
      <c r="C82" t="s">
        <v>63</v>
      </c>
      <c r="D82" s="7">
        <v>1.6</v>
      </c>
      <c r="E82" s="2">
        <v>192</v>
      </c>
      <c r="F82" s="2">
        <v>307.2</v>
      </c>
    </row>
    <row r="83" spans="1:6" x14ac:dyDescent="0.25">
      <c r="A83" t="s">
        <v>4062</v>
      </c>
      <c r="B83" t="s">
        <v>5354</v>
      </c>
      <c r="C83" t="s">
        <v>63</v>
      </c>
      <c r="D83" s="7">
        <v>0.47</v>
      </c>
      <c r="E83" s="2">
        <v>39100</v>
      </c>
      <c r="F83" s="2">
        <v>18377</v>
      </c>
    </row>
    <row r="84" spans="1:6" x14ac:dyDescent="0.25">
      <c r="A84" t="s">
        <v>4049</v>
      </c>
      <c r="B84" t="s">
        <v>4487</v>
      </c>
      <c r="C84" t="s">
        <v>4236</v>
      </c>
      <c r="D84" s="7">
        <v>0.3</v>
      </c>
      <c r="E84" s="2">
        <v>24555.22</v>
      </c>
      <c r="F84" s="2">
        <v>7366.57</v>
      </c>
    </row>
    <row r="85" spans="1:6" x14ac:dyDescent="0.25">
      <c r="A85" t="s">
        <v>4052</v>
      </c>
      <c r="B85" t="s">
        <v>4105</v>
      </c>
      <c r="C85" t="s">
        <v>4106</v>
      </c>
      <c r="D85" s="7">
        <v>0.04</v>
      </c>
      <c r="E85" s="2">
        <v>25125</v>
      </c>
      <c r="F85" s="2">
        <v>942.19</v>
      </c>
    </row>
    <row r="86" spans="1:6" x14ac:dyDescent="0.25">
      <c r="A86" t="s">
        <v>4052</v>
      </c>
      <c r="B86" t="s">
        <v>4053</v>
      </c>
      <c r="C86" t="s">
        <v>4054</v>
      </c>
      <c r="D86" s="7">
        <v>3.3</v>
      </c>
      <c r="E86" s="2">
        <v>7366.57</v>
      </c>
      <c r="F86" s="2">
        <v>243.1</v>
      </c>
    </row>
    <row r="87" spans="1:6" x14ac:dyDescent="0.25">
      <c r="A87" t="s">
        <v>4055</v>
      </c>
      <c r="D87" s="7"/>
      <c r="E87" s="2"/>
      <c r="F87" s="2">
        <f>SUBTOTAL(109,A_1_12_07[VALOR PARCIAL])</f>
      </c>
    </row>
    <row r="89" ht="30" customHeight="1" spans="1:6" x14ac:dyDescent="0.25">
      <c r="A89" s="5" t="s">
        <v>5355</v>
      </c>
      <c r="B89" s="5"/>
      <c r="C89" s="5"/>
      <c r="D89" s="5"/>
      <c r="E89" s="5"/>
      <c r="F89" s="5"/>
    </row>
    <row r="90" ht="42" customHeight="1" spans="1:6" x14ac:dyDescent="0.25">
      <c r="A90" s="6" t="s">
        <v>5356</v>
      </c>
      <c r="B90" s="6"/>
      <c r="C90" s="6"/>
      <c r="D90" s="6"/>
      <c r="E90" s="6"/>
      <c r="F90" s="6"/>
    </row>
    <row r="91" spans="1:6" x14ac:dyDescent="0.25">
      <c r="A91" t="s">
        <v>4044</v>
      </c>
      <c r="B91" t="s">
        <v>4045</v>
      </c>
      <c r="C91" t="s">
        <v>5</v>
      </c>
      <c r="D91" t="s">
        <v>4046</v>
      </c>
      <c r="E91" t="s">
        <v>4047</v>
      </c>
      <c r="F91" t="s">
        <v>4048</v>
      </c>
    </row>
    <row r="92" spans="1:6" x14ac:dyDescent="0.25">
      <c r="A92" t="s">
        <v>4062</v>
      </c>
      <c r="B92" t="s">
        <v>5357</v>
      </c>
      <c r="C92" t="s">
        <v>21</v>
      </c>
      <c r="D92" s="7">
        <v>1.05</v>
      </c>
      <c r="E92" s="2">
        <v>83475.22</v>
      </c>
      <c r="F92" s="2">
        <v>87648.98</v>
      </c>
    </row>
    <row r="93" spans="1:6" x14ac:dyDescent="0.25">
      <c r="A93" t="s">
        <v>4062</v>
      </c>
      <c r="B93" t="s">
        <v>5353</v>
      </c>
      <c r="C93" t="s">
        <v>63</v>
      </c>
      <c r="D93" s="7">
        <v>3</v>
      </c>
      <c r="E93" s="2">
        <v>192</v>
      </c>
      <c r="F93" s="2">
        <v>576</v>
      </c>
    </row>
    <row r="94" spans="1:6" x14ac:dyDescent="0.25">
      <c r="A94" t="s">
        <v>4062</v>
      </c>
      <c r="B94" t="s">
        <v>5358</v>
      </c>
      <c r="C94" t="s">
        <v>63</v>
      </c>
      <c r="D94" s="7">
        <v>3</v>
      </c>
      <c r="E94" s="2">
        <v>5700</v>
      </c>
      <c r="F94" s="2">
        <v>17100</v>
      </c>
    </row>
    <row r="95" spans="1:6" x14ac:dyDescent="0.25">
      <c r="A95" t="s">
        <v>4049</v>
      </c>
      <c r="B95" t="s">
        <v>4105</v>
      </c>
      <c r="C95" t="s">
        <v>4106</v>
      </c>
      <c r="D95" s="7">
        <v>0.05</v>
      </c>
      <c r="E95" s="2">
        <v>25125</v>
      </c>
      <c r="F95" s="2">
        <v>1155.75</v>
      </c>
    </row>
    <row r="96" spans="1:6" x14ac:dyDescent="0.25">
      <c r="A96" t="s">
        <v>4049</v>
      </c>
      <c r="B96" t="s">
        <v>4487</v>
      </c>
      <c r="C96" t="s">
        <v>4236</v>
      </c>
      <c r="D96" s="7">
        <v>0.37</v>
      </c>
      <c r="E96" s="2">
        <v>24555.22</v>
      </c>
      <c r="F96" s="2">
        <v>9085.43</v>
      </c>
    </row>
    <row r="97" spans="1:6" x14ac:dyDescent="0.25">
      <c r="A97" t="s">
        <v>4052</v>
      </c>
      <c r="B97" t="s">
        <v>4053</v>
      </c>
      <c r="C97" t="s">
        <v>4054</v>
      </c>
      <c r="D97" s="7">
        <v>3.3</v>
      </c>
      <c r="E97" s="2">
        <v>9085.43</v>
      </c>
      <c r="F97" s="2">
        <v>299.82</v>
      </c>
    </row>
    <row r="98" spans="1:6" x14ac:dyDescent="0.25">
      <c r="A98" t="s">
        <v>4055</v>
      </c>
      <c r="D98" s="7"/>
      <c r="E98" s="2"/>
      <c r="F98" s="2">
        <f>SUBTOTAL(109,A_1_12_08[VALOR PARCIAL])</f>
      </c>
    </row>
    <row r="100" ht="30" customHeight="1" spans="1:6" x14ac:dyDescent="0.25">
      <c r="A100" s="5" t="s">
        <v>5359</v>
      </c>
      <c r="B100" s="5"/>
      <c r="C100" s="5"/>
      <c r="D100" s="5"/>
      <c r="E100" s="5"/>
      <c r="F100" s="5"/>
    </row>
    <row r="101" ht="42" customHeight="1" spans="1:6" x14ac:dyDescent="0.25">
      <c r="A101" s="6" t="s">
        <v>5360</v>
      </c>
      <c r="B101" s="6"/>
      <c r="C101" s="6"/>
      <c r="D101" s="6"/>
      <c r="E101" s="6"/>
      <c r="F101" s="6"/>
    </row>
    <row r="102" spans="1:6" x14ac:dyDescent="0.25">
      <c r="A102" t="s">
        <v>4044</v>
      </c>
      <c r="B102" t="s">
        <v>4045</v>
      </c>
      <c r="C102" t="s">
        <v>5</v>
      </c>
      <c r="D102" t="s">
        <v>4046</v>
      </c>
      <c r="E102" t="s">
        <v>4047</v>
      </c>
      <c r="F102" t="s">
        <v>4048</v>
      </c>
    </row>
    <row r="103" spans="1:6" x14ac:dyDescent="0.25">
      <c r="A103" t="s">
        <v>4062</v>
      </c>
      <c r="B103" t="s">
        <v>5353</v>
      </c>
      <c r="C103" t="s">
        <v>63</v>
      </c>
      <c r="D103" s="7">
        <v>2.12</v>
      </c>
      <c r="E103" s="2">
        <v>192</v>
      </c>
      <c r="F103" s="2">
        <v>407.04</v>
      </c>
    </row>
    <row r="104" spans="1:6" x14ac:dyDescent="0.25">
      <c r="A104" t="s">
        <v>4062</v>
      </c>
      <c r="B104" t="s">
        <v>5361</v>
      </c>
      <c r="C104" t="s">
        <v>42</v>
      </c>
      <c r="D104" s="7">
        <v>0.42</v>
      </c>
      <c r="E104" s="2">
        <v>49684.55</v>
      </c>
      <c r="F104" s="2">
        <v>20867.51</v>
      </c>
    </row>
    <row r="105" spans="1:6" x14ac:dyDescent="0.25">
      <c r="A105" t="s">
        <v>4049</v>
      </c>
      <c r="B105" t="s">
        <v>4487</v>
      </c>
      <c r="C105" t="s">
        <v>4236</v>
      </c>
      <c r="D105" s="7">
        <v>0.3</v>
      </c>
      <c r="E105" s="2">
        <v>24555.22</v>
      </c>
      <c r="F105" s="2">
        <v>7366.57</v>
      </c>
    </row>
    <row r="106" spans="1:6" x14ac:dyDescent="0.25">
      <c r="A106" t="s">
        <v>4052</v>
      </c>
      <c r="B106" t="s">
        <v>4053</v>
      </c>
      <c r="C106" t="s">
        <v>4054</v>
      </c>
      <c r="D106" s="7">
        <v>3.3</v>
      </c>
      <c r="E106" s="2">
        <v>7366.57</v>
      </c>
      <c r="F106" s="2">
        <v>243.1</v>
      </c>
    </row>
    <row r="107" spans="1:6" x14ac:dyDescent="0.25">
      <c r="A107" t="s">
        <v>4055</v>
      </c>
      <c r="D107" s="7"/>
      <c r="E107" s="2"/>
      <c r="F107" s="2">
        <f>SUBTOTAL(109,A_1_12_09[VALOR PARCIAL])</f>
      </c>
    </row>
    <row r="109" ht="30" customHeight="1" spans="1:6" x14ac:dyDescent="0.25">
      <c r="A109" s="5" t="s">
        <v>5362</v>
      </c>
      <c r="B109" s="5"/>
      <c r="C109" s="5"/>
      <c r="D109" s="5"/>
      <c r="E109" s="5"/>
      <c r="F109" s="5"/>
    </row>
    <row r="110" ht="42" customHeight="1" spans="1:6" x14ac:dyDescent="0.25">
      <c r="A110" s="6" t="s">
        <v>5363</v>
      </c>
      <c r="B110" s="6"/>
      <c r="C110" s="6"/>
      <c r="D110" s="6"/>
      <c r="E110" s="6"/>
      <c r="F110" s="6"/>
    </row>
    <row r="111" spans="1:6" x14ac:dyDescent="0.25">
      <c r="A111" t="s">
        <v>4044</v>
      </c>
      <c r="B111" t="s">
        <v>4045</v>
      </c>
      <c r="C111" t="s">
        <v>5</v>
      </c>
      <c r="D111" t="s">
        <v>4046</v>
      </c>
      <c r="E111" t="s">
        <v>4047</v>
      </c>
      <c r="F111" t="s">
        <v>4048</v>
      </c>
    </row>
    <row r="112" spans="1:6" x14ac:dyDescent="0.25">
      <c r="A112" t="s">
        <v>4062</v>
      </c>
      <c r="B112" t="s">
        <v>5364</v>
      </c>
      <c r="C112" t="s">
        <v>21</v>
      </c>
      <c r="D112" s="7">
        <v>1</v>
      </c>
      <c r="E112" s="2">
        <v>38320.94</v>
      </c>
      <c r="F112" s="2">
        <v>38320.94</v>
      </c>
    </row>
    <row r="113" spans="1:6" x14ac:dyDescent="0.25">
      <c r="A113" t="s">
        <v>4062</v>
      </c>
      <c r="B113" t="s">
        <v>5353</v>
      </c>
      <c r="C113" t="s">
        <v>63</v>
      </c>
      <c r="D113" s="7">
        <v>3</v>
      </c>
      <c r="E113" s="2">
        <v>192</v>
      </c>
      <c r="F113" s="2">
        <v>576</v>
      </c>
    </row>
    <row r="114" spans="1:6" x14ac:dyDescent="0.25">
      <c r="A114" t="s">
        <v>4049</v>
      </c>
      <c r="B114" t="s">
        <v>4105</v>
      </c>
      <c r="C114" t="s">
        <v>4106</v>
      </c>
      <c r="D114" s="7">
        <v>0.04</v>
      </c>
      <c r="E114" s="2">
        <v>25125</v>
      </c>
      <c r="F114" s="2">
        <v>942.19</v>
      </c>
    </row>
    <row r="115" spans="1:6" x14ac:dyDescent="0.25">
      <c r="A115" t="s">
        <v>4049</v>
      </c>
      <c r="B115" t="s">
        <v>4487</v>
      </c>
      <c r="C115" t="s">
        <v>4236</v>
      </c>
      <c r="D115" s="7">
        <v>0.3</v>
      </c>
      <c r="E115" s="2">
        <v>24555.22</v>
      </c>
      <c r="F115" s="2">
        <v>7366.57</v>
      </c>
    </row>
    <row r="116" spans="1:6" x14ac:dyDescent="0.25">
      <c r="A116" t="s">
        <v>4052</v>
      </c>
      <c r="B116" t="s">
        <v>4053</v>
      </c>
      <c r="C116" t="s">
        <v>4054</v>
      </c>
      <c r="D116" s="7">
        <v>3.3</v>
      </c>
      <c r="E116" s="2">
        <v>7366.57</v>
      </c>
      <c r="F116" s="2">
        <v>243.1</v>
      </c>
    </row>
    <row r="117" spans="1:6" x14ac:dyDescent="0.25">
      <c r="A117" t="s">
        <v>4055</v>
      </c>
      <c r="D117" s="7"/>
      <c r="E117" s="2"/>
      <c r="F117" s="2">
        <f>SUBTOTAL(109,A_1_12_10[VALOR PARCIAL])</f>
      </c>
    </row>
    <row r="119" ht="30" customHeight="1" spans="1:6" x14ac:dyDescent="0.25">
      <c r="A119" s="5" t="s">
        <v>5365</v>
      </c>
      <c r="B119" s="5"/>
      <c r="C119" s="5"/>
      <c r="D119" s="5"/>
      <c r="E119" s="5"/>
      <c r="F119" s="5"/>
    </row>
    <row r="120" ht="42" customHeight="1" spans="1:6" x14ac:dyDescent="0.25">
      <c r="A120" s="6" t="s">
        <v>5366</v>
      </c>
      <c r="B120" s="6"/>
      <c r="C120" s="6"/>
      <c r="D120" s="6"/>
      <c r="E120" s="6"/>
      <c r="F120" s="6"/>
    </row>
    <row r="121" spans="1:6" x14ac:dyDescent="0.25">
      <c r="A121" t="s">
        <v>4044</v>
      </c>
      <c r="B121" t="s">
        <v>4045</v>
      </c>
      <c r="C121" t="s">
        <v>5</v>
      </c>
      <c r="D121" t="s">
        <v>4046</v>
      </c>
      <c r="E121" t="s">
        <v>4047</v>
      </c>
      <c r="F121" t="s">
        <v>4048</v>
      </c>
    </row>
    <row r="122" spans="1:6" x14ac:dyDescent="0.25">
      <c r="A122" t="s">
        <v>4062</v>
      </c>
      <c r="B122" t="s">
        <v>4234</v>
      </c>
      <c r="C122" t="s">
        <v>42</v>
      </c>
      <c r="D122" s="7">
        <v>5</v>
      </c>
      <c r="E122" s="2">
        <v>5365</v>
      </c>
      <c r="F122" s="2">
        <v>26825</v>
      </c>
    </row>
    <row r="123" spans="1:6" x14ac:dyDescent="0.25">
      <c r="A123" t="s">
        <v>4062</v>
      </c>
      <c r="B123" t="s">
        <v>4065</v>
      </c>
      <c r="C123" t="s">
        <v>4066</v>
      </c>
      <c r="D123" s="7">
        <v>0.3</v>
      </c>
      <c r="E123" s="2">
        <v>3433</v>
      </c>
      <c r="F123" s="2">
        <v>1029.9</v>
      </c>
    </row>
    <row r="124" spans="1:6" x14ac:dyDescent="0.25">
      <c r="A124" t="s">
        <v>4049</v>
      </c>
      <c r="B124" t="s">
        <v>4487</v>
      </c>
      <c r="C124" t="s">
        <v>4236</v>
      </c>
      <c r="D124" s="7">
        <v>1.86</v>
      </c>
      <c r="E124" s="2">
        <v>24555.22</v>
      </c>
      <c r="F124" s="2">
        <v>45672.71</v>
      </c>
    </row>
    <row r="125" spans="1:6" x14ac:dyDescent="0.25">
      <c r="A125" t="s">
        <v>4052</v>
      </c>
      <c r="B125" t="s">
        <v>4105</v>
      </c>
      <c r="C125" t="s">
        <v>4106</v>
      </c>
      <c r="D125" s="7">
        <v>0.19</v>
      </c>
      <c r="E125" s="2">
        <v>25125</v>
      </c>
      <c r="F125" s="2">
        <v>4773.75</v>
      </c>
    </row>
    <row r="126" spans="1:6" x14ac:dyDescent="0.25">
      <c r="A126" t="s">
        <v>4052</v>
      </c>
      <c r="B126" t="s">
        <v>4053</v>
      </c>
      <c r="C126" t="s">
        <v>4054</v>
      </c>
      <c r="D126" s="7">
        <v>3.3</v>
      </c>
      <c r="E126" s="2">
        <v>45672.71</v>
      </c>
      <c r="F126" s="2">
        <v>1507.2</v>
      </c>
    </row>
    <row r="127" spans="1:6" x14ac:dyDescent="0.25">
      <c r="A127" t="s">
        <v>4055</v>
      </c>
      <c r="D127" s="7"/>
      <c r="E127" s="2"/>
      <c r="F127" s="2">
        <f>SUBTOTAL(109,A_1_12_11[VALOR PARCIAL])</f>
      </c>
    </row>
    <row r="129" ht="30" customHeight="1" spans="1:6" x14ac:dyDescent="0.25">
      <c r="A129" s="5" t="s">
        <v>5367</v>
      </c>
      <c r="B129" s="5"/>
      <c r="C129" s="5"/>
      <c r="D129" s="5"/>
      <c r="E129" s="5"/>
      <c r="F129" s="5"/>
    </row>
    <row r="130" ht="42" customHeight="1" spans="1:6" x14ac:dyDescent="0.25">
      <c r="A130" s="6" t="s">
        <v>5368</v>
      </c>
      <c r="B130" s="6"/>
      <c r="C130" s="6"/>
      <c r="D130" s="6"/>
      <c r="E130" s="6"/>
      <c r="F130" s="6"/>
    </row>
    <row r="131" spans="1:6" x14ac:dyDescent="0.25">
      <c r="A131" t="s">
        <v>4044</v>
      </c>
      <c r="B131" t="s">
        <v>4045</v>
      </c>
      <c r="C131" t="s">
        <v>5</v>
      </c>
      <c r="D131" t="s">
        <v>4046</v>
      </c>
      <c r="E131" t="s">
        <v>4047</v>
      </c>
      <c r="F131" t="s">
        <v>4048</v>
      </c>
    </row>
    <row r="132" spans="1:6" x14ac:dyDescent="0.25">
      <c r="A132" t="s">
        <v>4062</v>
      </c>
      <c r="B132" t="s">
        <v>671</v>
      </c>
      <c r="C132" t="s">
        <v>21</v>
      </c>
      <c r="D132" s="7">
        <v>0.75</v>
      </c>
      <c r="E132" s="2">
        <v>14451</v>
      </c>
      <c r="F132" s="2">
        <v>10838.25</v>
      </c>
    </row>
    <row r="133" spans="1:6" x14ac:dyDescent="0.25">
      <c r="A133" t="s">
        <v>4062</v>
      </c>
      <c r="B133" t="s">
        <v>5369</v>
      </c>
      <c r="C133" t="s">
        <v>42</v>
      </c>
      <c r="D133" s="7">
        <v>0.75</v>
      </c>
      <c r="E133" s="2">
        <v>20969</v>
      </c>
      <c r="F133" s="2">
        <v>15726.75</v>
      </c>
    </row>
    <row r="134" spans="1:6" x14ac:dyDescent="0.25">
      <c r="A134" t="s">
        <v>4062</v>
      </c>
      <c r="B134" t="s">
        <v>4065</v>
      </c>
      <c r="C134" t="s">
        <v>4066</v>
      </c>
      <c r="D134" s="7">
        <v>0.2</v>
      </c>
      <c r="E134" s="2">
        <v>3433</v>
      </c>
      <c r="F134" s="2">
        <v>686.6</v>
      </c>
    </row>
    <row r="135" spans="1:6" x14ac:dyDescent="0.25">
      <c r="A135" t="s">
        <v>4062</v>
      </c>
      <c r="B135" t="s">
        <v>4322</v>
      </c>
      <c r="C135" t="s">
        <v>42</v>
      </c>
      <c r="D135" s="7">
        <v>1.5</v>
      </c>
      <c r="E135" s="2">
        <v>5304</v>
      </c>
      <c r="F135" s="2">
        <v>7956</v>
      </c>
    </row>
    <row r="136" spans="1:6" x14ac:dyDescent="0.25">
      <c r="A136" t="s">
        <v>4049</v>
      </c>
      <c r="B136" t="s">
        <v>4487</v>
      </c>
      <c r="C136" t="s">
        <v>4236</v>
      </c>
      <c r="D136" s="7">
        <v>1</v>
      </c>
      <c r="E136" s="2">
        <v>24555.22</v>
      </c>
      <c r="F136" s="2">
        <v>24555.22</v>
      </c>
    </row>
    <row r="137" spans="1:6" x14ac:dyDescent="0.25">
      <c r="A137" t="s">
        <v>4052</v>
      </c>
      <c r="B137" t="s">
        <v>4105</v>
      </c>
      <c r="C137" t="s">
        <v>4106</v>
      </c>
      <c r="D137" s="7">
        <v>0.13</v>
      </c>
      <c r="E137" s="2">
        <v>25125</v>
      </c>
      <c r="F137" s="2">
        <v>3140.63</v>
      </c>
    </row>
    <row r="138" spans="1:6" x14ac:dyDescent="0.25">
      <c r="A138" t="s">
        <v>4052</v>
      </c>
      <c r="B138" t="s">
        <v>4053</v>
      </c>
      <c r="C138" t="s">
        <v>4054</v>
      </c>
      <c r="D138" s="7">
        <v>3.3</v>
      </c>
      <c r="E138" s="2">
        <v>24555.22</v>
      </c>
      <c r="F138" s="2">
        <v>810.32</v>
      </c>
    </row>
    <row r="139" spans="1:6" x14ac:dyDescent="0.25">
      <c r="A139" t="s">
        <v>4055</v>
      </c>
      <c r="D139" s="7"/>
      <c r="E139" s="2"/>
      <c r="F139" s="2">
        <f>SUBTOTAL(109,A_1_12_12[VALOR PARCIAL])</f>
      </c>
    </row>
    <row r="141" ht="30" customHeight="1" spans="1:6" x14ac:dyDescent="0.25">
      <c r="A141" s="5" t="s">
        <v>5370</v>
      </c>
      <c r="B141" s="5"/>
      <c r="C141" s="5"/>
      <c r="D141" s="5"/>
      <c r="E141" s="5"/>
      <c r="F141" s="5"/>
    </row>
    <row r="142" ht="42" customHeight="1" spans="1:6" x14ac:dyDescent="0.25">
      <c r="A142" s="6" t="s">
        <v>5371</v>
      </c>
      <c r="B142" s="6"/>
      <c r="C142" s="6"/>
      <c r="D142" s="6"/>
      <c r="E142" s="6"/>
      <c r="F142" s="6"/>
    </row>
    <row r="143" spans="1:6" x14ac:dyDescent="0.25">
      <c r="A143" t="s">
        <v>4044</v>
      </c>
      <c r="B143" t="s">
        <v>4045</v>
      </c>
      <c r="C143" t="s">
        <v>5</v>
      </c>
      <c r="D143" t="s">
        <v>4046</v>
      </c>
      <c r="E143" t="s">
        <v>4047</v>
      </c>
      <c r="F143" t="s">
        <v>4048</v>
      </c>
    </row>
    <row r="144" spans="1:6" x14ac:dyDescent="0.25">
      <c r="A144" t="s">
        <v>4062</v>
      </c>
      <c r="B144" t="s">
        <v>5372</v>
      </c>
      <c r="C144" t="s">
        <v>231</v>
      </c>
      <c r="D144" s="7">
        <v>1.5</v>
      </c>
      <c r="E144" s="2">
        <v>11353</v>
      </c>
      <c r="F144" s="2">
        <v>17029.5</v>
      </c>
    </row>
    <row r="145" spans="1:6" x14ac:dyDescent="0.25">
      <c r="A145" t="s">
        <v>4062</v>
      </c>
      <c r="B145" t="s">
        <v>5373</v>
      </c>
      <c r="C145" t="s">
        <v>42</v>
      </c>
      <c r="D145" s="7">
        <v>0.75</v>
      </c>
      <c r="E145" s="2">
        <v>65786.33</v>
      </c>
      <c r="F145" s="2">
        <v>49339.75</v>
      </c>
    </row>
    <row r="146" spans="1:6" x14ac:dyDescent="0.25">
      <c r="A146" t="s">
        <v>4062</v>
      </c>
      <c r="B146" t="s">
        <v>5374</v>
      </c>
      <c r="C146" t="s">
        <v>231</v>
      </c>
      <c r="D146" s="7">
        <v>0.3</v>
      </c>
      <c r="E146" s="2">
        <v>11737.67</v>
      </c>
      <c r="F146" s="2">
        <v>3521.3</v>
      </c>
    </row>
    <row r="147" spans="1:6" x14ac:dyDescent="0.25">
      <c r="A147" t="s">
        <v>4049</v>
      </c>
      <c r="B147" t="s">
        <v>4105</v>
      </c>
      <c r="C147" t="s">
        <v>4106</v>
      </c>
      <c r="D147" s="7">
        <v>0.13</v>
      </c>
      <c r="E147" s="2">
        <v>25125</v>
      </c>
      <c r="F147" s="2">
        <v>3140.63</v>
      </c>
    </row>
    <row r="148" spans="1:6" x14ac:dyDescent="0.25">
      <c r="A148" t="s">
        <v>4049</v>
      </c>
      <c r="B148" t="s">
        <v>4487</v>
      </c>
      <c r="C148" t="s">
        <v>4236</v>
      </c>
      <c r="D148" s="7">
        <v>1</v>
      </c>
      <c r="E148" s="2">
        <v>24555.22</v>
      </c>
      <c r="F148" s="2">
        <v>24555.22</v>
      </c>
    </row>
    <row r="149" spans="1:6" x14ac:dyDescent="0.25">
      <c r="A149" t="s">
        <v>4052</v>
      </c>
      <c r="B149" t="s">
        <v>4053</v>
      </c>
      <c r="C149" t="s">
        <v>4054</v>
      </c>
      <c r="D149" s="7">
        <v>3.3</v>
      </c>
      <c r="E149" s="2">
        <v>24555.22</v>
      </c>
      <c r="F149" s="2">
        <v>810.32</v>
      </c>
    </row>
    <row r="150" spans="1:6" x14ac:dyDescent="0.25">
      <c r="A150" t="s">
        <v>4055</v>
      </c>
      <c r="D150" s="7"/>
      <c r="E150" s="2"/>
      <c r="F150" s="2">
        <f>SUBTOTAL(109,A_1_12_13[VALOR PARCIAL])</f>
      </c>
    </row>
    <row r="152" ht="30" customHeight="1" spans="1:6" x14ac:dyDescent="0.25">
      <c r="A152" s="5" t="s">
        <v>5375</v>
      </c>
      <c r="B152" s="5"/>
      <c r="C152" s="5"/>
      <c r="D152" s="5"/>
      <c r="E152" s="5"/>
      <c r="F152" s="5"/>
    </row>
    <row r="153" ht="42" customHeight="1" spans="1:6" x14ac:dyDescent="0.25">
      <c r="A153" s="6" t="s">
        <v>5376</v>
      </c>
      <c r="B153" s="6"/>
      <c r="C153" s="6"/>
      <c r="D153" s="6"/>
      <c r="E153" s="6"/>
      <c r="F153" s="6"/>
    </row>
    <row r="154" spans="1:6" x14ac:dyDescent="0.25">
      <c r="A154" t="s">
        <v>4044</v>
      </c>
      <c r="B154" t="s">
        <v>4045</v>
      </c>
      <c r="C154" t="s">
        <v>5</v>
      </c>
      <c r="D154" t="s">
        <v>4046</v>
      </c>
      <c r="E154" t="s">
        <v>4047</v>
      </c>
      <c r="F154" t="s">
        <v>4048</v>
      </c>
    </row>
    <row r="155" spans="1:6" x14ac:dyDescent="0.25">
      <c r="A155" t="s">
        <v>4062</v>
      </c>
      <c r="B155" t="s">
        <v>5377</v>
      </c>
      <c r="C155" t="s">
        <v>4532</v>
      </c>
      <c r="D155" s="7">
        <v>0.11</v>
      </c>
      <c r="E155" s="2">
        <v>183533</v>
      </c>
      <c r="F155" s="2">
        <v>20188.63</v>
      </c>
    </row>
    <row r="156" spans="1:6" x14ac:dyDescent="0.25">
      <c r="A156" t="s">
        <v>4062</v>
      </c>
      <c r="B156" t="s">
        <v>3978</v>
      </c>
      <c r="C156" t="s">
        <v>34</v>
      </c>
      <c r="D156" s="7">
        <v>0.04</v>
      </c>
      <c r="E156" s="2">
        <v>409741.65</v>
      </c>
      <c r="F156" s="2">
        <v>16389.67</v>
      </c>
    </row>
    <row r="157" spans="1:6" x14ac:dyDescent="0.25">
      <c r="A157" t="s">
        <v>4062</v>
      </c>
      <c r="B157" t="s">
        <v>4624</v>
      </c>
      <c r="C157" t="s">
        <v>231</v>
      </c>
      <c r="D157" s="7">
        <v>0.5</v>
      </c>
      <c r="E157" s="2">
        <v>8600</v>
      </c>
      <c r="F157" s="2">
        <v>4300</v>
      </c>
    </row>
    <row r="158" spans="1:6" x14ac:dyDescent="0.25">
      <c r="A158" t="s">
        <v>4049</v>
      </c>
      <c r="B158" t="s">
        <v>4487</v>
      </c>
      <c r="C158" t="s">
        <v>4236</v>
      </c>
      <c r="D158" s="7">
        <v>0.75</v>
      </c>
      <c r="E158" s="2">
        <v>24555.22</v>
      </c>
      <c r="F158" s="2">
        <v>18416.42</v>
      </c>
    </row>
    <row r="159" spans="1:6" x14ac:dyDescent="0.25">
      <c r="A159" t="s">
        <v>4052</v>
      </c>
      <c r="B159" t="s">
        <v>4105</v>
      </c>
      <c r="C159" t="s">
        <v>4106</v>
      </c>
      <c r="D159" s="7">
        <v>0.09</v>
      </c>
      <c r="E159" s="2">
        <v>25125</v>
      </c>
      <c r="F159" s="2">
        <v>2361.75</v>
      </c>
    </row>
    <row r="160" spans="1:6" x14ac:dyDescent="0.25">
      <c r="A160" t="s">
        <v>4052</v>
      </c>
      <c r="B160" t="s">
        <v>4053</v>
      </c>
      <c r="C160" t="s">
        <v>4054</v>
      </c>
      <c r="D160" s="7">
        <v>3.3</v>
      </c>
      <c r="E160" s="2">
        <v>18416.42</v>
      </c>
      <c r="F160" s="2">
        <v>607.74</v>
      </c>
    </row>
    <row r="161" spans="1:6" x14ac:dyDescent="0.25">
      <c r="A161" t="s">
        <v>4055</v>
      </c>
      <c r="D161" s="7"/>
      <c r="E161" s="2"/>
      <c r="F161" s="2">
        <f>SUBTOTAL(109,A_1_12_14[VALOR PARCIAL])</f>
      </c>
    </row>
    <row r="163" ht="30" customHeight="1" spans="1:6" x14ac:dyDescent="0.25">
      <c r="A163" s="5" t="s">
        <v>5378</v>
      </c>
      <c r="B163" s="5"/>
      <c r="C163" s="5"/>
      <c r="D163" s="5"/>
      <c r="E163" s="5"/>
      <c r="F163" s="5"/>
    </row>
    <row r="164" ht="42" customHeight="1" spans="1:6" x14ac:dyDescent="0.25">
      <c r="A164" s="6" t="s">
        <v>5379</v>
      </c>
      <c r="B164" s="6"/>
      <c r="C164" s="6"/>
      <c r="D164" s="6"/>
      <c r="E164" s="6"/>
      <c r="F164" s="6"/>
    </row>
    <row r="165" spans="1:6" x14ac:dyDescent="0.25">
      <c r="A165" t="s">
        <v>4044</v>
      </c>
      <c r="B165" t="s">
        <v>4045</v>
      </c>
      <c r="C165" t="s">
        <v>5</v>
      </c>
      <c r="D165" t="s">
        <v>4046</v>
      </c>
      <c r="E165" t="s">
        <v>4047</v>
      </c>
      <c r="F165" t="s">
        <v>4048</v>
      </c>
    </row>
    <row r="166" spans="1:6" x14ac:dyDescent="0.25">
      <c r="A166" t="s">
        <v>4062</v>
      </c>
      <c r="B166" t="s">
        <v>5380</v>
      </c>
      <c r="C166" t="s">
        <v>4532</v>
      </c>
      <c r="D166" s="7">
        <v>2</v>
      </c>
      <c r="E166" s="2">
        <v>106874.58</v>
      </c>
      <c r="F166" s="2">
        <v>213749.16</v>
      </c>
    </row>
    <row r="167" spans="1:6" x14ac:dyDescent="0.25">
      <c r="A167" t="s">
        <v>4062</v>
      </c>
      <c r="B167" t="s">
        <v>5381</v>
      </c>
      <c r="C167" t="s">
        <v>4377</v>
      </c>
      <c r="D167" s="7">
        <v>0.5</v>
      </c>
      <c r="E167" s="2">
        <v>43286</v>
      </c>
      <c r="F167" s="2">
        <v>21643</v>
      </c>
    </row>
    <row r="168" spans="1:6" x14ac:dyDescent="0.25">
      <c r="A168" t="s">
        <v>4062</v>
      </c>
      <c r="B168" t="s">
        <v>4072</v>
      </c>
      <c r="C168" t="s">
        <v>4066</v>
      </c>
      <c r="D168" s="7">
        <v>0.3</v>
      </c>
      <c r="E168" s="2">
        <v>3150</v>
      </c>
      <c r="F168" s="2">
        <v>945</v>
      </c>
    </row>
    <row r="169" spans="1:6" x14ac:dyDescent="0.25">
      <c r="A169" t="s">
        <v>4062</v>
      </c>
      <c r="B169" t="s">
        <v>5382</v>
      </c>
      <c r="C169" t="s">
        <v>21</v>
      </c>
      <c r="D169" s="7">
        <v>2.2</v>
      </c>
      <c r="E169" s="2">
        <v>52766.66</v>
      </c>
      <c r="F169" s="2">
        <v>116086.65</v>
      </c>
    </row>
    <row r="170" spans="1:6" x14ac:dyDescent="0.25">
      <c r="A170" t="s">
        <v>4049</v>
      </c>
      <c r="B170" t="s">
        <v>4487</v>
      </c>
      <c r="C170" t="s">
        <v>4236</v>
      </c>
      <c r="D170" s="7">
        <v>0.82</v>
      </c>
      <c r="E170" s="2">
        <v>24555.22</v>
      </c>
      <c r="F170" s="2">
        <v>20135.28</v>
      </c>
    </row>
    <row r="171" spans="1:6" x14ac:dyDescent="0.25">
      <c r="A171" t="s">
        <v>4052</v>
      </c>
      <c r="B171" t="s">
        <v>4105</v>
      </c>
      <c r="C171" t="s">
        <v>4106</v>
      </c>
      <c r="D171" s="7">
        <v>0.1</v>
      </c>
      <c r="E171" s="2">
        <v>25125</v>
      </c>
      <c r="F171" s="2">
        <v>2512.5</v>
      </c>
    </row>
    <row r="172" spans="1:6" x14ac:dyDescent="0.25">
      <c r="A172" t="s">
        <v>4052</v>
      </c>
      <c r="B172" t="s">
        <v>4053</v>
      </c>
      <c r="C172" t="s">
        <v>4054</v>
      </c>
      <c r="D172" s="7">
        <v>3.3</v>
      </c>
      <c r="E172" s="2">
        <v>20135.28</v>
      </c>
      <c r="F172" s="2">
        <v>664.46</v>
      </c>
    </row>
    <row r="173" spans="1:6" x14ac:dyDescent="0.25">
      <c r="A173" t="s">
        <v>4055</v>
      </c>
      <c r="D173" s="7"/>
      <c r="E173" s="2"/>
      <c r="F173" s="2">
        <f>SUBTOTAL(109,A_1_12_15[VALOR PARCIAL])</f>
      </c>
    </row>
    <row r="175" ht="30" customHeight="1" spans="1:6" x14ac:dyDescent="0.25">
      <c r="A175" s="5" t="s">
        <v>5383</v>
      </c>
      <c r="B175" s="5"/>
      <c r="C175" s="5"/>
      <c r="D175" s="5"/>
      <c r="E175" s="5"/>
      <c r="F175" s="5"/>
    </row>
    <row r="176" ht="42" customHeight="1" spans="1:6" x14ac:dyDescent="0.25">
      <c r="A176" s="6" t="s">
        <v>5384</v>
      </c>
      <c r="B176" s="6"/>
      <c r="C176" s="6"/>
      <c r="D176" s="6"/>
      <c r="E176" s="6"/>
      <c r="F176" s="6"/>
    </row>
    <row r="177" spans="1:6" x14ac:dyDescent="0.25">
      <c r="A177" t="s">
        <v>4044</v>
      </c>
      <c r="B177" t="s">
        <v>4045</v>
      </c>
      <c r="C177" t="s">
        <v>5</v>
      </c>
      <c r="D177" t="s">
        <v>4046</v>
      </c>
      <c r="E177" t="s">
        <v>4047</v>
      </c>
      <c r="F177" t="s">
        <v>4048</v>
      </c>
    </row>
    <row r="178" spans="1:6" x14ac:dyDescent="0.25">
      <c r="A178" t="s">
        <v>4062</v>
      </c>
      <c r="B178" t="s">
        <v>4675</v>
      </c>
      <c r="C178" t="s">
        <v>4171</v>
      </c>
      <c r="D178" s="7">
        <v>1</v>
      </c>
      <c r="E178" s="2">
        <v>1106.41</v>
      </c>
      <c r="F178" s="2">
        <v>1106.41</v>
      </c>
    </row>
    <row r="179" spans="1:6" x14ac:dyDescent="0.25">
      <c r="A179" t="s">
        <v>4062</v>
      </c>
      <c r="B179" t="s">
        <v>4679</v>
      </c>
      <c r="C179" t="s">
        <v>63</v>
      </c>
      <c r="D179" s="7">
        <v>1.05</v>
      </c>
      <c r="E179" s="2">
        <v>41500</v>
      </c>
      <c r="F179" s="2">
        <v>43575</v>
      </c>
    </row>
    <row r="180" spans="1:6" x14ac:dyDescent="0.25">
      <c r="A180" t="s">
        <v>4062</v>
      </c>
      <c r="B180" t="s">
        <v>5385</v>
      </c>
      <c r="C180" t="s">
        <v>63</v>
      </c>
      <c r="D180" s="7">
        <v>0.1</v>
      </c>
      <c r="E180" s="2">
        <v>10614.67</v>
      </c>
      <c r="F180" s="2">
        <v>1061.47</v>
      </c>
    </row>
    <row r="181" spans="1:6" x14ac:dyDescent="0.25">
      <c r="A181" t="s">
        <v>4062</v>
      </c>
      <c r="B181" t="s">
        <v>4676</v>
      </c>
      <c r="C181" t="s">
        <v>63</v>
      </c>
      <c r="D181" s="7">
        <v>0.05</v>
      </c>
      <c r="E181" s="2">
        <v>14766.67</v>
      </c>
      <c r="F181" s="2">
        <v>738.33</v>
      </c>
    </row>
    <row r="182" spans="1:6" x14ac:dyDescent="0.25">
      <c r="A182" t="s">
        <v>4049</v>
      </c>
      <c r="B182" t="s">
        <v>4050</v>
      </c>
      <c r="C182" t="s">
        <v>4051</v>
      </c>
      <c r="D182" s="7">
        <v>0.3</v>
      </c>
      <c r="E182" s="2">
        <v>9037.33</v>
      </c>
      <c r="F182" s="2">
        <v>2711.2</v>
      </c>
    </row>
    <row r="183" spans="1:6" x14ac:dyDescent="0.25">
      <c r="A183" t="s">
        <v>4049</v>
      </c>
      <c r="B183" t="s">
        <v>4073</v>
      </c>
      <c r="C183" t="s">
        <v>4051</v>
      </c>
      <c r="D183" s="7">
        <v>0.3</v>
      </c>
      <c r="E183" s="2">
        <v>15517.89</v>
      </c>
      <c r="F183" s="2">
        <v>4655.37</v>
      </c>
    </row>
    <row r="184" spans="1:6" x14ac:dyDescent="0.25">
      <c r="A184" t="s">
        <v>4052</v>
      </c>
      <c r="B184" t="s">
        <v>4105</v>
      </c>
      <c r="C184" t="s">
        <v>4106</v>
      </c>
      <c r="D184" s="7">
        <v>0.03</v>
      </c>
      <c r="E184" s="2">
        <v>25125</v>
      </c>
      <c r="F184" s="2">
        <v>628.13</v>
      </c>
    </row>
    <row r="185" spans="1:6" x14ac:dyDescent="0.25">
      <c r="A185" t="s">
        <v>4052</v>
      </c>
      <c r="B185" t="s">
        <v>4053</v>
      </c>
      <c r="C185" t="s">
        <v>4054</v>
      </c>
      <c r="D185" s="7">
        <v>3.3</v>
      </c>
      <c r="E185" s="2">
        <v>7366.57</v>
      </c>
      <c r="F185" s="2">
        <v>243.1</v>
      </c>
    </row>
    <row r="186" spans="1:6" x14ac:dyDescent="0.25">
      <c r="A186" t="s">
        <v>4055</v>
      </c>
      <c r="D186" s="7"/>
      <c r="E186" s="2"/>
      <c r="F186" s="2">
        <f>SUBTOTAL(109,A_1_12_16[VALOR PARCIAL])</f>
      </c>
    </row>
    <row r="188" ht="30" customHeight="1" spans="1:6" x14ac:dyDescent="0.25">
      <c r="A188" s="5" t="s">
        <v>5386</v>
      </c>
      <c r="B188" s="5"/>
      <c r="C188" s="5"/>
      <c r="D188" s="5"/>
      <c r="E188" s="5"/>
      <c r="F188" s="5"/>
    </row>
    <row r="189" ht="42" customHeight="1" spans="1:6" x14ac:dyDescent="0.25">
      <c r="A189" s="6" t="s">
        <v>5387</v>
      </c>
      <c r="B189" s="6"/>
      <c r="C189" s="6"/>
      <c r="D189" s="6"/>
      <c r="E189" s="6"/>
      <c r="F189" s="6"/>
    </row>
    <row r="190" spans="1:6" x14ac:dyDescent="0.25">
      <c r="A190" t="s">
        <v>4044</v>
      </c>
      <c r="B190" t="s">
        <v>4045</v>
      </c>
      <c r="C190" t="s">
        <v>5</v>
      </c>
      <c r="D190" t="s">
        <v>4046</v>
      </c>
      <c r="E190" t="s">
        <v>4047</v>
      </c>
      <c r="F190" t="s">
        <v>4048</v>
      </c>
    </row>
    <row r="191" spans="1:6" x14ac:dyDescent="0.25">
      <c r="A191" t="s">
        <v>4062</v>
      </c>
      <c r="B191" t="s">
        <v>5388</v>
      </c>
      <c r="C191" t="s">
        <v>63</v>
      </c>
      <c r="D191" s="7">
        <v>1</v>
      </c>
      <c r="E191" s="2">
        <v>153</v>
      </c>
      <c r="F191" s="2">
        <v>153</v>
      </c>
    </row>
    <row r="192" spans="1:6" x14ac:dyDescent="0.25">
      <c r="A192" t="s">
        <v>4062</v>
      </c>
      <c r="B192" t="s">
        <v>5343</v>
      </c>
      <c r="C192" t="s">
        <v>63</v>
      </c>
      <c r="D192" s="7">
        <v>0.33</v>
      </c>
      <c r="E192" s="2">
        <v>6800</v>
      </c>
      <c r="F192" s="2">
        <v>2244</v>
      </c>
    </row>
    <row r="193" spans="1:6" x14ac:dyDescent="0.25">
      <c r="A193" t="s">
        <v>4062</v>
      </c>
      <c r="B193" t="s">
        <v>5389</v>
      </c>
      <c r="C193" t="s">
        <v>42</v>
      </c>
      <c r="D193" s="7">
        <v>1.05</v>
      </c>
      <c r="E193" s="2">
        <v>17560.22</v>
      </c>
      <c r="F193" s="2">
        <v>18438.23</v>
      </c>
    </row>
    <row r="194" spans="1:6" x14ac:dyDescent="0.25">
      <c r="A194" t="s">
        <v>4062</v>
      </c>
      <c r="B194" t="s">
        <v>5333</v>
      </c>
      <c r="C194" t="s">
        <v>63</v>
      </c>
      <c r="D194" s="7">
        <v>0.06</v>
      </c>
      <c r="E194" s="2">
        <v>4866.67</v>
      </c>
      <c r="F194" s="2">
        <v>292</v>
      </c>
    </row>
    <row r="195" spans="1:6" x14ac:dyDescent="0.25">
      <c r="A195" t="s">
        <v>4062</v>
      </c>
      <c r="B195" t="s">
        <v>5334</v>
      </c>
      <c r="C195" t="s">
        <v>63</v>
      </c>
      <c r="D195" s="7">
        <v>3</v>
      </c>
      <c r="E195" s="2">
        <v>2144.08</v>
      </c>
      <c r="F195" s="2">
        <v>6432.24</v>
      </c>
    </row>
    <row r="196" spans="1:6" x14ac:dyDescent="0.25">
      <c r="A196" t="s">
        <v>4049</v>
      </c>
      <c r="B196" t="s">
        <v>4105</v>
      </c>
      <c r="C196" t="s">
        <v>4106</v>
      </c>
      <c r="D196" s="7">
        <v>0.13</v>
      </c>
      <c r="E196" s="2">
        <v>25125</v>
      </c>
      <c r="F196" s="2">
        <v>3140.63</v>
      </c>
    </row>
    <row r="197" spans="1:6" x14ac:dyDescent="0.25">
      <c r="A197" t="s">
        <v>4049</v>
      </c>
      <c r="B197" t="s">
        <v>4241</v>
      </c>
      <c r="C197" t="s">
        <v>4051</v>
      </c>
      <c r="D197" s="7">
        <v>1</v>
      </c>
      <c r="E197" s="2">
        <v>9941.22</v>
      </c>
      <c r="F197" s="2">
        <v>9941.22</v>
      </c>
    </row>
    <row r="198" spans="1:6" x14ac:dyDescent="0.25">
      <c r="A198" t="s">
        <v>4049</v>
      </c>
      <c r="B198" t="s">
        <v>4242</v>
      </c>
      <c r="C198" t="s">
        <v>4051</v>
      </c>
      <c r="D198" s="7">
        <v>0.43</v>
      </c>
      <c r="E198" s="2">
        <v>17069.53</v>
      </c>
      <c r="F198" s="2">
        <v>7339.9</v>
      </c>
    </row>
    <row r="199" spans="1:6" x14ac:dyDescent="0.25">
      <c r="A199" t="s">
        <v>4052</v>
      </c>
      <c r="B199" t="s">
        <v>4053</v>
      </c>
      <c r="C199" t="s">
        <v>4054</v>
      </c>
      <c r="D199" s="7">
        <v>3.3</v>
      </c>
      <c r="E199" s="2">
        <v>17281.12</v>
      </c>
      <c r="F199" s="2">
        <v>570.28</v>
      </c>
    </row>
    <row r="200" spans="1:6" x14ac:dyDescent="0.25">
      <c r="A200" t="s">
        <v>4055</v>
      </c>
      <c r="D200" s="7"/>
      <c r="E200" s="2"/>
      <c r="F200" s="2">
        <f>SUBTOTAL(109,A_1_12_17[VALOR PARCIAL])</f>
      </c>
    </row>
    <row r="202" ht="30" customHeight="1" spans="1:6" x14ac:dyDescent="0.25">
      <c r="A202" s="5" t="s">
        <v>5390</v>
      </c>
      <c r="B202" s="5"/>
      <c r="C202" s="5"/>
      <c r="D202" s="5"/>
      <c r="E202" s="5"/>
      <c r="F202" s="5"/>
    </row>
    <row r="203" ht="42" customHeight="1" spans="1:6" x14ac:dyDescent="0.25">
      <c r="A203" s="6" t="s">
        <v>5391</v>
      </c>
      <c r="B203" s="6"/>
      <c r="C203" s="6"/>
      <c r="D203" s="6"/>
      <c r="E203" s="6"/>
      <c r="F203" s="6"/>
    </row>
    <row r="204" spans="1:6" x14ac:dyDescent="0.25">
      <c r="A204" t="s">
        <v>4044</v>
      </c>
      <c r="B204" t="s">
        <v>4045</v>
      </c>
      <c r="C204" t="s">
        <v>5</v>
      </c>
      <c r="D204" t="s">
        <v>4046</v>
      </c>
      <c r="E204" t="s">
        <v>4047</v>
      </c>
      <c r="F204" t="s">
        <v>4048</v>
      </c>
    </row>
    <row r="205" spans="1:6" x14ac:dyDescent="0.25">
      <c r="A205" t="s">
        <v>4062</v>
      </c>
      <c r="B205" t="s">
        <v>5392</v>
      </c>
      <c r="C205" t="s">
        <v>63</v>
      </c>
      <c r="D205" s="7">
        <v>2</v>
      </c>
      <c r="E205" s="2">
        <v>29633.33</v>
      </c>
      <c r="F205" s="2">
        <v>59266.66</v>
      </c>
    </row>
    <row r="206" spans="1:6" x14ac:dyDescent="0.25">
      <c r="A206" t="s">
        <v>4062</v>
      </c>
      <c r="B206" t="s">
        <v>5393</v>
      </c>
      <c r="C206" t="s">
        <v>63</v>
      </c>
      <c r="D206" s="7">
        <v>2</v>
      </c>
      <c r="E206" s="2">
        <v>1111.83</v>
      </c>
      <c r="F206" s="2">
        <v>2223.66</v>
      </c>
    </row>
    <row r="207" spans="1:6" x14ac:dyDescent="0.25">
      <c r="A207" t="s">
        <v>4062</v>
      </c>
      <c r="B207" t="s">
        <v>5394</v>
      </c>
      <c r="C207" t="s">
        <v>4377</v>
      </c>
      <c r="D207" s="7">
        <v>0.1</v>
      </c>
      <c r="E207" s="2">
        <v>15906.09</v>
      </c>
      <c r="F207" s="2">
        <v>1590.61</v>
      </c>
    </row>
    <row r="208" spans="1:6" x14ac:dyDescent="0.25">
      <c r="A208" t="s">
        <v>4049</v>
      </c>
      <c r="B208" t="s">
        <v>4050</v>
      </c>
      <c r="C208" t="s">
        <v>4051</v>
      </c>
      <c r="D208" s="7">
        <v>0.3</v>
      </c>
      <c r="E208" s="2">
        <v>9037.33</v>
      </c>
      <c r="F208" s="2">
        <v>2711.2</v>
      </c>
    </row>
    <row r="209" spans="1:6" x14ac:dyDescent="0.25">
      <c r="A209" t="s">
        <v>4049</v>
      </c>
      <c r="B209" t="s">
        <v>4073</v>
      </c>
      <c r="C209" t="s">
        <v>4051</v>
      </c>
      <c r="D209" s="7">
        <v>0.3</v>
      </c>
      <c r="E209" s="2">
        <v>15517.89</v>
      </c>
      <c r="F209" s="2">
        <v>4655.37</v>
      </c>
    </row>
    <row r="210" spans="1:6" x14ac:dyDescent="0.25">
      <c r="A210" t="s">
        <v>4052</v>
      </c>
      <c r="B210" t="s">
        <v>4105</v>
      </c>
      <c r="C210" t="s">
        <v>4106</v>
      </c>
      <c r="D210" s="7">
        <v>0.04</v>
      </c>
      <c r="E210" s="2">
        <v>25125</v>
      </c>
      <c r="F210" s="2">
        <v>942.19</v>
      </c>
    </row>
    <row r="211" spans="1:6" x14ac:dyDescent="0.25">
      <c r="A211" t="s">
        <v>4052</v>
      </c>
      <c r="B211" t="s">
        <v>4053</v>
      </c>
      <c r="C211" t="s">
        <v>4054</v>
      </c>
      <c r="D211" s="7">
        <v>3.3</v>
      </c>
      <c r="E211" s="2">
        <v>7366.57</v>
      </c>
      <c r="F211" s="2">
        <v>243.1</v>
      </c>
    </row>
    <row r="212" spans="1:6" x14ac:dyDescent="0.25">
      <c r="A212" t="s">
        <v>4055</v>
      </c>
      <c r="D212" s="7"/>
      <c r="E212" s="2"/>
      <c r="F212" s="2">
        <f>SUBTOTAL(109,A_1_12_18[VALOR PARCIAL])</f>
      </c>
    </row>
    <row r="214" ht="30" customHeight="1" spans="1:6" x14ac:dyDescent="0.25">
      <c r="A214" s="5" t="s">
        <v>5395</v>
      </c>
      <c r="B214" s="5"/>
      <c r="C214" s="5"/>
      <c r="D214" s="5"/>
      <c r="E214" s="5"/>
      <c r="F214" s="5"/>
    </row>
    <row r="215" ht="42" customHeight="1" spans="1:6" x14ac:dyDescent="0.25">
      <c r="A215" s="6" t="s">
        <v>5396</v>
      </c>
      <c r="B215" s="6"/>
      <c r="C215" s="6"/>
      <c r="D215" s="6"/>
      <c r="E215" s="6"/>
      <c r="F215" s="6"/>
    </row>
    <row r="216" spans="1:6" x14ac:dyDescent="0.25">
      <c r="A216" t="s">
        <v>4044</v>
      </c>
      <c r="B216" t="s">
        <v>4045</v>
      </c>
      <c r="C216" t="s">
        <v>5</v>
      </c>
      <c r="D216" t="s">
        <v>4046</v>
      </c>
      <c r="E216" t="s">
        <v>4047</v>
      </c>
      <c r="F216" t="s">
        <v>4048</v>
      </c>
    </row>
    <row r="217" spans="1:6" x14ac:dyDescent="0.25">
      <c r="A217" t="s">
        <v>4062</v>
      </c>
      <c r="B217" t="s">
        <v>5397</v>
      </c>
      <c r="C217" t="s">
        <v>63</v>
      </c>
      <c r="D217" s="7">
        <v>1</v>
      </c>
      <c r="E217" s="2">
        <v>31033.33</v>
      </c>
      <c r="F217" s="2">
        <v>31033.33</v>
      </c>
    </row>
    <row r="218" spans="1:6" x14ac:dyDescent="0.25">
      <c r="A218" t="s">
        <v>4062</v>
      </c>
      <c r="B218" t="s">
        <v>5398</v>
      </c>
      <c r="C218" t="s">
        <v>63</v>
      </c>
      <c r="D218" s="7">
        <v>5</v>
      </c>
      <c r="E218" s="2">
        <v>349.5</v>
      </c>
      <c r="F218" s="2">
        <v>1747.5</v>
      </c>
    </row>
    <row r="219" spans="1:6" x14ac:dyDescent="0.25">
      <c r="A219" t="s">
        <v>4049</v>
      </c>
      <c r="B219" t="s">
        <v>4105</v>
      </c>
      <c r="C219" t="s">
        <v>4106</v>
      </c>
      <c r="D219" s="7">
        <v>0.07</v>
      </c>
      <c r="E219" s="2">
        <v>25125</v>
      </c>
      <c r="F219" s="2">
        <v>1708.5</v>
      </c>
    </row>
    <row r="220" spans="1:6" x14ac:dyDescent="0.25">
      <c r="A220" t="s">
        <v>4049</v>
      </c>
      <c r="B220" t="s">
        <v>4050</v>
      </c>
      <c r="C220" t="s">
        <v>4051</v>
      </c>
      <c r="D220" s="7">
        <v>0.54</v>
      </c>
      <c r="E220" s="2">
        <v>9037.33</v>
      </c>
      <c r="F220" s="2">
        <v>4880.16</v>
      </c>
    </row>
    <row r="221" spans="1:6" x14ac:dyDescent="0.25">
      <c r="A221" t="s">
        <v>4049</v>
      </c>
      <c r="B221" t="s">
        <v>4073</v>
      </c>
      <c r="C221" t="s">
        <v>4051</v>
      </c>
      <c r="D221" s="7">
        <v>0.54</v>
      </c>
      <c r="E221" s="2">
        <v>15517.89</v>
      </c>
      <c r="F221" s="2">
        <v>8379.66</v>
      </c>
    </row>
    <row r="222" spans="1:6" x14ac:dyDescent="0.25">
      <c r="A222" t="s">
        <v>4052</v>
      </c>
      <c r="B222" t="s">
        <v>4053</v>
      </c>
      <c r="C222" t="s">
        <v>4054</v>
      </c>
      <c r="D222" s="7">
        <v>3.3</v>
      </c>
      <c r="E222" s="2">
        <v>13259.82</v>
      </c>
      <c r="F222" s="2">
        <v>437.57</v>
      </c>
    </row>
    <row r="223" spans="1:6" x14ac:dyDescent="0.25">
      <c r="A223" t="s">
        <v>4055</v>
      </c>
      <c r="D223" s="7"/>
      <c r="E223" s="2"/>
      <c r="F223" s="2">
        <f>SUBTOTAL(109,A_1_12_19[VALOR PARCIAL])</f>
      </c>
    </row>
    <row r="225" ht="30" customHeight="1" spans="1:6" x14ac:dyDescent="0.25">
      <c r="A225" s="5" t="s">
        <v>5399</v>
      </c>
      <c r="B225" s="5"/>
      <c r="C225" s="5"/>
      <c r="D225" s="5"/>
      <c r="E225" s="5"/>
      <c r="F225" s="5"/>
    </row>
    <row r="226" ht="42" customHeight="1" spans="1:6" x14ac:dyDescent="0.25">
      <c r="A226" s="6" t="s">
        <v>5400</v>
      </c>
      <c r="B226" s="6"/>
      <c r="C226" s="6"/>
      <c r="D226" s="6"/>
      <c r="E226" s="6"/>
      <c r="F226" s="6"/>
    </row>
    <row r="227" spans="1:6" x14ac:dyDescent="0.25">
      <c r="A227" t="s">
        <v>4044</v>
      </c>
      <c r="B227" t="s">
        <v>4045</v>
      </c>
      <c r="C227" t="s">
        <v>5</v>
      </c>
      <c r="D227" t="s">
        <v>4046</v>
      </c>
      <c r="E227" t="s">
        <v>4047</v>
      </c>
      <c r="F227" t="s">
        <v>4048</v>
      </c>
    </row>
    <row r="228" spans="1:6" x14ac:dyDescent="0.25">
      <c r="A228" t="s">
        <v>4062</v>
      </c>
      <c r="B228" t="s">
        <v>4675</v>
      </c>
      <c r="C228" t="s">
        <v>4171</v>
      </c>
      <c r="D228" s="7">
        <v>1</v>
      </c>
      <c r="E228" s="2">
        <v>1106.41</v>
      </c>
      <c r="F228" s="2">
        <v>1106.41</v>
      </c>
    </row>
    <row r="229" spans="1:6" x14ac:dyDescent="0.25">
      <c r="A229" t="s">
        <v>4062</v>
      </c>
      <c r="B229" t="s">
        <v>4679</v>
      </c>
      <c r="C229" t="s">
        <v>63</v>
      </c>
      <c r="D229" s="7">
        <v>1</v>
      </c>
      <c r="E229" s="2">
        <v>41500</v>
      </c>
      <c r="F229" s="2">
        <v>41500</v>
      </c>
    </row>
    <row r="230" spans="1:6" x14ac:dyDescent="0.25">
      <c r="A230" t="s">
        <v>4062</v>
      </c>
      <c r="B230" t="s">
        <v>5385</v>
      </c>
      <c r="C230" t="s">
        <v>63</v>
      </c>
      <c r="D230" s="7">
        <v>0.2</v>
      </c>
      <c r="E230" s="2">
        <v>10614.67</v>
      </c>
      <c r="F230" s="2">
        <v>2122.93</v>
      </c>
    </row>
    <row r="231" spans="1:6" x14ac:dyDescent="0.25">
      <c r="A231" t="s">
        <v>4062</v>
      </c>
      <c r="B231" t="s">
        <v>4676</v>
      </c>
      <c r="C231" t="s">
        <v>63</v>
      </c>
      <c r="D231" s="7">
        <v>0.05</v>
      </c>
      <c r="E231" s="2">
        <v>14766.67</v>
      </c>
      <c r="F231" s="2">
        <v>738.33</v>
      </c>
    </row>
    <row r="232" spans="1:6" x14ac:dyDescent="0.25">
      <c r="A232" t="s">
        <v>4049</v>
      </c>
      <c r="B232" t="s">
        <v>4050</v>
      </c>
      <c r="C232" t="s">
        <v>4051</v>
      </c>
      <c r="D232" s="7">
        <v>0.3</v>
      </c>
      <c r="E232" s="2">
        <v>9037.33</v>
      </c>
      <c r="F232" s="2">
        <v>2711.2</v>
      </c>
    </row>
    <row r="233" spans="1:6" x14ac:dyDescent="0.25">
      <c r="A233" t="s">
        <v>4049</v>
      </c>
      <c r="B233" t="s">
        <v>4073</v>
      </c>
      <c r="C233" t="s">
        <v>4051</v>
      </c>
      <c r="D233" s="7">
        <v>0.3</v>
      </c>
      <c r="E233" s="2">
        <v>15517.89</v>
      </c>
      <c r="F233" s="2">
        <v>4655.37</v>
      </c>
    </row>
    <row r="234" spans="1:6" x14ac:dyDescent="0.25">
      <c r="A234" t="s">
        <v>4052</v>
      </c>
      <c r="B234" t="s">
        <v>4105</v>
      </c>
      <c r="C234" t="s">
        <v>4106</v>
      </c>
      <c r="D234" s="7">
        <v>0.04</v>
      </c>
      <c r="E234" s="2">
        <v>25125</v>
      </c>
      <c r="F234" s="2">
        <v>942.19</v>
      </c>
    </row>
    <row r="235" spans="1:6" x14ac:dyDescent="0.25">
      <c r="A235" t="s">
        <v>4052</v>
      </c>
      <c r="B235" t="s">
        <v>4053</v>
      </c>
      <c r="C235" t="s">
        <v>4054</v>
      </c>
      <c r="D235" s="7">
        <v>3.3</v>
      </c>
      <c r="E235" s="2">
        <v>7366.57</v>
      </c>
      <c r="F235" s="2">
        <v>243.1</v>
      </c>
    </row>
    <row r="236" spans="1:6" x14ac:dyDescent="0.25">
      <c r="A236" t="s">
        <v>4055</v>
      </c>
      <c r="D236" s="7"/>
      <c r="E236" s="2"/>
      <c r="F236" s="2">
        <f>SUBTOTAL(109,A_1_12_20[VALOR PARCIAL])</f>
      </c>
    </row>
    <row r="238" ht="30" customHeight="1" spans="1:6" x14ac:dyDescent="0.25">
      <c r="A238" s="5" t="s">
        <v>5401</v>
      </c>
      <c r="B238" s="5"/>
      <c r="C238" s="5"/>
      <c r="D238" s="5"/>
      <c r="E238" s="5"/>
      <c r="F238" s="5"/>
    </row>
    <row r="239" ht="42" customHeight="1" spans="1:6" x14ac:dyDescent="0.25">
      <c r="A239" s="6" t="s">
        <v>5402</v>
      </c>
      <c r="B239" s="6"/>
      <c r="C239" s="6"/>
      <c r="D239" s="6"/>
      <c r="E239" s="6"/>
      <c r="F239" s="6"/>
    </row>
    <row r="240" spans="1:6" x14ac:dyDescent="0.25">
      <c r="A240" t="s">
        <v>4044</v>
      </c>
      <c r="B240" t="s">
        <v>4045</v>
      </c>
      <c r="C240" t="s">
        <v>5</v>
      </c>
      <c r="D240" t="s">
        <v>4046</v>
      </c>
      <c r="E240" t="s">
        <v>4047</v>
      </c>
      <c r="F240" t="s">
        <v>4048</v>
      </c>
    </row>
    <row r="241" spans="1:6" x14ac:dyDescent="0.25">
      <c r="A241" t="s">
        <v>4062</v>
      </c>
      <c r="B241" t="s">
        <v>5403</v>
      </c>
      <c r="C241" t="s">
        <v>63</v>
      </c>
      <c r="D241" s="7">
        <v>0.33</v>
      </c>
      <c r="E241" s="2">
        <v>5800</v>
      </c>
      <c r="F241" s="2">
        <v>1914</v>
      </c>
    </row>
    <row r="242" spans="1:6" x14ac:dyDescent="0.25">
      <c r="A242" t="s">
        <v>4062</v>
      </c>
      <c r="B242" t="s">
        <v>5343</v>
      </c>
      <c r="C242" t="s">
        <v>63</v>
      </c>
      <c r="D242" s="7">
        <v>0.33</v>
      </c>
      <c r="E242" s="2">
        <v>6800</v>
      </c>
      <c r="F242" s="2">
        <v>2244</v>
      </c>
    </row>
    <row r="243" spans="1:6" x14ac:dyDescent="0.25">
      <c r="A243" t="s">
        <v>4062</v>
      </c>
      <c r="B243" t="s">
        <v>5404</v>
      </c>
      <c r="C243" t="s">
        <v>42</v>
      </c>
      <c r="D243" s="7">
        <v>1.03</v>
      </c>
      <c r="E243" s="2">
        <v>15385</v>
      </c>
      <c r="F243" s="2">
        <v>15846.55</v>
      </c>
    </row>
    <row r="244" spans="1:6" x14ac:dyDescent="0.25">
      <c r="A244" t="s">
        <v>4062</v>
      </c>
      <c r="B244" t="s">
        <v>5405</v>
      </c>
      <c r="C244" t="s">
        <v>63</v>
      </c>
      <c r="D244" s="7">
        <v>3</v>
      </c>
      <c r="E244" s="2">
        <v>2900</v>
      </c>
      <c r="F244" s="2">
        <v>8700</v>
      </c>
    </row>
    <row r="245" spans="1:6" x14ac:dyDescent="0.25">
      <c r="A245" t="s">
        <v>4049</v>
      </c>
      <c r="B245" t="s">
        <v>4241</v>
      </c>
      <c r="C245" t="s">
        <v>4051</v>
      </c>
      <c r="D245" s="7">
        <v>1.6</v>
      </c>
      <c r="E245" s="2">
        <v>9941.22</v>
      </c>
      <c r="F245" s="2">
        <v>15905.95</v>
      </c>
    </row>
    <row r="246" spans="1:6" x14ac:dyDescent="0.25">
      <c r="A246" t="s">
        <v>4049</v>
      </c>
      <c r="B246" t="s">
        <v>4242</v>
      </c>
      <c r="C246" t="s">
        <v>4051</v>
      </c>
      <c r="D246" s="7">
        <v>0.72</v>
      </c>
      <c r="E246" s="2">
        <v>17069.53</v>
      </c>
      <c r="F246" s="2">
        <v>12290.06</v>
      </c>
    </row>
    <row r="247" spans="1:6" x14ac:dyDescent="0.25">
      <c r="A247" t="s">
        <v>4052</v>
      </c>
      <c r="B247" t="s">
        <v>4105</v>
      </c>
      <c r="C247" t="s">
        <v>4106</v>
      </c>
      <c r="D247" s="7">
        <v>0.2</v>
      </c>
      <c r="E247" s="2">
        <v>25125</v>
      </c>
      <c r="F247" s="2">
        <v>5025</v>
      </c>
    </row>
    <row r="248" spans="1:6" x14ac:dyDescent="0.25">
      <c r="A248" t="s">
        <v>4052</v>
      </c>
      <c r="B248" t="s">
        <v>4053</v>
      </c>
      <c r="C248" t="s">
        <v>4054</v>
      </c>
      <c r="D248" s="7">
        <v>3.3</v>
      </c>
      <c r="E248" s="2">
        <v>28196.01</v>
      </c>
      <c r="F248" s="2">
        <v>930.47</v>
      </c>
    </row>
    <row r="249" spans="1:6" x14ac:dyDescent="0.25">
      <c r="A249" t="s">
        <v>4055</v>
      </c>
      <c r="D249" s="7"/>
      <c r="E249" s="2"/>
      <c r="F249" s="2">
        <f>SUBTOTAL(109,A_1_12_21[VALOR PARCIAL])</f>
      </c>
    </row>
    <row r="251" ht="30" customHeight="1" spans="1:6" x14ac:dyDescent="0.25">
      <c r="A251" s="5" t="s">
        <v>5406</v>
      </c>
      <c r="B251" s="5"/>
      <c r="C251" s="5"/>
      <c r="D251" s="5"/>
      <c r="E251" s="5"/>
      <c r="F251" s="5"/>
    </row>
    <row r="252" ht="42" customHeight="1" spans="1:6" x14ac:dyDescent="0.25">
      <c r="A252" s="6" t="s">
        <v>5407</v>
      </c>
      <c r="B252" s="6"/>
      <c r="C252" s="6"/>
      <c r="D252" s="6"/>
      <c r="E252" s="6"/>
      <c r="F252" s="6"/>
    </row>
    <row r="253" spans="1:6" x14ac:dyDescent="0.25">
      <c r="A253" t="s">
        <v>4044</v>
      </c>
      <c r="B253" t="s">
        <v>4045</v>
      </c>
      <c r="C253" t="s">
        <v>5</v>
      </c>
      <c r="D253" t="s">
        <v>4046</v>
      </c>
      <c r="E253" t="s">
        <v>4047</v>
      </c>
      <c r="F253" t="s">
        <v>4048</v>
      </c>
    </row>
    <row r="254" spans="1:6" x14ac:dyDescent="0.25">
      <c r="A254" t="s">
        <v>4062</v>
      </c>
      <c r="B254" t="s">
        <v>5354</v>
      </c>
      <c r="C254" t="s">
        <v>63</v>
      </c>
      <c r="D254" s="7">
        <v>0.47</v>
      </c>
      <c r="E254" s="2">
        <v>39100</v>
      </c>
      <c r="F254" s="2">
        <v>18377</v>
      </c>
    </row>
    <row r="255" spans="1:6" x14ac:dyDescent="0.25">
      <c r="A255" t="s">
        <v>4062</v>
      </c>
      <c r="B255" t="s">
        <v>5398</v>
      </c>
      <c r="C255" t="s">
        <v>63</v>
      </c>
      <c r="D255" s="7">
        <v>2</v>
      </c>
      <c r="E255" s="2">
        <v>349.5</v>
      </c>
      <c r="F255" s="2">
        <v>699</v>
      </c>
    </row>
    <row r="256" spans="1:6" x14ac:dyDescent="0.25">
      <c r="A256" t="s">
        <v>4049</v>
      </c>
      <c r="B256" t="s">
        <v>4105</v>
      </c>
      <c r="C256" t="s">
        <v>4106</v>
      </c>
      <c r="D256" s="7">
        <v>0.17</v>
      </c>
      <c r="E256" s="2">
        <v>25125</v>
      </c>
      <c r="F256" s="2">
        <v>4271.25</v>
      </c>
    </row>
    <row r="257" spans="1:6" x14ac:dyDescent="0.25">
      <c r="A257" t="s">
        <v>4049</v>
      </c>
      <c r="B257" t="s">
        <v>4050</v>
      </c>
      <c r="C257" t="s">
        <v>4051</v>
      </c>
      <c r="D257" s="7">
        <v>1.4</v>
      </c>
      <c r="E257" s="2">
        <v>9037.33</v>
      </c>
      <c r="F257" s="2">
        <v>12652.26</v>
      </c>
    </row>
    <row r="258" spans="1:6" x14ac:dyDescent="0.25">
      <c r="A258" t="s">
        <v>4049</v>
      </c>
      <c r="B258" t="s">
        <v>4073</v>
      </c>
      <c r="C258" t="s">
        <v>4051</v>
      </c>
      <c r="D258" s="7">
        <v>0.7</v>
      </c>
      <c r="E258" s="2">
        <v>15517.89</v>
      </c>
      <c r="F258" s="2">
        <v>10862.52</v>
      </c>
    </row>
    <row r="259" spans="1:6" x14ac:dyDescent="0.25">
      <c r="A259" t="s">
        <v>4052</v>
      </c>
      <c r="B259" t="s">
        <v>4053</v>
      </c>
      <c r="C259" t="s">
        <v>4054</v>
      </c>
      <c r="D259" s="7">
        <v>3.3</v>
      </c>
      <c r="E259" s="2">
        <v>23514.78</v>
      </c>
      <c r="F259" s="2">
        <v>775.99</v>
      </c>
    </row>
    <row r="260" spans="1:6" x14ac:dyDescent="0.25">
      <c r="A260" t="s">
        <v>4055</v>
      </c>
      <c r="D260" s="7"/>
      <c r="E260" s="2"/>
      <c r="F260" s="2">
        <f>SUBTOTAL(109,A_1_12_22[VALOR PARCIAL])</f>
      </c>
    </row>
    <row r="262" ht="30" customHeight="1" spans="1:6" x14ac:dyDescent="0.25">
      <c r="A262" s="5" t="s">
        <v>5408</v>
      </c>
      <c r="B262" s="5"/>
      <c r="C262" s="5"/>
      <c r="D262" s="5"/>
      <c r="E262" s="5"/>
      <c r="F262" s="5"/>
    </row>
    <row r="263" ht="42" customHeight="1" spans="1:6" x14ac:dyDescent="0.25">
      <c r="A263" s="6" t="s">
        <v>5409</v>
      </c>
      <c r="B263" s="6"/>
      <c r="C263" s="6"/>
      <c r="D263" s="6"/>
      <c r="E263" s="6"/>
      <c r="F263" s="6"/>
    </row>
    <row r="264" spans="1:6" x14ac:dyDescent="0.25">
      <c r="A264" t="s">
        <v>4044</v>
      </c>
      <c r="B264" t="s">
        <v>4045</v>
      </c>
      <c r="C264" t="s">
        <v>5</v>
      </c>
      <c r="D264" t="s">
        <v>4046</v>
      </c>
      <c r="E264" t="s">
        <v>4047</v>
      </c>
      <c r="F264" t="s">
        <v>4048</v>
      </c>
    </row>
    <row r="265" spans="1:6" x14ac:dyDescent="0.25">
      <c r="A265" t="s">
        <v>4062</v>
      </c>
      <c r="B265" t="s">
        <v>5410</v>
      </c>
      <c r="C265" t="s">
        <v>63</v>
      </c>
      <c r="D265" s="7">
        <v>0.47</v>
      </c>
      <c r="E265" s="2">
        <v>44333</v>
      </c>
      <c r="F265" s="2">
        <v>20836.51</v>
      </c>
    </row>
    <row r="266" spans="1:6" x14ac:dyDescent="0.25">
      <c r="A266" t="s">
        <v>4062</v>
      </c>
      <c r="B266" t="s">
        <v>5398</v>
      </c>
      <c r="C266" t="s">
        <v>63</v>
      </c>
      <c r="D266" s="7">
        <v>2</v>
      </c>
      <c r="E266" s="2">
        <v>349.5</v>
      </c>
      <c r="F266" s="2">
        <v>699</v>
      </c>
    </row>
    <row r="267" spans="1:6" x14ac:dyDescent="0.25">
      <c r="A267" t="s">
        <v>4049</v>
      </c>
      <c r="B267" t="s">
        <v>4050</v>
      </c>
      <c r="C267" t="s">
        <v>4051</v>
      </c>
      <c r="D267" s="7">
        <v>1.5</v>
      </c>
      <c r="E267" s="2">
        <v>9037.33</v>
      </c>
      <c r="F267" s="2">
        <v>13555.99</v>
      </c>
    </row>
    <row r="268" spans="1:6" x14ac:dyDescent="0.25">
      <c r="A268" t="s">
        <v>4049</v>
      </c>
      <c r="B268" t="s">
        <v>4073</v>
      </c>
      <c r="C268" t="s">
        <v>4051</v>
      </c>
      <c r="D268" s="7">
        <v>0.75</v>
      </c>
      <c r="E268" s="2">
        <v>15517.89</v>
      </c>
      <c r="F268" s="2">
        <v>11638.42</v>
      </c>
    </row>
    <row r="269" spans="1:6" x14ac:dyDescent="0.25">
      <c r="A269" t="s">
        <v>4052</v>
      </c>
      <c r="B269" t="s">
        <v>4105</v>
      </c>
      <c r="C269" t="s">
        <v>4106</v>
      </c>
      <c r="D269" s="7">
        <v>0.19</v>
      </c>
      <c r="E269" s="2">
        <v>25125</v>
      </c>
      <c r="F269" s="2">
        <v>4648.13</v>
      </c>
    </row>
    <row r="270" spans="1:6" x14ac:dyDescent="0.25">
      <c r="A270" t="s">
        <v>4052</v>
      </c>
      <c r="B270" t="s">
        <v>4053</v>
      </c>
      <c r="C270" t="s">
        <v>4054</v>
      </c>
      <c r="D270" s="7">
        <v>3.3</v>
      </c>
      <c r="E270" s="2">
        <v>25194.41</v>
      </c>
      <c r="F270" s="2">
        <v>831.42</v>
      </c>
    </row>
    <row r="271" spans="1:6" x14ac:dyDescent="0.25">
      <c r="A271" t="s">
        <v>4055</v>
      </c>
      <c r="D271" s="7"/>
      <c r="E271" s="2"/>
      <c r="F271" s="2">
        <f>SUBTOTAL(109,A_1_12_23[VALOR PARCIAL])</f>
      </c>
    </row>
    <row r="273" ht="30" customHeight="1" spans="1:6" x14ac:dyDescent="0.25">
      <c r="A273" s="5" t="s">
        <v>5411</v>
      </c>
      <c r="B273" s="5"/>
      <c r="C273" s="5"/>
      <c r="D273" s="5"/>
      <c r="E273" s="5"/>
      <c r="F273" s="5"/>
    </row>
    <row r="274" ht="42" customHeight="1" spans="1:6" x14ac:dyDescent="0.25">
      <c r="A274" s="6" t="s">
        <v>5412</v>
      </c>
      <c r="B274" s="6"/>
      <c r="C274" s="6"/>
      <c r="D274" s="6"/>
      <c r="E274" s="6"/>
      <c r="F274" s="6"/>
    </row>
    <row r="275" spans="1:6" x14ac:dyDescent="0.25">
      <c r="A275" t="s">
        <v>4044</v>
      </c>
      <c r="B275" t="s">
        <v>4045</v>
      </c>
      <c r="C275" t="s">
        <v>5</v>
      </c>
      <c r="D275" t="s">
        <v>4046</v>
      </c>
      <c r="E275" t="s">
        <v>4047</v>
      </c>
      <c r="F275" t="s">
        <v>4048</v>
      </c>
    </row>
    <row r="276" spans="1:6" x14ac:dyDescent="0.25">
      <c r="A276" t="s">
        <v>4062</v>
      </c>
      <c r="B276" t="s">
        <v>5413</v>
      </c>
      <c r="C276" t="s">
        <v>63</v>
      </c>
      <c r="D276" s="7">
        <v>1.03</v>
      </c>
      <c r="E276" s="2">
        <v>17733.33</v>
      </c>
      <c r="F276" s="2">
        <v>18265.33</v>
      </c>
    </row>
    <row r="277" spans="1:6" x14ac:dyDescent="0.25">
      <c r="A277" t="s">
        <v>4062</v>
      </c>
      <c r="B277" t="s">
        <v>5414</v>
      </c>
      <c r="C277" t="s">
        <v>63</v>
      </c>
      <c r="D277" s="7">
        <v>1</v>
      </c>
      <c r="E277" s="2">
        <v>353.66</v>
      </c>
      <c r="F277" s="2">
        <v>353.66</v>
      </c>
    </row>
    <row r="278" spans="1:6" x14ac:dyDescent="0.25">
      <c r="A278" t="s">
        <v>4049</v>
      </c>
      <c r="B278" t="s">
        <v>4050</v>
      </c>
      <c r="C278" t="s">
        <v>4051</v>
      </c>
      <c r="D278" s="7">
        <v>0.8</v>
      </c>
      <c r="E278" s="2">
        <v>9037.33</v>
      </c>
      <c r="F278" s="2">
        <v>7229.86</v>
      </c>
    </row>
    <row r="279" spans="1:6" x14ac:dyDescent="0.25">
      <c r="A279" t="s">
        <v>4049</v>
      </c>
      <c r="B279" t="s">
        <v>4073</v>
      </c>
      <c r="C279" t="s">
        <v>4051</v>
      </c>
      <c r="D279" s="7">
        <v>0.4</v>
      </c>
      <c r="E279" s="2">
        <v>15517.89</v>
      </c>
      <c r="F279" s="2">
        <v>6207.16</v>
      </c>
    </row>
    <row r="280" spans="1:6" x14ac:dyDescent="0.25">
      <c r="A280" t="s">
        <v>4052</v>
      </c>
      <c r="B280" t="s">
        <v>4105</v>
      </c>
      <c r="C280" t="s">
        <v>4106</v>
      </c>
      <c r="D280" s="7">
        <v>0.1</v>
      </c>
      <c r="E280" s="2">
        <v>25125</v>
      </c>
      <c r="F280" s="2">
        <v>2512.5</v>
      </c>
    </row>
    <row r="281" spans="1:6" x14ac:dyDescent="0.25">
      <c r="A281" t="s">
        <v>4052</v>
      </c>
      <c r="B281" t="s">
        <v>4053</v>
      </c>
      <c r="C281" t="s">
        <v>4054</v>
      </c>
      <c r="D281" s="7">
        <v>3.3</v>
      </c>
      <c r="E281" s="2">
        <v>13437.02</v>
      </c>
      <c r="F281" s="2">
        <v>443.42</v>
      </c>
    </row>
    <row r="282" spans="1:6" x14ac:dyDescent="0.25">
      <c r="A282" t="s">
        <v>4055</v>
      </c>
      <c r="D282" s="7"/>
      <c r="E282" s="2"/>
      <c r="F282" s="2">
        <f>SUBTOTAL(109,A_1_12_24[VALOR PARCIAL])</f>
      </c>
    </row>
    <row r="284" ht="30" customHeight="1" spans="1:6" x14ac:dyDescent="0.25">
      <c r="A284" s="5" t="s">
        <v>5415</v>
      </c>
      <c r="B284" s="5"/>
      <c r="C284" s="5"/>
      <c r="D284" s="5"/>
      <c r="E284" s="5"/>
      <c r="F284" s="5"/>
    </row>
    <row r="285" ht="42" customHeight="1" spans="1:6" x14ac:dyDescent="0.25">
      <c r="A285" s="6" t="s">
        <v>5416</v>
      </c>
      <c r="B285" s="6"/>
      <c r="C285" s="6"/>
      <c r="D285" s="6"/>
      <c r="E285" s="6"/>
      <c r="F285" s="6"/>
    </row>
    <row r="286" spans="1:6" x14ac:dyDescent="0.25">
      <c r="A286" t="s">
        <v>4044</v>
      </c>
      <c r="B286" t="s">
        <v>4045</v>
      </c>
      <c r="C286" t="s">
        <v>5</v>
      </c>
      <c r="D286" t="s">
        <v>4046</v>
      </c>
      <c r="E286" t="s">
        <v>4047</v>
      </c>
      <c r="F286" t="s">
        <v>4048</v>
      </c>
    </row>
    <row r="287" spans="1:6" x14ac:dyDescent="0.25">
      <c r="A287" t="s">
        <v>4062</v>
      </c>
      <c r="B287" t="s">
        <v>5417</v>
      </c>
      <c r="C287" t="s">
        <v>63</v>
      </c>
      <c r="D287" s="7">
        <v>0.63</v>
      </c>
      <c r="E287" s="2">
        <v>26600</v>
      </c>
      <c r="F287" s="2">
        <v>16758</v>
      </c>
    </row>
    <row r="288" spans="1:6" x14ac:dyDescent="0.25">
      <c r="A288" t="s">
        <v>4062</v>
      </c>
      <c r="B288" t="s">
        <v>5398</v>
      </c>
      <c r="C288" t="s">
        <v>63</v>
      </c>
      <c r="D288" s="7">
        <v>1.3</v>
      </c>
      <c r="E288" s="2">
        <v>349.5</v>
      </c>
      <c r="F288" s="2">
        <v>454.35</v>
      </c>
    </row>
    <row r="289" spans="1:6" x14ac:dyDescent="0.25">
      <c r="A289" t="s">
        <v>4049</v>
      </c>
      <c r="B289" t="s">
        <v>4105</v>
      </c>
      <c r="C289" t="s">
        <v>4106</v>
      </c>
      <c r="D289" s="7">
        <v>0.15</v>
      </c>
      <c r="E289" s="2">
        <v>25125</v>
      </c>
      <c r="F289" s="2">
        <v>3768.75</v>
      </c>
    </row>
    <row r="290" spans="1:6" x14ac:dyDescent="0.25">
      <c r="A290" t="s">
        <v>4049</v>
      </c>
      <c r="B290" t="s">
        <v>4050</v>
      </c>
      <c r="C290" t="s">
        <v>4051</v>
      </c>
      <c r="D290" s="7">
        <v>1.2</v>
      </c>
      <c r="E290" s="2">
        <v>9037.33</v>
      </c>
      <c r="F290" s="2">
        <v>10844.8</v>
      </c>
    </row>
    <row r="291" spans="1:6" x14ac:dyDescent="0.25">
      <c r="A291" t="s">
        <v>4049</v>
      </c>
      <c r="B291" t="s">
        <v>4073</v>
      </c>
      <c r="C291" t="s">
        <v>4051</v>
      </c>
      <c r="D291" s="7">
        <v>0.6</v>
      </c>
      <c r="E291" s="2">
        <v>15517.89</v>
      </c>
      <c r="F291" s="2">
        <v>9310.73</v>
      </c>
    </row>
    <row r="292" spans="1:6" x14ac:dyDescent="0.25">
      <c r="A292" t="s">
        <v>4052</v>
      </c>
      <c r="B292" t="s">
        <v>4053</v>
      </c>
      <c r="C292" t="s">
        <v>4054</v>
      </c>
      <c r="D292" s="7">
        <v>3.3</v>
      </c>
      <c r="E292" s="2">
        <v>20155.53</v>
      </c>
      <c r="F292" s="2">
        <v>665.13</v>
      </c>
    </row>
    <row r="293" spans="1:6" x14ac:dyDescent="0.25">
      <c r="A293" t="s">
        <v>4055</v>
      </c>
      <c r="D293" s="7"/>
      <c r="E293" s="2"/>
      <c r="F293" s="2">
        <f>SUBTOTAL(109,A_1_12_25[VALOR PARCIAL])</f>
      </c>
    </row>
    <row r="295" ht="30" customHeight="1" spans="1:6" x14ac:dyDescent="0.25">
      <c r="A295" s="5" t="s">
        <v>5418</v>
      </c>
      <c r="B295" s="5"/>
      <c r="C295" s="5"/>
      <c r="D295" s="5"/>
      <c r="E295" s="5"/>
      <c r="F295" s="5"/>
    </row>
    <row r="296" ht="42" customHeight="1" spans="1:6" x14ac:dyDescent="0.25">
      <c r="A296" s="6" t="s">
        <v>5419</v>
      </c>
      <c r="B296" s="6"/>
      <c r="C296" s="6"/>
      <c r="D296" s="6"/>
      <c r="E296" s="6"/>
      <c r="F296" s="6"/>
    </row>
    <row r="297" spans="1:6" x14ac:dyDescent="0.25">
      <c r="A297" t="s">
        <v>4044</v>
      </c>
      <c r="B297" t="s">
        <v>4045</v>
      </c>
      <c r="C297" t="s">
        <v>5</v>
      </c>
      <c r="D297" t="s">
        <v>4046</v>
      </c>
      <c r="E297" t="s">
        <v>4047</v>
      </c>
      <c r="F297" t="s">
        <v>4048</v>
      </c>
    </row>
    <row r="298" spans="1:6" x14ac:dyDescent="0.25">
      <c r="A298" t="s">
        <v>4062</v>
      </c>
      <c r="B298" t="s">
        <v>5420</v>
      </c>
      <c r="C298" t="s">
        <v>63</v>
      </c>
      <c r="D298" s="7">
        <v>0.45</v>
      </c>
      <c r="E298" s="2">
        <v>35466.67</v>
      </c>
      <c r="F298" s="2">
        <v>15782.67</v>
      </c>
    </row>
    <row r="299" spans="1:6" x14ac:dyDescent="0.25">
      <c r="A299" t="s">
        <v>4062</v>
      </c>
      <c r="B299" t="s">
        <v>5398</v>
      </c>
      <c r="C299" t="s">
        <v>63</v>
      </c>
      <c r="D299" s="7">
        <v>1.3</v>
      </c>
      <c r="E299" s="2">
        <v>349.5</v>
      </c>
      <c r="F299" s="2">
        <v>454.35</v>
      </c>
    </row>
    <row r="300" spans="1:6" x14ac:dyDescent="0.25">
      <c r="A300" t="s">
        <v>4049</v>
      </c>
      <c r="B300" t="s">
        <v>4105</v>
      </c>
      <c r="C300" t="s">
        <v>4106</v>
      </c>
      <c r="D300" s="7">
        <v>0.18</v>
      </c>
      <c r="E300" s="2">
        <v>25125</v>
      </c>
      <c r="F300" s="2">
        <v>4396.88</v>
      </c>
    </row>
    <row r="301" spans="1:6" x14ac:dyDescent="0.25">
      <c r="A301" t="s">
        <v>4049</v>
      </c>
      <c r="B301" t="s">
        <v>4050</v>
      </c>
      <c r="C301" t="s">
        <v>4051</v>
      </c>
      <c r="D301" s="7">
        <v>1.4</v>
      </c>
      <c r="E301" s="2">
        <v>9037.33</v>
      </c>
      <c r="F301" s="2">
        <v>12652.26</v>
      </c>
    </row>
    <row r="302" spans="1:6" x14ac:dyDescent="0.25">
      <c r="A302" t="s">
        <v>4049</v>
      </c>
      <c r="B302" t="s">
        <v>4073</v>
      </c>
      <c r="C302" t="s">
        <v>4051</v>
      </c>
      <c r="D302" s="7">
        <v>0.7</v>
      </c>
      <c r="E302" s="2">
        <v>15517.89</v>
      </c>
      <c r="F302" s="2">
        <v>10862.52</v>
      </c>
    </row>
    <row r="303" spans="1:6" x14ac:dyDescent="0.25">
      <c r="A303" t="s">
        <v>4052</v>
      </c>
      <c r="B303" t="s">
        <v>4053</v>
      </c>
      <c r="C303" t="s">
        <v>4054</v>
      </c>
      <c r="D303" s="7">
        <v>3.3</v>
      </c>
      <c r="E303" s="2">
        <v>23514.78</v>
      </c>
      <c r="F303" s="2">
        <v>775.99</v>
      </c>
    </row>
    <row r="304" spans="1:6" x14ac:dyDescent="0.25">
      <c r="A304" t="s">
        <v>4055</v>
      </c>
      <c r="D304" s="7"/>
      <c r="E304" s="2"/>
      <c r="F304" s="2">
        <f>SUBTOTAL(109,A_1_12_26[VALOR PARCIAL])</f>
      </c>
    </row>
    <row r="306" ht="30" customHeight="1" spans="1:6" x14ac:dyDescent="0.25">
      <c r="A306" s="5" t="s">
        <v>5421</v>
      </c>
      <c r="B306" s="5"/>
      <c r="C306" s="5"/>
      <c r="D306" s="5"/>
      <c r="E306" s="5"/>
      <c r="F306" s="5"/>
    </row>
    <row r="307" ht="42" customHeight="1" spans="1:6" x14ac:dyDescent="0.25">
      <c r="A307" s="6" t="s">
        <v>5422</v>
      </c>
      <c r="B307" s="6"/>
      <c r="C307" s="6"/>
      <c r="D307" s="6"/>
      <c r="E307" s="6"/>
      <c r="F307" s="6"/>
    </row>
    <row r="308" spans="1:6" x14ac:dyDescent="0.25">
      <c r="A308" t="s">
        <v>4044</v>
      </c>
      <c r="B308" t="s">
        <v>4045</v>
      </c>
      <c r="C308" t="s">
        <v>5</v>
      </c>
      <c r="D308" t="s">
        <v>4046</v>
      </c>
      <c r="E308" t="s">
        <v>4047</v>
      </c>
      <c r="F308" t="s">
        <v>4048</v>
      </c>
    </row>
    <row r="309" spans="1:6" x14ac:dyDescent="0.25">
      <c r="A309" t="s">
        <v>4062</v>
      </c>
      <c r="B309" t="s">
        <v>5423</v>
      </c>
      <c r="C309" t="s">
        <v>63</v>
      </c>
      <c r="D309" s="7">
        <v>0.63</v>
      </c>
      <c r="E309" s="2">
        <v>51099.61</v>
      </c>
      <c r="F309" s="2">
        <v>32192.75</v>
      </c>
    </row>
    <row r="310" spans="1:6" x14ac:dyDescent="0.25">
      <c r="A310" t="s">
        <v>4062</v>
      </c>
      <c r="B310" t="s">
        <v>5398</v>
      </c>
      <c r="C310" t="s">
        <v>63</v>
      </c>
      <c r="D310" s="7">
        <v>2</v>
      </c>
      <c r="E310" s="2">
        <v>349.5</v>
      </c>
      <c r="F310" s="2">
        <v>699</v>
      </c>
    </row>
    <row r="311" spans="1:6" x14ac:dyDescent="0.25">
      <c r="A311" t="s">
        <v>4049</v>
      </c>
      <c r="B311" t="s">
        <v>4050</v>
      </c>
      <c r="C311" t="s">
        <v>4051</v>
      </c>
      <c r="D311" s="7">
        <v>1.2</v>
      </c>
      <c r="E311" s="2">
        <v>9037.33</v>
      </c>
      <c r="F311" s="2">
        <v>10844.8</v>
      </c>
    </row>
    <row r="312" spans="1:6" x14ac:dyDescent="0.25">
      <c r="A312" t="s">
        <v>4049</v>
      </c>
      <c r="B312" t="s">
        <v>4073</v>
      </c>
      <c r="C312" t="s">
        <v>4051</v>
      </c>
      <c r="D312" s="7">
        <v>0.6</v>
      </c>
      <c r="E312" s="2">
        <v>15517.89</v>
      </c>
      <c r="F312" s="2">
        <v>9310.73</v>
      </c>
    </row>
    <row r="313" spans="1:6" x14ac:dyDescent="0.25">
      <c r="A313" t="s">
        <v>4052</v>
      </c>
      <c r="B313" t="s">
        <v>4105</v>
      </c>
      <c r="C313" t="s">
        <v>4106</v>
      </c>
      <c r="D313" s="7">
        <v>0.15</v>
      </c>
      <c r="E313" s="2">
        <v>25125</v>
      </c>
      <c r="F313" s="2">
        <v>3768.75</v>
      </c>
    </row>
    <row r="314" spans="1:6" x14ac:dyDescent="0.25">
      <c r="A314" t="s">
        <v>4052</v>
      </c>
      <c r="B314" t="s">
        <v>4053</v>
      </c>
      <c r="C314" t="s">
        <v>4054</v>
      </c>
      <c r="D314" s="7">
        <v>3.3</v>
      </c>
      <c r="E314" s="2">
        <v>20155.53</v>
      </c>
      <c r="F314" s="2">
        <v>665.13</v>
      </c>
    </row>
    <row r="315" spans="1:6" x14ac:dyDescent="0.25">
      <c r="A315" t="s">
        <v>4055</v>
      </c>
      <c r="D315" s="7"/>
      <c r="E315" s="2"/>
      <c r="F315" s="2">
        <f>SUBTOTAL(109,A_1_12_27[VALOR PARCIAL])</f>
      </c>
    </row>
    <row r="317" ht="30" customHeight="1" spans="1:6" x14ac:dyDescent="0.25">
      <c r="A317" s="5" t="s">
        <v>5424</v>
      </c>
      <c r="B317" s="5"/>
      <c r="C317" s="5"/>
      <c r="D317" s="5"/>
      <c r="E317" s="5"/>
      <c r="F317" s="5"/>
    </row>
    <row r="318" ht="42" customHeight="1" spans="1:6" x14ac:dyDescent="0.25">
      <c r="A318" s="6" t="s">
        <v>5425</v>
      </c>
      <c r="B318" s="6"/>
      <c r="C318" s="6"/>
      <c r="D318" s="6"/>
      <c r="E318" s="6"/>
      <c r="F318" s="6"/>
    </row>
    <row r="319" spans="1:6" x14ac:dyDescent="0.25">
      <c r="A319" t="s">
        <v>4044</v>
      </c>
      <c r="B319" t="s">
        <v>4045</v>
      </c>
      <c r="C319" t="s">
        <v>5</v>
      </c>
      <c r="D319" t="s">
        <v>4046</v>
      </c>
      <c r="E319" t="s">
        <v>4047</v>
      </c>
      <c r="F319" t="s">
        <v>4048</v>
      </c>
    </row>
    <row r="320" spans="1:6" x14ac:dyDescent="0.25">
      <c r="A320" t="s">
        <v>4062</v>
      </c>
      <c r="B320" t="s">
        <v>5426</v>
      </c>
      <c r="C320" t="s">
        <v>21</v>
      </c>
      <c r="D320" s="7">
        <v>1</v>
      </c>
      <c r="E320" s="2">
        <v>148003.78</v>
      </c>
      <c r="F320" s="2">
        <v>148003.78</v>
      </c>
    </row>
    <row r="321" spans="1:6" x14ac:dyDescent="0.25">
      <c r="A321" t="s">
        <v>4049</v>
      </c>
      <c r="B321" t="s">
        <v>4105</v>
      </c>
      <c r="C321" t="s">
        <v>4106</v>
      </c>
      <c r="D321" s="7">
        <v>0.18</v>
      </c>
      <c r="E321" s="2">
        <v>25125</v>
      </c>
      <c r="F321" s="2">
        <v>4396.88</v>
      </c>
    </row>
    <row r="322" spans="1:6" x14ac:dyDescent="0.25">
      <c r="A322" t="s">
        <v>4049</v>
      </c>
      <c r="B322" t="s">
        <v>4050</v>
      </c>
      <c r="C322" t="s">
        <v>4051</v>
      </c>
      <c r="D322" s="7">
        <v>1.4</v>
      </c>
      <c r="E322" s="2">
        <v>9037.33</v>
      </c>
      <c r="F322" s="2">
        <v>12652.26</v>
      </c>
    </row>
    <row r="323" spans="1:6" x14ac:dyDescent="0.25">
      <c r="A323" t="s">
        <v>4049</v>
      </c>
      <c r="B323" t="s">
        <v>4073</v>
      </c>
      <c r="C323" t="s">
        <v>4051</v>
      </c>
      <c r="D323" s="7">
        <v>0.7</v>
      </c>
      <c r="E323" s="2">
        <v>15517.89</v>
      </c>
      <c r="F323" s="2">
        <v>10862.52</v>
      </c>
    </row>
    <row r="324" spans="1:6" x14ac:dyDescent="0.25">
      <c r="A324" t="s">
        <v>4052</v>
      </c>
      <c r="B324" t="s">
        <v>4053</v>
      </c>
      <c r="C324" t="s">
        <v>4054</v>
      </c>
      <c r="D324" s="7">
        <v>3.3</v>
      </c>
      <c r="E324" s="2">
        <v>23514.78</v>
      </c>
      <c r="F324" s="2">
        <v>775.99</v>
      </c>
    </row>
    <row r="325" spans="1:6" x14ac:dyDescent="0.25">
      <c r="A325" t="s">
        <v>4055</v>
      </c>
      <c r="D325" s="7"/>
      <c r="E325" s="2"/>
      <c r="F325" s="2">
        <f>SUBTOTAL(109,A_1_12_28[VALOR PARCIAL])</f>
      </c>
    </row>
    <row r="327" ht="30" customHeight="1" spans="1:6" x14ac:dyDescent="0.25">
      <c r="A327" s="5" t="s">
        <v>5427</v>
      </c>
      <c r="B327" s="5"/>
      <c r="C327" s="5"/>
      <c r="D327" s="5"/>
      <c r="E327" s="5"/>
      <c r="F327" s="5"/>
    </row>
    <row r="328" ht="42" customHeight="1" spans="1:6" x14ac:dyDescent="0.25">
      <c r="A328" s="6" t="s">
        <v>5428</v>
      </c>
      <c r="B328" s="6"/>
      <c r="C328" s="6"/>
      <c r="D328" s="6"/>
      <c r="E328" s="6"/>
      <c r="F328" s="6"/>
    </row>
    <row r="329" spans="1:6" x14ac:dyDescent="0.25">
      <c r="A329" t="s">
        <v>4044</v>
      </c>
      <c r="B329" t="s">
        <v>4045</v>
      </c>
      <c r="C329" t="s">
        <v>5</v>
      </c>
      <c r="D329" t="s">
        <v>4046</v>
      </c>
      <c r="E329" t="s">
        <v>4047</v>
      </c>
      <c r="F329" t="s">
        <v>4048</v>
      </c>
    </row>
    <row r="330" spans="1:6" x14ac:dyDescent="0.25">
      <c r="A330" t="s">
        <v>4062</v>
      </c>
      <c r="B330" t="s">
        <v>5429</v>
      </c>
      <c r="C330" t="s">
        <v>63</v>
      </c>
      <c r="D330" s="7">
        <v>0.53</v>
      </c>
      <c r="E330" s="2">
        <v>45304.33</v>
      </c>
      <c r="F330" s="2">
        <v>24011.29</v>
      </c>
    </row>
    <row r="331" spans="1:6" x14ac:dyDescent="0.25">
      <c r="A331" t="s">
        <v>4062</v>
      </c>
      <c r="B331" t="s">
        <v>5430</v>
      </c>
      <c r="C331" t="s">
        <v>63</v>
      </c>
      <c r="D331" s="7">
        <v>4</v>
      </c>
      <c r="E331" s="2">
        <v>345.66</v>
      </c>
      <c r="F331" s="2">
        <v>1382.64</v>
      </c>
    </row>
    <row r="332" spans="1:6" x14ac:dyDescent="0.25">
      <c r="A332" t="s">
        <v>4049</v>
      </c>
      <c r="B332" t="s">
        <v>4050</v>
      </c>
      <c r="C332" t="s">
        <v>4051</v>
      </c>
      <c r="D332" s="7">
        <v>11</v>
      </c>
      <c r="E332" s="2">
        <v>9037.33</v>
      </c>
      <c r="F332" s="2">
        <v>99410.63</v>
      </c>
    </row>
    <row r="333" spans="1:6" x14ac:dyDescent="0.25">
      <c r="A333" t="s">
        <v>4049</v>
      </c>
      <c r="B333" t="s">
        <v>4073</v>
      </c>
      <c r="C333" t="s">
        <v>4051</v>
      </c>
      <c r="D333" s="7">
        <v>5.5</v>
      </c>
      <c r="E333" s="2">
        <v>15517.89</v>
      </c>
      <c r="F333" s="2">
        <v>85348.39</v>
      </c>
    </row>
    <row r="334" spans="1:6" x14ac:dyDescent="0.25">
      <c r="A334" t="s">
        <v>4052</v>
      </c>
      <c r="B334" t="s">
        <v>4105</v>
      </c>
      <c r="C334" t="s">
        <v>4106</v>
      </c>
      <c r="D334" s="7">
        <v>0.18</v>
      </c>
      <c r="E334" s="2">
        <v>25125</v>
      </c>
      <c r="F334" s="2">
        <v>4396.88</v>
      </c>
    </row>
    <row r="335" spans="1:6" x14ac:dyDescent="0.25">
      <c r="A335" t="s">
        <v>4052</v>
      </c>
      <c r="B335" t="s">
        <v>4053</v>
      </c>
      <c r="C335" t="s">
        <v>4054</v>
      </c>
      <c r="D335" s="7">
        <v>3.3</v>
      </c>
      <c r="E335" s="2">
        <v>184759.02</v>
      </c>
      <c r="F335" s="2">
        <v>6097.05</v>
      </c>
    </row>
    <row r="336" spans="1:6" x14ac:dyDescent="0.25">
      <c r="A336" t="s">
        <v>4055</v>
      </c>
      <c r="D336" s="7"/>
      <c r="E336" s="2"/>
      <c r="F336" s="2">
        <f>SUBTOTAL(109,A_1_12_29[VALOR PARCIAL])</f>
      </c>
    </row>
    <row r="338" ht="30" customHeight="1" spans="1:6" x14ac:dyDescent="0.25">
      <c r="A338" s="5" t="s">
        <v>5431</v>
      </c>
      <c r="B338" s="5"/>
      <c r="C338" s="5"/>
      <c r="D338" s="5"/>
      <c r="E338" s="5"/>
      <c r="F338" s="5"/>
    </row>
    <row r="339" ht="42" customHeight="1" spans="1:6" x14ac:dyDescent="0.25">
      <c r="A339" s="6" t="s">
        <v>5432</v>
      </c>
      <c r="B339" s="6"/>
      <c r="C339" s="6"/>
      <c r="D339" s="6"/>
      <c r="E339" s="6"/>
      <c r="F339" s="6"/>
    </row>
    <row r="340" spans="1:6" x14ac:dyDescent="0.25">
      <c r="A340" t="s">
        <v>4044</v>
      </c>
      <c r="B340" t="s">
        <v>4045</v>
      </c>
      <c r="C340" t="s">
        <v>5</v>
      </c>
      <c r="D340" t="s">
        <v>4046</v>
      </c>
      <c r="E340" t="s">
        <v>4047</v>
      </c>
      <c r="F340" t="s">
        <v>4048</v>
      </c>
    </row>
    <row r="341" spans="1:6" x14ac:dyDescent="0.25">
      <c r="A341" t="s">
        <v>4062</v>
      </c>
      <c r="B341" t="s">
        <v>5433</v>
      </c>
      <c r="C341" t="s">
        <v>63</v>
      </c>
      <c r="D341" s="7">
        <v>0.63</v>
      </c>
      <c r="E341" s="2">
        <v>41890.67</v>
      </c>
      <c r="F341" s="2">
        <v>26391.12</v>
      </c>
    </row>
    <row r="342" spans="1:6" x14ac:dyDescent="0.25">
      <c r="A342" t="s">
        <v>4062</v>
      </c>
      <c r="B342" t="s">
        <v>4072</v>
      </c>
      <c r="C342" t="s">
        <v>4066</v>
      </c>
      <c r="D342" s="7">
        <v>1.3</v>
      </c>
      <c r="E342" s="2">
        <v>3150</v>
      </c>
      <c r="F342" s="2">
        <v>4095</v>
      </c>
    </row>
    <row r="343" spans="1:6" x14ac:dyDescent="0.25">
      <c r="A343" t="s">
        <v>4049</v>
      </c>
      <c r="B343" t="s">
        <v>4050</v>
      </c>
      <c r="C343" t="s">
        <v>4051</v>
      </c>
      <c r="D343" s="7">
        <v>0.55</v>
      </c>
      <c r="E343" s="2">
        <v>9037.33</v>
      </c>
      <c r="F343" s="2">
        <v>4970.53</v>
      </c>
    </row>
    <row r="344" spans="1:6" x14ac:dyDescent="0.25">
      <c r="A344" t="s">
        <v>4049</v>
      </c>
      <c r="B344" t="s">
        <v>4073</v>
      </c>
      <c r="C344" t="s">
        <v>4051</v>
      </c>
      <c r="D344" s="7">
        <v>0.55</v>
      </c>
      <c r="E344" s="2">
        <v>15517.89</v>
      </c>
      <c r="F344" s="2">
        <v>8534.84</v>
      </c>
    </row>
    <row r="345" spans="1:6" x14ac:dyDescent="0.25">
      <c r="A345" t="s">
        <v>4052</v>
      </c>
      <c r="B345" t="s">
        <v>4105</v>
      </c>
      <c r="C345" t="s">
        <v>4106</v>
      </c>
      <c r="D345" s="7">
        <v>0.07</v>
      </c>
      <c r="E345" s="2">
        <v>25125</v>
      </c>
      <c r="F345" s="2">
        <v>1733.63</v>
      </c>
    </row>
    <row r="346" spans="1:6" x14ac:dyDescent="0.25">
      <c r="A346" t="s">
        <v>4052</v>
      </c>
      <c r="B346" t="s">
        <v>4053</v>
      </c>
      <c r="C346" t="s">
        <v>4054</v>
      </c>
      <c r="D346" s="7">
        <v>3.3</v>
      </c>
      <c r="E346" s="2">
        <v>13505.37</v>
      </c>
      <c r="F346" s="2">
        <v>445.68</v>
      </c>
    </row>
    <row r="347" spans="1:6" x14ac:dyDescent="0.25">
      <c r="A347" t="s">
        <v>4055</v>
      </c>
      <c r="D347" s="7"/>
      <c r="E347" s="2"/>
      <c r="F347" s="2">
        <f>SUBTOTAL(109,A_1_12_30[VALOR PARCIAL])</f>
      </c>
    </row>
    <row r="349" ht="30" customHeight="1" spans="1:6" x14ac:dyDescent="0.25">
      <c r="A349" s="5" t="s">
        <v>5434</v>
      </c>
      <c r="B349" s="5"/>
      <c r="C349" s="5"/>
      <c r="D349" s="5"/>
      <c r="E349" s="5"/>
      <c r="F349" s="5"/>
    </row>
    <row r="350" ht="42" customHeight="1" spans="1:6" x14ac:dyDescent="0.25">
      <c r="A350" s="6" t="s">
        <v>5435</v>
      </c>
      <c r="B350" s="6"/>
      <c r="C350" s="6"/>
      <c r="D350" s="6"/>
      <c r="E350" s="6"/>
      <c r="F350" s="6"/>
    </row>
    <row r="351" spans="1:6" x14ac:dyDescent="0.25">
      <c r="A351" t="s">
        <v>4044</v>
      </c>
      <c r="B351" t="s">
        <v>4045</v>
      </c>
      <c r="C351" t="s">
        <v>5</v>
      </c>
      <c r="D351" t="s">
        <v>4046</v>
      </c>
      <c r="E351" t="s">
        <v>4047</v>
      </c>
      <c r="F351" t="s">
        <v>4048</v>
      </c>
    </row>
    <row r="352" spans="1:6" x14ac:dyDescent="0.25">
      <c r="A352" t="s">
        <v>4062</v>
      </c>
      <c r="B352" t="s">
        <v>5436</v>
      </c>
      <c r="C352" t="s">
        <v>63</v>
      </c>
      <c r="D352" s="7">
        <v>3</v>
      </c>
      <c r="E352" s="2">
        <v>54</v>
      </c>
      <c r="F352" s="2">
        <v>162</v>
      </c>
    </row>
    <row r="353" spans="1:6" x14ac:dyDescent="0.25">
      <c r="A353" t="s">
        <v>4062</v>
      </c>
      <c r="B353" t="s">
        <v>5437</v>
      </c>
      <c r="C353" t="s">
        <v>63</v>
      </c>
      <c r="D353" s="7">
        <v>0.12</v>
      </c>
      <c r="E353" s="2">
        <v>736666.48</v>
      </c>
      <c r="F353" s="2">
        <v>88399.98</v>
      </c>
    </row>
    <row r="354" spans="1:6" x14ac:dyDescent="0.25">
      <c r="A354" t="s">
        <v>4049</v>
      </c>
      <c r="B354" t="s">
        <v>4050</v>
      </c>
      <c r="C354" t="s">
        <v>4051</v>
      </c>
      <c r="D354" s="7">
        <v>0.6</v>
      </c>
      <c r="E354" s="2">
        <v>9037.33</v>
      </c>
      <c r="F354" s="2">
        <v>5422.4</v>
      </c>
    </row>
    <row r="355" spans="1:6" x14ac:dyDescent="0.25">
      <c r="A355" t="s">
        <v>4049</v>
      </c>
      <c r="B355" t="s">
        <v>4073</v>
      </c>
      <c r="C355" t="s">
        <v>4051</v>
      </c>
      <c r="D355" s="7">
        <v>0.6</v>
      </c>
      <c r="E355" s="2">
        <v>15517.89</v>
      </c>
      <c r="F355" s="2">
        <v>9310.73</v>
      </c>
    </row>
    <row r="356" spans="1:6" x14ac:dyDescent="0.25">
      <c r="A356" t="s">
        <v>4052</v>
      </c>
      <c r="B356" t="s">
        <v>4105</v>
      </c>
      <c r="C356" t="s">
        <v>4106</v>
      </c>
      <c r="D356" s="7">
        <v>0.08</v>
      </c>
      <c r="E356" s="2">
        <v>25125</v>
      </c>
      <c r="F356" s="2">
        <v>1884.38</v>
      </c>
    </row>
    <row r="357" spans="1:6" x14ac:dyDescent="0.25">
      <c r="A357" t="s">
        <v>4052</v>
      </c>
      <c r="B357" t="s">
        <v>4053</v>
      </c>
      <c r="C357" t="s">
        <v>4054</v>
      </c>
      <c r="D357" s="7">
        <v>3.3</v>
      </c>
      <c r="E357" s="2">
        <v>14733.13</v>
      </c>
      <c r="F357" s="2">
        <v>486.19</v>
      </c>
    </row>
    <row r="358" spans="1:6" x14ac:dyDescent="0.25">
      <c r="A358" t="s">
        <v>4055</v>
      </c>
      <c r="D358" s="7"/>
      <c r="E358" s="2"/>
      <c r="F358" s="2">
        <f>SUBTOTAL(109,A_1_12_31[VALOR PARCIAL])</f>
      </c>
    </row>
    <row r="360" ht="30" customHeight="1" spans="1:6" x14ac:dyDescent="0.25">
      <c r="A360" s="5" t="s">
        <v>5438</v>
      </c>
      <c r="B360" s="5"/>
      <c r="C360" s="5"/>
      <c r="D360" s="5"/>
      <c r="E360" s="5"/>
      <c r="F360" s="5"/>
    </row>
    <row r="361" ht="42" customHeight="1" spans="1:6" x14ac:dyDescent="0.25">
      <c r="A361" s="6" t="s">
        <v>5439</v>
      </c>
      <c r="B361" s="6"/>
      <c r="C361" s="6"/>
      <c r="D361" s="6"/>
      <c r="E361" s="6"/>
      <c r="F361" s="6"/>
    </row>
    <row r="362" spans="1:6" x14ac:dyDescent="0.25">
      <c r="A362" t="s">
        <v>4044</v>
      </c>
      <c r="B362" t="s">
        <v>4045</v>
      </c>
      <c r="C362" t="s">
        <v>5</v>
      </c>
      <c r="D362" t="s">
        <v>4046</v>
      </c>
      <c r="E362" t="s">
        <v>4047</v>
      </c>
      <c r="F362" t="s">
        <v>4048</v>
      </c>
    </row>
    <row r="363" spans="1:6" x14ac:dyDescent="0.25">
      <c r="A363" t="s">
        <v>4062</v>
      </c>
      <c r="B363" t="s">
        <v>5440</v>
      </c>
      <c r="C363" t="s">
        <v>63</v>
      </c>
      <c r="D363" s="7">
        <v>0.1</v>
      </c>
      <c r="E363" s="2">
        <v>417366</v>
      </c>
      <c r="F363" s="2">
        <v>41736.6</v>
      </c>
    </row>
    <row r="364" spans="1:6" x14ac:dyDescent="0.25">
      <c r="A364" t="s">
        <v>4062</v>
      </c>
      <c r="B364" t="s">
        <v>5441</v>
      </c>
      <c r="C364" t="s">
        <v>63</v>
      </c>
      <c r="D364" s="7">
        <v>4</v>
      </c>
      <c r="E364" s="2">
        <v>349.5</v>
      </c>
      <c r="F364" s="2">
        <v>1398</v>
      </c>
    </row>
    <row r="365" spans="1:6" x14ac:dyDescent="0.25">
      <c r="A365" t="s">
        <v>4049</v>
      </c>
      <c r="B365" t="s">
        <v>4050</v>
      </c>
      <c r="C365" t="s">
        <v>4051</v>
      </c>
      <c r="D365" s="7">
        <v>1</v>
      </c>
      <c r="E365" s="2">
        <v>9037.33</v>
      </c>
      <c r="F365" s="2">
        <v>9037.33</v>
      </c>
    </row>
    <row r="366" spans="1:6" x14ac:dyDescent="0.25">
      <c r="A366" t="s">
        <v>4049</v>
      </c>
      <c r="B366" t="s">
        <v>4073</v>
      </c>
      <c r="C366" t="s">
        <v>4051</v>
      </c>
      <c r="D366" s="7">
        <v>0.5</v>
      </c>
      <c r="E366" s="2">
        <v>15517.89</v>
      </c>
      <c r="F366" s="2">
        <v>7758.94</v>
      </c>
    </row>
    <row r="367" spans="1:6" x14ac:dyDescent="0.25">
      <c r="A367" t="s">
        <v>4052</v>
      </c>
      <c r="B367" t="s">
        <v>4105</v>
      </c>
      <c r="C367" t="s">
        <v>4106</v>
      </c>
      <c r="D367" s="7">
        <v>0.14</v>
      </c>
      <c r="E367" s="2">
        <v>25125</v>
      </c>
      <c r="F367" s="2">
        <v>3517.5</v>
      </c>
    </row>
    <row r="368" spans="1:6" x14ac:dyDescent="0.25">
      <c r="A368" t="s">
        <v>4052</v>
      </c>
      <c r="B368" t="s">
        <v>4053</v>
      </c>
      <c r="C368" t="s">
        <v>4054</v>
      </c>
      <c r="D368" s="7">
        <v>3.3</v>
      </c>
      <c r="E368" s="2">
        <v>16796.27</v>
      </c>
      <c r="F368" s="2">
        <v>554.28</v>
      </c>
    </row>
    <row r="369" spans="1:6" x14ac:dyDescent="0.25">
      <c r="A369" t="s">
        <v>4055</v>
      </c>
      <c r="D369" s="7"/>
      <c r="E369" s="2"/>
      <c r="F369" s="2">
        <f>SUBTOTAL(109,A_1_12_32[VALOR PARCIAL])</f>
      </c>
    </row>
    <row r="371" ht="30" customHeight="1" spans="1:6" x14ac:dyDescent="0.25">
      <c r="A371" s="5" t="s">
        <v>5442</v>
      </c>
      <c r="B371" s="5"/>
      <c r="C371" s="5"/>
      <c r="D371" s="5"/>
      <c r="E371" s="5"/>
      <c r="F371" s="5"/>
    </row>
    <row r="372" ht="42" customHeight="1" spans="1:6" x14ac:dyDescent="0.25">
      <c r="A372" s="6" t="s">
        <v>5443</v>
      </c>
      <c r="B372" s="6"/>
      <c r="C372" s="6"/>
      <c r="D372" s="6"/>
      <c r="E372" s="6"/>
      <c r="F372" s="6"/>
    </row>
    <row r="373" spans="1:6" x14ac:dyDescent="0.25">
      <c r="A373" t="s">
        <v>4044</v>
      </c>
      <c r="B373" t="s">
        <v>4045</v>
      </c>
      <c r="C373" t="s">
        <v>5</v>
      </c>
      <c r="D373" t="s">
        <v>4046</v>
      </c>
      <c r="E373" t="s">
        <v>4047</v>
      </c>
      <c r="F373" t="s">
        <v>4048</v>
      </c>
    </row>
    <row r="374" spans="1:6" x14ac:dyDescent="0.25">
      <c r="A374" t="s">
        <v>4062</v>
      </c>
      <c r="B374" t="s">
        <v>5444</v>
      </c>
      <c r="C374" t="s">
        <v>63</v>
      </c>
      <c r="D374" s="7">
        <v>0.1</v>
      </c>
      <c r="E374" s="2">
        <v>455056.67</v>
      </c>
      <c r="F374" s="2">
        <v>45505.67</v>
      </c>
    </row>
    <row r="375" spans="1:6" x14ac:dyDescent="0.25">
      <c r="A375" t="s">
        <v>4062</v>
      </c>
      <c r="B375" t="s">
        <v>5441</v>
      </c>
      <c r="C375" t="s">
        <v>63</v>
      </c>
      <c r="D375" s="7">
        <v>4</v>
      </c>
      <c r="E375" s="2">
        <v>349.5</v>
      </c>
      <c r="F375" s="2">
        <v>1398</v>
      </c>
    </row>
    <row r="376" spans="1:6" x14ac:dyDescent="0.25">
      <c r="A376" t="s">
        <v>4049</v>
      </c>
      <c r="B376" t="s">
        <v>4050</v>
      </c>
      <c r="C376" t="s">
        <v>4051</v>
      </c>
      <c r="D376" s="7">
        <v>0.65</v>
      </c>
      <c r="E376" s="2">
        <v>9037.33</v>
      </c>
      <c r="F376" s="2">
        <v>5874.26</v>
      </c>
    </row>
    <row r="377" spans="1:6" x14ac:dyDescent="0.25">
      <c r="A377" t="s">
        <v>4049</v>
      </c>
      <c r="B377" t="s">
        <v>4073</v>
      </c>
      <c r="C377" t="s">
        <v>4051</v>
      </c>
      <c r="D377" s="7">
        <v>0.65</v>
      </c>
      <c r="E377" s="2">
        <v>15517.89</v>
      </c>
      <c r="F377" s="2">
        <v>10086.63</v>
      </c>
    </row>
    <row r="378" spans="1:6" x14ac:dyDescent="0.25">
      <c r="A378" t="s">
        <v>4052</v>
      </c>
      <c r="B378" t="s">
        <v>4105</v>
      </c>
      <c r="C378" t="s">
        <v>4106</v>
      </c>
      <c r="D378" s="7">
        <v>0.08</v>
      </c>
      <c r="E378" s="2">
        <v>25125</v>
      </c>
      <c r="F378" s="2">
        <v>2060.25</v>
      </c>
    </row>
    <row r="379" spans="1:6" x14ac:dyDescent="0.25">
      <c r="A379" t="s">
        <v>4052</v>
      </c>
      <c r="B379" t="s">
        <v>4053</v>
      </c>
      <c r="C379" t="s">
        <v>4054</v>
      </c>
      <c r="D379" s="7">
        <v>3.3</v>
      </c>
      <c r="E379" s="2">
        <v>15960.89</v>
      </c>
      <c r="F379" s="2">
        <v>526.71</v>
      </c>
    </row>
    <row r="380" spans="1:6" x14ac:dyDescent="0.25">
      <c r="A380" t="s">
        <v>4055</v>
      </c>
      <c r="D380" s="7"/>
      <c r="E380" s="2"/>
      <c r="F380" s="2">
        <f>SUBTOTAL(109,A_1_12_33[VALOR PARCIAL])</f>
      </c>
    </row>
    <row r="382" ht="30" customHeight="1" spans="1:6" x14ac:dyDescent="0.25">
      <c r="A382" s="5" t="s">
        <v>5445</v>
      </c>
      <c r="B382" s="5"/>
      <c r="C382" s="5"/>
      <c r="D382" s="5"/>
      <c r="E382" s="5"/>
      <c r="F382" s="5"/>
    </row>
    <row r="383" ht="42" customHeight="1" spans="1:6" x14ac:dyDescent="0.25">
      <c r="A383" s="6" t="s">
        <v>5446</v>
      </c>
      <c r="B383" s="6"/>
      <c r="C383" s="6"/>
      <c r="D383" s="6"/>
      <c r="E383" s="6"/>
      <c r="F383" s="6"/>
    </row>
    <row r="384" spans="1:6" x14ac:dyDescent="0.25">
      <c r="A384" t="s">
        <v>4044</v>
      </c>
      <c r="B384" t="s">
        <v>4045</v>
      </c>
      <c r="C384" t="s">
        <v>5</v>
      </c>
      <c r="D384" t="s">
        <v>4046</v>
      </c>
      <c r="E384" t="s">
        <v>4047</v>
      </c>
      <c r="F384" t="s">
        <v>4048</v>
      </c>
    </row>
    <row r="385" spans="1:6" x14ac:dyDescent="0.25">
      <c r="A385" t="s">
        <v>4062</v>
      </c>
      <c r="B385" t="s">
        <v>5447</v>
      </c>
      <c r="C385" t="s">
        <v>42</v>
      </c>
      <c r="D385" s="7">
        <v>2.62</v>
      </c>
      <c r="E385" s="2">
        <v>5649.5</v>
      </c>
      <c r="F385" s="2">
        <v>14801.69</v>
      </c>
    </row>
    <row r="386" spans="1:6" x14ac:dyDescent="0.25">
      <c r="A386" t="s">
        <v>4062</v>
      </c>
      <c r="B386" t="s">
        <v>4400</v>
      </c>
      <c r="C386" t="s">
        <v>42</v>
      </c>
      <c r="D386" s="7">
        <v>0.51</v>
      </c>
      <c r="E386" s="2">
        <v>5286.26</v>
      </c>
      <c r="F386" s="2">
        <v>2695.99</v>
      </c>
    </row>
    <row r="387" spans="1:6" x14ac:dyDescent="0.25">
      <c r="A387" t="s">
        <v>4062</v>
      </c>
      <c r="B387" t="s">
        <v>4065</v>
      </c>
      <c r="C387" t="s">
        <v>4066</v>
      </c>
      <c r="D387" s="7">
        <v>0.2</v>
      </c>
      <c r="E387" s="2">
        <v>3433</v>
      </c>
      <c r="F387" s="2">
        <v>686.6</v>
      </c>
    </row>
    <row r="388" spans="1:6" x14ac:dyDescent="0.25">
      <c r="A388" t="s">
        <v>4049</v>
      </c>
      <c r="B388" t="s">
        <v>4050</v>
      </c>
      <c r="C388" t="s">
        <v>4051</v>
      </c>
      <c r="D388" s="7">
        <v>1</v>
      </c>
      <c r="E388" s="2">
        <v>9037.33</v>
      </c>
      <c r="F388" s="2">
        <v>9037.33</v>
      </c>
    </row>
    <row r="389" spans="1:6" x14ac:dyDescent="0.25">
      <c r="A389" t="s">
        <v>4049</v>
      </c>
      <c r="B389" t="s">
        <v>4073</v>
      </c>
      <c r="C389" t="s">
        <v>4051</v>
      </c>
      <c r="D389" s="7">
        <v>1</v>
      </c>
      <c r="E389" s="2">
        <v>15517.89</v>
      </c>
      <c r="F389" s="2">
        <v>15517.89</v>
      </c>
    </row>
    <row r="390" spans="1:6" x14ac:dyDescent="0.25">
      <c r="A390" t="s">
        <v>4052</v>
      </c>
      <c r="B390" t="s">
        <v>4105</v>
      </c>
      <c r="C390" t="s">
        <v>4106</v>
      </c>
      <c r="D390" s="7">
        <v>0.13</v>
      </c>
      <c r="E390" s="2">
        <v>25125</v>
      </c>
      <c r="F390" s="2">
        <v>3140.63</v>
      </c>
    </row>
    <row r="391" spans="1:6" x14ac:dyDescent="0.25">
      <c r="A391" t="s">
        <v>4052</v>
      </c>
      <c r="B391" t="s">
        <v>4053</v>
      </c>
      <c r="C391" t="s">
        <v>4054</v>
      </c>
      <c r="D391" s="7">
        <v>3.3</v>
      </c>
      <c r="E391" s="2">
        <v>24555.22</v>
      </c>
      <c r="F391" s="2">
        <v>810.32</v>
      </c>
    </row>
    <row r="392" spans="1:6" x14ac:dyDescent="0.25">
      <c r="A392" t="s">
        <v>4055</v>
      </c>
      <c r="D392" s="7"/>
      <c r="E392" s="2"/>
      <c r="F392" s="2">
        <f>SUBTOTAL(109,A_1_12_34[VALOR PARCIAL])</f>
      </c>
    </row>
    <row r="394" ht="30" customHeight="1" spans="1:6" x14ac:dyDescent="0.25">
      <c r="A394" s="5" t="s">
        <v>5448</v>
      </c>
      <c r="B394" s="5"/>
      <c r="C394" s="5"/>
      <c r="D394" s="5"/>
      <c r="E394" s="5"/>
      <c r="F394" s="5"/>
    </row>
    <row r="395" ht="42" customHeight="1" spans="1:6" x14ac:dyDescent="0.25">
      <c r="A395" s="6" t="s">
        <v>5446</v>
      </c>
      <c r="B395" s="6"/>
      <c r="C395" s="6"/>
      <c r="D395" s="6"/>
      <c r="E395" s="6"/>
      <c r="F395" s="6"/>
    </row>
    <row r="396" spans="1:6" x14ac:dyDescent="0.25">
      <c r="A396" t="s">
        <v>4044</v>
      </c>
      <c r="B396" t="s">
        <v>4045</v>
      </c>
      <c r="C396" t="s">
        <v>5</v>
      </c>
      <c r="D396" t="s">
        <v>4046</v>
      </c>
      <c r="E396" t="s">
        <v>4047</v>
      </c>
      <c r="F396" t="s">
        <v>4048</v>
      </c>
    </row>
    <row r="397" spans="1:6" x14ac:dyDescent="0.25">
      <c r="A397" t="s">
        <v>4062</v>
      </c>
      <c r="B397" t="s">
        <v>5447</v>
      </c>
      <c r="C397" t="s">
        <v>42</v>
      </c>
      <c r="D397" s="7">
        <v>2.62</v>
      </c>
      <c r="E397" s="2">
        <v>5649.5</v>
      </c>
      <c r="F397" s="2">
        <v>14801.69</v>
      </c>
    </row>
    <row r="398" spans="1:6" x14ac:dyDescent="0.25">
      <c r="A398" t="s">
        <v>4062</v>
      </c>
      <c r="B398" t="s">
        <v>4400</v>
      </c>
      <c r="C398" t="s">
        <v>42</v>
      </c>
      <c r="D398" s="7">
        <v>0.51</v>
      </c>
      <c r="E398" s="2">
        <v>5286.26</v>
      </c>
      <c r="F398" s="2">
        <v>2695.99</v>
      </c>
    </row>
    <row r="399" spans="1:6" x14ac:dyDescent="0.25">
      <c r="A399" t="s">
        <v>4062</v>
      </c>
      <c r="B399" t="s">
        <v>4065</v>
      </c>
      <c r="C399" t="s">
        <v>4066</v>
      </c>
      <c r="D399" s="7">
        <v>0.2</v>
      </c>
      <c r="E399" s="2">
        <v>3433</v>
      </c>
      <c r="F399" s="2">
        <v>686.6</v>
      </c>
    </row>
    <row r="400" spans="1:6" x14ac:dyDescent="0.25">
      <c r="A400" t="s">
        <v>4049</v>
      </c>
      <c r="B400" t="s">
        <v>4050</v>
      </c>
      <c r="C400" t="s">
        <v>4051</v>
      </c>
      <c r="D400" s="7">
        <v>1</v>
      </c>
      <c r="E400" s="2">
        <v>9037.33</v>
      </c>
      <c r="F400" s="2">
        <v>9037.33</v>
      </c>
    </row>
    <row r="401" spans="1:6" x14ac:dyDescent="0.25">
      <c r="A401" t="s">
        <v>4049</v>
      </c>
      <c r="B401" t="s">
        <v>4073</v>
      </c>
      <c r="C401" t="s">
        <v>4051</v>
      </c>
      <c r="D401" s="7">
        <v>1</v>
      </c>
      <c r="E401" s="2">
        <v>15517.89</v>
      </c>
      <c r="F401" s="2">
        <v>15517.89</v>
      </c>
    </row>
    <row r="402" spans="1:6" x14ac:dyDescent="0.25">
      <c r="A402" t="s">
        <v>4052</v>
      </c>
      <c r="B402" t="s">
        <v>4105</v>
      </c>
      <c r="C402" t="s">
        <v>4106</v>
      </c>
      <c r="D402" s="7">
        <v>0.13</v>
      </c>
      <c r="E402" s="2">
        <v>25125</v>
      </c>
      <c r="F402" s="2">
        <v>3140.63</v>
      </c>
    </row>
    <row r="403" spans="1:6" x14ac:dyDescent="0.25">
      <c r="A403" t="s">
        <v>4052</v>
      </c>
      <c r="B403" t="s">
        <v>4053</v>
      </c>
      <c r="C403" t="s">
        <v>4054</v>
      </c>
      <c r="D403" s="7">
        <v>3.3</v>
      </c>
      <c r="E403" s="2">
        <v>24555.22</v>
      </c>
      <c r="F403" s="2">
        <v>810.32</v>
      </c>
    </row>
    <row r="404" spans="1:6" x14ac:dyDescent="0.25">
      <c r="A404" t="s">
        <v>4055</v>
      </c>
      <c r="D404" s="7"/>
      <c r="E404" s="2"/>
      <c r="F404" s="2">
        <f>SUBTOTAL(109,A_1_12_35[VALOR PARCIAL])</f>
      </c>
    </row>
    <row r="406" ht="30" customHeight="1" spans="1:6" x14ac:dyDescent="0.25">
      <c r="A406" s="5" t="s">
        <v>5449</v>
      </c>
      <c r="B406" s="5"/>
      <c r="C406" s="5"/>
      <c r="D406" s="5"/>
      <c r="E406" s="5"/>
      <c r="F406" s="5"/>
    </row>
    <row r="407" ht="42" customHeight="1" spans="1:6" x14ac:dyDescent="0.25">
      <c r="A407" s="6" t="s">
        <v>5450</v>
      </c>
      <c r="B407" s="6"/>
      <c r="C407" s="6"/>
      <c r="D407" s="6"/>
      <c r="E407" s="6"/>
      <c r="F407" s="6"/>
    </row>
    <row r="408" spans="1:6" x14ac:dyDescent="0.25">
      <c r="A408" t="s">
        <v>4044</v>
      </c>
      <c r="B408" t="s">
        <v>4045</v>
      </c>
      <c r="C408" t="s">
        <v>5</v>
      </c>
      <c r="D408" t="s">
        <v>4046</v>
      </c>
      <c r="E408" t="s">
        <v>4047</v>
      </c>
      <c r="F408" t="s">
        <v>4048</v>
      </c>
    </row>
    <row r="409" spans="1:6" x14ac:dyDescent="0.25">
      <c r="A409" t="s">
        <v>4062</v>
      </c>
      <c r="B409" t="s">
        <v>5451</v>
      </c>
      <c r="C409" t="s">
        <v>42</v>
      </c>
      <c r="D409" s="7">
        <v>2.62</v>
      </c>
      <c r="E409" s="2">
        <v>5898.71</v>
      </c>
      <c r="F409" s="2">
        <v>15454.62</v>
      </c>
    </row>
    <row r="410" spans="1:6" x14ac:dyDescent="0.25">
      <c r="A410" t="s">
        <v>4062</v>
      </c>
      <c r="B410" t="s">
        <v>4400</v>
      </c>
      <c r="C410" t="s">
        <v>42</v>
      </c>
      <c r="D410" s="7">
        <v>1.03</v>
      </c>
      <c r="E410" s="2">
        <v>5286.26</v>
      </c>
      <c r="F410" s="2">
        <v>5444.85</v>
      </c>
    </row>
    <row r="411" spans="1:6" x14ac:dyDescent="0.25">
      <c r="A411" t="s">
        <v>4062</v>
      </c>
      <c r="B411" t="s">
        <v>4065</v>
      </c>
      <c r="C411" t="s">
        <v>4066</v>
      </c>
      <c r="D411" s="7">
        <v>0.3</v>
      </c>
      <c r="E411" s="2">
        <v>3433</v>
      </c>
      <c r="F411" s="2">
        <v>1029.9</v>
      </c>
    </row>
    <row r="412" spans="1:6" x14ac:dyDescent="0.25">
      <c r="A412" t="s">
        <v>4049</v>
      </c>
      <c r="B412" t="s">
        <v>4050</v>
      </c>
      <c r="C412" t="s">
        <v>4051</v>
      </c>
      <c r="D412" s="7">
        <v>1.85</v>
      </c>
      <c r="E412" s="2">
        <v>9037.33</v>
      </c>
      <c r="F412" s="2">
        <v>16719.06</v>
      </c>
    </row>
    <row r="413" spans="1:6" x14ac:dyDescent="0.25">
      <c r="A413" t="s">
        <v>4049</v>
      </c>
      <c r="B413" t="s">
        <v>4073</v>
      </c>
      <c r="C413" t="s">
        <v>4051</v>
      </c>
      <c r="D413" s="7">
        <v>1.85</v>
      </c>
      <c r="E413" s="2">
        <v>15517.89</v>
      </c>
      <c r="F413" s="2">
        <v>28708.1</v>
      </c>
    </row>
    <row r="414" spans="1:6" x14ac:dyDescent="0.25">
      <c r="A414" t="s">
        <v>4052</v>
      </c>
      <c r="B414" t="s">
        <v>4105</v>
      </c>
      <c r="C414" t="s">
        <v>4106</v>
      </c>
      <c r="D414" s="7">
        <v>0.23</v>
      </c>
      <c r="E414" s="2">
        <v>25125</v>
      </c>
      <c r="F414" s="2">
        <v>5778.75</v>
      </c>
    </row>
    <row r="415" spans="1:6" x14ac:dyDescent="0.25">
      <c r="A415" t="s">
        <v>4052</v>
      </c>
      <c r="B415" t="s">
        <v>4053</v>
      </c>
      <c r="C415" t="s">
        <v>4054</v>
      </c>
      <c r="D415" s="7">
        <v>3.3</v>
      </c>
      <c r="E415" s="2">
        <v>45427.16</v>
      </c>
      <c r="F415" s="2">
        <v>1499.1</v>
      </c>
    </row>
    <row r="416" spans="1:6" x14ac:dyDescent="0.25">
      <c r="A416" t="s">
        <v>4055</v>
      </c>
      <c r="D416" s="7"/>
      <c r="E416" s="2"/>
      <c r="F416" s="2">
        <f>SUBTOTAL(109,A_1_12_36[VALOR PARCIAL])</f>
      </c>
    </row>
    <row r="418" ht="30" customHeight="1" spans="1:6" x14ac:dyDescent="0.25">
      <c r="A418" s="5" t="s">
        <v>5452</v>
      </c>
      <c r="B418" s="5"/>
      <c r="C418" s="5"/>
      <c r="D418" s="5"/>
      <c r="E418" s="5"/>
      <c r="F418" s="5"/>
    </row>
    <row r="419" ht="42" customHeight="1" spans="1:6" x14ac:dyDescent="0.25">
      <c r="A419" s="6" t="s">
        <v>5453</v>
      </c>
      <c r="B419" s="6"/>
      <c r="C419" s="6"/>
      <c r="D419" s="6"/>
      <c r="E419" s="6"/>
      <c r="F419" s="6"/>
    </row>
    <row r="420" spans="1:6" x14ac:dyDescent="0.25">
      <c r="A420" t="s">
        <v>4044</v>
      </c>
      <c r="B420" t="s">
        <v>4045</v>
      </c>
      <c r="C420" t="s">
        <v>5</v>
      </c>
      <c r="D420" t="s">
        <v>4046</v>
      </c>
      <c r="E420" t="s">
        <v>4047</v>
      </c>
      <c r="F420" t="s">
        <v>4048</v>
      </c>
    </row>
    <row r="421" spans="1:6" x14ac:dyDescent="0.25">
      <c r="A421" t="s">
        <v>4062</v>
      </c>
      <c r="B421" t="s">
        <v>4679</v>
      </c>
      <c r="C421" t="s">
        <v>63</v>
      </c>
      <c r="D421" s="7">
        <v>0.2</v>
      </c>
      <c r="E421" s="2">
        <v>41500</v>
      </c>
      <c r="F421" s="2">
        <v>8300</v>
      </c>
    </row>
    <row r="422" spans="1:6" x14ac:dyDescent="0.25">
      <c r="A422" t="s">
        <v>4062</v>
      </c>
      <c r="B422" t="s">
        <v>5454</v>
      </c>
      <c r="C422" t="s">
        <v>63</v>
      </c>
      <c r="D422" s="7">
        <v>0.2</v>
      </c>
      <c r="E422" s="2">
        <v>38550.36</v>
      </c>
      <c r="F422" s="2">
        <v>7710.07</v>
      </c>
    </row>
    <row r="423" spans="1:6" x14ac:dyDescent="0.25">
      <c r="A423" t="s">
        <v>4049</v>
      </c>
      <c r="B423" t="s">
        <v>4105</v>
      </c>
      <c r="C423" t="s">
        <v>4106</v>
      </c>
      <c r="D423" s="7">
        <v>0.09</v>
      </c>
      <c r="E423" s="2">
        <v>25125</v>
      </c>
      <c r="F423" s="2">
        <v>2185.88</v>
      </c>
    </row>
    <row r="424" spans="1:6" x14ac:dyDescent="0.25">
      <c r="A424" t="s">
        <v>4049</v>
      </c>
      <c r="B424" t="s">
        <v>4050</v>
      </c>
      <c r="C424" t="s">
        <v>4051</v>
      </c>
      <c r="D424" s="7">
        <v>0.7</v>
      </c>
      <c r="E424" s="2">
        <v>9037.33</v>
      </c>
      <c r="F424" s="2">
        <v>6326.13</v>
      </c>
    </row>
    <row r="425" spans="1:6" x14ac:dyDescent="0.25">
      <c r="A425" t="s">
        <v>4049</v>
      </c>
      <c r="B425" t="s">
        <v>4073</v>
      </c>
      <c r="C425" t="s">
        <v>4051</v>
      </c>
      <c r="D425" s="7">
        <v>0.7</v>
      </c>
      <c r="E425" s="2">
        <v>15517.89</v>
      </c>
      <c r="F425" s="2">
        <v>10862.52</v>
      </c>
    </row>
    <row r="426" spans="1:6" x14ac:dyDescent="0.25">
      <c r="A426" t="s">
        <v>4052</v>
      </c>
      <c r="B426" t="s">
        <v>4053</v>
      </c>
      <c r="C426" t="s">
        <v>4054</v>
      </c>
      <c r="D426" s="7">
        <v>3.3</v>
      </c>
      <c r="E426" s="2">
        <v>17188.65</v>
      </c>
      <c r="F426" s="2">
        <v>567.23</v>
      </c>
    </row>
    <row r="427" spans="1:6" x14ac:dyDescent="0.25">
      <c r="A427" t="s">
        <v>4055</v>
      </c>
      <c r="D427" s="7"/>
      <c r="E427" s="2"/>
      <c r="F427" s="2">
        <f>SUBTOTAL(109,A_1_12_37[VALOR PARCIAL])</f>
      </c>
    </row>
    <row r="429" ht="30" customHeight="1" spans="1:6" x14ac:dyDescent="0.25">
      <c r="A429" s="5" t="s">
        <v>5455</v>
      </c>
      <c r="B429" s="5"/>
      <c r="C429" s="5"/>
      <c r="D429" s="5"/>
      <c r="E429" s="5"/>
      <c r="F429" s="5"/>
    </row>
    <row r="430" ht="42" customHeight="1" spans="1:6" x14ac:dyDescent="0.25">
      <c r="A430" s="6" t="s">
        <v>5456</v>
      </c>
      <c r="B430" s="6"/>
      <c r="C430" s="6"/>
      <c r="D430" s="6"/>
      <c r="E430" s="6"/>
      <c r="F430" s="6"/>
    </row>
    <row r="431" spans="1:6" x14ac:dyDescent="0.25">
      <c r="A431" t="s">
        <v>4044</v>
      </c>
      <c r="B431" t="s">
        <v>4045</v>
      </c>
      <c r="C431" t="s">
        <v>5</v>
      </c>
      <c r="D431" t="s">
        <v>4046</v>
      </c>
      <c r="E431" t="s">
        <v>4047</v>
      </c>
      <c r="F431" t="s">
        <v>4048</v>
      </c>
    </row>
    <row r="432" spans="1:6" x14ac:dyDescent="0.25">
      <c r="A432" t="s">
        <v>4062</v>
      </c>
      <c r="B432" t="s">
        <v>4262</v>
      </c>
      <c r="C432" t="s">
        <v>63</v>
      </c>
      <c r="D432" s="7">
        <v>13</v>
      </c>
      <c r="E432" s="2">
        <v>415</v>
      </c>
      <c r="F432" s="2">
        <v>5395</v>
      </c>
    </row>
    <row r="433" spans="1:6" x14ac:dyDescent="0.25">
      <c r="A433" t="s">
        <v>4062</v>
      </c>
      <c r="B433" t="s">
        <v>3978</v>
      </c>
      <c r="C433" t="s">
        <v>34</v>
      </c>
      <c r="D433" s="7">
        <v>0.02</v>
      </c>
      <c r="E433" s="2">
        <v>409741.65</v>
      </c>
      <c r="F433" s="2">
        <v>8194.83</v>
      </c>
    </row>
    <row r="434" spans="1:6" x14ac:dyDescent="0.25">
      <c r="A434" t="s">
        <v>4049</v>
      </c>
      <c r="B434" t="s">
        <v>4050</v>
      </c>
      <c r="C434" t="s">
        <v>4051</v>
      </c>
      <c r="D434" s="7">
        <v>0.85</v>
      </c>
      <c r="E434" s="2">
        <v>9037.33</v>
      </c>
      <c r="F434" s="2">
        <v>7681.73</v>
      </c>
    </row>
    <row r="435" spans="1:6" x14ac:dyDescent="0.25">
      <c r="A435" t="s">
        <v>4049</v>
      </c>
      <c r="B435" t="s">
        <v>4073</v>
      </c>
      <c r="C435" t="s">
        <v>4051</v>
      </c>
      <c r="D435" s="7">
        <v>0.85</v>
      </c>
      <c r="E435" s="2">
        <v>15517.89</v>
      </c>
      <c r="F435" s="2">
        <v>13190.21</v>
      </c>
    </row>
    <row r="436" spans="1:6" x14ac:dyDescent="0.25">
      <c r="A436" t="s">
        <v>4052</v>
      </c>
      <c r="B436" t="s">
        <v>4053</v>
      </c>
      <c r="C436" t="s">
        <v>4054</v>
      </c>
      <c r="D436" s="7">
        <v>3.3</v>
      </c>
      <c r="E436" s="2">
        <v>20871.94</v>
      </c>
      <c r="F436" s="2">
        <v>688.77</v>
      </c>
    </row>
    <row r="437" spans="1:6" x14ac:dyDescent="0.25">
      <c r="A437" t="s">
        <v>4055</v>
      </c>
      <c r="D437" s="7"/>
      <c r="E437" s="2"/>
      <c r="F437" s="2">
        <f>SUBTOTAL(109,A_1_12_38[VALOR PARCIAL])</f>
      </c>
    </row>
    <row r="439" ht="30" customHeight="1" spans="1:6" x14ac:dyDescent="0.25">
      <c r="A439" s="5" t="s">
        <v>5457</v>
      </c>
      <c r="B439" s="5"/>
      <c r="C439" s="5"/>
      <c r="D439" s="5"/>
      <c r="E439" s="5"/>
      <c r="F439" s="5"/>
    </row>
    <row r="440" ht="42" customHeight="1" spans="1:6" x14ac:dyDescent="0.25">
      <c r="A440" s="6" t="s">
        <v>5458</v>
      </c>
      <c r="B440" s="6"/>
      <c r="C440" s="6"/>
      <c r="D440" s="6"/>
      <c r="E440" s="6"/>
      <c r="F440" s="6"/>
    </row>
    <row r="441" spans="1:6" x14ac:dyDescent="0.25">
      <c r="A441" t="s">
        <v>4044</v>
      </c>
      <c r="B441" t="s">
        <v>4045</v>
      </c>
      <c r="C441" t="s">
        <v>5</v>
      </c>
      <c r="D441" t="s">
        <v>4046</v>
      </c>
      <c r="E441" t="s">
        <v>4047</v>
      </c>
      <c r="F441" t="s">
        <v>4048</v>
      </c>
    </row>
    <row r="442" spans="1:6" x14ac:dyDescent="0.25">
      <c r="A442" t="s">
        <v>4062</v>
      </c>
      <c r="B442" t="s">
        <v>3975</v>
      </c>
      <c r="C442" t="s">
        <v>34</v>
      </c>
      <c r="D442" s="7">
        <v>0.04</v>
      </c>
      <c r="E442" s="2">
        <v>586929.15</v>
      </c>
      <c r="F442" s="2">
        <v>23477.17</v>
      </c>
    </row>
    <row r="443" spans="1:6" x14ac:dyDescent="0.25">
      <c r="A443" t="s">
        <v>4062</v>
      </c>
      <c r="B443" t="s">
        <v>5459</v>
      </c>
      <c r="C443" t="s">
        <v>4532</v>
      </c>
      <c r="D443" s="7">
        <v>0.09</v>
      </c>
      <c r="E443" s="2">
        <v>111604.33</v>
      </c>
      <c r="F443" s="2">
        <v>10044.39</v>
      </c>
    </row>
    <row r="444" spans="1:6" x14ac:dyDescent="0.25">
      <c r="A444" t="s">
        <v>4049</v>
      </c>
      <c r="B444" t="s">
        <v>4050</v>
      </c>
      <c r="C444" t="s">
        <v>4051</v>
      </c>
      <c r="D444" s="7">
        <v>1.5</v>
      </c>
      <c r="E444" s="2">
        <v>9037.33</v>
      </c>
      <c r="F444" s="2">
        <v>13555.99</v>
      </c>
    </row>
    <row r="445" spans="1:6" x14ac:dyDescent="0.25">
      <c r="A445" t="s">
        <v>4049</v>
      </c>
      <c r="B445" t="s">
        <v>4073</v>
      </c>
      <c r="C445" t="s">
        <v>4051</v>
      </c>
      <c r="D445" s="7">
        <v>0.75</v>
      </c>
      <c r="E445" s="2">
        <v>15517.89</v>
      </c>
      <c r="F445" s="2">
        <v>11638.42</v>
      </c>
    </row>
    <row r="446" spans="1:6" x14ac:dyDescent="0.25">
      <c r="A446" t="s">
        <v>4052</v>
      </c>
      <c r="B446" t="s">
        <v>4053</v>
      </c>
      <c r="C446" t="s">
        <v>4054</v>
      </c>
      <c r="D446" s="7">
        <v>3.3</v>
      </c>
      <c r="E446" s="2">
        <v>25194.41</v>
      </c>
      <c r="F446" s="2">
        <v>831.42</v>
      </c>
    </row>
    <row r="447" spans="1:6" x14ac:dyDescent="0.25">
      <c r="A447" t="s">
        <v>4055</v>
      </c>
      <c r="D447" s="7"/>
      <c r="E447" s="2"/>
      <c r="F447" s="2">
        <f>SUBTOTAL(109,A_1_12_39[VALOR PARCIAL])</f>
      </c>
    </row>
    <row r="449" ht="30" customHeight="1" spans="1:6" x14ac:dyDescent="0.25">
      <c r="A449" s="5" t="s">
        <v>5460</v>
      </c>
      <c r="B449" s="5"/>
      <c r="C449" s="5"/>
      <c r="D449" s="5"/>
      <c r="E449" s="5"/>
      <c r="F449" s="5"/>
    </row>
    <row r="450" ht="42" customHeight="1" spans="1:6" x14ac:dyDescent="0.25">
      <c r="A450" s="6" t="s">
        <v>5461</v>
      </c>
      <c r="B450" s="6"/>
      <c r="C450" s="6"/>
      <c r="D450" s="6"/>
      <c r="E450" s="6"/>
      <c r="F450" s="6"/>
    </row>
    <row r="451" spans="1:6" x14ac:dyDescent="0.25">
      <c r="A451" t="s">
        <v>4044</v>
      </c>
      <c r="B451" t="s">
        <v>4045</v>
      </c>
      <c r="C451" t="s">
        <v>5</v>
      </c>
      <c r="D451" t="s">
        <v>4046</v>
      </c>
      <c r="E451" t="s">
        <v>4047</v>
      </c>
      <c r="F451" t="s">
        <v>4048</v>
      </c>
    </row>
    <row r="452" spans="1:6" x14ac:dyDescent="0.25">
      <c r="A452" t="s">
        <v>4062</v>
      </c>
      <c r="B452" t="s">
        <v>5462</v>
      </c>
      <c r="C452" t="s">
        <v>63</v>
      </c>
      <c r="D452" s="7">
        <v>9</v>
      </c>
      <c r="E452" s="2">
        <v>779.89</v>
      </c>
      <c r="F452" s="2">
        <v>7019.01</v>
      </c>
    </row>
    <row r="453" spans="1:6" x14ac:dyDescent="0.25">
      <c r="A453" t="s">
        <v>4062</v>
      </c>
      <c r="B453" t="s">
        <v>5463</v>
      </c>
      <c r="C453" t="s">
        <v>21</v>
      </c>
      <c r="D453" s="7">
        <v>1.05</v>
      </c>
      <c r="E453" s="2">
        <v>26539.9</v>
      </c>
      <c r="F453" s="2">
        <v>27866.9</v>
      </c>
    </row>
    <row r="454" spans="1:6" x14ac:dyDescent="0.25">
      <c r="A454" t="s">
        <v>4049</v>
      </c>
      <c r="B454" t="s">
        <v>4105</v>
      </c>
      <c r="C454" t="s">
        <v>4106</v>
      </c>
      <c r="D454" s="7">
        <v>0.08</v>
      </c>
      <c r="E454" s="2">
        <v>25125</v>
      </c>
      <c r="F454" s="2">
        <v>1884.38</v>
      </c>
    </row>
    <row r="455" spans="1:6" x14ac:dyDescent="0.25">
      <c r="A455" t="s">
        <v>4049</v>
      </c>
      <c r="B455" t="s">
        <v>4050</v>
      </c>
      <c r="C455" t="s">
        <v>4051</v>
      </c>
      <c r="D455" s="7">
        <v>0.6</v>
      </c>
      <c r="E455" s="2">
        <v>9037.33</v>
      </c>
      <c r="F455" s="2">
        <v>5422.4</v>
      </c>
    </row>
    <row r="456" spans="1:6" x14ac:dyDescent="0.25">
      <c r="A456" t="s">
        <v>4049</v>
      </c>
      <c r="B456" t="s">
        <v>4073</v>
      </c>
      <c r="C456" t="s">
        <v>4051</v>
      </c>
      <c r="D456" s="7">
        <v>0.6</v>
      </c>
      <c r="E456" s="2">
        <v>15517.89</v>
      </c>
      <c r="F456" s="2">
        <v>9310.73</v>
      </c>
    </row>
    <row r="457" spans="1:6" x14ac:dyDescent="0.25">
      <c r="A457" t="s">
        <v>4052</v>
      </c>
      <c r="B457" t="s">
        <v>4053</v>
      </c>
      <c r="C457" t="s">
        <v>4054</v>
      </c>
      <c r="D457" s="7">
        <v>3.3</v>
      </c>
      <c r="E457" s="2">
        <v>14733.13</v>
      </c>
      <c r="F457" s="2">
        <v>486.19</v>
      </c>
    </row>
    <row r="458" spans="1:6" x14ac:dyDescent="0.25">
      <c r="A458" t="s">
        <v>4055</v>
      </c>
      <c r="D458" s="7"/>
      <c r="E458" s="2"/>
      <c r="F458" s="2">
        <f>SUBTOTAL(109,A_1_12_40[VALOR PARCIAL])</f>
      </c>
    </row>
    <row r="460" ht="30" customHeight="1" spans="1:6" x14ac:dyDescent="0.25">
      <c r="A460" s="5" t="s">
        <v>5464</v>
      </c>
      <c r="B460" s="5"/>
      <c r="C460" s="5"/>
      <c r="D460" s="5"/>
      <c r="E460" s="5"/>
      <c r="F460" s="5"/>
    </row>
    <row r="461" ht="42" customHeight="1" spans="1:6" x14ac:dyDescent="0.25">
      <c r="A461" s="6" t="s">
        <v>5465</v>
      </c>
      <c r="B461" s="6"/>
      <c r="C461" s="6"/>
      <c r="D461" s="6"/>
      <c r="E461" s="6"/>
      <c r="F461" s="6"/>
    </row>
    <row r="462" spans="1:6" x14ac:dyDescent="0.25">
      <c r="A462" t="s">
        <v>4044</v>
      </c>
      <c r="B462" t="s">
        <v>4045</v>
      </c>
      <c r="C462" t="s">
        <v>5</v>
      </c>
      <c r="D462" t="s">
        <v>4046</v>
      </c>
      <c r="E462" t="s">
        <v>4047</v>
      </c>
      <c r="F462" t="s">
        <v>4048</v>
      </c>
    </row>
    <row r="463" spans="1:6" x14ac:dyDescent="0.25">
      <c r="A463" t="s">
        <v>4062</v>
      </c>
      <c r="B463" t="s">
        <v>4675</v>
      </c>
      <c r="C463" t="s">
        <v>4171</v>
      </c>
      <c r="D463" s="7">
        <v>1</v>
      </c>
      <c r="E463" s="2">
        <v>1106.41</v>
      </c>
      <c r="F463" s="2">
        <v>1106.41</v>
      </c>
    </row>
    <row r="464" spans="1:6" x14ac:dyDescent="0.25">
      <c r="A464" t="s">
        <v>4062</v>
      </c>
      <c r="B464" t="s">
        <v>5466</v>
      </c>
      <c r="C464" t="s">
        <v>21</v>
      </c>
      <c r="D464" s="7">
        <v>1.05</v>
      </c>
      <c r="E464" s="2">
        <v>29667</v>
      </c>
      <c r="F464" s="2">
        <v>31150.35</v>
      </c>
    </row>
    <row r="465" spans="1:6" x14ac:dyDescent="0.25">
      <c r="A465" t="s">
        <v>4049</v>
      </c>
      <c r="B465" t="s">
        <v>4105</v>
      </c>
      <c r="C465" t="s">
        <v>4106</v>
      </c>
      <c r="D465" s="7">
        <v>0.08</v>
      </c>
      <c r="E465" s="2">
        <v>25125</v>
      </c>
      <c r="F465" s="2">
        <v>1884.38</v>
      </c>
    </row>
    <row r="466" spans="1:6" x14ac:dyDescent="0.25">
      <c r="A466" t="s">
        <v>4049</v>
      </c>
      <c r="B466" t="s">
        <v>4050</v>
      </c>
      <c r="C466" t="s">
        <v>4051</v>
      </c>
      <c r="D466" s="7">
        <v>0.6</v>
      </c>
      <c r="E466" s="2">
        <v>9037.33</v>
      </c>
      <c r="F466" s="2">
        <v>5422.4</v>
      </c>
    </row>
    <row r="467" spans="1:6" x14ac:dyDescent="0.25">
      <c r="A467" t="s">
        <v>4049</v>
      </c>
      <c r="B467" t="s">
        <v>4073</v>
      </c>
      <c r="C467" t="s">
        <v>4051</v>
      </c>
      <c r="D467" s="7">
        <v>0.6</v>
      </c>
      <c r="E467" s="2">
        <v>15517.89</v>
      </c>
      <c r="F467" s="2">
        <v>9310.73</v>
      </c>
    </row>
    <row r="468" spans="1:6" x14ac:dyDescent="0.25">
      <c r="A468" t="s">
        <v>4052</v>
      </c>
      <c r="B468" t="s">
        <v>4053</v>
      </c>
      <c r="C468" t="s">
        <v>4054</v>
      </c>
      <c r="D468" s="7">
        <v>3.3</v>
      </c>
      <c r="E468" s="2">
        <v>14733.13</v>
      </c>
      <c r="F468" s="2">
        <v>486.19</v>
      </c>
    </row>
    <row r="469" spans="1:6" x14ac:dyDescent="0.25">
      <c r="A469" t="s">
        <v>4055</v>
      </c>
      <c r="D469" s="7"/>
      <c r="E469" s="2"/>
      <c r="F469" s="2">
        <f>SUBTOTAL(109,A_1_12_41[VALOR PARCIAL])</f>
      </c>
    </row>
    <row r="471" ht="30" customHeight="1" spans="1:6" x14ac:dyDescent="0.25">
      <c r="A471" s="5" t="s">
        <v>5467</v>
      </c>
      <c r="B471" s="5"/>
      <c r="C471" s="5"/>
      <c r="D471" s="5"/>
      <c r="E471" s="5"/>
      <c r="F471" s="5"/>
    </row>
    <row r="472" ht="42" customHeight="1" spans="1:6" x14ac:dyDescent="0.25">
      <c r="A472" s="6" t="s">
        <v>5468</v>
      </c>
      <c r="B472" s="6"/>
      <c r="C472" s="6"/>
      <c r="D472" s="6"/>
      <c r="E472" s="6"/>
      <c r="F472" s="6"/>
    </row>
    <row r="473" spans="1:6" x14ac:dyDescent="0.25">
      <c r="A473" t="s">
        <v>4044</v>
      </c>
      <c r="B473" t="s">
        <v>4045</v>
      </c>
      <c r="C473" t="s">
        <v>5</v>
      </c>
      <c r="D473" t="s">
        <v>4046</v>
      </c>
      <c r="E473" t="s">
        <v>4047</v>
      </c>
      <c r="F473" t="s">
        <v>4048</v>
      </c>
    </row>
    <row r="474" spans="1:6" x14ac:dyDescent="0.25">
      <c r="A474" t="s">
        <v>4062</v>
      </c>
      <c r="B474" t="s">
        <v>3975</v>
      </c>
      <c r="C474" t="s">
        <v>34</v>
      </c>
      <c r="D474" s="7">
        <v>0.05</v>
      </c>
      <c r="E474" s="2">
        <v>586929.15</v>
      </c>
      <c r="F474" s="2">
        <v>29346.46</v>
      </c>
    </row>
    <row r="475" spans="1:6" x14ac:dyDescent="0.25">
      <c r="A475" t="s">
        <v>4062</v>
      </c>
      <c r="B475" t="s">
        <v>5459</v>
      </c>
      <c r="C475" t="s">
        <v>4532</v>
      </c>
      <c r="D475" s="7">
        <v>0.09</v>
      </c>
      <c r="E475" s="2">
        <v>111604.33</v>
      </c>
      <c r="F475" s="2">
        <v>10044.39</v>
      </c>
    </row>
    <row r="476" spans="1:6" x14ac:dyDescent="0.25">
      <c r="A476" t="s">
        <v>4049</v>
      </c>
      <c r="B476" t="s">
        <v>4050</v>
      </c>
      <c r="C476" t="s">
        <v>4051</v>
      </c>
      <c r="D476" s="7">
        <v>1.2</v>
      </c>
      <c r="E476" s="2">
        <v>9037.33</v>
      </c>
      <c r="F476" s="2">
        <v>10844.8</v>
      </c>
    </row>
    <row r="477" spans="1:6" x14ac:dyDescent="0.25">
      <c r="A477" t="s">
        <v>4049</v>
      </c>
      <c r="B477" t="s">
        <v>4073</v>
      </c>
      <c r="C477" t="s">
        <v>4051</v>
      </c>
      <c r="D477" s="7">
        <v>0.6</v>
      </c>
      <c r="E477" s="2">
        <v>15517.89</v>
      </c>
      <c r="F477" s="2">
        <v>9310.73</v>
      </c>
    </row>
    <row r="478" spans="1:6" x14ac:dyDescent="0.25">
      <c r="A478" t="s">
        <v>4052</v>
      </c>
      <c r="B478" t="s">
        <v>4053</v>
      </c>
      <c r="C478" t="s">
        <v>4054</v>
      </c>
      <c r="D478" s="7">
        <v>3.3</v>
      </c>
      <c r="E478" s="2">
        <v>20155.53</v>
      </c>
      <c r="F478" s="2">
        <v>665.13</v>
      </c>
    </row>
    <row r="479" spans="1:6" x14ac:dyDescent="0.25">
      <c r="A479" t="s">
        <v>4055</v>
      </c>
      <c r="D479" s="7"/>
      <c r="E479" s="2"/>
      <c r="F479" s="2">
        <f>SUBTOTAL(109,A_1_12_42[VALOR PARCIAL])</f>
      </c>
    </row>
    <row r="481" ht="30" customHeight="1" spans="1:6" x14ac:dyDescent="0.25">
      <c r="A481" s="5" t="s">
        <v>5469</v>
      </c>
      <c r="B481" s="5"/>
      <c r="C481" s="5"/>
      <c r="D481" s="5"/>
      <c r="E481" s="5"/>
      <c r="F481" s="5"/>
    </row>
    <row r="482" ht="42" customHeight="1" spans="1:6" x14ac:dyDescent="0.25">
      <c r="A482" s="6" t="s">
        <v>5470</v>
      </c>
      <c r="B482" s="6"/>
      <c r="C482" s="6"/>
      <c r="D482" s="6"/>
      <c r="E482" s="6"/>
      <c r="F482" s="6"/>
    </row>
    <row r="483" spans="1:6" x14ac:dyDescent="0.25">
      <c r="A483" t="s">
        <v>4044</v>
      </c>
      <c r="B483" t="s">
        <v>4045</v>
      </c>
      <c r="C483" t="s">
        <v>5</v>
      </c>
      <c r="D483" t="s">
        <v>4046</v>
      </c>
      <c r="E483" t="s">
        <v>4047</v>
      </c>
      <c r="F483" t="s">
        <v>4048</v>
      </c>
    </row>
    <row r="484" spans="1:6" x14ac:dyDescent="0.25">
      <c r="A484" t="s">
        <v>4062</v>
      </c>
      <c r="B484" t="s">
        <v>5471</v>
      </c>
      <c r="C484" t="s">
        <v>4377</v>
      </c>
      <c r="D484" s="7">
        <v>0</v>
      </c>
      <c r="E484" s="2">
        <v>37000</v>
      </c>
      <c r="F484" s="2">
        <v>37</v>
      </c>
    </row>
    <row r="485" spans="1:6" x14ac:dyDescent="0.25">
      <c r="A485" t="s">
        <v>4062</v>
      </c>
      <c r="B485" t="s">
        <v>4261</v>
      </c>
      <c r="C485" t="s">
        <v>231</v>
      </c>
      <c r="D485" s="7">
        <v>0.13</v>
      </c>
      <c r="E485" s="2">
        <v>2982</v>
      </c>
      <c r="F485" s="2">
        <v>399.59</v>
      </c>
    </row>
    <row r="486" spans="1:6" x14ac:dyDescent="0.25">
      <c r="A486" t="s">
        <v>4062</v>
      </c>
      <c r="B486" t="s">
        <v>5472</v>
      </c>
      <c r="C486" t="s">
        <v>231</v>
      </c>
      <c r="D486" s="7">
        <v>1</v>
      </c>
      <c r="E486" s="2">
        <v>3895</v>
      </c>
      <c r="F486" s="2">
        <v>3895</v>
      </c>
    </row>
    <row r="487" spans="1:6" x14ac:dyDescent="0.25">
      <c r="A487" t="s">
        <v>4062</v>
      </c>
      <c r="B487" t="s">
        <v>5473</v>
      </c>
      <c r="C487" t="s">
        <v>231</v>
      </c>
      <c r="D487" s="7">
        <v>0.05</v>
      </c>
      <c r="E487" s="2">
        <v>10292</v>
      </c>
      <c r="F487" s="2">
        <v>514.6</v>
      </c>
    </row>
    <row r="488" spans="1:6" x14ac:dyDescent="0.25">
      <c r="A488" t="s">
        <v>4049</v>
      </c>
      <c r="B488" t="s">
        <v>4050</v>
      </c>
      <c r="C488" t="s">
        <v>4051</v>
      </c>
      <c r="D488" s="7">
        <v>0.06</v>
      </c>
      <c r="E488" s="2">
        <v>9037.33</v>
      </c>
      <c r="F488" s="2">
        <v>542.24</v>
      </c>
    </row>
    <row r="489" spans="1:6" x14ac:dyDescent="0.25">
      <c r="A489" t="s">
        <v>4049</v>
      </c>
      <c r="B489" t="s">
        <v>4182</v>
      </c>
      <c r="C489" t="s">
        <v>4051</v>
      </c>
      <c r="D489" s="7">
        <v>0.06</v>
      </c>
      <c r="E489" s="2">
        <v>10845.1</v>
      </c>
      <c r="F489" s="2">
        <v>661.55</v>
      </c>
    </row>
    <row r="490" spans="1:6" x14ac:dyDescent="0.25">
      <c r="A490" t="s">
        <v>4049</v>
      </c>
      <c r="B490" t="s">
        <v>5067</v>
      </c>
      <c r="C490" t="s">
        <v>4051</v>
      </c>
      <c r="D490" s="7">
        <v>0.01</v>
      </c>
      <c r="E490" s="2">
        <v>10392.41</v>
      </c>
      <c r="F490" s="2">
        <v>103.92</v>
      </c>
    </row>
    <row r="491" spans="1:6" x14ac:dyDescent="0.25">
      <c r="A491" t="s">
        <v>4049</v>
      </c>
      <c r="B491" t="s">
        <v>4183</v>
      </c>
      <c r="C491" t="s">
        <v>4051</v>
      </c>
      <c r="D491" s="7">
        <v>0.06</v>
      </c>
      <c r="E491" s="2">
        <v>18621.17</v>
      </c>
      <c r="F491" s="2">
        <v>1135.89</v>
      </c>
    </row>
    <row r="492" spans="1:6" x14ac:dyDescent="0.25">
      <c r="A492" t="s">
        <v>4049</v>
      </c>
      <c r="B492" t="s">
        <v>5068</v>
      </c>
      <c r="C492" t="s">
        <v>4051</v>
      </c>
      <c r="D492" s="7">
        <v>0.01</v>
      </c>
      <c r="E492" s="2">
        <v>17845.35</v>
      </c>
      <c r="F492" s="2">
        <v>178.45</v>
      </c>
    </row>
    <row r="493" spans="1:6" x14ac:dyDescent="0.25">
      <c r="A493" t="s">
        <v>4049</v>
      </c>
      <c r="B493" t="s">
        <v>5474</v>
      </c>
      <c r="C493" t="s">
        <v>4177</v>
      </c>
      <c r="D493" s="7">
        <v>0.01</v>
      </c>
      <c r="E493" s="2">
        <v>148967.85</v>
      </c>
      <c r="F493" s="2">
        <v>1787.61</v>
      </c>
    </row>
    <row r="494" spans="1:6" x14ac:dyDescent="0.25">
      <c r="A494" t="s">
        <v>4052</v>
      </c>
      <c r="B494" t="s">
        <v>4206</v>
      </c>
      <c r="C494" t="s">
        <v>4106</v>
      </c>
      <c r="D494" s="7">
        <v>0.01</v>
      </c>
      <c r="E494" s="2">
        <v>34243</v>
      </c>
      <c r="F494" s="2">
        <v>171.22</v>
      </c>
    </row>
    <row r="495" spans="1:6" x14ac:dyDescent="0.25">
      <c r="A495" t="s">
        <v>4052</v>
      </c>
      <c r="B495" t="s">
        <v>4105</v>
      </c>
      <c r="C495" t="s">
        <v>4106</v>
      </c>
      <c r="D495" s="7">
        <v>0.05</v>
      </c>
      <c r="E495" s="2">
        <v>25125</v>
      </c>
      <c r="F495" s="2">
        <v>1256.25</v>
      </c>
    </row>
    <row r="496" spans="1:6" x14ac:dyDescent="0.25">
      <c r="A496" t="s">
        <v>4052</v>
      </c>
      <c r="B496" t="s">
        <v>4053</v>
      </c>
      <c r="C496" t="s">
        <v>4054</v>
      </c>
      <c r="D496" s="7">
        <v>3.3</v>
      </c>
      <c r="E496" s="2">
        <v>4409.66</v>
      </c>
      <c r="F496" s="2">
        <v>145.52</v>
      </c>
    </row>
    <row r="497" spans="1:6" x14ac:dyDescent="0.25">
      <c r="A497" t="s">
        <v>4055</v>
      </c>
      <c r="D497" s="7"/>
      <c r="E497" s="2"/>
      <c r="F497" s="2">
        <f>SUBTOTAL(109,A_1_12_43[VALOR PARCIAL])</f>
      </c>
    </row>
    <row r="499" ht="30" customHeight="1" spans="1:6" x14ac:dyDescent="0.25">
      <c r="A499" s="5" t="s">
        <v>5475</v>
      </c>
      <c r="B499" s="5"/>
      <c r="C499" s="5"/>
      <c r="D499" s="5"/>
      <c r="E499" s="5"/>
      <c r="F499" s="5"/>
    </row>
    <row r="500" ht="42" customHeight="1" spans="1:6" x14ac:dyDescent="0.25">
      <c r="A500" s="6" t="s">
        <v>5476</v>
      </c>
      <c r="B500" s="6"/>
      <c r="C500" s="6"/>
      <c r="D500" s="6"/>
      <c r="E500" s="6"/>
      <c r="F500" s="6"/>
    </row>
    <row r="501" spans="1:6" x14ac:dyDescent="0.25">
      <c r="A501" t="s">
        <v>4044</v>
      </c>
      <c r="B501" t="s">
        <v>4045</v>
      </c>
      <c r="C501" t="s">
        <v>5</v>
      </c>
      <c r="D501" t="s">
        <v>4046</v>
      </c>
      <c r="E501" t="s">
        <v>4047</v>
      </c>
      <c r="F501" t="s">
        <v>4048</v>
      </c>
    </row>
    <row r="502" spans="1:6" x14ac:dyDescent="0.25">
      <c r="A502" t="s">
        <v>4062</v>
      </c>
      <c r="B502" t="s">
        <v>5477</v>
      </c>
      <c r="C502" t="s">
        <v>21</v>
      </c>
      <c r="D502" s="7">
        <v>1</v>
      </c>
      <c r="E502" s="2">
        <v>60283</v>
      </c>
      <c r="F502" s="2">
        <v>60283</v>
      </c>
    </row>
    <row r="503" spans="1:6" x14ac:dyDescent="0.25">
      <c r="A503" t="s">
        <v>4062</v>
      </c>
      <c r="B503" t="s">
        <v>5398</v>
      </c>
      <c r="C503" t="s">
        <v>63</v>
      </c>
      <c r="D503" s="7">
        <v>4</v>
      </c>
      <c r="E503" s="2">
        <v>349.5</v>
      </c>
      <c r="F503" s="2">
        <v>1398</v>
      </c>
    </row>
    <row r="504" spans="1:6" x14ac:dyDescent="0.25">
      <c r="A504" t="s">
        <v>4049</v>
      </c>
      <c r="B504" t="s">
        <v>4105</v>
      </c>
      <c r="C504" t="s">
        <v>4106</v>
      </c>
      <c r="D504" s="7">
        <v>0.06</v>
      </c>
      <c r="E504" s="2">
        <v>25125</v>
      </c>
      <c r="F504" s="2">
        <v>1407</v>
      </c>
    </row>
    <row r="505" spans="1:6" x14ac:dyDescent="0.25">
      <c r="A505" t="s">
        <v>4049</v>
      </c>
      <c r="B505" t="s">
        <v>4050</v>
      </c>
      <c r="C505" t="s">
        <v>4051</v>
      </c>
      <c r="D505" s="7">
        <v>0.45</v>
      </c>
      <c r="E505" s="2">
        <v>9037.33</v>
      </c>
      <c r="F505" s="2">
        <v>4066.8</v>
      </c>
    </row>
    <row r="506" spans="1:6" x14ac:dyDescent="0.25">
      <c r="A506" t="s">
        <v>4049</v>
      </c>
      <c r="B506" t="s">
        <v>4073</v>
      </c>
      <c r="C506" t="s">
        <v>4051</v>
      </c>
      <c r="D506" s="7">
        <v>0.45</v>
      </c>
      <c r="E506" s="2">
        <v>15517.89</v>
      </c>
      <c r="F506" s="2">
        <v>6983.05</v>
      </c>
    </row>
    <row r="507" spans="1:6" x14ac:dyDescent="0.25">
      <c r="A507" t="s">
        <v>4052</v>
      </c>
      <c r="B507" t="s">
        <v>4053</v>
      </c>
      <c r="C507" t="s">
        <v>4054</v>
      </c>
      <c r="D507" s="7">
        <v>3.3</v>
      </c>
      <c r="E507" s="2">
        <v>11049.85</v>
      </c>
      <c r="F507" s="2">
        <v>364.65</v>
      </c>
    </row>
    <row r="508" spans="1:6" x14ac:dyDescent="0.25">
      <c r="A508" t="s">
        <v>4055</v>
      </c>
      <c r="D508" s="7"/>
      <c r="E508" s="2"/>
      <c r="F508" s="2">
        <f>SUBTOTAL(109,A_1_12_44[VALOR PARCIAL])</f>
      </c>
    </row>
    <row r="510" ht="30" customHeight="1" spans="1:6" x14ac:dyDescent="0.25">
      <c r="A510" s="5" t="s">
        <v>5478</v>
      </c>
      <c r="B510" s="5"/>
      <c r="C510" s="5"/>
      <c r="D510" s="5"/>
      <c r="E510" s="5"/>
      <c r="F510" s="5"/>
    </row>
    <row r="511" ht="42" customHeight="1" spans="1:6" x14ac:dyDescent="0.25">
      <c r="A511" s="6" t="s">
        <v>5479</v>
      </c>
      <c r="B511" s="6"/>
      <c r="C511" s="6"/>
      <c r="D511" s="6"/>
      <c r="E511" s="6"/>
      <c r="F511" s="6"/>
    </row>
    <row r="512" spans="1:6" x14ac:dyDescent="0.25">
      <c r="A512" t="s">
        <v>4044</v>
      </c>
      <c r="B512" t="s">
        <v>4045</v>
      </c>
      <c r="C512" t="s">
        <v>5</v>
      </c>
      <c r="D512" t="s">
        <v>4046</v>
      </c>
      <c r="E512" t="s">
        <v>4047</v>
      </c>
      <c r="F512" t="s">
        <v>4048</v>
      </c>
    </row>
    <row r="513" spans="1:6" x14ac:dyDescent="0.25">
      <c r="A513" t="s">
        <v>4062</v>
      </c>
      <c r="B513" t="s">
        <v>5480</v>
      </c>
      <c r="C513" t="s">
        <v>63</v>
      </c>
      <c r="D513" s="7">
        <v>24</v>
      </c>
      <c r="E513" s="2">
        <v>796.67</v>
      </c>
      <c r="F513" s="2">
        <v>19120.08</v>
      </c>
    </row>
    <row r="514" spans="1:6" x14ac:dyDescent="0.25">
      <c r="A514" t="s">
        <v>4062</v>
      </c>
      <c r="B514" t="s">
        <v>3975</v>
      </c>
      <c r="C514" t="s">
        <v>34</v>
      </c>
      <c r="D514" s="7">
        <v>0.04</v>
      </c>
      <c r="E514" s="2">
        <v>586929.15</v>
      </c>
      <c r="F514" s="2">
        <v>23477.17</v>
      </c>
    </row>
    <row r="515" spans="1:6" x14ac:dyDescent="0.25">
      <c r="A515" t="s">
        <v>4049</v>
      </c>
      <c r="B515" t="s">
        <v>4050</v>
      </c>
      <c r="C515" t="s">
        <v>4051</v>
      </c>
      <c r="D515" s="7">
        <v>0.7</v>
      </c>
      <c r="E515" s="2">
        <v>9037.33</v>
      </c>
      <c r="F515" s="2">
        <v>6326.13</v>
      </c>
    </row>
    <row r="516" spans="1:6" x14ac:dyDescent="0.25">
      <c r="A516" t="s">
        <v>4049</v>
      </c>
      <c r="B516" t="s">
        <v>4073</v>
      </c>
      <c r="C516" t="s">
        <v>4051</v>
      </c>
      <c r="D516" s="7">
        <v>0.7</v>
      </c>
      <c r="E516" s="2">
        <v>15517.89</v>
      </c>
      <c r="F516" s="2">
        <v>10862.52</v>
      </c>
    </row>
    <row r="517" spans="1:6" x14ac:dyDescent="0.25">
      <c r="A517" t="s">
        <v>4052</v>
      </c>
      <c r="B517" t="s">
        <v>4105</v>
      </c>
      <c r="C517" t="s">
        <v>4106</v>
      </c>
      <c r="D517" s="7">
        <v>0.08</v>
      </c>
      <c r="E517" s="2">
        <v>25125</v>
      </c>
      <c r="F517" s="2">
        <v>2010</v>
      </c>
    </row>
    <row r="518" spans="1:6" x14ac:dyDescent="0.25">
      <c r="A518" t="s">
        <v>4052</v>
      </c>
      <c r="B518" t="s">
        <v>4053</v>
      </c>
      <c r="C518" t="s">
        <v>4054</v>
      </c>
      <c r="D518" s="7">
        <v>3.3</v>
      </c>
      <c r="E518" s="2">
        <v>17188.65</v>
      </c>
      <c r="F518" s="2">
        <v>567.23</v>
      </c>
    </row>
    <row r="519" spans="1:6" x14ac:dyDescent="0.25">
      <c r="A519" t="s">
        <v>4055</v>
      </c>
      <c r="D519" s="7"/>
      <c r="E519" s="2"/>
      <c r="F519" s="2">
        <f>SUBTOTAL(109,A_1_12_45[VALOR PARCIAL])</f>
      </c>
    </row>
    <row r="521" ht="30" customHeight="1" spans="1:6" x14ac:dyDescent="0.25">
      <c r="A521" s="5" t="s">
        <v>5481</v>
      </c>
      <c r="B521" s="5"/>
      <c r="C521" s="5"/>
      <c r="D521" s="5"/>
      <c r="E521" s="5"/>
      <c r="F521" s="5"/>
    </row>
    <row r="522" ht="42" customHeight="1" spans="1:6" x14ac:dyDescent="0.25">
      <c r="A522" s="6" t="s">
        <v>5482</v>
      </c>
      <c r="B522" s="6"/>
      <c r="C522" s="6"/>
      <c r="D522" s="6"/>
      <c r="E522" s="6"/>
      <c r="F522" s="6"/>
    </row>
    <row r="523" spans="1:6" x14ac:dyDescent="0.25">
      <c r="A523" t="s">
        <v>4044</v>
      </c>
      <c r="B523" t="s">
        <v>4045</v>
      </c>
      <c r="C523" t="s">
        <v>5</v>
      </c>
      <c r="D523" t="s">
        <v>4046</v>
      </c>
      <c r="E523" t="s">
        <v>4047</v>
      </c>
      <c r="F523" t="s">
        <v>4048</v>
      </c>
    </row>
    <row r="524" spans="1:6" x14ac:dyDescent="0.25">
      <c r="A524" t="s">
        <v>4062</v>
      </c>
      <c r="B524" t="s">
        <v>5483</v>
      </c>
      <c r="C524" t="s">
        <v>63</v>
      </c>
      <c r="D524" s="7">
        <v>48</v>
      </c>
      <c r="E524" s="2">
        <v>796.67</v>
      </c>
      <c r="F524" s="2">
        <v>38240.16</v>
      </c>
    </row>
    <row r="525" spans="1:6" x14ac:dyDescent="0.25">
      <c r="A525" t="s">
        <v>4062</v>
      </c>
      <c r="B525" t="s">
        <v>3975</v>
      </c>
      <c r="C525" t="s">
        <v>34</v>
      </c>
      <c r="D525" s="7">
        <v>0.05</v>
      </c>
      <c r="E525" s="2">
        <v>586929.15</v>
      </c>
      <c r="F525" s="2">
        <v>29346.46</v>
      </c>
    </row>
    <row r="526" spans="1:6" x14ac:dyDescent="0.25">
      <c r="A526" t="s">
        <v>4049</v>
      </c>
      <c r="B526" t="s">
        <v>4105</v>
      </c>
      <c r="C526" t="s">
        <v>4106</v>
      </c>
      <c r="D526" s="7">
        <v>0.18</v>
      </c>
      <c r="E526" s="2">
        <v>25125</v>
      </c>
      <c r="F526" s="2">
        <v>4396.88</v>
      </c>
    </row>
    <row r="527" spans="1:6" x14ac:dyDescent="0.25">
      <c r="A527" t="s">
        <v>4049</v>
      </c>
      <c r="B527" t="s">
        <v>4050</v>
      </c>
      <c r="C527" t="s">
        <v>4051</v>
      </c>
      <c r="D527" s="7">
        <v>1.4</v>
      </c>
      <c r="E527" s="2">
        <v>9037.33</v>
      </c>
      <c r="F527" s="2">
        <v>12652.26</v>
      </c>
    </row>
    <row r="528" spans="1:6" x14ac:dyDescent="0.25">
      <c r="A528" t="s">
        <v>4049</v>
      </c>
      <c r="B528" t="s">
        <v>4073</v>
      </c>
      <c r="C528" t="s">
        <v>4051</v>
      </c>
      <c r="D528" s="7">
        <v>1.4</v>
      </c>
      <c r="E528" s="2">
        <v>15517.89</v>
      </c>
      <c r="F528" s="2">
        <v>21725.05</v>
      </c>
    </row>
    <row r="529" spans="1:6" x14ac:dyDescent="0.25">
      <c r="A529" t="s">
        <v>4052</v>
      </c>
      <c r="B529" t="s">
        <v>4053</v>
      </c>
      <c r="C529" t="s">
        <v>4054</v>
      </c>
      <c r="D529" s="7">
        <v>3.3</v>
      </c>
      <c r="E529" s="2">
        <v>34377.31</v>
      </c>
      <c r="F529" s="2">
        <v>1134.45</v>
      </c>
    </row>
    <row r="530" spans="1:6" x14ac:dyDescent="0.25">
      <c r="A530" t="s">
        <v>4055</v>
      </c>
      <c r="D530" s="7"/>
      <c r="E530" s="2"/>
      <c r="F530" s="2">
        <f>SUBTOTAL(109,A_1_12_46[VALOR PARCIAL])</f>
      </c>
    </row>
    <row r="532" ht="30" customHeight="1" spans="1:6" x14ac:dyDescent="0.25">
      <c r="A532" s="5" t="s">
        <v>5484</v>
      </c>
      <c r="B532" s="5"/>
      <c r="C532" s="5"/>
      <c r="D532" s="5"/>
      <c r="E532" s="5"/>
      <c r="F532" s="5"/>
    </row>
    <row r="533" ht="42" customHeight="1" spans="1:6" x14ac:dyDescent="0.25">
      <c r="A533" s="6" t="s">
        <v>5485</v>
      </c>
      <c r="B533" s="6"/>
      <c r="C533" s="6"/>
      <c r="D533" s="6"/>
      <c r="E533" s="6"/>
      <c r="F533" s="6"/>
    </row>
    <row r="534" spans="1:6" x14ac:dyDescent="0.25">
      <c r="A534" t="s">
        <v>4044</v>
      </c>
      <c r="B534" t="s">
        <v>4045</v>
      </c>
      <c r="C534" t="s">
        <v>5</v>
      </c>
      <c r="D534" t="s">
        <v>4046</v>
      </c>
      <c r="E534" t="s">
        <v>4047</v>
      </c>
      <c r="F534" t="s">
        <v>4048</v>
      </c>
    </row>
    <row r="535" spans="1:6" x14ac:dyDescent="0.25">
      <c r="A535" t="s">
        <v>4062</v>
      </c>
      <c r="B535" t="s">
        <v>5486</v>
      </c>
      <c r="C535" t="s">
        <v>42</v>
      </c>
      <c r="D535" s="7">
        <v>1.05</v>
      </c>
      <c r="E535" s="2">
        <v>34434.28</v>
      </c>
      <c r="F535" s="2">
        <v>36155.99</v>
      </c>
    </row>
    <row r="536" spans="1:6" x14ac:dyDescent="0.25">
      <c r="A536" t="s">
        <v>4062</v>
      </c>
      <c r="B536" t="s">
        <v>5441</v>
      </c>
      <c r="C536" t="s">
        <v>63</v>
      </c>
      <c r="D536" s="7">
        <v>4</v>
      </c>
      <c r="E536" s="2">
        <v>349.5</v>
      </c>
      <c r="F536" s="2">
        <v>1398</v>
      </c>
    </row>
    <row r="537" spans="1:6" x14ac:dyDescent="0.25">
      <c r="A537" t="s">
        <v>4049</v>
      </c>
      <c r="B537" t="s">
        <v>4105</v>
      </c>
      <c r="C537" t="s">
        <v>4106</v>
      </c>
      <c r="D537" s="7">
        <v>0.07</v>
      </c>
      <c r="E537" s="2">
        <v>25125</v>
      </c>
      <c r="F537" s="2">
        <v>1733.63</v>
      </c>
    </row>
    <row r="538" spans="1:6" x14ac:dyDescent="0.25">
      <c r="A538" t="s">
        <v>4049</v>
      </c>
      <c r="B538" t="s">
        <v>4050</v>
      </c>
      <c r="C538" t="s">
        <v>4051</v>
      </c>
      <c r="D538" s="7">
        <v>0.55</v>
      </c>
      <c r="E538" s="2">
        <v>9037.33</v>
      </c>
      <c r="F538" s="2">
        <v>4970.53</v>
      </c>
    </row>
    <row r="539" spans="1:6" x14ac:dyDescent="0.25">
      <c r="A539" t="s">
        <v>4049</v>
      </c>
      <c r="B539" t="s">
        <v>4073</v>
      </c>
      <c r="C539" t="s">
        <v>4051</v>
      </c>
      <c r="D539" s="7">
        <v>0.55</v>
      </c>
      <c r="E539" s="2">
        <v>15517.89</v>
      </c>
      <c r="F539" s="2">
        <v>8534.84</v>
      </c>
    </row>
    <row r="540" spans="1:6" x14ac:dyDescent="0.25">
      <c r="A540" t="s">
        <v>4052</v>
      </c>
      <c r="B540" t="s">
        <v>4053</v>
      </c>
      <c r="C540" t="s">
        <v>4054</v>
      </c>
      <c r="D540" s="7">
        <v>3.3</v>
      </c>
      <c r="E540" s="2">
        <v>13505.37</v>
      </c>
      <c r="F540" s="2">
        <v>445.68</v>
      </c>
    </row>
    <row r="541" spans="1:6" x14ac:dyDescent="0.25">
      <c r="A541" t="s">
        <v>4055</v>
      </c>
      <c r="D541" s="7"/>
      <c r="E541" s="2"/>
      <c r="F541" s="2">
        <f>SUBTOTAL(109,A_1_12_47[VALOR PARCIAL])</f>
      </c>
    </row>
    <row r="543" ht="30" customHeight="1" spans="1:6" x14ac:dyDescent="0.25">
      <c r="A543" s="5" t="s">
        <v>5487</v>
      </c>
      <c r="B543" s="5"/>
      <c r="C543" s="5"/>
      <c r="D543" s="5"/>
      <c r="E543" s="5"/>
      <c r="F543" s="5"/>
    </row>
    <row r="544" ht="42" customHeight="1" spans="1:6" x14ac:dyDescent="0.25">
      <c r="A544" s="6" t="s">
        <v>5488</v>
      </c>
      <c r="B544" s="6"/>
      <c r="C544" s="6"/>
      <c r="D544" s="6"/>
      <c r="E544" s="6"/>
      <c r="F544" s="6"/>
    </row>
    <row r="545" spans="1:6" x14ac:dyDescent="0.25">
      <c r="A545" t="s">
        <v>4044</v>
      </c>
      <c r="B545" t="s">
        <v>4045</v>
      </c>
      <c r="C545" t="s">
        <v>5</v>
      </c>
      <c r="D545" t="s">
        <v>4046</v>
      </c>
      <c r="E545" t="s">
        <v>4047</v>
      </c>
      <c r="F545" t="s">
        <v>4048</v>
      </c>
    </row>
    <row r="546" spans="1:6" x14ac:dyDescent="0.25">
      <c r="A546" t="s">
        <v>4062</v>
      </c>
      <c r="B546" t="s">
        <v>5489</v>
      </c>
      <c r="C546" t="s">
        <v>63</v>
      </c>
      <c r="D546" s="7">
        <v>0.46</v>
      </c>
      <c r="E546" s="2">
        <v>60466.67</v>
      </c>
      <c r="F546" s="2">
        <v>27814.67</v>
      </c>
    </row>
    <row r="547" spans="1:6" x14ac:dyDescent="0.25">
      <c r="A547" t="s">
        <v>4062</v>
      </c>
      <c r="B547" t="s">
        <v>5441</v>
      </c>
      <c r="C547" t="s">
        <v>63</v>
      </c>
      <c r="D547" s="7">
        <v>2.5</v>
      </c>
      <c r="E547" s="2">
        <v>349.5</v>
      </c>
      <c r="F547" s="2">
        <v>873.75</v>
      </c>
    </row>
    <row r="548" spans="1:6" x14ac:dyDescent="0.25">
      <c r="A548" t="s">
        <v>4049</v>
      </c>
      <c r="B548" t="s">
        <v>4050</v>
      </c>
      <c r="C548" t="s">
        <v>4051</v>
      </c>
      <c r="D548" s="7">
        <v>0.3</v>
      </c>
      <c r="E548" s="2">
        <v>9037.33</v>
      </c>
      <c r="F548" s="2">
        <v>2711.2</v>
      </c>
    </row>
    <row r="549" spans="1:6" x14ac:dyDescent="0.25">
      <c r="A549" t="s">
        <v>4049</v>
      </c>
      <c r="B549" t="s">
        <v>4073</v>
      </c>
      <c r="C549" t="s">
        <v>4051</v>
      </c>
      <c r="D549" s="7">
        <v>0.2</v>
      </c>
      <c r="E549" s="2">
        <v>15517.89</v>
      </c>
      <c r="F549" s="2">
        <v>3103.58</v>
      </c>
    </row>
    <row r="550" spans="1:6" x14ac:dyDescent="0.25">
      <c r="A550" t="s">
        <v>4052</v>
      </c>
      <c r="B550" t="s">
        <v>4053</v>
      </c>
      <c r="C550" t="s">
        <v>4054</v>
      </c>
      <c r="D550" s="7">
        <v>3.3</v>
      </c>
      <c r="E550" s="2">
        <v>5814.78</v>
      </c>
      <c r="F550" s="2">
        <v>191.89</v>
      </c>
    </row>
    <row r="551" spans="1:6" x14ac:dyDescent="0.25">
      <c r="A551" t="s">
        <v>4055</v>
      </c>
      <c r="D551" s="7"/>
      <c r="E551" s="2"/>
      <c r="F551" s="2">
        <f>SUBTOTAL(109,A_1_12_48[VALOR PARCIAL])</f>
      </c>
    </row>
    <row r="553" ht="30" customHeight="1" spans="1:6" x14ac:dyDescent="0.25">
      <c r="A553" s="5" t="s">
        <v>5490</v>
      </c>
      <c r="B553" s="5"/>
      <c r="C553" s="5"/>
      <c r="D553" s="5"/>
      <c r="E553" s="5"/>
      <c r="F553" s="5"/>
    </row>
    <row r="554" ht="42" customHeight="1" spans="1:6" x14ac:dyDescent="0.25">
      <c r="A554" s="6" t="s">
        <v>5491</v>
      </c>
      <c r="B554" s="6"/>
      <c r="C554" s="6"/>
      <c r="D554" s="6"/>
      <c r="E554" s="6"/>
      <c r="F554" s="6"/>
    </row>
    <row r="555" spans="1:6" x14ac:dyDescent="0.25">
      <c r="A555" t="s">
        <v>4044</v>
      </c>
      <c r="B555" t="s">
        <v>4045</v>
      </c>
      <c r="C555" t="s">
        <v>5</v>
      </c>
      <c r="D555" t="s">
        <v>4046</v>
      </c>
      <c r="E555" t="s">
        <v>4047</v>
      </c>
      <c r="F555" t="s">
        <v>4048</v>
      </c>
    </row>
    <row r="556" spans="1:6" x14ac:dyDescent="0.25">
      <c r="A556" t="s">
        <v>4062</v>
      </c>
      <c r="B556" t="s">
        <v>3975</v>
      </c>
      <c r="C556" t="s">
        <v>34</v>
      </c>
      <c r="D556" s="7">
        <v>0</v>
      </c>
      <c r="E556" s="2">
        <v>586929.15</v>
      </c>
      <c r="F556" s="2">
        <v>586.93</v>
      </c>
    </row>
    <row r="557" spans="1:6" x14ac:dyDescent="0.25">
      <c r="A557" t="s">
        <v>4062</v>
      </c>
      <c r="B557" t="s">
        <v>5492</v>
      </c>
      <c r="C557" t="s">
        <v>63</v>
      </c>
      <c r="D557" s="7">
        <v>1</v>
      </c>
      <c r="E557" s="2">
        <v>17388</v>
      </c>
      <c r="F557" s="2">
        <v>17388</v>
      </c>
    </row>
    <row r="558" spans="1:6" x14ac:dyDescent="0.25">
      <c r="A558" t="s">
        <v>4049</v>
      </c>
      <c r="B558" t="s">
        <v>4487</v>
      </c>
      <c r="C558" t="s">
        <v>4236</v>
      </c>
      <c r="D558" s="7">
        <v>0.4</v>
      </c>
      <c r="E558" s="2">
        <v>24555.22</v>
      </c>
      <c r="F558" s="2">
        <v>9822.09</v>
      </c>
    </row>
    <row r="559" spans="1:6" x14ac:dyDescent="0.25">
      <c r="A559" t="s">
        <v>4052</v>
      </c>
      <c r="B559" t="s">
        <v>4053</v>
      </c>
      <c r="C559" t="s">
        <v>4054</v>
      </c>
      <c r="D559" s="7">
        <v>3.3</v>
      </c>
      <c r="E559" s="2">
        <v>9822.09</v>
      </c>
      <c r="F559" s="2">
        <v>324.13</v>
      </c>
    </row>
    <row r="560" spans="1:6" x14ac:dyDescent="0.25">
      <c r="A560" t="s">
        <v>4055</v>
      </c>
      <c r="D560" s="7"/>
      <c r="E560" s="2"/>
      <c r="F560" s="2">
        <f>SUBTOTAL(109,A_1_12_49[VALOR PARCIAL])</f>
      </c>
    </row>
  </sheetData>
  <mergeCells count="98">
    <mergeCell ref="A4:F4"/>
    <mergeCell ref="A5:F5"/>
    <mergeCell ref="A16:F16"/>
    <mergeCell ref="A17:F17"/>
    <mergeCell ref="A31:F31"/>
    <mergeCell ref="A32:F32"/>
    <mergeCell ref="A44:F44"/>
    <mergeCell ref="A45:F45"/>
    <mergeCell ref="A55:F55"/>
    <mergeCell ref="A56:F56"/>
    <mergeCell ref="A66:F66"/>
    <mergeCell ref="A67:F67"/>
    <mergeCell ref="A79:F79"/>
    <mergeCell ref="A80:F80"/>
    <mergeCell ref="A89:F89"/>
    <mergeCell ref="A90:F90"/>
    <mergeCell ref="A100:F100"/>
    <mergeCell ref="A101:F101"/>
    <mergeCell ref="A109:F109"/>
    <mergeCell ref="A110:F110"/>
    <mergeCell ref="A119:F119"/>
    <mergeCell ref="A120:F120"/>
    <mergeCell ref="A129:F129"/>
    <mergeCell ref="A130:F130"/>
    <mergeCell ref="A141:F141"/>
    <mergeCell ref="A142:F142"/>
    <mergeCell ref="A152:F152"/>
    <mergeCell ref="A153:F153"/>
    <mergeCell ref="A163:F163"/>
    <mergeCell ref="A164:F164"/>
    <mergeCell ref="A175:F175"/>
    <mergeCell ref="A176:F176"/>
    <mergeCell ref="A188:F188"/>
    <mergeCell ref="A189:F189"/>
    <mergeCell ref="A202:F202"/>
    <mergeCell ref="A203:F203"/>
    <mergeCell ref="A214:F214"/>
    <mergeCell ref="A215:F215"/>
    <mergeCell ref="A225:F225"/>
    <mergeCell ref="A226:F226"/>
    <mergeCell ref="A238:F238"/>
    <mergeCell ref="A239:F239"/>
    <mergeCell ref="A251:F251"/>
    <mergeCell ref="A252:F252"/>
    <mergeCell ref="A262:F262"/>
    <mergeCell ref="A263:F263"/>
    <mergeCell ref="A273:F273"/>
    <mergeCell ref="A274:F274"/>
    <mergeCell ref="A284:F284"/>
    <mergeCell ref="A285:F285"/>
    <mergeCell ref="A295:F295"/>
    <mergeCell ref="A296:F296"/>
    <mergeCell ref="A306:F306"/>
    <mergeCell ref="A307:F307"/>
    <mergeCell ref="A317:F317"/>
    <mergeCell ref="A318:F318"/>
    <mergeCell ref="A327:F327"/>
    <mergeCell ref="A328:F328"/>
    <mergeCell ref="A338:F338"/>
    <mergeCell ref="A339:F339"/>
    <mergeCell ref="A349:F349"/>
    <mergeCell ref="A350:F350"/>
    <mergeCell ref="A360:F360"/>
    <mergeCell ref="A361:F361"/>
    <mergeCell ref="A371:F371"/>
    <mergeCell ref="A372:F372"/>
    <mergeCell ref="A382:F382"/>
    <mergeCell ref="A383:F383"/>
    <mergeCell ref="A394:F394"/>
    <mergeCell ref="A395:F395"/>
    <mergeCell ref="A406:F406"/>
    <mergeCell ref="A407:F407"/>
    <mergeCell ref="A418:F418"/>
    <mergeCell ref="A419:F419"/>
    <mergeCell ref="A429:F429"/>
    <mergeCell ref="A430:F430"/>
    <mergeCell ref="A439:F439"/>
    <mergeCell ref="A440:F440"/>
    <mergeCell ref="A449:F449"/>
    <mergeCell ref="A450:F450"/>
    <mergeCell ref="A460:F460"/>
    <mergeCell ref="A461:F461"/>
    <mergeCell ref="A471:F471"/>
    <mergeCell ref="A472:F472"/>
    <mergeCell ref="A481:F481"/>
    <mergeCell ref="A482:F482"/>
    <mergeCell ref="A499:F499"/>
    <mergeCell ref="A500:F500"/>
    <mergeCell ref="A510:F510"/>
    <mergeCell ref="A511:F511"/>
    <mergeCell ref="A521:F521"/>
    <mergeCell ref="A522:F522"/>
    <mergeCell ref="A532:F532"/>
    <mergeCell ref="A533:F533"/>
    <mergeCell ref="A543:F543"/>
    <mergeCell ref="A544:F544"/>
    <mergeCell ref="A553:F553"/>
    <mergeCell ref="A554:F554"/>
  </mergeCells>
  <pageMargins left="0.7" right="0.7" top="0.75" bottom="0.75" header="0.3" footer="0.3"/>
  <pageSetup orientation="portrait" horizontalDpi="4294967295" verticalDpi="4294967295" scale="100" fitToWidth="1" fitToHeight="1"/>
  <tableParts count="4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5493</v>
      </c>
    </row>
    <row r="2" spans="1:1" x14ac:dyDescent="0.25">
      <c r="A2" s="4" t="s">
        <v>5125</v>
      </c>
    </row>
    <row r="4" ht="30" customHeight="1" spans="1:6" x14ac:dyDescent="0.25">
      <c r="A4" s="5" t="s">
        <v>5494</v>
      </c>
      <c r="B4" s="5"/>
      <c r="C4" s="5"/>
      <c r="D4" s="5"/>
      <c r="E4" s="5"/>
      <c r="F4" s="5"/>
    </row>
    <row r="5" ht="42" customHeight="1" spans="1:6" x14ac:dyDescent="0.25">
      <c r="A5" s="6" t="s">
        <v>5495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5496</v>
      </c>
      <c r="C7" t="s">
        <v>63</v>
      </c>
      <c r="D7" s="7">
        <v>1</v>
      </c>
      <c r="E7" s="2">
        <v>58300</v>
      </c>
      <c r="F7" s="2">
        <v>58300</v>
      </c>
    </row>
    <row r="8" spans="1:6" x14ac:dyDescent="0.25">
      <c r="A8" t="s">
        <v>4049</v>
      </c>
      <c r="B8" t="s">
        <v>4050</v>
      </c>
      <c r="C8" t="s">
        <v>4051</v>
      </c>
      <c r="D8" s="7">
        <v>0.5</v>
      </c>
      <c r="E8" s="2">
        <v>9037.33</v>
      </c>
      <c r="F8" s="2">
        <v>4518.66</v>
      </c>
    </row>
    <row r="9" spans="1:6" x14ac:dyDescent="0.25">
      <c r="A9" t="s">
        <v>4049</v>
      </c>
      <c r="B9" t="s">
        <v>4073</v>
      </c>
      <c r="C9" t="s">
        <v>4051</v>
      </c>
      <c r="D9" s="7">
        <v>0.5</v>
      </c>
      <c r="E9" s="2">
        <v>15517.89</v>
      </c>
      <c r="F9" s="2">
        <v>7758.94</v>
      </c>
    </row>
    <row r="10" spans="1:6" x14ac:dyDescent="0.25">
      <c r="A10" t="s">
        <v>4052</v>
      </c>
      <c r="B10" t="s">
        <v>4053</v>
      </c>
      <c r="C10" t="s">
        <v>4054</v>
      </c>
      <c r="D10" s="7">
        <v>3.3</v>
      </c>
      <c r="E10" s="2">
        <v>12277.6</v>
      </c>
      <c r="F10" s="2">
        <v>405.16</v>
      </c>
    </row>
    <row r="11" spans="1:6" x14ac:dyDescent="0.25">
      <c r="A11" t="s">
        <v>4055</v>
      </c>
      <c r="D11" s="7"/>
      <c r="E11" s="2"/>
      <c r="F11" s="2">
        <f>SUBTOTAL(109,A_1_13_01[VALOR PARCIAL])</f>
      </c>
    </row>
    <row r="13" ht="30" customHeight="1" spans="1:6" x14ac:dyDescent="0.25">
      <c r="A13" s="5" t="s">
        <v>5497</v>
      </c>
      <c r="B13" s="5"/>
      <c r="C13" s="5"/>
      <c r="D13" s="5"/>
      <c r="E13" s="5"/>
      <c r="F13" s="5"/>
    </row>
    <row r="14" ht="42" customHeight="1" spans="1:6" x14ac:dyDescent="0.25">
      <c r="A14" s="6" t="s">
        <v>5498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4617</v>
      </c>
      <c r="C16" t="s">
        <v>63</v>
      </c>
      <c r="D16" s="7">
        <v>0.9</v>
      </c>
      <c r="E16" s="2">
        <v>4964</v>
      </c>
      <c r="F16" s="2">
        <v>4467.6</v>
      </c>
    </row>
    <row r="17" spans="1:6" x14ac:dyDescent="0.25">
      <c r="A17" t="s">
        <v>4062</v>
      </c>
      <c r="B17" t="s">
        <v>4065</v>
      </c>
      <c r="C17" t="s">
        <v>4066</v>
      </c>
      <c r="D17" s="7">
        <v>0.04</v>
      </c>
      <c r="E17" s="2">
        <v>3433</v>
      </c>
      <c r="F17" s="2">
        <v>137.32</v>
      </c>
    </row>
    <row r="18" spans="1:6" x14ac:dyDescent="0.25">
      <c r="A18" t="s">
        <v>4062</v>
      </c>
      <c r="B18" t="s">
        <v>4322</v>
      </c>
      <c r="C18" t="s">
        <v>42</v>
      </c>
      <c r="D18" s="7">
        <v>0.74</v>
      </c>
      <c r="E18" s="2">
        <v>5304</v>
      </c>
      <c r="F18" s="2">
        <v>3924.96</v>
      </c>
    </row>
    <row r="19" spans="1:6" x14ac:dyDescent="0.25">
      <c r="A19" t="s">
        <v>4049</v>
      </c>
      <c r="B19" t="s">
        <v>4487</v>
      </c>
      <c r="C19" t="s">
        <v>4236</v>
      </c>
      <c r="D19" s="7">
        <v>1.1</v>
      </c>
      <c r="E19" s="2">
        <v>24555.22</v>
      </c>
      <c r="F19" s="2">
        <v>27010.74</v>
      </c>
    </row>
    <row r="20" spans="1:6" x14ac:dyDescent="0.25">
      <c r="A20" t="s">
        <v>4052</v>
      </c>
      <c r="B20" t="s">
        <v>4105</v>
      </c>
      <c r="C20" t="s">
        <v>4106</v>
      </c>
      <c r="D20" s="7">
        <v>0.1</v>
      </c>
      <c r="E20" s="2">
        <v>25125</v>
      </c>
      <c r="F20" s="2">
        <v>2512.5</v>
      </c>
    </row>
    <row r="21" spans="1:6" x14ac:dyDescent="0.25">
      <c r="A21" t="s">
        <v>4052</v>
      </c>
      <c r="B21" t="s">
        <v>4053</v>
      </c>
      <c r="C21" t="s">
        <v>4054</v>
      </c>
      <c r="D21" s="7">
        <v>3.3</v>
      </c>
      <c r="E21" s="2">
        <v>27010.74</v>
      </c>
      <c r="F21" s="2">
        <v>891.35</v>
      </c>
    </row>
    <row r="22" spans="1:6" x14ac:dyDescent="0.25">
      <c r="A22" t="s">
        <v>4055</v>
      </c>
      <c r="D22" s="7"/>
      <c r="E22" s="2"/>
      <c r="F22" s="2">
        <f>SUBTOTAL(109,A_1_13_02[VALOR PARCIAL])</f>
      </c>
    </row>
    <row r="24" ht="30" customHeight="1" spans="1:6" x14ac:dyDescent="0.25">
      <c r="A24" s="5" t="s">
        <v>5499</v>
      </c>
      <c r="B24" s="5"/>
      <c r="C24" s="5"/>
      <c r="D24" s="5"/>
      <c r="E24" s="5"/>
      <c r="F24" s="5"/>
    </row>
    <row r="25" ht="42" customHeight="1" spans="1:6" x14ac:dyDescent="0.25">
      <c r="A25" s="6" t="s">
        <v>5500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4400</v>
      </c>
      <c r="C27" t="s">
        <v>42</v>
      </c>
      <c r="D27" s="7">
        <v>2.16</v>
      </c>
      <c r="E27" s="2">
        <v>5286.26</v>
      </c>
      <c r="F27" s="2">
        <v>11418.32</v>
      </c>
    </row>
    <row r="28" spans="1:6" x14ac:dyDescent="0.25">
      <c r="A28" t="s">
        <v>4062</v>
      </c>
      <c r="B28" t="s">
        <v>4617</v>
      </c>
      <c r="C28" t="s">
        <v>63</v>
      </c>
      <c r="D28" s="7">
        <v>0.73</v>
      </c>
      <c r="E28" s="2">
        <v>4964</v>
      </c>
      <c r="F28" s="2">
        <v>3623.72</v>
      </c>
    </row>
    <row r="29" spans="1:6" x14ac:dyDescent="0.25">
      <c r="A29" t="s">
        <v>4062</v>
      </c>
      <c r="B29" t="s">
        <v>4065</v>
      </c>
      <c r="C29" t="s">
        <v>4066</v>
      </c>
      <c r="D29" s="7">
        <v>0.04</v>
      </c>
      <c r="E29" s="2">
        <v>3433</v>
      </c>
      <c r="F29" s="2">
        <v>137.32</v>
      </c>
    </row>
    <row r="30" spans="1:6" x14ac:dyDescent="0.25">
      <c r="A30" t="s">
        <v>4049</v>
      </c>
      <c r="B30" t="s">
        <v>4105</v>
      </c>
      <c r="C30" t="s">
        <v>4106</v>
      </c>
      <c r="D30" s="7">
        <v>0.15</v>
      </c>
      <c r="E30" s="2">
        <v>25125</v>
      </c>
      <c r="F30" s="2">
        <v>3768.75</v>
      </c>
    </row>
    <row r="31" spans="1:6" x14ac:dyDescent="0.25">
      <c r="A31" t="s">
        <v>4049</v>
      </c>
      <c r="B31" t="s">
        <v>4050</v>
      </c>
      <c r="C31" t="s">
        <v>4051</v>
      </c>
      <c r="D31" s="7">
        <v>1</v>
      </c>
      <c r="E31" s="2">
        <v>9037.33</v>
      </c>
      <c r="F31" s="2">
        <v>9037.33</v>
      </c>
    </row>
    <row r="32" spans="1:6" x14ac:dyDescent="0.25">
      <c r="A32" t="s">
        <v>4049</v>
      </c>
      <c r="B32" t="s">
        <v>4073</v>
      </c>
      <c r="C32" t="s">
        <v>4051</v>
      </c>
      <c r="D32" s="7">
        <v>1</v>
      </c>
      <c r="E32" s="2">
        <v>15517.89</v>
      </c>
      <c r="F32" s="2">
        <v>15517.89</v>
      </c>
    </row>
    <row r="33" spans="1:6" x14ac:dyDescent="0.25">
      <c r="A33" t="s">
        <v>4052</v>
      </c>
      <c r="B33" t="s">
        <v>4053</v>
      </c>
      <c r="C33" t="s">
        <v>4054</v>
      </c>
      <c r="D33" s="7">
        <v>2</v>
      </c>
      <c r="E33" s="2">
        <v>24555.22</v>
      </c>
      <c r="F33" s="2">
        <v>491.1</v>
      </c>
    </row>
    <row r="34" spans="1:6" x14ac:dyDescent="0.25">
      <c r="A34" t="s">
        <v>4055</v>
      </c>
      <c r="D34" s="7"/>
      <c r="E34" s="2"/>
      <c r="F34" s="2">
        <f>SUBTOTAL(109,A_1_13_03[VALOR PARCIAL])</f>
      </c>
    </row>
    <row r="36" ht="30" customHeight="1" spans="1:6" x14ac:dyDescent="0.25">
      <c r="A36" s="5" t="s">
        <v>5501</v>
      </c>
      <c r="B36" s="5"/>
      <c r="C36" s="5"/>
      <c r="D36" s="5"/>
      <c r="E36" s="5"/>
      <c r="F36" s="5"/>
    </row>
    <row r="37" ht="42" customHeight="1" spans="1:6" x14ac:dyDescent="0.25">
      <c r="A37" s="6" t="s">
        <v>5502</v>
      </c>
      <c r="B37" s="6"/>
      <c r="C37" s="6"/>
      <c r="D37" s="6"/>
      <c r="E37" s="6"/>
      <c r="F37" s="6"/>
    </row>
    <row r="38" spans="1:6" x14ac:dyDescent="0.25">
      <c r="A38" t="s">
        <v>4044</v>
      </c>
      <c r="B38" t="s">
        <v>4045</v>
      </c>
      <c r="C38" t="s">
        <v>5</v>
      </c>
      <c r="D38" t="s">
        <v>4046</v>
      </c>
      <c r="E38" t="s">
        <v>4047</v>
      </c>
      <c r="F38" t="s">
        <v>4048</v>
      </c>
    </row>
    <row r="39" spans="1:6" x14ac:dyDescent="0.25">
      <c r="A39" t="s">
        <v>4062</v>
      </c>
      <c r="B39" t="s">
        <v>5503</v>
      </c>
      <c r="C39" t="s">
        <v>4377</v>
      </c>
      <c r="D39" s="7">
        <v>0.05</v>
      </c>
      <c r="E39" s="2">
        <v>29887</v>
      </c>
      <c r="F39" s="2">
        <v>1494.35</v>
      </c>
    </row>
    <row r="40" spans="1:6" x14ac:dyDescent="0.25">
      <c r="A40" t="s">
        <v>4062</v>
      </c>
      <c r="B40" t="s">
        <v>5504</v>
      </c>
      <c r="C40" t="s">
        <v>21</v>
      </c>
      <c r="D40" s="7">
        <v>1.05</v>
      </c>
      <c r="E40" s="2">
        <v>22959.67</v>
      </c>
      <c r="F40" s="2">
        <v>24107.65</v>
      </c>
    </row>
    <row r="41" spans="1:6" x14ac:dyDescent="0.25">
      <c r="A41" t="s">
        <v>4049</v>
      </c>
      <c r="B41" t="s">
        <v>5505</v>
      </c>
      <c r="C41" t="s">
        <v>4236</v>
      </c>
      <c r="D41" s="7">
        <v>1.4</v>
      </c>
      <c r="E41" s="2">
        <v>29466.27</v>
      </c>
      <c r="F41" s="2">
        <v>41252.78</v>
      </c>
    </row>
    <row r="42" spans="1:6" x14ac:dyDescent="0.25">
      <c r="A42" t="s">
        <v>4052</v>
      </c>
      <c r="B42" t="s">
        <v>4053</v>
      </c>
      <c r="C42" t="s">
        <v>4054</v>
      </c>
      <c r="D42" s="7">
        <v>5</v>
      </c>
      <c r="E42" s="2">
        <v>41252.78</v>
      </c>
      <c r="F42" s="2">
        <v>2062.64</v>
      </c>
    </row>
    <row r="43" spans="1:6" x14ac:dyDescent="0.25">
      <c r="A43" t="s">
        <v>4055</v>
      </c>
      <c r="D43" s="7"/>
      <c r="E43" s="2"/>
      <c r="F43" s="2">
        <f>SUBTOTAL(109,A_1_13_04[VALOR PARCIAL])</f>
      </c>
    </row>
    <row r="45" ht="30" customHeight="1" spans="1:6" x14ac:dyDescent="0.25">
      <c r="A45" s="5" t="s">
        <v>5506</v>
      </c>
      <c r="B45" s="5"/>
      <c r="C45" s="5"/>
      <c r="D45" s="5"/>
      <c r="E45" s="5"/>
      <c r="F45" s="5"/>
    </row>
    <row r="46" ht="42" customHeight="1" spans="1:6" x14ac:dyDescent="0.25">
      <c r="A46" s="6" t="s">
        <v>5507</v>
      </c>
      <c r="B46" s="6"/>
      <c r="C46" s="6"/>
      <c r="D46" s="6"/>
      <c r="E46" s="6"/>
      <c r="F46" s="6"/>
    </row>
    <row r="47" spans="1:6" x14ac:dyDescent="0.25">
      <c r="A47" t="s">
        <v>4044</v>
      </c>
      <c r="B47" t="s">
        <v>4045</v>
      </c>
      <c r="C47" t="s">
        <v>5</v>
      </c>
      <c r="D47" t="s">
        <v>4046</v>
      </c>
      <c r="E47" t="s">
        <v>4047</v>
      </c>
      <c r="F47" t="s">
        <v>4048</v>
      </c>
    </row>
    <row r="48" spans="1:6" x14ac:dyDescent="0.25">
      <c r="A48" t="s">
        <v>4062</v>
      </c>
      <c r="B48" t="s">
        <v>5508</v>
      </c>
      <c r="C48" t="s">
        <v>63</v>
      </c>
      <c r="D48" s="7">
        <v>0.5</v>
      </c>
      <c r="E48" s="2">
        <v>16300</v>
      </c>
      <c r="F48" s="2">
        <v>8150</v>
      </c>
    </row>
    <row r="49" spans="1:6" x14ac:dyDescent="0.25">
      <c r="A49" t="s">
        <v>4062</v>
      </c>
      <c r="B49" t="s">
        <v>5509</v>
      </c>
      <c r="C49" t="s">
        <v>42</v>
      </c>
      <c r="D49" s="7">
        <v>0.8</v>
      </c>
      <c r="E49" s="2">
        <v>1563</v>
      </c>
      <c r="F49" s="2">
        <v>1250.4</v>
      </c>
    </row>
    <row r="50" spans="1:6" x14ac:dyDescent="0.25">
      <c r="A50" t="s">
        <v>4062</v>
      </c>
      <c r="B50" t="s">
        <v>5510</v>
      </c>
      <c r="C50" t="s">
        <v>5511</v>
      </c>
      <c r="D50" s="7">
        <v>1</v>
      </c>
      <c r="E50" s="2">
        <v>26220.06</v>
      </c>
      <c r="F50" s="2">
        <v>26220.06</v>
      </c>
    </row>
    <row r="51" spans="1:6" x14ac:dyDescent="0.25">
      <c r="A51" t="s">
        <v>4062</v>
      </c>
      <c r="B51" t="s">
        <v>5512</v>
      </c>
      <c r="C51" t="s">
        <v>63</v>
      </c>
      <c r="D51" s="7">
        <v>4</v>
      </c>
      <c r="E51" s="2">
        <v>195</v>
      </c>
      <c r="F51" s="2">
        <v>780</v>
      </c>
    </row>
    <row r="52" spans="1:6" x14ac:dyDescent="0.25">
      <c r="A52" t="s">
        <v>4049</v>
      </c>
      <c r="B52" t="s">
        <v>4235</v>
      </c>
      <c r="C52" t="s">
        <v>4236</v>
      </c>
      <c r="D52" s="7">
        <v>0.6</v>
      </c>
      <c r="E52" s="2">
        <v>27010.74</v>
      </c>
      <c r="F52" s="2">
        <v>16206.44</v>
      </c>
    </row>
    <row r="53" spans="1:6" x14ac:dyDescent="0.25">
      <c r="A53" t="s">
        <v>4052</v>
      </c>
      <c r="B53" t="s">
        <v>4105</v>
      </c>
      <c r="C53" t="s">
        <v>4106</v>
      </c>
      <c r="D53" s="7">
        <v>0.13</v>
      </c>
      <c r="E53" s="2">
        <v>25125</v>
      </c>
      <c r="F53" s="2">
        <v>3140.63</v>
      </c>
    </row>
    <row r="54" spans="1:6" x14ac:dyDescent="0.25">
      <c r="A54" t="s">
        <v>4052</v>
      </c>
      <c r="B54" t="s">
        <v>4053</v>
      </c>
      <c r="C54" t="s">
        <v>4054</v>
      </c>
      <c r="D54" s="7">
        <v>3.3</v>
      </c>
      <c r="E54" s="2">
        <v>16206.44</v>
      </c>
      <c r="F54" s="2">
        <v>534.81</v>
      </c>
    </row>
    <row r="55" spans="1:6" x14ac:dyDescent="0.25">
      <c r="A55" t="s">
        <v>4055</v>
      </c>
      <c r="D55" s="7"/>
      <c r="E55" s="2"/>
      <c r="F55" s="2">
        <f>SUBTOTAL(109,A_1_13_05[VALOR PARCIAL])</f>
      </c>
    </row>
    <row r="57" ht="30" customHeight="1" spans="1:6" x14ac:dyDescent="0.25">
      <c r="A57" s="5" t="s">
        <v>5513</v>
      </c>
      <c r="B57" s="5"/>
      <c r="C57" s="5"/>
      <c r="D57" s="5"/>
      <c r="E57" s="5"/>
      <c r="F57" s="5"/>
    </row>
    <row r="58" ht="42" customHeight="1" spans="1:6" x14ac:dyDescent="0.25">
      <c r="A58" s="6" t="s">
        <v>5514</v>
      </c>
      <c r="B58" s="6"/>
      <c r="C58" s="6"/>
      <c r="D58" s="6"/>
      <c r="E58" s="6"/>
      <c r="F58" s="6"/>
    </row>
    <row r="59" spans="1:6" x14ac:dyDescent="0.25">
      <c r="A59" t="s">
        <v>4044</v>
      </c>
      <c r="B59" t="s">
        <v>4045</v>
      </c>
      <c r="C59" t="s">
        <v>5</v>
      </c>
      <c r="D59" t="s">
        <v>4046</v>
      </c>
      <c r="E59" t="s">
        <v>4047</v>
      </c>
      <c r="F59" t="s">
        <v>4048</v>
      </c>
    </row>
    <row r="60" spans="1:6" x14ac:dyDescent="0.25">
      <c r="A60" t="s">
        <v>4062</v>
      </c>
      <c r="B60" t="s">
        <v>4526</v>
      </c>
      <c r="C60" t="s">
        <v>63</v>
      </c>
      <c r="D60" s="7">
        <v>5.4</v>
      </c>
      <c r="E60" s="2">
        <v>25</v>
      </c>
      <c r="F60" s="2">
        <v>135</v>
      </c>
    </row>
    <row r="61" spans="1:6" x14ac:dyDescent="0.25">
      <c r="A61" t="s">
        <v>4062</v>
      </c>
      <c r="B61" t="s">
        <v>5515</v>
      </c>
      <c r="C61" t="s">
        <v>63</v>
      </c>
      <c r="D61" s="7">
        <v>11</v>
      </c>
      <c r="E61" s="2">
        <v>100</v>
      </c>
      <c r="F61" s="2">
        <v>1100</v>
      </c>
    </row>
    <row r="62" spans="1:6" x14ac:dyDescent="0.25">
      <c r="A62" t="s">
        <v>4062</v>
      </c>
      <c r="B62" t="s">
        <v>5508</v>
      </c>
      <c r="C62" t="s">
        <v>63</v>
      </c>
      <c r="D62" s="7">
        <v>0.45</v>
      </c>
      <c r="E62" s="2">
        <v>16300</v>
      </c>
      <c r="F62" s="2">
        <v>7335</v>
      </c>
    </row>
    <row r="63" spans="1:6" x14ac:dyDescent="0.25">
      <c r="A63" t="s">
        <v>4062</v>
      </c>
      <c r="B63" t="s">
        <v>5516</v>
      </c>
      <c r="C63" t="s">
        <v>63</v>
      </c>
      <c r="D63" s="7">
        <v>0.56</v>
      </c>
      <c r="E63" s="2">
        <v>3514.67</v>
      </c>
      <c r="F63" s="2">
        <v>1968.22</v>
      </c>
    </row>
    <row r="64" spans="1:6" x14ac:dyDescent="0.25">
      <c r="A64" t="s">
        <v>4062</v>
      </c>
      <c r="B64" t="s">
        <v>4598</v>
      </c>
      <c r="C64" t="s">
        <v>42</v>
      </c>
      <c r="D64" s="7">
        <v>30</v>
      </c>
      <c r="E64" s="2">
        <v>164.11</v>
      </c>
      <c r="F64" s="2">
        <v>4923.3</v>
      </c>
    </row>
    <row r="65" spans="1:6" x14ac:dyDescent="0.25">
      <c r="A65" t="s">
        <v>4062</v>
      </c>
      <c r="B65" t="s">
        <v>4534</v>
      </c>
      <c r="C65" t="s">
        <v>63</v>
      </c>
      <c r="D65" s="7">
        <v>0.35</v>
      </c>
      <c r="E65" s="2">
        <v>21442.67</v>
      </c>
      <c r="F65" s="2">
        <v>7504.93</v>
      </c>
    </row>
    <row r="66" spans="1:6" x14ac:dyDescent="0.25">
      <c r="A66" t="s">
        <v>4062</v>
      </c>
      <c r="B66" t="s">
        <v>4536</v>
      </c>
      <c r="C66" t="s">
        <v>63</v>
      </c>
      <c r="D66" s="7">
        <v>0.14</v>
      </c>
      <c r="E66" s="2">
        <v>37625</v>
      </c>
      <c r="F66" s="2">
        <v>5267.5</v>
      </c>
    </row>
    <row r="67" spans="1:6" x14ac:dyDescent="0.25">
      <c r="A67" t="s">
        <v>4062</v>
      </c>
      <c r="B67" t="s">
        <v>5517</v>
      </c>
      <c r="C67" t="s">
        <v>63</v>
      </c>
      <c r="D67" s="7">
        <v>0.81</v>
      </c>
      <c r="E67" s="2">
        <v>4150</v>
      </c>
      <c r="F67" s="2">
        <v>3361.5</v>
      </c>
    </row>
    <row r="68" spans="1:6" x14ac:dyDescent="0.25">
      <c r="A68" t="s">
        <v>4049</v>
      </c>
      <c r="B68" t="s">
        <v>4050</v>
      </c>
      <c r="C68" t="s">
        <v>4051</v>
      </c>
      <c r="D68" s="7">
        <v>1</v>
      </c>
      <c r="E68" s="2">
        <v>9037.33</v>
      </c>
      <c r="F68" s="2">
        <v>9037.33</v>
      </c>
    </row>
    <row r="69" spans="1:6" x14ac:dyDescent="0.25">
      <c r="A69" t="s">
        <v>4049</v>
      </c>
      <c r="B69" t="s">
        <v>4073</v>
      </c>
      <c r="C69" t="s">
        <v>4051</v>
      </c>
      <c r="D69" s="7">
        <v>1</v>
      </c>
      <c r="E69" s="2">
        <v>15517.89</v>
      </c>
      <c r="F69" s="2">
        <v>15517.89</v>
      </c>
    </row>
    <row r="70" spans="1:6" x14ac:dyDescent="0.25">
      <c r="A70" t="s">
        <v>4052</v>
      </c>
      <c r="B70" t="s">
        <v>4105</v>
      </c>
      <c r="C70" t="s">
        <v>4106</v>
      </c>
      <c r="D70" s="7">
        <v>0.13</v>
      </c>
      <c r="E70" s="2">
        <v>25125</v>
      </c>
      <c r="F70" s="2">
        <v>3140.63</v>
      </c>
    </row>
    <row r="71" spans="1:6" x14ac:dyDescent="0.25">
      <c r="A71" t="s">
        <v>4052</v>
      </c>
      <c r="B71" t="s">
        <v>4053</v>
      </c>
      <c r="C71" t="s">
        <v>4054</v>
      </c>
      <c r="D71" s="7">
        <v>3.3</v>
      </c>
      <c r="E71" s="2">
        <v>24555.22</v>
      </c>
      <c r="F71" s="2">
        <v>810.32</v>
      </c>
    </row>
    <row r="72" spans="1:6" x14ac:dyDescent="0.25">
      <c r="A72" t="s">
        <v>4055</v>
      </c>
      <c r="D72" s="7"/>
      <c r="E72" s="2"/>
      <c r="F72" s="2">
        <f>SUBTOTAL(109,A_1_13_06[VALOR PARCIAL])</f>
      </c>
    </row>
    <row r="74" ht="30" customHeight="1" spans="1:6" x14ac:dyDescent="0.25">
      <c r="A74" s="5" t="s">
        <v>5518</v>
      </c>
      <c r="B74" s="5"/>
      <c r="C74" s="5"/>
      <c r="D74" s="5"/>
      <c r="E74" s="5"/>
      <c r="F74" s="5"/>
    </row>
    <row r="75" ht="42" customHeight="1" spans="1:6" x14ac:dyDescent="0.25">
      <c r="A75" s="6" t="s">
        <v>5519</v>
      </c>
      <c r="B75" s="6"/>
      <c r="C75" s="6"/>
      <c r="D75" s="6"/>
      <c r="E75" s="6"/>
      <c r="F75" s="6"/>
    </row>
    <row r="76" spans="1:6" x14ac:dyDescent="0.25">
      <c r="A76" t="s">
        <v>4044</v>
      </c>
      <c r="B76" t="s">
        <v>4045</v>
      </c>
      <c r="C76" t="s">
        <v>5</v>
      </c>
      <c r="D76" t="s">
        <v>4046</v>
      </c>
      <c r="E76" t="s">
        <v>4047</v>
      </c>
      <c r="F76" t="s">
        <v>4048</v>
      </c>
    </row>
    <row r="77" spans="1:6" x14ac:dyDescent="0.25">
      <c r="A77" t="s">
        <v>4062</v>
      </c>
      <c r="B77" t="s">
        <v>5508</v>
      </c>
      <c r="C77" t="s">
        <v>63</v>
      </c>
      <c r="D77" s="7">
        <v>0.5</v>
      </c>
      <c r="E77" s="2">
        <v>16300</v>
      </c>
      <c r="F77" s="2">
        <v>8150</v>
      </c>
    </row>
    <row r="78" spans="1:6" x14ac:dyDescent="0.25">
      <c r="A78" t="s">
        <v>4062</v>
      </c>
      <c r="B78" t="s">
        <v>5509</v>
      </c>
      <c r="C78" t="s">
        <v>42</v>
      </c>
      <c r="D78" s="7">
        <v>0.8</v>
      </c>
      <c r="E78" s="2">
        <v>1563</v>
      </c>
      <c r="F78" s="2">
        <v>1250.4</v>
      </c>
    </row>
    <row r="79" spans="1:6" x14ac:dyDescent="0.25">
      <c r="A79" t="s">
        <v>4062</v>
      </c>
      <c r="B79" t="s">
        <v>5520</v>
      </c>
      <c r="C79" t="s">
        <v>63</v>
      </c>
      <c r="D79" s="7">
        <v>1</v>
      </c>
      <c r="E79" s="2">
        <v>25555.7</v>
      </c>
      <c r="F79" s="2">
        <v>25555.7</v>
      </c>
    </row>
    <row r="80" spans="1:6" x14ac:dyDescent="0.25">
      <c r="A80" t="s">
        <v>4062</v>
      </c>
      <c r="B80" t="s">
        <v>5512</v>
      </c>
      <c r="C80" t="s">
        <v>63</v>
      </c>
      <c r="D80" s="7">
        <v>4</v>
      </c>
      <c r="E80" s="2">
        <v>195</v>
      </c>
      <c r="F80" s="2">
        <v>780</v>
      </c>
    </row>
    <row r="81" spans="1:6" x14ac:dyDescent="0.25">
      <c r="A81" t="s">
        <v>4049</v>
      </c>
      <c r="B81" t="s">
        <v>4050</v>
      </c>
      <c r="C81" t="s">
        <v>4051</v>
      </c>
      <c r="D81" s="7">
        <v>0.6</v>
      </c>
      <c r="E81" s="2">
        <v>9037.33</v>
      </c>
      <c r="F81" s="2">
        <v>5422.4</v>
      </c>
    </row>
    <row r="82" spans="1:6" x14ac:dyDescent="0.25">
      <c r="A82" t="s">
        <v>4049</v>
      </c>
      <c r="B82" t="s">
        <v>4073</v>
      </c>
      <c r="C82" t="s">
        <v>4051</v>
      </c>
      <c r="D82" s="7">
        <v>0.6</v>
      </c>
      <c r="E82" s="2">
        <v>15517.89</v>
      </c>
      <c r="F82" s="2">
        <v>9310.73</v>
      </c>
    </row>
    <row r="83" spans="1:6" x14ac:dyDescent="0.25">
      <c r="A83" t="s">
        <v>4052</v>
      </c>
      <c r="B83" t="s">
        <v>4105</v>
      </c>
      <c r="C83" t="s">
        <v>4106</v>
      </c>
      <c r="D83" s="7">
        <v>0.13</v>
      </c>
      <c r="E83" s="2">
        <v>25125</v>
      </c>
      <c r="F83" s="2">
        <v>3140.63</v>
      </c>
    </row>
    <row r="84" spans="1:6" x14ac:dyDescent="0.25">
      <c r="A84" t="s">
        <v>4052</v>
      </c>
      <c r="B84" t="s">
        <v>4053</v>
      </c>
      <c r="C84" t="s">
        <v>4054</v>
      </c>
      <c r="D84" s="7">
        <v>3.3</v>
      </c>
      <c r="E84" s="2">
        <v>14733.13</v>
      </c>
      <c r="F84" s="2">
        <v>486.19</v>
      </c>
    </row>
    <row r="85" spans="1:6" x14ac:dyDescent="0.25">
      <c r="A85" t="s">
        <v>4055</v>
      </c>
      <c r="D85" s="7"/>
      <c r="E85" s="2"/>
      <c r="F85" s="2">
        <f>SUBTOTAL(109,A_1_13_07[VALOR PARCIAL])</f>
      </c>
    </row>
    <row r="87" ht="30" customHeight="1" spans="1:6" x14ac:dyDescent="0.25">
      <c r="A87" s="5" t="s">
        <v>5521</v>
      </c>
      <c r="B87" s="5"/>
      <c r="C87" s="5"/>
      <c r="D87" s="5"/>
      <c r="E87" s="5"/>
      <c r="F87" s="5"/>
    </row>
    <row r="88" ht="42" customHeight="1" spans="1:6" x14ac:dyDescent="0.25">
      <c r="A88" s="6" t="s">
        <v>5522</v>
      </c>
      <c r="B88" s="6"/>
      <c r="C88" s="6"/>
      <c r="D88" s="6"/>
      <c r="E88" s="6"/>
      <c r="F88" s="6"/>
    </row>
    <row r="89" spans="1:6" x14ac:dyDescent="0.25">
      <c r="A89" t="s">
        <v>4044</v>
      </c>
      <c r="B89" t="s">
        <v>4045</v>
      </c>
      <c r="C89" t="s">
        <v>5</v>
      </c>
      <c r="D89" t="s">
        <v>4046</v>
      </c>
      <c r="E89" t="s">
        <v>4047</v>
      </c>
      <c r="F89" t="s">
        <v>4048</v>
      </c>
    </row>
    <row r="90" spans="1:6" x14ac:dyDescent="0.25">
      <c r="A90" t="s">
        <v>4062</v>
      </c>
      <c r="B90" t="s">
        <v>5523</v>
      </c>
      <c r="C90" t="s">
        <v>21</v>
      </c>
      <c r="D90" s="7">
        <v>1</v>
      </c>
      <c r="E90" s="2">
        <v>27444</v>
      </c>
      <c r="F90" s="2">
        <v>27444</v>
      </c>
    </row>
    <row r="91" spans="1:6" x14ac:dyDescent="0.25">
      <c r="A91" t="s">
        <v>4062</v>
      </c>
      <c r="B91" t="s">
        <v>4322</v>
      </c>
      <c r="C91" t="s">
        <v>42</v>
      </c>
      <c r="D91" s="7">
        <v>2</v>
      </c>
      <c r="E91" s="2">
        <v>5304</v>
      </c>
      <c r="F91" s="2">
        <v>10608</v>
      </c>
    </row>
    <row r="92" spans="1:6" x14ac:dyDescent="0.25">
      <c r="A92" t="s">
        <v>4049</v>
      </c>
      <c r="B92" t="s">
        <v>4050</v>
      </c>
      <c r="C92" t="s">
        <v>4051</v>
      </c>
      <c r="D92" s="7">
        <v>0.5</v>
      </c>
      <c r="E92" s="2">
        <v>9037.33</v>
      </c>
      <c r="F92" s="2">
        <v>4518.66</v>
      </c>
    </row>
    <row r="93" spans="1:6" x14ac:dyDescent="0.25">
      <c r="A93" t="s">
        <v>4049</v>
      </c>
      <c r="B93" t="s">
        <v>4073</v>
      </c>
      <c r="C93" t="s">
        <v>4051</v>
      </c>
      <c r="D93" s="7">
        <v>0.5</v>
      </c>
      <c r="E93" s="2">
        <v>15517.89</v>
      </c>
      <c r="F93" s="2">
        <v>7758.94</v>
      </c>
    </row>
    <row r="94" spans="1:6" x14ac:dyDescent="0.25">
      <c r="A94" t="s">
        <v>4052</v>
      </c>
      <c r="B94" t="s">
        <v>4105</v>
      </c>
      <c r="C94" t="s">
        <v>4106</v>
      </c>
      <c r="D94" s="7">
        <v>0.13</v>
      </c>
      <c r="E94" s="2">
        <v>25125</v>
      </c>
      <c r="F94" s="2">
        <v>3140.63</v>
      </c>
    </row>
    <row r="95" spans="1:6" x14ac:dyDescent="0.25">
      <c r="A95" t="s">
        <v>4052</v>
      </c>
      <c r="B95" t="s">
        <v>4053</v>
      </c>
      <c r="C95" t="s">
        <v>4054</v>
      </c>
      <c r="D95" s="7">
        <v>3.3</v>
      </c>
      <c r="E95" s="2">
        <v>12277.6</v>
      </c>
      <c r="F95" s="2">
        <v>405.16</v>
      </c>
    </row>
    <row r="96" spans="1:6" x14ac:dyDescent="0.25">
      <c r="A96" t="s">
        <v>4055</v>
      </c>
      <c r="D96" s="7"/>
      <c r="E96" s="2"/>
      <c r="F96" s="2">
        <f>SUBTOTAL(109,A_1_13_08[VALOR PARCIAL])</f>
      </c>
    </row>
    <row r="98" ht="30" customHeight="1" spans="1:6" x14ac:dyDescent="0.25">
      <c r="A98" s="5" t="s">
        <v>5524</v>
      </c>
      <c r="B98" s="5"/>
      <c r="C98" s="5"/>
      <c r="D98" s="5"/>
      <c r="E98" s="5"/>
      <c r="F98" s="5"/>
    </row>
    <row r="99" ht="42" customHeight="1" spans="1:6" x14ac:dyDescent="0.25">
      <c r="A99" s="6" t="s">
        <v>5525</v>
      </c>
      <c r="B99" s="6"/>
      <c r="C99" s="6"/>
      <c r="D99" s="6"/>
      <c r="E99" s="6"/>
      <c r="F99" s="6"/>
    </row>
    <row r="100" spans="1:6" x14ac:dyDescent="0.25">
      <c r="A100" t="s">
        <v>4044</v>
      </c>
      <c r="B100" t="s">
        <v>4045</v>
      </c>
      <c r="C100" t="s">
        <v>5</v>
      </c>
      <c r="D100" t="s">
        <v>4046</v>
      </c>
      <c r="E100" t="s">
        <v>4047</v>
      </c>
      <c r="F100" t="s">
        <v>4048</v>
      </c>
    </row>
    <row r="101" spans="1:6" x14ac:dyDescent="0.25">
      <c r="A101" t="s">
        <v>4062</v>
      </c>
      <c r="B101" t="s">
        <v>4526</v>
      </c>
      <c r="C101" t="s">
        <v>63</v>
      </c>
      <c r="D101" s="7">
        <v>9</v>
      </c>
      <c r="E101" s="2">
        <v>25</v>
      </c>
      <c r="F101" s="2">
        <v>225</v>
      </c>
    </row>
    <row r="102" spans="1:6" x14ac:dyDescent="0.25">
      <c r="A102" t="s">
        <v>4062</v>
      </c>
      <c r="B102" t="s">
        <v>5515</v>
      </c>
      <c r="C102" t="s">
        <v>63</v>
      </c>
      <c r="D102" s="7">
        <v>11</v>
      </c>
      <c r="E102" s="2">
        <v>100</v>
      </c>
      <c r="F102" s="2">
        <v>1100</v>
      </c>
    </row>
    <row r="103" spans="1:6" x14ac:dyDescent="0.25">
      <c r="A103" t="s">
        <v>4062</v>
      </c>
      <c r="B103" t="s">
        <v>5508</v>
      </c>
      <c r="C103" t="s">
        <v>63</v>
      </c>
      <c r="D103" s="7">
        <v>0.42</v>
      </c>
      <c r="E103" s="2">
        <v>16300</v>
      </c>
      <c r="F103" s="2">
        <v>6846</v>
      </c>
    </row>
    <row r="104" spans="1:6" x14ac:dyDescent="0.25">
      <c r="A104" t="s">
        <v>4062</v>
      </c>
      <c r="B104" t="s">
        <v>5516</v>
      </c>
      <c r="C104" t="s">
        <v>63</v>
      </c>
      <c r="D104" s="7">
        <v>0.56</v>
      </c>
      <c r="E104" s="2">
        <v>3514.67</v>
      </c>
      <c r="F104" s="2">
        <v>1968.22</v>
      </c>
    </row>
    <row r="105" spans="1:6" x14ac:dyDescent="0.25">
      <c r="A105" t="s">
        <v>4062</v>
      </c>
      <c r="B105" t="s">
        <v>4598</v>
      </c>
      <c r="C105" t="s">
        <v>42</v>
      </c>
      <c r="D105" s="7">
        <v>2</v>
      </c>
      <c r="E105" s="2">
        <v>164.11</v>
      </c>
      <c r="F105" s="2">
        <v>328.22</v>
      </c>
    </row>
    <row r="106" spans="1:6" x14ac:dyDescent="0.25">
      <c r="A106" t="s">
        <v>4062</v>
      </c>
      <c r="B106" t="s">
        <v>4599</v>
      </c>
      <c r="C106" t="s">
        <v>63</v>
      </c>
      <c r="D106" s="7">
        <v>0.34</v>
      </c>
      <c r="E106" s="2">
        <v>63949.67</v>
      </c>
      <c r="F106" s="2">
        <v>21742.89</v>
      </c>
    </row>
    <row r="107" spans="1:6" x14ac:dyDescent="0.25">
      <c r="A107" t="s">
        <v>4062</v>
      </c>
      <c r="B107" t="s">
        <v>4536</v>
      </c>
      <c r="C107" t="s">
        <v>63</v>
      </c>
      <c r="D107" s="7">
        <v>0.14</v>
      </c>
      <c r="E107" s="2">
        <v>37625</v>
      </c>
      <c r="F107" s="2">
        <v>5267.5</v>
      </c>
    </row>
    <row r="108" spans="1:6" x14ac:dyDescent="0.25">
      <c r="A108" t="s">
        <v>4062</v>
      </c>
      <c r="B108" t="s">
        <v>5517</v>
      </c>
      <c r="C108" t="s">
        <v>63</v>
      </c>
      <c r="D108" s="7">
        <v>0.81</v>
      </c>
      <c r="E108" s="2">
        <v>4150</v>
      </c>
      <c r="F108" s="2">
        <v>3361.5</v>
      </c>
    </row>
    <row r="109" spans="1:6" x14ac:dyDescent="0.25">
      <c r="A109" t="s">
        <v>4049</v>
      </c>
      <c r="B109" t="s">
        <v>4050</v>
      </c>
      <c r="C109" t="s">
        <v>4051</v>
      </c>
      <c r="D109" s="7">
        <v>1.2</v>
      </c>
      <c r="E109" s="2">
        <v>9037.33</v>
      </c>
      <c r="F109" s="2">
        <v>10844.8</v>
      </c>
    </row>
    <row r="110" spans="1:6" x14ac:dyDescent="0.25">
      <c r="A110" t="s">
        <v>4049</v>
      </c>
      <c r="B110" t="s">
        <v>4073</v>
      </c>
      <c r="C110" t="s">
        <v>4051</v>
      </c>
      <c r="D110" s="7">
        <v>1.2</v>
      </c>
      <c r="E110" s="2">
        <v>15517.89</v>
      </c>
      <c r="F110" s="2">
        <v>18621.47</v>
      </c>
    </row>
    <row r="111" spans="1:6" x14ac:dyDescent="0.25">
      <c r="A111" t="s">
        <v>4052</v>
      </c>
      <c r="B111" t="s">
        <v>4105</v>
      </c>
      <c r="C111" t="s">
        <v>4106</v>
      </c>
      <c r="D111" s="7">
        <v>0.13</v>
      </c>
      <c r="E111" s="2">
        <v>25125</v>
      </c>
      <c r="F111" s="2">
        <v>3140.63</v>
      </c>
    </row>
    <row r="112" spans="1:6" x14ac:dyDescent="0.25">
      <c r="A112" t="s">
        <v>4052</v>
      </c>
      <c r="B112" t="s">
        <v>4053</v>
      </c>
      <c r="C112" t="s">
        <v>4054</v>
      </c>
      <c r="D112" s="7">
        <v>3.3</v>
      </c>
      <c r="E112" s="2">
        <v>29466.27</v>
      </c>
      <c r="F112" s="2">
        <v>972.39</v>
      </c>
    </row>
    <row r="113" spans="1:6" x14ac:dyDescent="0.25">
      <c r="A113" t="s">
        <v>4055</v>
      </c>
      <c r="D113" s="7"/>
      <c r="E113" s="2"/>
      <c r="F113" s="2">
        <f>SUBTOTAL(109,A_1_13_09[VALOR PARCIAL])</f>
      </c>
    </row>
    <row r="115" ht="30" customHeight="1" spans="1:6" x14ac:dyDescent="0.25">
      <c r="A115" s="5" t="s">
        <v>5526</v>
      </c>
      <c r="B115" s="5"/>
      <c r="C115" s="5"/>
      <c r="D115" s="5"/>
      <c r="E115" s="5"/>
      <c r="F115" s="5"/>
    </row>
    <row r="116" ht="42" customHeight="1" spans="1:6" x14ac:dyDescent="0.25">
      <c r="A116" s="6" t="s">
        <v>5527</v>
      </c>
      <c r="B116" s="6"/>
      <c r="C116" s="6"/>
      <c r="D116" s="6"/>
      <c r="E116" s="6"/>
      <c r="F116" s="6"/>
    </row>
    <row r="117" spans="1:6" x14ac:dyDescent="0.25">
      <c r="A117" t="s">
        <v>4044</v>
      </c>
      <c r="B117" t="s">
        <v>4045</v>
      </c>
      <c r="C117" t="s">
        <v>5</v>
      </c>
      <c r="D117" t="s">
        <v>4046</v>
      </c>
      <c r="E117" t="s">
        <v>4047</v>
      </c>
      <c r="F117" t="s">
        <v>4048</v>
      </c>
    </row>
    <row r="118" spans="1:6" x14ac:dyDescent="0.25">
      <c r="A118" t="s">
        <v>4062</v>
      </c>
      <c r="B118" t="s">
        <v>5528</v>
      </c>
      <c r="C118" t="s">
        <v>231</v>
      </c>
      <c r="D118" s="7">
        <v>0.05</v>
      </c>
      <c r="E118" s="2">
        <v>28903</v>
      </c>
      <c r="F118" s="2">
        <v>1445.15</v>
      </c>
    </row>
    <row r="119" spans="1:6" x14ac:dyDescent="0.25">
      <c r="A119" t="s">
        <v>4062</v>
      </c>
      <c r="B119" t="s">
        <v>5529</v>
      </c>
      <c r="C119" t="s">
        <v>21</v>
      </c>
      <c r="D119" s="7">
        <v>1.03</v>
      </c>
      <c r="E119" s="2">
        <v>13700</v>
      </c>
      <c r="F119" s="2">
        <v>14111</v>
      </c>
    </row>
    <row r="120" spans="1:6" x14ac:dyDescent="0.25">
      <c r="A120" t="s">
        <v>4062</v>
      </c>
      <c r="B120" t="s">
        <v>5530</v>
      </c>
      <c r="C120" t="s">
        <v>42</v>
      </c>
      <c r="D120" s="7">
        <v>0.2</v>
      </c>
      <c r="E120" s="2">
        <v>4000</v>
      </c>
      <c r="F120" s="2">
        <v>800</v>
      </c>
    </row>
    <row r="121" spans="1:6" x14ac:dyDescent="0.25">
      <c r="A121" t="s">
        <v>4062</v>
      </c>
      <c r="B121" t="s">
        <v>4443</v>
      </c>
      <c r="C121" t="s">
        <v>42</v>
      </c>
      <c r="D121" s="7">
        <v>2</v>
      </c>
      <c r="E121" s="2">
        <v>4244.21</v>
      </c>
      <c r="F121" s="2">
        <v>8488.42</v>
      </c>
    </row>
    <row r="122" spans="1:6" x14ac:dyDescent="0.25">
      <c r="A122" t="s">
        <v>4062</v>
      </c>
      <c r="B122" t="s">
        <v>4065</v>
      </c>
      <c r="C122" t="s">
        <v>4066</v>
      </c>
      <c r="D122" s="7">
        <v>0.27</v>
      </c>
      <c r="E122" s="2">
        <v>3433</v>
      </c>
      <c r="F122" s="2">
        <v>926.91</v>
      </c>
    </row>
    <row r="123" spans="1:6" x14ac:dyDescent="0.25">
      <c r="A123" t="s">
        <v>4049</v>
      </c>
      <c r="B123" t="s">
        <v>4105</v>
      </c>
      <c r="C123" t="s">
        <v>4106</v>
      </c>
      <c r="D123" s="7">
        <v>0.13</v>
      </c>
      <c r="E123" s="2">
        <v>25125</v>
      </c>
      <c r="F123" s="2">
        <v>3140.63</v>
      </c>
    </row>
    <row r="124" spans="1:6" x14ac:dyDescent="0.25">
      <c r="A124" t="s">
        <v>4049</v>
      </c>
      <c r="B124" t="s">
        <v>4050</v>
      </c>
      <c r="C124" t="s">
        <v>4051</v>
      </c>
      <c r="D124" s="7">
        <v>1.5</v>
      </c>
      <c r="E124" s="2">
        <v>9037.33</v>
      </c>
      <c r="F124" s="2">
        <v>13555.99</v>
      </c>
    </row>
    <row r="125" spans="1:6" x14ac:dyDescent="0.25">
      <c r="A125" t="s">
        <v>4049</v>
      </c>
      <c r="B125" t="s">
        <v>4073</v>
      </c>
      <c r="C125" t="s">
        <v>4051</v>
      </c>
      <c r="D125" s="7">
        <v>1.5</v>
      </c>
      <c r="E125" s="2">
        <v>15517.89</v>
      </c>
      <c r="F125" s="2">
        <v>23276.83</v>
      </c>
    </row>
    <row r="126" spans="1:6" x14ac:dyDescent="0.25">
      <c r="A126" t="s">
        <v>4052</v>
      </c>
      <c r="B126" t="s">
        <v>4053</v>
      </c>
      <c r="C126" t="s">
        <v>4054</v>
      </c>
      <c r="D126" s="7">
        <v>2.5</v>
      </c>
      <c r="E126" s="2">
        <v>36832.82</v>
      </c>
      <c r="F126" s="2">
        <v>920.82</v>
      </c>
    </row>
    <row r="127" spans="1:6" x14ac:dyDescent="0.25">
      <c r="A127" t="s">
        <v>4055</v>
      </c>
      <c r="D127" s="7"/>
      <c r="E127" s="2"/>
      <c r="F127" s="2">
        <f>SUBTOTAL(109,A_1_13_10[VALOR PARCIAL])</f>
      </c>
    </row>
    <row r="129" ht="30" customHeight="1" spans="1:6" x14ac:dyDescent="0.25">
      <c r="A129" s="5" t="s">
        <v>5531</v>
      </c>
      <c r="B129" s="5"/>
      <c r="C129" s="5"/>
      <c r="D129" s="5"/>
      <c r="E129" s="5"/>
      <c r="F129" s="5"/>
    </row>
    <row r="130" ht="42" customHeight="1" spans="1:6" x14ac:dyDescent="0.25">
      <c r="A130" s="6" t="s">
        <v>5532</v>
      </c>
      <c r="B130" s="6"/>
      <c r="C130" s="6"/>
      <c r="D130" s="6"/>
      <c r="E130" s="6"/>
      <c r="F130" s="6"/>
    </row>
    <row r="131" spans="1:6" x14ac:dyDescent="0.25">
      <c r="A131" t="s">
        <v>4044</v>
      </c>
      <c r="B131" t="s">
        <v>4045</v>
      </c>
      <c r="C131" t="s">
        <v>5</v>
      </c>
      <c r="D131" t="s">
        <v>4046</v>
      </c>
      <c r="E131" t="s">
        <v>4047</v>
      </c>
      <c r="F131" t="s">
        <v>4048</v>
      </c>
    </row>
    <row r="132" spans="1:6" x14ac:dyDescent="0.25">
      <c r="A132" t="s">
        <v>4062</v>
      </c>
      <c r="B132" t="s">
        <v>5508</v>
      </c>
      <c r="C132" t="s">
        <v>63</v>
      </c>
      <c r="D132" s="7">
        <v>1.25</v>
      </c>
      <c r="E132" s="2">
        <v>16300</v>
      </c>
      <c r="F132" s="2">
        <v>20375</v>
      </c>
    </row>
    <row r="133" spans="1:6" x14ac:dyDescent="0.25">
      <c r="A133" t="s">
        <v>4062</v>
      </c>
      <c r="B133" t="s">
        <v>5509</v>
      </c>
      <c r="C133" t="s">
        <v>42</v>
      </c>
      <c r="D133" s="7">
        <v>0.8</v>
      </c>
      <c r="E133" s="2">
        <v>1563</v>
      </c>
      <c r="F133" s="2">
        <v>1254.15</v>
      </c>
    </row>
    <row r="134" spans="1:6" x14ac:dyDescent="0.25">
      <c r="A134" t="s">
        <v>4062</v>
      </c>
      <c r="B134" t="s">
        <v>5073</v>
      </c>
      <c r="C134" t="s">
        <v>4377</v>
      </c>
      <c r="D134" s="7">
        <v>0.01</v>
      </c>
      <c r="E134" s="2">
        <v>20966.67</v>
      </c>
      <c r="F134" s="2">
        <v>125.8</v>
      </c>
    </row>
    <row r="135" spans="1:6" x14ac:dyDescent="0.25">
      <c r="A135" t="s">
        <v>4062</v>
      </c>
      <c r="B135" t="s">
        <v>4679</v>
      </c>
      <c r="C135" t="s">
        <v>63</v>
      </c>
      <c r="D135" s="7">
        <v>1.26</v>
      </c>
      <c r="E135" s="2">
        <v>41500</v>
      </c>
      <c r="F135" s="2">
        <v>52447.7</v>
      </c>
    </row>
    <row r="136" spans="1:6" x14ac:dyDescent="0.25">
      <c r="A136" t="s">
        <v>4062</v>
      </c>
      <c r="B136" t="s">
        <v>4600</v>
      </c>
      <c r="C136" t="s">
        <v>63</v>
      </c>
      <c r="D136" s="7">
        <v>0</v>
      </c>
      <c r="E136" s="2">
        <v>1195</v>
      </c>
      <c r="F136" s="2">
        <v>2.39</v>
      </c>
    </row>
    <row r="137" spans="1:6" x14ac:dyDescent="0.25">
      <c r="A137" t="s">
        <v>4062</v>
      </c>
      <c r="B137" t="s">
        <v>5074</v>
      </c>
      <c r="C137" t="s">
        <v>4377</v>
      </c>
      <c r="D137" s="7">
        <v>0.05</v>
      </c>
      <c r="E137" s="2">
        <v>46450</v>
      </c>
      <c r="F137" s="2">
        <v>2090.25</v>
      </c>
    </row>
    <row r="138" spans="1:6" x14ac:dyDescent="0.25">
      <c r="A138" t="s">
        <v>4062</v>
      </c>
      <c r="B138" t="s">
        <v>5533</v>
      </c>
      <c r="C138" t="s">
        <v>3963</v>
      </c>
      <c r="D138" s="7">
        <v>1.58</v>
      </c>
      <c r="E138" s="2">
        <v>13295</v>
      </c>
      <c r="F138" s="2">
        <v>20939.63</v>
      </c>
    </row>
    <row r="139" spans="1:6" x14ac:dyDescent="0.25">
      <c r="A139" t="s">
        <v>4062</v>
      </c>
      <c r="B139" t="s">
        <v>5534</v>
      </c>
      <c r="C139" t="s">
        <v>3963</v>
      </c>
      <c r="D139" s="7">
        <v>1.58</v>
      </c>
      <c r="E139" s="2">
        <v>14795</v>
      </c>
      <c r="F139" s="2">
        <v>23302.13</v>
      </c>
    </row>
    <row r="140" spans="1:6" x14ac:dyDescent="0.25">
      <c r="A140" t="s">
        <v>4062</v>
      </c>
      <c r="B140" t="s">
        <v>5512</v>
      </c>
      <c r="C140" t="s">
        <v>63</v>
      </c>
      <c r="D140" s="7">
        <v>4</v>
      </c>
      <c r="E140" s="2">
        <v>195</v>
      </c>
      <c r="F140" s="2">
        <v>780</v>
      </c>
    </row>
    <row r="141" spans="1:6" x14ac:dyDescent="0.25">
      <c r="A141" t="s">
        <v>4049</v>
      </c>
      <c r="B141" t="s">
        <v>4182</v>
      </c>
      <c r="C141" t="s">
        <v>4051</v>
      </c>
      <c r="D141" s="7">
        <v>1.9</v>
      </c>
      <c r="E141" s="2">
        <v>10845.1</v>
      </c>
      <c r="F141" s="2">
        <v>20605.69</v>
      </c>
    </row>
    <row r="142" spans="1:6" x14ac:dyDescent="0.25">
      <c r="A142" t="s">
        <v>4049</v>
      </c>
      <c r="B142" t="s">
        <v>4183</v>
      </c>
      <c r="C142" t="s">
        <v>4051</v>
      </c>
      <c r="D142" s="7">
        <v>0.95</v>
      </c>
      <c r="E142" s="2">
        <v>18621.17</v>
      </c>
      <c r="F142" s="2">
        <v>17690.11</v>
      </c>
    </row>
    <row r="143" spans="1:6" x14ac:dyDescent="0.25">
      <c r="A143" t="s">
        <v>4049</v>
      </c>
      <c r="B143" t="s">
        <v>5068</v>
      </c>
      <c r="C143" t="s">
        <v>4051</v>
      </c>
      <c r="D143" s="7">
        <v>0.28</v>
      </c>
      <c r="E143" s="2">
        <v>17845.35</v>
      </c>
      <c r="F143" s="2">
        <v>4996.7</v>
      </c>
    </row>
    <row r="144" spans="1:6" x14ac:dyDescent="0.25">
      <c r="A144" t="s">
        <v>4052</v>
      </c>
      <c r="B144" t="s">
        <v>4105</v>
      </c>
      <c r="C144" t="s">
        <v>4106</v>
      </c>
      <c r="D144" s="7">
        <v>0.4</v>
      </c>
      <c r="E144" s="2">
        <v>25125</v>
      </c>
      <c r="F144" s="2">
        <v>10050</v>
      </c>
    </row>
    <row r="145" spans="1:6" x14ac:dyDescent="0.25">
      <c r="A145" t="s">
        <v>4052</v>
      </c>
      <c r="B145" t="s">
        <v>4053</v>
      </c>
      <c r="C145" t="s">
        <v>4054</v>
      </c>
      <c r="D145" s="7">
        <v>3.3</v>
      </c>
      <c r="E145" s="2">
        <v>43292.5</v>
      </c>
      <c r="F145" s="2">
        <v>1428.65</v>
      </c>
    </row>
    <row r="146" spans="1:6" x14ac:dyDescent="0.25">
      <c r="A146" t="s">
        <v>4055</v>
      </c>
      <c r="D146" s="7"/>
      <c r="E146" s="2"/>
      <c r="F146" s="2">
        <f>SUBTOTAL(109,A_1_13_11[VALOR PARCIAL])</f>
      </c>
    </row>
    <row r="148" ht="30" customHeight="1" spans="1:6" x14ac:dyDescent="0.25">
      <c r="A148" s="5" t="s">
        <v>5535</v>
      </c>
      <c r="B148" s="5"/>
      <c r="C148" s="5"/>
      <c r="D148" s="5"/>
      <c r="E148" s="5"/>
      <c r="F148" s="5"/>
    </row>
    <row r="149" ht="42" customHeight="1" spans="1:6" x14ac:dyDescent="0.25">
      <c r="A149" s="6" t="s">
        <v>5536</v>
      </c>
      <c r="B149" s="6"/>
      <c r="C149" s="6"/>
      <c r="D149" s="6"/>
      <c r="E149" s="6"/>
      <c r="F149" s="6"/>
    </row>
    <row r="150" spans="1:6" x14ac:dyDescent="0.25">
      <c r="A150" t="s">
        <v>4044</v>
      </c>
      <c r="B150" t="s">
        <v>4045</v>
      </c>
      <c r="C150" t="s">
        <v>5</v>
      </c>
      <c r="D150" t="s">
        <v>4046</v>
      </c>
      <c r="E150" t="s">
        <v>4047</v>
      </c>
      <c r="F150" t="s">
        <v>4048</v>
      </c>
    </row>
    <row r="151" spans="1:6" x14ac:dyDescent="0.25">
      <c r="A151" t="s">
        <v>4062</v>
      </c>
      <c r="B151" t="s">
        <v>4526</v>
      </c>
      <c r="C151" t="s">
        <v>63</v>
      </c>
      <c r="D151" s="7">
        <v>9</v>
      </c>
      <c r="E151" s="2">
        <v>25</v>
      </c>
      <c r="F151" s="2">
        <v>225</v>
      </c>
    </row>
    <row r="152" spans="1:6" x14ac:dyDescent="0.25">
      <c r="A152" t="s">
        <v>4062</v>
      </c>
      <c r="B152" t="s">
        <v>5515</v>
      </c>
      <c r="C152" t="s">
        <v>63</v>
      </c>
      <c r="D152" s="7">
        <v>11</v>
      </c>
      <c r="E152" s="2">
        <v>100</v>
      </c>
      <c r="F152" s="2">
        <v>1100</v>
      </c>
    </row>
    <row r="153" spans="1:6" x14ac:dyDescent="0.25">
      <c r="A153" t="s">
        <v>4062</v>
      </c>
      <c r="B153" t="s">
        <v>5508</v>
      </c>
      <c r="C153" t="s">
        <v>63</v>
      </c>
      <c r="D153" s="7">
        <v>0.42</v>
      </c>
      <c r="E153" s="2">
        <v>16300</v>
      </c>
      <c r="F153" s="2">
        <v>6846</v>
      </c>
    </row>
    <row r="154" spans="1:6" x14ac:dyDescent="0.25">
      <c r="A154" t="s">
        <v>4062</v>
      </c>
      <c r="B154" t="s">
        <v>5516</v>
      </c>
      <c r="C154" t="s">
        <v>63</v>
      </c>
      <c r="D154" s="7">
        <v>0.56</v>
      </c>
      <c r="E154" s="2">
        <v>3514.67</v>
      </c>
      <c r="F154" s="2">
        <v>1968.22</v>
      </c>
    </row>
    <row r="155" spans="1:6" x14ac:dyDescent="0.25">
      <c r="A155" t="s">
        <v>4062</v>
      </c>
      <c r="B155" t="s">
        <v>4598</v>
      </c>
      <c r="C155" t="s">
        <v>42</v>
      </c>
      <c r="D155" s="7">
        <v>0.05</v>
      </c>
      <c r="E155" s="2">
        <v>164.11</v>
      </c>
      <c r="F155" s="2">
        <v>8.21</v>
      </c>
    </row>
    <row r="156" spans="1:6" x14ac:dyDescent="0.25">
      <c r="A156" t="s">
        <v>4062</v>
      </c>
      <c r="B156" t="s">
        <v>5537</v>
      </c>
      <c r="C156" t="s">
        <v>4532</v>
      </c>
      <c r="D156" s="7">
        <v>0.04</v>
      </c>
      <c r="E156" s="2">
        <v>162641.33</v>
      </c>
      <c r="F156" s="2">
        <v>7172.48</v>
      </c>
    </row>
    <row r="157" spans="1:6" x14ac:dyDescent="0.25">
      <c r="A157" t="s">
        <v>4062</v>
      </c>
      <c r="B157" t="s">
        <v>4599</v>
      </c>
      <c r="C157" t="s">
        <v>63</v>
      </c>
      <c r="D157" s="7">
        <v>0.34</v>
      </c>
      <c r="E157" s="2">
        <v>63949.67</v>
      </c>
      <c r="F157" s="2">
        <v>21742.89</v>
      </c>
    </row>
    <row r="158" spans="1:6" x14ac:dyDescent="0.25">
      <c r="A158" t="s">
        <v>4062</v>
      </c>
      <c r="B158" t="s">
        <v>4536</v>
      </c>
      <c r="C158" t="s">
        <v>63</v>
      </c>
      <c r="D158" s="7">
        <v>0.14</v>
      </c>
      <c r="E158" s="2">
        <v>37625</v>
      </c>
      <c r="F158" s="2">
        <v>5267.5</v>
      </c>
    </row>
    <row r="159" spans="1:6" x14ac:dyDescent="0.25">
      <c r="A159" t="s">
        <v>4062</v>
      </c>
      <c r="B159" t="s">
        <v>5517</v>
      </c>
      <c r="C159" t="s">
        <v>63</v>
      </c>
      <c r="D159" s="7">
        <v>0.81</v>
      </c>
      <c r="E159" s="2">
        <v>4150</v>
      </c>
      <c r="F159" s="2">
        <v>3361.5</v>
      </c>
    </row>
    <row r="160" spans="1:6" x14ac:dyDescent="0.25">
      <c r="A160" t="s">
        <v>4049</v>
      </c>
      <c r="B160" t="s">
        <v>4050</v>
      </c>
      <c r="C160" t="s">
        <v>4051</v>
      </c>
      <c r="D160" s="7">
        <v>1.2</v>
      </c>
      <c r="E160" s="2">
        <v>9037.33</v>
      </c>
      <c r="F160" s="2">
        <v>10844.8</v>
      </c>
    </row>
    <row r="161" spans="1:6" x14ac:dyDescent="0.25">
      <c r="A161" t="s">
        <v>4049</v>
      </c>
      <c r="B161" t="s">
        <v>4073</v>
      </c>
      <c r="C161" t="s">
        <v>4051</v>
      </c>
      <c r="D161" s="7">
        <v>1.2</v>
      </c>
      <c r="E161" s="2">
        <v>15517.89</v>
      </c>
      <c r="F161" s="2">
        <v>18621.47</v>
      </c>
    </row>
    <row r="162" spans="1:6" x14ac:dyDescent="0.25">
      <c r="A162" t="s">
        <v>4052</v>
      </c>
      <c r="B162" t="s">
        <v>4053</v>
      </c>
      <c r="C162" t="s">
        <v>4054</v>
      </c>
      <c r="D162" s="7">
        <v>3.3</v>
      </c>
      <c r="E162" s="2">
        <v>29466.27</v>
      </c>
      <c r="F162" s="2">
        <v>972.39</v>
      </c>
    </row>
    <row r="163" spans="1:6" x14ac:dyDescent="0.25">
      <c r="A163" t="s">
        <v>4055</v>
      </c>
      <c r="D163" s="7"/>
      <c r="E163" s="2"/>
      <c r="F163" s="2">
        <f>SUBTOTAL(109,A_1_13_12[VALOR PARCIAL])</f>
      </c>
    </row>
    <row r="165" ht="30" customHeight="1" spans="1:6" x14ac:dyDescent="0.25">
      <c r="A165" s="5" t="s">
        <v>5538</v>
      </c>
      <c r="B165" s="5"/>
      <c r="C165" s="5"/>
      <c r="D165" s="5"/>
      <c r="E165" s="5"/>
      <c r="F165" s="5"/>
    </row>
    <row r="166" ht="42" customHeight="1" spans="1:6" x14ac:dyDescent="0.25">
      <c r="A166" s="6" t="s">
        <v>5539</v>
      </c>
      <c r="B166" s="6"/>
      <c r="C166" s="6"/>
      <c r="D166" s="6"/>
      <c r="E166" s="6"/>
      <c r="F166" s="6"/>
    </row>
    <row r="167" spans="1:6" x14ac:dyDescent="0.25">
      <c r="A167" t="s">
        <v>4044</v>
      </c>
      <c r="B167" t="s">
        <v>4045</v>
      </c>
      <c r="C167" t="s">
        <v>5</v>
      </c>
      <c r="D167" t="s">
        <v>4046</v>
      </c>
      <c r="E167" t="s">
        <v>4047</v>
      </c>
      <c r="F167" t="s">
        <v>4048</v>
      </c>
    </row>
    <row r="168" spans="1:6" x14ac:dyDescent="0.25">
      <c r="A168" t="s">
        <v>4062</v>
      </c>
      <c r="B168" t="s">
        <v>4617</v>
      </c>
      <c r="C168" t="s">
        <v>63</v>
      </c>
      <c r="D168" s="7">
        <v>0.73</v>
      </c>
      <c r="E168" s="2">
        <v>4964</v>
      </c>
      <c r="F168" s="2">
        <v>3623.72</v>
      </c>
    </row>
    <row r="169" spans="1:6" x14ac:dyDescent="0.25">
      <c r="A169" t="s">
        <v>4062</v>
      </c>
      <c r="B169" t="s">
        <v>4065</v>
      </c>
      <c r="C169" t="s">
        <v>4066</v>
      </c>
      <c r="D169" s="7">
        <v>0.02</v>
      </c>
      <c r="E169" s="2">
        <v>3433</v>
      </c>
      <c r="F169" s="2">
        <v>68.66</v>
      </c>
    </row>
    <row r="170" spans="1:6" x14ac:dyDescent="0.25">
      <c r="A170" t="s">
        <v>4049</v>
      </c>
      <c r="B170" t="s">
        <v>4050</v>
      </c>
      <c r="C170" t="s">
        <v>4051</v>
      </c>
      <c r="D170" s="7">
        <v>0.35</v>
      </c>
      <c r="E170" s="2">
        <v>9037.33</v>
      </c>
      <c r="F170" s="2">
        <v>3163.07</v>
      </c>
    </row>
    <row r="171" spans="1:6" x14ac:dyDescent="0.25">
      <c r="A171" t="s">
        <v>4049</v>
      </c>
      <c r="B171" t="s">
        <v>4073</v>
      </c>
      <c r="C171" t="s">
        <v>4051</v>
      </c>
      <c r="D171" s="7">
        <v>0.35</v>
      </c>
      <c r="E171" s="2">
        <v>15517.89</v>
      </c>
      <c r="F171" s="2">
        <v>5431.26</v>
      </c>
    </row>
    <row r="172" spans="1:6" x14ac:dyDescent="0.25">
      <c r="A172" t="s">
        <v>4052</v>
      </c>
      <c r="B172" t="s">
        <v>4105</v>
      </c>
      <c r="C172" t="s">
        <v>4106</v>
      </c>
      <c r="D172" s="7">
        <v>0.13</v>
      </c>
      <c r="E172" s="2">
        <v>25125</v>
      </c>
      <c r="F172" s="2">
        <v>3140.63</v>
      </c>
    </row>
    <row r="173" spans="1:6" x14ac:dyDescent="0.25">
      <c r="A173" t="s">
        <v>4052</v>
      </c>
      <c r="B173" t="s">
        <v>4053</v>
      </c>
      <c r="C173" t="s">
        <v>4054</v>
      </c>
      <c r="D173" s="7">
        <v>2</v>
      </c>
      <c r="E173" s="2">
        <v>8594.33</v>
      </c>
      <c r="F173" s="2">
        <v>171.89</v>
      </c>
    </row>
    <row r="174" spans="1:6" x14ac:dyDescent="0.25">
      <c r="A174" t="s">
        <v>4055</v>
      </c>
      <c r="D174" s="7"/>
      <c r="E174" s="2"/>
      <c r="F174" s="2">
        <f>SUBTOTAL(109,A_1_13_13[VALOR PARCIAL])</f>
      </c>
    </row>
    <row r="176" ht="30" customHeight="1" spans="1:6" x14ac:dyDescent="0.25">
      <c r="A176" s="5" t="s">
        <v>5540</v>
      </c>
      <c r="B176" s="5"/>
      <c r="C176" s="5"/>
      <c r="D176" s="5"/>
      <c r="E176" s="5"/>
      <c r="F176" s="5"/>
    </row>
    <row r="177" ht="42" customHeight="1" spans="1:6" x14ac:dyDescent="0.25">
      <c r="A177" s="6" t="s">
        <v>5541</v>
      </c>
      <c r="B177" s="6"/>
      <c r="C177" s="6"/>
      <c r="D177" s="6"/>
      <c r="E177" s="6"/>
      <c r="F177" s="6"/>
    </row>
    <row r="178" spans="1:6" x14ac:dyDescent="0.25">
      <c r="A178" t="s">
        <v>4044</v>
      </c>
      <c r="B178" t="s">
        <v>4045</v>
      </c>
      <c r="C178" t="s">
        <v>5</v>
      </c>
      <c r="D178" t="s">
        <v>4046</v>
      </c>
      <c r="E178" t="s">
        <v>4047</v>
      </c>
      <c r="F178" t="s">
        <v>4048</v>
      </c>
    </row>
    <row r="179" spans="1:6" x14ac:dyDescent="0.25">
      <c r="A179" t="s">
        <v>4062</v>
      </c>
      <c r="B179" t="s">
        <v>5542</v>
      </c>
      <c r="C179" t="s">
        <v>63</v>
      </c>
      <c r="D179" s="7">
        <v>0.34</v>
      </c>
      <c r="E179" s="2">
        <v>42119</v>
      </c>
      <c r="F179" s="2">
        <v>14130.92</v>
      </c>
    </row>
    <row r="180" spans="1:6" x14ac:dyDescent="0.25">
      <c r="A180" t="s">
        <v>4062</v>
      </c>
      <c r="B180" t="s">
        <v>4400</v>
      </c>
      <c r="C180" t="s">
        <v>42</v>
      </c>
      <c r="D180" s="7">
        <v>2.54</v>
      </c>
      <c r="E180" s="2">
        <v>5286.26</v>
      </c>
      <c r="F180" s="2">
        <v>13427.1</v>
      </c>
    </row>
    <row r="181" spans="1:6" x14ac:dyDescent="0.25">
      <c r="A181" t="s">
        <v>4062</v>
      </c>
      <c r="B181" t="s">
        <v>4508</v>
      </c>
      <c r="C181" t="s">
        <v>231</v>
      </c>
      <c r="D181" s="7">
        <v>0.2</v>
      </c>
      <c r="E181" s="2">
        <v>25650</v>
      </c>
      <c r="F181" s="2">
        <v>5130</v>
      </c>
    </row>
    <row r="182" spans="1:6" x14ac:dyDescent="0.25">
      <c r="A182" t="s">
        <v>4062</v>
      </c>
      <c r="B182" t="s">
        <v>4065</v>
      </c>
      <c r="C182" t="s">
        <v>4066</v>
      </c>
      <c r="D182" s="7">
        <v>2.06</v>
      </c>
      <c r="E182" s="2">
        <v>3433</v>
      </c>
      <c r="F182" s="2">
        <v>7071.98</v>
      </c>
    </row>
    <row r="183" spans="1:6" x14ac:dyDescent="0.25">
      <c r="A183" t="s">
        <v>4049</v>
      </c>
      <c r="B183" t="s">
        <v>4105</v>
      </c>
      <c r="C183" t="s">
        <v>4106</v>
      </c>
      <c r="D183" s="7">
        <v>0.13</v>
      </c>
      <c r="E183" s="2">
        <v>25125</v>
      </c>
      <c r="F183" s="2">
        <v>3140.63</v>
      </c>
    </row>
    <row r="184" spans="1:6" x14ac:dyDescent="0.25">
      <c r="A184" t="s">
        <v>4049</v>
      </c>
      <c r="B184" t="s">
        <v>4050</v>
      </c>
      <c r="C184" t="s">
        <v>4051</v>
      </c>
      <c r="D184" s="7">
        <v>1.1</v>
      </c>
      <c r="E184" s="2">
        <v>9037.33</v>
      </c>
      <c r="F184" s="2">
        <v>9941.06</v>
      </c>
    </row>
    <row r="185" spans="1:6" x14ac:dyDescent="0.25">
      <c r="A185" t="s">
        <v>4049</v>
      </c>
      <c r="B185" t="s">
        <v>4073</v>
      </c>
      <c r="C185" t="s">
        <v>4051</v>
      </c>
      <c r="D185" s="7">
        <v>1.1</v>
      </c>
      <c r="E185" s="2">
        <v>15517.89</v>
      </c>
      <c r="F185" s="2">
        <v>17069.68</v>
      </c>
    </row>
    <row r="186" spans="1:6" x14ac:dyDescent="0.25">
      <c r="A186" t="s">
        <v>4052</v>
      </c>
      <c r="B186" t="s">
        <v>4053</v>
      </c>
      <c r="C186" t="s">
        <v>4054</v>
      </c>
      <c r="D186" s="7">
        <v>0.9</v>
      </c>
      <c r="E186" s="2">
        <v>27010.74</v>
      </c>
      <c r="F186" s="2">
        <v>243.1</v>
      </c>
    </row>
    <row r="187" spans="1:6" x14ac:dyDescent="0.25">
      <c r="A187" t="s">
        <v>4055</v>
      </c>
      <c r="D187" s="7"/>
      <c r="E187" s="2"/>
      <c r="F187" s="2">
        <f>SUBTOTAL(109,A_1_13_14[VALOR PARCIAL])</f>
      </c>
    </row>
    <row r="189" ht="30" customHeight="1" spans="1:6" x14ac:dyDescent="0.25">
      <c r="A189" s="5" t="s">
        <v>5543</v>
      </c>
      <c r="B189" s="5"/>
      <c r="C189" s="5"/>
      <c r="D189" s="5"/>
      <c r="E189" s="5"/>
      <c r="F189" s="5"/>
    </row>
    <row r="190" ht="42" customHeight="1" spans="1:6" x14ac:dyDescent="0.25">
      <c r="A190" s="6" t="s">
        <v>5544</v>
      </c>
      <c r="B190" s="6"/>
      <c r="C190" s="6"/>
      <c r="D190" s="6"/>
      <c r="E190" s="6"/>
      <c r="F190" s="6"/>
    </row>
    <row r="191" spans="1:6" x14ac:dyDescent="0.25">
      <c r="A191" t="s">
        <v>4044</v>
      </c>
      <c r="B191" t="s">
        <v>4045</v>
      </c>
      <c r="C191" t="s">
        <v>5</v>
      </c>
      <c r="D191" t="s">
        <v>4046</v>
      </c>
      <c r="E191" t="s">
        <v>4047</v>
      </c>
      <c r="F191" t="s">
        <v>4048</v>
      </c>
    </row>
    <row r="192" spans="1:6" x14ac:dyDescent="0.25">
      <c r="A192" t="s">
        <v>4062</v>
      </c>
      <c r="B192" t="s">
        <v>5545</v>
      </c>
      <c r="C192" t="s">
        <v>42</v>
      </c>
      <c r="D192" s="7">
        <v>1</v>
      </c>
      <c r="E192" s="2">
        <v>13454.59</v>
      </c>
      <c r="F192" s="2">
        <v>13454.59</v>
      </c>
    </row>
    <row r="193" spans="1:6" x14ac:dyDescent="0.25">
      <c r="A193" t="s">
        <v>4049</v>
      </c>
      <c r="B193" t="s">
        <v>4487</v>
      </c>
      <c r="C193" t="s">
        <v>4236</v>
      </c>
      <c r="D193" s="7">
        <v>0.25</v>
      </c>
      <c r="E193" s="2">
        <v>24555.22</v>
      </c>
      <c r="F193" s="2">
        <v>6138.81</v>
      </c>
    </row>
    <row r="194" spans="1:6" x14ac:dyDescent="0.25">
      <c r="A194" t="s">
        <v>4052</v>
      </c>
      <c r="B194" t="s">
        <v>4053</v>
      </c>
      <c r="C194" t="s">
        <v>4054</v>
      </c>
      <c r="D194" s="7">
        <v>5</v>
      </c>
      <c r="E194" s="2">
        <v>6138.81</v>
      </c>
      <c r="F194" s="2">
        <v>306.94</v>
      </c>
    </row>
    <row r="195" spans="1:6" x14ac:dyDescent="0.25">
      <c r="A195" t="s">
        <v>4055</v>
      </c>
      <c r="D195" s="7"/>
      <c r="E195" s="2"/>
      <c r="F195" s="2">
        <f>SUBTOTAL(109,A_1_13_15[VALOR PARCIAL])</f>
      </c>
    </row>
    <row r="197" ht="30" customHeight="1" spans="1:6" x14ac:dyDescent="0.25">
      <c r="A197" s="5" t="s">
        <v>5546</v>
      </c>
      <c r="B197" s="5"/>
      <c r="C197" s="5"/>
      <c r="D197" s="5"/>
      <c r="E197" s="5"/>
      <c r="F197" s="5"/>
    </row>
    <row r="198" ht="42" customHeight="1" spans="1:6" x14ac:dyDescent="0.25">
      <c r="A198" s="6" t="s">
        <v>5547</v>
      </c>
      <c r="B198" s="6"/>
      <c r="C198" s="6"/>
      <c r="D198" s="6"/>
      <c r="E198" s="6"/>
      <c r="F198" s="6"/>
    </row>
    <row r="199" spans="1:6" x14ac:dyDescent="0.25">
      <c r="A199" t="s">
        <v>4044</v>
      </c>
      <c r="B199" t="s">
        <v>4045</v>
      </c>
      <c r="C199" t="s">
        <v>5</v>
      </c>
      <c r="D199" t="s">
        <v>4046</v>
      </c>
      <c r="E199" t="s">
        <v>4047</v>
      </c>
      <c r="F199" t="s">
        <v>4048</v>
      </c>
    </row>
    <row r="200" spans="1:6" x14ac:dyDescent="0.25">
      <c r="A200" t="s">
        <v>4062</v>
      </c>
      <c r="B200" t="s">
        <v>5508</v>
      </c>
      <c r="C200" t="s">
        <v>63</v>
      </c>
      <c r="D200" s="7">
        <v>1.25</v>
      </c>
      <c r="E200" s="2">
        <v>16300</v>
      </c>
      <c r="F200" s="2">
        <v>20375</v>
      </c>
    </row>
    <row r="201" spans="1:6" x14ac:dyDescent="0.25">
      <c r="A201" t="s">
        <v>4062</v>
      </c>
      <c r="B201" t="s">
        <v>5509</v>
      </c>
      <c r="C201" t="s">
        <v>42</v>
      </c>
      <c r="D201" s="7">
        <v>0.8</v>
      </c>
      <c r="E201" s="2">
        <v>1563</v>
      </c>
      <c r="F201" s="2">
        <v>1250.4</v>
      </c>
    </row>
    <row r="202" spans="1:6" x14ac:dyDescent="0.25">
      <c r="A202" t="s">
        <v>4062</v>
      </c>
      <c r="B202" t="s">
        <v>5548</v>
      </c>
      <c r="C202" t="s">
        <v>21</v>
      </c>
      <c r="D202" s="7">
        <v>1.03</v>
      </c>
      <c r="E202" s="2">
        <v>8283.82</v>
      </c>
      <c r="F202" s="2">
        <v>8532.33</v>
      </c>
    </row>
    <row r="203" spans="1:6" x14ac:dyDescent="0.25">
      <c r="A203" t="s">
        <v>4062</v>
      </c>
      <c r="B203" t="s">
        <v>5512</v>
      </c>
      <c r="C203" t="s">
        <v>63</v>
      </c>
      <c r="D203" s="7">
        <v>4</v>
      </c>
      <c r="E203" s="2">
        <v>195</v>
      </c>
      <c r="F203" s="2">
        <v>780</v>
      </c>
    </row>
    <row r="204" spans="1:6" x14ac:dyDescent="0.25">
      <c r="A204" t="s">
        <v>4049</v>
      </c>
      <c r="B204" t="s">
        <v>4050</v>
      </c>
      <c r="C204" t="s">
        <v>4051</v>
      </c>
      <c r="D204" s="7">
        <v>1.4</v>
      </c>
      <c r="E204" s="2">
        <v>9037.33</v>
      </c>
      <c r="F204" s="2">
        <v>12652.26</v>
      </c>
    </row>
    <row r="205" spans="1:6" x14ac:dyDescent="0.25">
      <c r="A205" t="s">
        <v>4049</v>
      </c>
      <c r="B205" t="s">
        <v>4073</v>
      </c>
      <c r="C205" t="s">
        <v>4051</v>
      </c>
      <c r="D205" s="7">
        <v>0.7</v>
      </c>
      <c r="E205" s="2">
        <v>15517.89</v>
      </c>
      <c r="F205" s="2">
        <v>10862.52</v>
      </c>
    </row>
    <row r="206" spans="1:6" x14ac:dyDescent="0.25">
      <c r="A206" t="s">
        <v>4052</v>
      </c>
      <c r="B206" t="s">
        <v>4105</v>
      </c>
      <c r="C206" t="s">
        <v>4106</v>
      </c>
      <c r="D206" s="7">
        <v>0.13</v>
      </c>
      <c r="E206" s="2">
        <v>25125</v>
      </c>
      <c r="F206" s="2">
        <v>3140.63</v>
      </c>
    </row>
    <row r="207" spans="1:6" x14ac:dyDescent="0.25">
      <c r="A207" t="s">
        <v>4052</v>
      </c>
      <c r="B207" t="s">
        <v>4053</v>
      </c>
      <c r="C207" t="s">
        <v>4054</v>
      </c>
      <c r="D207" s="7">
        <v>5</v>
      </c>
      <c r="E207" s="2">
        <v>23514.78</v>
      </c>
      <c r="F207" s="2">
        <v>1175.74</v>
      </c>
    </row>
    <row r="208" spans="1:6" x14ac:dyDescent="0.25">
      <c r="A208" t="s">
        <v>4055</v>
      </c>
      <c r="D208" s="7"/>
      <c r="E208" s="2"/>
      <c r="F208" s="2">
        <f>SUBTOTAL(109,A_1_13_16[VALOR PARCIAL])</f>
      </c>
    </row>
    <row r="210" ht="30" customHeight="1" spans="1:6" x14ac:dyDescent="0.25">
      <c r="A210" s="5" t="s">
        <v>5549</v>
      </c>
      <c r="B210" s="5"/>
      <c r="C210" s="5"/>
      <c r="D210" s="5"/>
      <c r="E210" s="5"/>
      <c r="F210" s="5"/>
    </row>
    <row r="211" ht="42" customHeight="1" spans="1:6" x14ac:dyDescent="0.25">
      <c r="A211" s="6" t="s">
        <v>5550</v>
      </c>
      <c r="B211" s="6"/>
      <c r="C211" s="6"/>
      <c r="D211" s="6"/>
      <c r="E211" s="6"/>
      <c r="F211" s="6"/>
    </row>
    <row r="212" spans="1:6" x14ac:dyDescent="0.25">
      <c r="A212" t="s">
        <v>4044</v>
      </c>
      <c r="B212" t="s">
        <v>4045</v>
      </c>
      <c r="C212" t="s">
        <v>5</v>
      </c>
      <c r="D212" t="s">
        <v>4046</v>
      </c>
      <c r="E212" t="s">
        <v>4047</v>
      </c>
      <c r="F212" t="s">
        <v>4048</v>
      </c>
    </row>
    <row r="213" spans="1:6" x14ac:dyDescent="0.25">
      <c r="A213" t="s">
        <v>4062</v>
      </c>
      <c r="B213" t="s">
        <v>5551</v>
      </c>
      <c r="C213" t="s">
        <v>63</v>
      </c>
      <c r="D213" s="7">
        <v>1.35</v>
      </c>
      <c r="E213" s="2">
        <v>6650.66</v>
      </c>
      <c r="F213" s="2">
        <v>8978.39</v>
      </c>
    </row>
    <row r="214" spans="1:6" x14ac:dyDescent="0.25">
      <c r="A214" t="s">
        <v>4062</v>
      </c>
      <c r="B214" t="s">
        <v>5552</v>
      </c>
      <c r="C214" t="s">
        <v>63</v>
      </c>
      <c r="D214" s="7">
        <v>0.34</v>
      </c>
      <c r="E214" s="2">
        <v>3472.54</v>
      </c>
      <c r="F214" s="2">
        <v>1163.3</v>
      </c>
    </row>
    <row r="215" spans="1:6" x14ac:dyDescent="0.25">
      <c r="A215" t="s">
        <v>4062</v>
      </c>
      <c r="B215" t="s">
        <v>5553</v>
      </c>
      <c r="C215" t="s">
        <v>63</v>
      </c>
      <c r="D215" s="7">
        <v>1</v>
      </c>
      <c r="E215" s="2">
        <v>2831.38</v>
      </c>
      <c r="F215" s="2">
        <v>2831.38</v>
      </c>
    </row>
    <row r="216" spans="1:6" x14ac:dyDescent="0.25">
      <c r="A216" t="s">
        <v>4062</v>
      </c>
      <c r="B216" t="s">
        <v>5554</v>
      </c>
      <c r="C216" t="s">
        <v>63</v>
      </c>
      <c r="D216" s="7">
        <v>0.34</v>
      </c>
      <c r="E216" s="2">
        <v>5744.83</v>
      </c>
      <c r="F216" s="2">
        <v>1924.52</v>
      </c>
    </row>
    <row r="217" spans="1:6" x14ac:dyDescent="0.25">
      <c r="A217" t="s">
        <v>4062</v>
      </c>
      <c r="B217" t="s">
        <v>4065</v>
      </c>
      <c r="C217" t="s">
        <v>4066</v>
      </c>
      <c r="D217" s="7">
        <v>0.05</v>
      </c>
      <c r="E217" s="2">
        <v>3433</v>
      </c>
      <c r="F217" s="2">
        <v>171.65</v>
      </c>
    </row>
    <row r="218" spans="1:6" x14ac:dyDescent="0.25">
      <c r="A218" t="s">
        <v>4062</v>
      </c>
      <c r="B218" t="s">
        <v>5555</v>
      </c>
      <c r="C218" t="s">
        <v>231</v>
      </c>
      <c r="D218" s="7">
        <v>0.15</v>
      </c>
      <c r="E218" s="2">
        <v>6850</v>
      </c>
      <c r="F218" s="2">
        <v>1027.5</v>
      </c>
    </row>
    <row r="219" spans="1:6" x14ac:dyDescent="0.25">
      <c r="A219" t="s">
        <v>4049</v>
      </c>
      <c r="B219" t="s">
        <v>4182</v>
      </c>
      <c r="C219" t="s">
        <v>4051</v>
      </c>
      <c r="D219" s="7">
        <v>0.8</v>
      </c>
      <c r="E219" s="2">
        <v>10845.1</v>
      </c>
      <c r="F219" s="2">
        <v>8676.08</v>
      </c>
    </row>
    <row r="220" spans="1:6" x14ac:dyDescent="0.25">
      <c r="A220" t="s">
        <v>4049</v>
      </c>
      <c r="B220" t="s">
        <v>4183</v>
      </c>
      <c r="C220" t="s">
        <v>4051</v>
      </c>
      <c r="D220" s="7">
        <v>0.4</v>
      </c>
      <c r="E220" s="2">
        <v>18621.17</v>
      </c>
      <c r="F220" s="2">
        <v>7448.47</v>
      </c>
    </row>
    <row r="221" spans="1:6" x14ac:dyDescent="0.25">
      <c r="A221" t="s">
        <v>4052</v>
      </c>
      <c r="B221" t="s">
        <v>4053</v>
      </c>
      <c r="C221" t="s">
        <v>4054</v>
      </c>
      <c r="D221" s="7">
        <v>3.3</v>
      </c>
      <c r="E221" s="2">
        <v>16124.55</v>
      </c>
      <c r="F221" s="2">
        <v>532.11</v>
      </c>
    </row>
    <row r="222" spans="1:6" x14ac:dyDescent="0.25">
      <c r="A222" t="s">
        <v>4055</v>
      </c>
      <c r="D222" s="7"/>
      <c r="E222" s="2"/>
      <c r="F222" s="2">
        <f>SUBTOTAL(109,A_1_13_17[VALOR PARCIAL])</f>
      </c>
    </row>
    <row r="224" ht="30" customHeight="1" spans="1:6" x14ac:dyDescent="0.25">
      <c r="A224" s="5" t="s">
        <v>5556</v>
      </c>
      <c r="B224" s="5"/>
      <c r="C224" s="5"/>
      <c r="D224" s="5"/>
      <c r="E224" s="5"/>
      <c r="F224" s="5"/>
    </row>
    <row r="225" ht="42" customHeight="1" spans="1:6" x14ac:dyDescent="0.25">
      <c r="A225" s="6" t="s">
        <v>5557</v>
      </c>
      <c r="B225" s="6"/>
      <c r="C225" s="6"/>
      <c r="D225" s="6"/>
      <c r="E225" s="6"/>
      <c r="F225" s="6"/>
    </row>
    <row r="226" spans="1:6" x14ac:dyDescent="0.25">
      <c r="A226" t="s">
        <v>4044</v>
      </c>
      <c r="B226" t="s">
        <v>4045</v>
      </c>
      <c r="C226" t="s">
        <v>5</v>
      </c>
      <c r="D226" t="s">
        <v>4046</v>
      </c>
      <c r="E226" t="s">
        <v>4047</v>
      </c>
      <c r="F226" t="s">
        <v>4048</v>
      </c>
    </row>
    <row r="227" spans="1:6" x14ac:dyDescent="0.25">
      <c r="A227" t="s">
        <v>4062</v>
      </c>
      <c r="B227" t="s">
        <v>4526</v>
      </c>
      <c r="C227" t="s">
        <v>63</v>
      </c>
      <c r="D227" s="7">
        <v>9</v>
      </c>
      <c r="E227" s="2">
        <v>25</v>
      </c>
      <c r="F227" s="2">
        <v>225</v>
      </c>
    </row>
    <row r="228" spans="1:6" x14ac:dyDescent="0.25">
      <c r="A228" t="s">
        <v>4062</v>
      </c>
      <c r="B228" t="s">
        <v>5515</v>
      </c>
      <c r="C228" t="s">
        <v>63</v>
      </c>
      <c r="D228" s="7">
        <v>11</v>
      </c>
      <c r="E228" s="2">
        <v>100</v>
      </c>
      <c r="F228" s="2">
        <v>1100</v>
      </c>
    </row>
    <row r="229" spans="1:6" x14ac:dyDescent="0.25">
      <c r="A229" t="s">
        <v>4062</v>
      </c>
      <c r="B229" t="s">
        <v>5508</v>
      </c>
      <c r="C229" t="s">
        <v>63</v>
      </c>
      <c r="D229" s="7">
        <v>0.42</v>
      </c>
      <c r="E229" s="2">
        <v>16300</v>
      </c>
      <c r="F229" s="2">
        <v>6846</v>
      </c>
    </row>
    <row r="230" spans="1:6" x14ac:dyDescent="0.25">
      <c r="A230" t="s">
        <v>4062</v>
      </c>
      <c r="B230" t="s">
        <v>5516</v>
      </c>
      <c r="C230" t="s">
        <v>63</v>
      </c>
      <c r="D230" s="7">
        <v>0.56</v>
      </c>
      <c r="E230" s="2">
        <v>3514.67</v>
      </c>
      <c r="F230" s="2">
        <v>1968.22</v>
      </c>
    </row>
    <row r="231" spans="1:6" x14ac:dyDescent="0.25">
      <c r="A231" t="s">
        <v>4062</v>
      </c>
      <c r="B231" t="s">
        <v>5558</v>
      </c>
      <c r="C231" t="s">
        <v>63</v>
      </c>
      <c r="D231" s="7">
        <v>1.37</v>
      </c>
      <c r="E231" s="2">
        <v>43833</v>
      </c>
      <c r="F231" s="2">
        <v>60051.21</v>
      </c>
    </row>
    <row r="232" spans="1:6" x14ac:dyDescent="0.25">
      <c r="A232" t="s">
        <v>4062</v>
      </c>
      <c r="B232" t="s">
        <v>4598</v>
      </c>
      <c r="C232" t="s">
        <v>42</v>
      </c>
      <c r="D232" s="7">
        <v>0.05</v>
      </c>
      <c r="E232" s="2">
        <v>164.11</v>
      </c>
      <c r="F232" s="2">
        <v>8.21</v>
      </c>
    </row>
    <row r="233" spans="1:6" x14ac:dyDescent="0.25">
      <c r="A233" t="s">
        <v>4062</v>
      </c>
      <c r="B233" t="s">
        <v>4536</v>
      </c>
      <c r="C233" t="s">
        <v>63</v>
      </c>
      <c r="D233" s="7">
        <v>0.14</v>
      </c>
      <c r="E233" s="2">
        <v>37625</v>
      </c>
      <c r="F233" s="2">
        <v>5267.5</v>
      </c>
    </row>
    <row r="234" spans="1:6" x14ac:dyDescent="0.25">
      <c r="A234" t="s">
        <v>4062</v>
      </c>
      <c r="B234" t="s">
        <v>5517</v>
      </c>
      <c r="C234" t="s">
        <v>63</v>
      </c>
      <c r="D234" s="7">
        <v>0.81</v>
      </c>
      <c r="E234" s="2">
        <v>4150</v>
      </c>
      <c r="F234" s="2">
        <v>3361.5</v>
      </c>
    </row>
    <row r="235" spans="1:6" x14ac:dyDescent="0.25">
      <c r="A235" t="s">
        <v>4049</v>
      </c>
      <c r="B235" t="s">
        <v>4105</v>
      </c>
      <c r="C235" t="s">
        <v>4106</v>
      </c>
      <c r="D235" s="7">
        <v>0.13</v>
      </c>
      <c r="E235" s="2">
        <v>25125</v>
      </c>
      <c r="F235" s="2">
        <v>3140.63</v>
      </c>
    </row>
    <row r="236" spans="1:6" x14ac:dyDescent="0.25">
      <c r="A236" t="s">
        <v>4049</v>
      </c>
      <c r="B236" t="s">
        <v>4050</v>
      </c>
      <c r="C236" t="s">
        <v>4051</v>
      </c>
      <c r="D236" s="7">
        <v>1</v>
      </c>
      <c r="E236" s="2">
        <v>9037.33</v>
      </c>
      <c r="F236" s="2">
        <v>9037.33</v>
      </c>
    </row>
    <row r="237" spans="1:6" x14ac:dyDescent="0.25">
      <c r="A237" t="s">
        <v>4049</v>
      </c>
      <c r="B237" t="s">
        <v>4073</v>
      </c>
      <c r="C237" t="s">
        <v>4051</v>
      </c>
      <c r="D237" s="7">
        <v>1</v>
      </c>
      <c r="E237" s="2">
        <v>15517.89</v>
      </c>
      <c r="F237" s="2">
        <v>15517.89</v>
      </c>
    </row>
    <row r="238" spans="1:6" x14ac:dyDescent="0.25">
      <c r="A238" t="s">
        <v>4052</v>
      </c>
      <c r="B238" t="s">
        <v>4053</v>
      </c>
      <c r="C238" t="s">
        <v>4054</v>
      </c>
      <c r="D238" s="7">
        <v>1.8</v>
      </c>
      <c r="E238" s="2">
        <v>24555.22</v>
      </c>
      <c r="F238" s="2">
        <v>441.99</v>
      </c>
    </row>
    <row r="239" spans="1:6" x14ac:dyDescent="0.25">
      <c r="A239" t="s">
        <v>4055</v>
      </c>
      <c r="D239" s="7"/>
      <c r="E239" s="2"/>
      <c r="F239" s="2">
        <f>SUBTOTAL(109,A_1_13_18[VALOR PARCIAL])</f>
      </c>
    </row>
    <row r="241" ht="30" customHeight="1" spans="1:6" x14ac:dyDescent="0.25">
      <c r="A241" s="5" t="s">
        <v>5559</v>
      </c>
      <c r="B241" s="5"/>
      <c r="C241" s="5"/>
      <c r="D241" s="5"/>
      <c r="E241" s="5"/>
      <c r="F241" s="5"/>
    </row>
    <row r="242" ht="42" customHeight="1" spans="1:6" x14ac:dyDescent="0.25">
      <c r="A242" s="6" t="s">
        <v>5560</v>
      </c>
      <c r="B242" s="6"/>
      <c r="C242" s="6"/>
      <c r="D242" s="6"/>
      <c r="E242" s="6"/>
      <c r="F242" s="6"/>
    </row>
    <row r="243" spans="1:6" x14ac:dyDescent="0.25">
      <c r="A243" t="s">
        <v>4044</v>
      </c>
      <c r="B243" t="s">
        <v>4045</v>
      </c>
      <c r="C243" t="s">
        <v>5</v>
      </c>
      <c r="D243" t="s">
        <v>4046</v>
      </c>
      <c r="E243" t="s">
        <v>4047</v>
      </c>
      <c r="F243" t="s">
        <v>4048</v>
      </c>
    </row>
    <row r="244" spans="1:6" x14ac:dyDescent="0.25">
      <c r="A244" t="s">
        <v>4062</v>
      </c>
      <c r="B244" t="s">
        <v>5508</v>
      </c>
      <c r="C244" t="s">
        <v>63</v>
      </c>
      <c r="D244" s="7">
        <v>1.25</v>
      </c>
      <c r="E244" s="2">
        <v>16300</v>
      </c>
      <c r="F244" s="2">
        <v>20375</v>
      </c>
    </row>
    <row r="245" spans="1:6" x14ac:dyDescent="0.25">
      <c r="A245" t="s">
        <v>4062</v>
      </c>
      <c r="B245" t="s">
        <v>5509</v>
      </c>
      <c r="C245" t="s">
        <v>42</v>
      </c>
      <c r="D245" s="7">
        <v>0.8</v>
      </c>
      <c r="E245" s="2">
        <v>1563</v>
      </c>
      <c r="F245" s="2">
        <v>1250.4</v>
      </c>
    </row>
    <row r="246" spans="1:6" x14ac:dyDescent="0.25">
      <c r="A246" t="s">
        <v>4062</v>
      </c>
      <c r="B246" t="s">
        <v>5561</v>
      </c>
      <c r="C246" t="s">
        <v>21</v>
      </c>
      <c r="D246" s="7">
        <v>1.03</v>
      </c>
      <c r="E246" s="2">
        <v>35875</v>
      </c>
      <c r="F246" s="2">
        <v>36951.25</v>
      </c>
    </row>
    <row r="247" spans="1:6" x14ac:dyDescent="0.25">
      <c r="A247" t="s">
        <v>4062</v>
      </c>
      <c r="B247" t="s">
        <v>5512</v>
      </c>
      <c r="C247" t="s">
        <v>63</v>
      </c>
      <c r="D247" s="7">
        <v>4</v>
      </c>
      <c r="E247" s="2">
        <v>195</v>
      </c>
      <c r="F247" s="2">
        <v>780</v>
      </c>
    </row>
    <row r="248" spans="1:6" x14ac:dyDescent="0.25">
      <c r="A248" t="s">
        <v>4049</v>
      </c>
      <c r="B248" t="s">
        <v>4050</v>
      </c>
      <c r="C248" t="s">
        <v>4051</v>
      </c>
      <c r="D248" s="7">
        <v>1.4</v>
      </c>
      <c r="E248" s="2">
        <v>9037.33</v>
      </c>
      <c r="F248" s="2">
        <v>12652.26</v>
      </c>
    </row>
    <row r="249" spans="1:6" x14ac:dyDescent="0.25">
      <c r="A249" t="s">
        <v>4049</v>
      </c>
      <c r="B249" t="s">
        <v>4073</v>
      </c>
      <c r="C249" t="s">
        <v>4051</v>
      </c>
      <c r="D249" s="7">
        <v>0.7</v>
      </c>
      <c r="E249" s="2">
        <v>15517.89</v>
      </c>
      <c r="F249" s="2">
        <v>10862.52</v>
      </c>
    </row>
    <row r="250" spans="1:6" x14ac:dyDescent="0.25">
      <c r="A250" t="s">
        <v>4052</v>
      </c>
      <c r="B250" t="s">
        <v>4053</v>
      </c>
      <c r="C250" t="s">
        <v>4054</v>
      </c>
      <c r="D250" s="7">
        <v>8.5</v>
      </c>
      <c r="E250" s="2">
        <v>23514.78</v>
      </c>
      <c r="F250" s="2">
        <v>1998.76</v>
      </c>
    </row>
    <row r="251" spans="1:6" x14ac:dyDescent="0.25">
      <c r="A251" t="s">
        <v>4055</v>
      </c>
      <c r="D251" s="7"/>
      <c r="E251" s="2"/>
      <c r="F251" s="2">
        <f>SUBTOTAL(109,A_1_13_19[VALOR PARCIAL])</f>
      </c>
    </row>
    <row r="253" ht="30" customHeight="1" spans="1:6" x14ac:dyDescent="0.25">
      <c r="A253" s="5" t="s">
        <v>5562</v>
      </c>
      <c r="B253" s="5"/>
      <c r="C253" s="5"/>
      <c r="D253" s="5"/>
      <c r="E253" s="5"/>
      <c r="F253" s="5"/>
    </row>
    <row r="254" ht="42" customHeight="1" spans="1:6" x14ac:dyDescent="0.25">
      <c r="A254" s="6" t="s">
        <v>5563</v>
      </c>
      <c r="B254" s="6"/>
      <c r="C254" s="6"/>
      <c r="D254" s="6"/>
      <c r="E254" s="6"/>
      <c r="F254" s="6"/>
    </row>
    <row r="255" spans="1:6" x14ac:dyDescent="0.25">
      <c r="A255" t="s">
        <v>4044</v>
      </c>
      <c r="B255" t="s">
        <v>4045</v>
      </c>
      <c r="C255" t="s">
        <v>5</v>
      </c>
      <c r="D255" t="s">
        <v>4046</v>
      </c>
      <c r="E255" t="s">
        <v>4047</v>
      </c>
      <c r="F255" t="s">
        <v>4048</v>
      </c>
    </row>
    <row r="256" spans="1:6" x14ac:dyDescent="0.25">
      <c r="A256" t="s">
        <v>4062</v>
      </c>
      <c r="B256" t="s">
        <v>5528</v>
      </c>
      <c r="C256" t="s">
        <v>231</v>
      </c>
      <c r="D256" s="7">
        <v>0.05</v>
      </c>
      <c r="E256" s="2">
        <v>28903</v>
      </c>
      <c r="F256" s="2">
        <v>1445.15</v>
      </c>
    </row>
    <row r="257" spans="1:6" x14ac:dyDescent="0.25">
      <c r="A257" t="s">
        <v>4062</v>
      </c>
      <c r="B257" t="s">
        <v>5564</v>
      </c>
      <c r="C257" t="s">
        <v>42</v>
      </c>
      <c r="D257" s="7">
        <v>4.32</v>
      </c>
      <c r="E257" s="2">
        <v>14242.73</v>
      </c>
      <c r="F257" s="2">
        <v>61528.59</v>
      </c>
    </row>
    <row r="258" spans="1:6" x14ac:dyDescent="0.25">
      <c r="A258" t="s">
        <v>4062</v>
      </c>
      <c r="B258" t="s">
        <v>4443</v>
      </c>
      <c r="C258" t="s">
        <v>42</v>
      </c>
      <c r="D258" s="7">
        <v>2</v>
      </c>
      <c r="E258" s="2">
        <v>4244.21</v>
      </c>
      <c r="F258" s="2">
        <v>8488.42</v>
      </c>
    </row>
    <row r="259" spans="1:6" x14ac:dyDescent="0.25">
      <c r="A259" t="s">
        <v>4062</v>
      </c>
      <c r="B259" t="s">
        <v>5565</v>
      </c>
      <c r="C259" t="s">
        <v>42</v>
      </c>
      <c r="D259" s="7">
        <v>0.54</v>
      </c>
      <c r="E259" s="2">
        <v>3840.74</v>
      </c>
      <c r="F259" s="2">
        <v>2074</v>
      </c>
    </row>
    <row r="260" spans="1:6" x14ac:dyDescent="0.25">
      <c r="A260" t="s">
        <v>4062</v>
      </c>
      <c r="B260" t="s">
        <v>4065</v>
      </c>
      <c r="C260" t="s">
        <v>4066</v>
      </c>
      <c r="D260" s="7">
        <v>0.3</v>
      </c>
      <c r="E260" s="2">
        <v>3433</v>
      </c>
      <c r="F260" s="2">
        <v>1029.9</v>
      </c>
    </row>
    <row r="261" spans="1:6" x14ac:dyDescent="0.25">
      <c r="A261" t="s">
        <v>4049</v>
      </c>
      <c r="B261" t="s">
        <v>4105</v>
      </c>
      <c r="C261" t="s">
        <v>4106</v>
      </c>
      <c r="D261" s="7">
        <v>0.13</v>
      </c>
      <c r="E261" s="2">
        <v>25125</v>
      </c>
      <c r="F261" s="2">
        <v>3140.63</v>
      </c>
    </row>
    <row r="262" spans="1:6" x14ac:dyDescent="0.25">
      <c r="A262" t="s">
        <v>4049</v>
      </c>
      <c r="B262" t="s">
        <v>4487</v>
      </c>
      <c r="C262" t="s">
        <v>4236</v>
      </c>
      <c r="D262" s="7">
        <v>0.5</v>
      </c>
      <c r="E262" s="2">
        <v>24555.22</v>
      </c>
      <c r="F262" s="2">
        <v>12277.61</v>
      </c>
    </row>
    <row r="263" spans="1:6" x14ac:dyDescent="0.25">
      <c r="A263" t="s">
        <v>4052</v>
      </c>
      <c r="B263" t="s">
        <v>4053</v>
      </c>
      <c r="C263" t="s">
        <v>4054</v>
      </c>
      <c r="D263" s="7">
        <v>5</v>
      </c>
      <c r="E263" s="2">
        <v>12277.61</v>
      </c>
      <c r="F263" s="2">
        <v>613.88</v>
      </c>
    </row>
    <row r="264" spans="1:6" x14ac:dyDescent="0.25">
      <c r="A264" t="s">
        <v>4055</v>
      </c>
      <c r="D264" s="7"/>
      <c r="E264" s="2"/>
      <c r="F264" s="2">
        <f>SUBTOTAL(109,A_1_13_20[VALOR PARCIAL])</f>
      </c>
    </row>
    <row r="266" ht="30" customHeight="1" spans="1:6" x14ac:dyDescent="0.25">
      <c r="A266" s="5" t="s">
        <v>5566</v>
      </c>
      <c r="B266" s="5"/>
      <c r="C266" s="5"/>
      <c r="D266" s="5"/>
      <c r="E266" s="5"/>
      <c r="F266" s="5"/>
    </row>
    <row r="267" ht="42" customHeight="1" spans="1:6" x14ac:dyDescent="0.25">
      <c r="A267" s="6" t="s">
        <v>5567</v>
      </c>
      <c r="B267" s="6"/>
      <c r="C267" s="6"/>
      <c r="D267" s="6"/>
      <c r="E267" s="6"/>
      <c r="F267" s="6"/>
    </row>
    <row r="268" spans="1:6" x14ac:dyDescent="0.25">
      <c r="A268" t="s">
        <v>4044</v>
      </c>
      <c r="B268" t="s">
        <v>4045</v>
      </c>
      <c r="C268" t="s">
        <v>5</v>
      </c>
      <c r="D268" t="s">
        <v>4046</v>
      </c>
      <c r="E268" t="s">
        <v>4047</v>
      </c>
      <c r="F268" t="s">
        <v>4048</v>
      </c>
    </row>
    <row r="269" spans="1:6" x14ac:dyDescent="0.25">
      <c r="A269" t="s">
        <v>4062</v>
      </c>
      <c r="B269" t="s">
        <v>5568</v>
      </c>
      <c r="C269" t="s">
        <v>21</v>
      </c>
      <c r="D269" s="7">
        <v>1.03</v>
      </c>
      <c r="E269" s="2">
        <v>281960.24</v>
      </c>
      <c r="F269" s="2">
        <v>290419.05</v>
      </c>
    </row>
    <row r="270" spans="1:6" x14ac:dyDescent="0.25">
      <c r="A270" t="s">
        <v>4052</v>
      </c>
      <c r="B270" t="s">
        <v>4487</v>
      </c>
      <c r="C270" t="s">
        <v>4236</v>
      </c>
      <c r="D270" s="7">
        <v>0.03</v>
      </c>
      <c r="E270" s="2">
        <v>24555.22</v>
      </c>
      <c r="F270" s="2">
        <v>736.66</v>
      </c>
    </row>
    <row r="271" spans="1:6" x14ac:dyDescent="0.25">
      <c r="A271" t="s">
        <v>4052</v>
      </c>
      <c r="B271" t="s">
        <v>4053</v>
      </c>
      <c r="C271" t="s">
        <v>4054</v>
      </c>
      <c r="D271" s="7">
        <v>5</v>
      </c>
      <c r="E271" s="2">
        <v>736.66</v>
      </c>
      <c r="F271" s="2">
        <v>36.83</v>
      </c>
    </row>
    <row r="272" spans="1:6" x14ac:dyDescent="0.25">
      <c r="A272" t="s">
        <v>4055</v>
      </c>
      <c r="D272" s="7"/>
      <c r="E272" s="2"/>
      <c r="F272" s="2">
        <f>SUBTOTAL(109,A_1_13_21[VALOR PARCIAL])</f>
      </c>
    </row>
  </sheetData>
  <mergeCells count="42">
    <mergeCell ref="A4:F4"/>
    <mergeCell ref="A5:F5"/>
    <mergeCell ref="A13:F13"/>
    <mergeCell ref="A14:F14"/>
    <mergeCell ref="A24:F24"/>
    <mergeCell ref="A25:F25"/>
    <mergeCell ref="A36:F36"/>
    <mergeCell ref="A37:F37"/>
    <mergeCell ref="A45:F45"/>
    <mergeCell ref="A46:F46"/>
    <mergeCell ref="A57:F57"/>
    <mergeCell ref="A58:F58"/>
    <mergeCell ref="A74:F74"/>
    <mergeCell ref="A75:F75"/>
    <mergeCell ref="A87:F87"/>
    <mergeCell ref="A88:F88"/>
    <mergeCell ref="A98:F98"/>
    <mergeCell ref="A99:F99"/>
    <mergeCell ref="A115:F115"/>
    <mergeCell ref="A116:F116"/>
    <mergeCell ref="A129:F129"/>
    <mergeCell ref="A130:F130"/>
    <mergeCell ref="A148:F148"/>
    <mergeCell ref="A149:F149"/>
    <mergeCell ref="A165:F165"/>
    <mergeCell ref="A166:F166"/>
    <mergeCell ref="A176:F176"/>
    <mergeCell ref="A177:F177"/>
    <mergeCell ref="A189:F189"/>
    <mergeCell ref="A190:F190"/>
    <mergeCell ref="A197:F197"/>
    <mergeCell ref="A198:F198"/>
    <mergeCell ref="A210:F210"/>
    <mergeCell ref="A211:F211"/>
    <mergeCell ref="A224:F224"/>
    <mergeCell ref="A225:F225"/>
    <mergeCell ref="A241:F241"/>
    <mergeCell ref="A242:F242"/>
    <mergeCell ref="A253:F253"/>
    <mergeCell ref="A254:F254"/>
    <mergeCell ref="A266:F266"/>
    <mergeCell ref="A267:F267"/>
  </mergeCells>
  <pageMargins left="0.7" right="0.7" top="0.75" bottom="0.75" header="0.3" footer="0.3"/>
  <pageSetup orientation="portrait" horizontalDpi="4294967295" verticalDpi="4294967295" scale="100" fitToWidth="1" fitToHeight="1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5569</v>
      </c>
    </row>
    <row r="2" spans="1:1" x14ac:dyDescent="0.25">
      <c r="A2" s="4" t="s">
        <v>5570</v>
      </c>
    </row>
    <row r="4" ht="30" customHeight="1" spans="1:6" x14ac:dyDescent="0.25">
      <c r="A4" s="5" t="s">
        <v>5571</v>
      </c>
      <c r="B4" s="5"/>
      <c r="C4" s="5"/>
      <c r="D4" s="5"/>
      <c r="E4" s="5"/>
      <c r="F4" s="5"/>
    </row>
    <row r="5" ht="42" customHeight="1" spans="1:6" x14ac:dyDescent="0.25">
      <c r="A5" s="6" t="s">
        <v>5572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5250</v>
      </c>
      <c r="C7" t="s">
        <v>63</v>
      </c>
      <c r="D7" s="7">
        <v>2</v>
      </c>
      <c r="E7" s="2">
        <v>185</v>
      </c>
      <c r="F7" s="2">
        <v>370</v>
      </c>
    </row>
    <row r="8" spans="1:6" x14ac:dyDescent="0.25">
      <c r="A8" t="s">
        <v>4062</v>
      </c>
      <c r="B8" t="s">
        <v>5573</v>
      </c>
      <c r="C8" t="s">
        <v>63</v>
      </c>
      <c r="D8" s="7">
        <v>1</v>
      </c>
      <c r="E8" s="2">
        <v>92500</v>
      </c>
      <c r="F8" s="2">
        <v>92500</v>
      </c>
    </row>
    <row r="9" spans="1:6" x14ac:dyDescent="0.25">
      <c r="A9" t="s">
        <v>4062</v>
      </c>
      <c r="B9" t="s">
        <v>4072</v>
      </c>
      <c r="C9" t="s">
        <v>4066</v>
      </c>
      <c r="D9" s="7">
        <v>0.25</v>
      </c>
      <c r="E9" s="2">
        <v>3150</v>
      </c>
      <c r="F9" s="2">
        <v>787.5</v>
      </c>
    </row>
    <row r="10" spans="1:6" x14ac:dyDescent="0.25">
      <c r="A10" t="s">
        <v>4049</v>
      </c>
      <c r="B10" t="s">
        <v>4182</v>
      </c>
      <c r="C10" t="s">
        <v>4051</v>
      </c>
      <c r="D10" s="7">
        <v>2</v>
      </c>
      <c r="E10" s="2">
        <v>10845.1</v>
      </c>
      <c r="F10" s="2">
        <v>21690.2</v>
      </c>
    </row>
    <row r="11" spans="1:6" x14ac:dyDescent="0.25">
      <c r="A11" t="s">
        <v>4049</v>
      </c>
      <c r="B11" t="s">
        <v>4183</v>
      </c>
      <c r="C11" t="s">
        <v>4051</v>
      </c>
      <c r="D11" s="7">
        <v>2</v>
      </c>
      <c r="E11" s="2">
        <v>18621.17</v>
      </c>
      <c r="F11" s="2">
        <v>37242.34</v>
      </c>
    </row>
    <row r="12" spans="1:6" x14ac:dyDescent="0.25">
      <c r="A12" t="s">
        <v>4052</v>
      </c>
      <c r="B12" t="s">
        <v>4053</v>
      </c>
      <c r="C12" t="s">
        <v>4054</v>
      </c>
      <c r="D12" s="7">
        <v>2.5</v>
      </c>
      <c r="E12" s="2">
        <v>58932.54</v>
      </c>
      <c r="F12" s="2">
        <v>1473.31</v>
      </c>
    </row>
    <row r="13" spans="1:6" x14ac:dyDescent="0.25">
      <c r="A13" t="s">
        <v>4055</v>
      </c>
      <c r="D13" s="7"/>
      <c r="E13" s="2"/>
      <c r="F13" s="2">
        <f>SUBTOTAL(109,A_1_14_01[VALOR PARCIAL])</f>
      </c>
    </row>
    <row r="15" ht="30" customHeight="1" spans="1:6" x14ac:dyDescent="0.25">
      <c r="A15" s="5" t="s">
        <v>5574</v>
      </c>
      <c r="B15" s="5"/>
      <c r="C15" s="5"/>
      <c r="D15" s="5"/>
      <c r="E15" s="5"/>
      <c r="F15" s="5"/>
    </row>
    <row r="16" ht="42" customHeight="1" spans="1:6" x14ac:dyDescent="0.25">
      <c r="A16" s="6" t="s">
        <v>5575</v>
      </c>
      <c r="B16" s="6"/>
      <c r="C16" s="6"/>
      <c r="D16" s="6"/>
      <c r="E16" s="6"/>
      <c r="F16" s="6"/>
    </row>
    <row r="17" spans="1:6" x14ac:dyDescent="0.25">
      <c r="A17" t="s">
        <v>4044</v>
      </c>
      <c r="B17" t="s">
        <v>4045</v>
      </c>
      <c r="C17" t="s">
        <v>5</v>
      </c>
      <c r="D17" t="s">
        <v>4046</v>
      </c>
      <c r="E17" t="s">
        <v>4047</v>
      </c>
      <c r="F17" t="s">
        <v>4048</v>
      </c>
    </row>
    <row r="18" spans="1:6" x14ac:dyDescent="0.25">
      <c r="A18" t="s">
        <v>4062</v>
      </c>
      <c r="B18" t="s">
        <v>5250</v>
      </c>
      <c r="C18" t="s">
        <v>63</v>
      </c>
      <c r="D18" s="7">
        <v>4</v>
      </c>
      <c r="E18" s="2">
        <v>185</v>
      </c>
      <c r="F18" s="2">
        <v>740</v>
      </c>
    </row>
    <row r="19" spans="1:6" x14ac:dyDescent="0.25">
      <c r="A19" t="s">
        <v>4062</v>
      </c>
      <c r="B19" t="s">
        <v>5576</v>
      </c>
      <c r="C19" t="s">
        <v>63</v>
      </c>
      <c r="D19" s="7">
        <v>2.18</v>
      </c>
      <c r="E19" s="2">
        <v>79950</v>
      </c>
      <c r="F19" s="2">
        <v>174291</v>
      </c>
    </row>
    <row r="20" spans="1:6" x14ac:dyDescent="0.25">
      <c r="A20" t="s">
        <v>4062</v>
      </c>
      <c r="B20" t="s">
        <v>5577</v>
      </c>
      <c r="C20" t="s">
        <v>63</v>
      </c>
      <c r="D20" s="7">
        <v>2</v>
      </c>
      <c r="E20" s="2">
        <v>2900</v>
      </c>
      <c r="F20" s="2">
        <v>5800</v>
      </c>
    </row>
    <row r="21" spans="1:6" x14ac:dyDescent="0.25">
      <c r="A21" t="s">
        <v>4062</v>
      </c>
      <c r="B21" t="s">
        <v>5578</v>
      </c>
      <c r="C21" t="s">
        <v>63</v>
      </c>
      <c r="D21" s="7">
        <v>1.5</v>
      </c>
      <c r="E21" s="2">
        <v>182000</v>
      </c>
      <c r="F21" s="2">
        <v>273000</v>
      </c>
    </row>
    <row r="22" spans="1:6" x14ac:dyDescent="0.25">
      <c r="A22" t="s">
        <v>4062</v>
      </c>
      <c r="B22" t="s">
        <v>5579</v>
      </c>
      <c r="C22" t="s">
        <v>231</v>
      </c>
      <c r="D22" s="7">
        <v>0.25</v>
      </c>
      <c r="E22" s="2">
        <v>13475</v>
      </c>
      <c r="F22" s="2">
        <v>3368.75</v>
      </c>
    </row>
    <row r="23" spans="1:6" x14ac:dyDescent="0.25">
      <c r="A23" t="s">
        <v>4062</v>
      </c>
      <c r="B23" t="s">
        <v>4072</v>
      </c>
      <c r="C23" t="s">
        <v>4066</v>
      </c>
      <c r="D23" s="7">
        <v>0.5</v>
      </c>
      <c r="E23" s="2">
        <v>3150</v>
      </c>
      <c r="F23" s="2">
        <v>1575</v>
      </c>
    </row>
    <row r="24" spans="1:6" x14ac:dyDescent="0.25">
      <c r="A24" t="s">
        <v>4049</v>
      </c>
      <c r="B24" t="s">
        <v>4182</v>
      </c>
      <c r="C24" t="s">
        <v>4051</v>
      </c>
      <c r="D24" s="7">
        <v>14</v>
      </c>
      <c r="E24" s="2">
        <v>10845.1</v>
      </c>
      <c r="F24" s="2">
        <v>151831.4</v>
      </c>
    </row>
    <row r="25" spans="1:6" x14ac:dyDescent="0.25">
      <c r="A25" t="s">
        <v>4049</v>
      </c>
      <c r="B25" t="s">
        <v>4183</v>
      </c>
      <c r="C25" t="s">
        <v>4051</v>
      </c>
      <c r="D25" s="7">
        <v>14</v>
      </c>
      <c r="E25" s="2">
        <v>18621.17</v>
      </c>
      <c r="F25" s="2">
        <v>260696.38</v>
      </c>
    </row>
    <row r="26" spans="1:6" x14ac:dyDescent="0.25">
      <c r="A26" t="s">
        <v>4052</v>
      </c>
      <c r="B26" t="s">
        <v>4053</v>
      </c>
      <c r="C26" t="s">
        <v>4054</v>
      </c>
      <c r="D26" s="7">
        <v>2</v>
      </c>
      <c r="E26" s="2">
        <v>412527.78</v>
      </c>
      <c r="F26" s="2">
        <v>8250.56</v>
      </c>
    </row>
    <row r="27" spans="1:6" x14ac:dyDescent="0.25">
      <c r="A27" t="s">
        <v>4055</v>
      </c>
      <c r="D27" s="7"/>
      <c r="E27" s="2"/>
      <c r="F27" s="2">
        <f>SUBTOTAL(109,A_1_14_02[VALOR PARCIAL])</f>
      </c>
    </row>
    <row r="29" ht="30" customHeight="1" spans="1:6" x14ac:dyDescent="0.25">
      <c r="A29" s="5" t="s">
        <v>5580</v>
      </c>
      <c r="B29" s="5"/>
      <c r="C29" s="5"/>
      <c r="D29" s="5"/>
      <c r="E29" s="5"/>
      <c r="F29" s="5"/>
    </row>
    <row r="30" ht="42" customHeight="1" spans="1:6" x14ac:dyDescent="0.25">
      <c r="A30" s="6" t="s">
        <v>5581</v>
      </c>
      <c r="B30" s="6"/>
      <c r="C30" s="6"/>
      <c r="D30" s="6"/>
      <c r="E30" s="6"/>
      <c r="F30" s="6"/>
    </row>
    <row r="31" spans="1:6" x14ac:dyDescent="0.25">
      <c r="A31" t="s">
        <v>4044</v>
      </c>
      <c r="B31" t="s">
        <v>4045</v>
      </c>
      <c r="C31" t="s">
        <v>5</v>
      </c>
      <c r="D31" t="s">
        <v>4046</v>
      </c>
      <c r="E31" t="s">
        <v>4047</v>
      </c>
      <c r="F31" t="s">
        <v>4048</v>
      </c>
    </row>
    <row r="32" spans="1:6" x14ac:dyDescent="0.25">
      <c r="A32" t="s">
        <v>4062</v>
      </c>
      <c r="B32" t="s">
        <v>5250</v>
      </c>
      <c r="C32" t="s">
        <v>63</v>
      </c>
      <c r="D32" s="7">
        <v>4</v>
      </c>
      <c r="E32" s="2">
        <v>185</v>
      </c>
      <c r="F32" s="2">
        <v>740</v>
      </c>
    </row>
    <row r="33" spans="1:6" x14ac:dyDescent="0.25">
      <c r="A33" t="s">
        <v>4062</v>
      </c>
      <c r="B33" t="s">
        <v>5577</v>
      </c>
      <c r="C33" t="s">
        <v>63</v>
      </c>
      <c r="D33" s="7">
        <v>2</v>
      </c>
      <c r="E33" s="2">
        <v>2900</v>
      </c>
      <c r="F33" s="2">
        <v>5800</v>
      </c>
    </row>
    <row r="34" spans="1:6" x14ac:dyDescent="0.25">
      <c r="A34" t="s">
        <v>4062</v>
      </c>
      <c r="B34" t="s">
        <v>5578</v>
      </c>
      <c r="C34" t="s">
        <v>63</v>
      </c>
      <c r="D34" s="7">
        <v>1.3</v>
      </c>
      <c r="E34" s="2">
        <v>182000</v>
      </c>
      <c r="F34" s="2">
        <v>236600</v>
      </c>
    </row>
    <row r="35" spans="1:6" x14ac:dyDescent="0.25">
      <c r="A35" t="s">
        <v>4062</v>
      </c>
      <c r="B35" t="s">
        <v>5582</v>
      </c>
      <c r="C35" t="s">
        <v>63</v>
      </c>
      <c r="D35" s="7">
        <v>1.07</v>
      </c>
      <c r="E35" s="2">
        <v>39169</v>
      </c>
      <c r="F35" s="2">
        <v>41910.83</v>
      </c>
    </row>
    <row r="36" spans="1:6" x14ac:dyDescent="0.25">
      <c r="A36" t="s">
        <v>4062</v>
      </c>
      <c r="B36" t="s">
        <v>5579</v>
      </c>
      <c r="C36" t="s">
        <v>231</v>
      </c>
      <c r="D36" s="7">
        <v>0.25</v>
      </c>
      <c r="E36" s="2">
        <v>13475</v>
      </c>
      <c r="F36" s="2">
        <v>3368.75</v>
      </c>
    </row>
    <row r="37" spans="1:6" x14ac:dyDescent="0.25">
      <c r="A37" t="s">
        <v>4062</v>
      </c>
      <c r="B37" t="s">
        <v>4072</v>
      </c>
      <c r="C37" t="s">
        <v>4066</v>
      </c>
      <c r="D37" s="7">
        <v>0.15</v>
      </c>
      <c r="E37" s="2">
        <v>3150</v>
      </c>
      <c r="F37" s="2">
        <v>472.5</v>
      </c>
    </row>
    <row r="38" spans="1:6" x14ac:dyDescent="0.25">
      <c r="A38" t="s">
        <v>4049</v>
      </c>
      <c r="B38" t="s">
        <v>4182</v>
      </c>
      <c r="C38" t="s">
        <v>4051</v>
      </c>
      <c r="D38" s="7">
        <v>10</v>
      </c>
      <c r="E38" s="2">
        <v>10845.1</v>
      </c>
      <c r="F38" s="2">
        <v>108451</v>
      </c>
    </row>
    <row r="39" spans="1:6" x14ac:dyDescent="0.25">
      <c r="A39" t="s">
        <v>4049</v>
      </c>
      <c r="B39" t="s">
        <v>4183</v>
      </c>
      <c r="C39" t="s">
        <v>4051</v>
      </c>
      <c r="D39" s="7">
        <v>10</v>
      </c>
      <c r="E39" s="2">
        <v>18621.17</v>
      </c>
      <c r="F39" s="2">
        <v>186211.7</v>
      </c>
    </row>
    <row r="40" spans="1:6" x14ac:dyDescent="0.25">
      <c r="A40" t="s">
        <v>4052</v>
      </c>
      <c r="B40" t="s">
        <v>4053</v>
      </c>
      <c r="C40" t="s">
        <v>4054</v>
      </c>
      <c r="D40" s="7">
        <v>2</v>
      </c>
      <c r="E40" s="2">
        <v>294662.7</v>
      </c>
      <c r="F40" s="2">
        <v>5893.25</v>
      </c>
    </row>
    <row r="41" spans="1:6" x14ac:dyDescent="0.25">
      <c r="A41" t="s">
        <v>4055</v>
      </c>
      <c r="D41" s="7"/>
      <c r="E41" s="2"/>
      <c r="F41" s="2">
        <f>SUBTOTAL(109,A_1_14_03[VALOR PARCIAL])</f>
      </c>
    </row>
    <row r="43" ht="30" customHeight="1" spans="1:6" x14ac:dyDescent="0.25">
      <c r="A43" s="5" t="s">
        <v>5583</v>
      </c>
      <c r="B43" s="5"/>
      <c r="C43" s="5"/>
      <c r="D43" s="5"/>
      <c r="E43" s="5"/>
      <c r="F43" s="5"/>
    </row>
    <row r="44" ht="42" customHeight="1" spans="1:6" x14ac:dyDescent="0.25">
      <c r="A44" s="6" t="s">
        <v>5584</v>
      </c>
      <c r="B44" s="6"/>
      <c r="C44" s="6"/>
      <c r="D44" s="6"/>
      <c r="E44" s="6"/>
      <c r="F44" s="6"/>
    </row>
    <row r="45" spans="1:6" x14ac:dyDescent="0.25">
      <c r="A45" t="s">
        <v>4044</v>
      </c>
      <c r="B45" t="s">
        <v>4045</v>
      </c>
      <c r="C45" t="s">
        <v>5</v>
      </c>
      <c r="D45" t="s">
        <v>4046</v>
      </c>
      <c r="E45" t="s">
        <v>4047</v>
      </c>
      <c r="F45" t="s">
        <v>4048</v>
      </c>
    </row>
    <row r="46" spans="1:6" x14ac:dyDescent="0.25">
      <c r="A46" t="s">
        <v>4062</v>
      </c>
      <c r="B46" t="s">
        <v>5585</v>
      </c>
      <c r="C46" t="s">
        <v>63</v>
      </c>
      <c r="D46" s="7">
        <v>4</v>
      </c>
      <c r="E46" s="2">
        <v>37</v>
      </c>
      <c r="F46" s="2">
        <v>148</v>
      </c>
    </row>
    <row r="47" spans="1:6" x14ac:dyDescent="0.25">
      <c r="A47" t="s">
        <v>4062</v>
      </c>
      <c r="B47" t="s">
        <v>5577</v>
      </c>
      <c r="C47" t="s">
        <v>63</v>
      </c>
      <c r="D47" s="7">
        <v>2</v>
      </c>
      <c r="E47" s="2">
        <v>2900</v>
      </c>
      <c r="F47" s="2">
        <v>5800</v>
      </c>
    </row>
    <row r="48" spans="1:6" x14ac:dyDescent="0.25">
      <c r="A48" t="s">
        <v>4062</v>
      </c>
      <c r="B48" t="s">
        <v>5586</v>
      </c>
      <c r="C48" t="s">
        <v>63</v>
      </c>
      <c r="D48" s="7">
        <v>2</v>
      </c>
      <c r="E48" s="2">
        <v>42329</v>
      </c>
      <c r="F48" s="2">
        <v>84658</v>
      </c>
    </row>
    <row r="49" spans="1:6" x14ac:dyDescent="0.25">
      <c r="A49" t="s">
        <v>4062</v>
      </c>
      <c r="B49" t="s">
        <v>5582</v>
      </c>
      <c r="C49" t="s">
        <v>63</v>
      </c>
      <c r="D49" s="7">
        <v>1.07</v>
      </c>
      <c r="E49" s="2">
        <v>39169</v>
      </c>
      <c r="F49" s="2">
        <v>41910.83</v>
      </c>
    </row>
    <row r="50" spans="1:6" x14ac:dyDescent="0.25">
      <c r="A50" t="s">
        <v>4062</v>
      </c>
      <c r="B50" t="s">
        <v>5579</v>
      </c>
      <c r="C50" t="s">
        <v>231</v>
      </c>
      <c r="D50" s="7">
        <v>0.02</v>
      </c>
      <c r="E50" s="2">
        <v>13475</v>
      </c>
      <c r="F50" s="2">
        <v>269.5</v>
      </c>
    </row>
    <row r="51" spans="1:6" x14ac:dyDescent="0.25">
      <c r="A51" t="s">
        <v>4062</v>
      </c>
      <c r="B51" t="s">
        <v>4072</v>
      </c>
      <c r="C51" t="s">
        <v>4066</v>
      </c>
      <c r="D51" s="7">
        <v>0.15</v>
      </c>
      <c r="E51" s="2">
        <v>3150</v>
      </c>
      <c r="F51" s="2">
        <v>472.5</v>
      </c>
    </row>
    <row r="52" spans="1:6" x14ac:dyDescent="0.25">
      <c r="A52" t="s">
        <v>4049</v>
      </c>
      <c r="B52" t="s">
        <v>4182</v>
      </c>
      <c r="C52" t="s">
        <v>4051</v>
      </c>
      <c r="D52" s="7">
        <v>8</v>
      </c>
      <c r="E52" s="2">
        <v>10845.1</v>
      </c>
      <c r="F52" s="2">
        <v>86760.8</v>
      </c>
    </row>
    <row r="53" spans="1:6" x14ac:dyDescent="0.25">
      <c r="A53" t="s">
        <v>4049</v>
      </c>
      <c r="B53" t="s">
        <v>4183</v>
      </c>
      <c r="C53" t="s">
        <v>4051</v>
      </c>
      <c r="D53" s="7">
        <v>8</v>
      </c>
      <c r="E53" s="2">
        <v>18621.17</v>
      </c>
      <c r="F53" s="2">
        <v>148969.36</v>
      </c>
    </row>
    <row r="54" spans="1:6" x14ac:dyDescent="0.25">
      <c r="A54" t="s">
        <v>4052</v>
      </c>
      <c r="B54" t="s">
        <v>4053</v>
      </c>
      <c r="C54" t="s">
        <v>4054</v>
      </c>
      <c r="D54" s="7">
        <v>5</v>
      </c>
      <c r="E54" s="2">
        <v>235730.16</v>
      </c>
      <c r="F54" s="2">
        <v>11786.51</v>
      </c>
    </row>
    <row r="55" spans="1:6" x14ac:dyDescent="0.25">
      <c r="A55" t="s">
        <v>4055</v>
      </c>
      <c r="D55" s="7"/>
      <c r="E55" s="2"/>
      <c r="F55" s="2">
        <f>SUBTOTAL(109,A_1_14_04[VALOR PARCIAL])</f>
      </c>
    </row>
    <row r="57" ht="30" customHeight="1" spans="1:6" x14ac:dyDescent="0.25">
      <c r="A57" s="5" t="s">
        <v>5587</v>
      </c>
      <c r="B57" s="5"/>
      <c r="C57" s="5"/>
      <c r="D57" s="5"/>
      <c r="E57" s="5"/>
      <c r="F57" s="5"/>
    </row>
    <row r="58" ht="42" customHeight="1" spans="1:6" x14ac:dyDescent="0.25">
      <c r="A58" s="6" t="s">
        <v>5588</v>
      </c>
      <c r="B58" s="6"/>
      <c r="C58" s="6"/>
      <c r="D58" s="6"/>
      <c r="E58" s="6"/>
      <c r="F58" s="6"/>
    </row>
    <row r="59" spans="1:6" x14ac:dyDescent="0.25">
      <c r="A59" t="s">
        <v>4044</v>
      </c>
      <c r="B59" t="s">
        <v>4045</v>
      </c>
      <c r="C59" t="s">
        <v>5</v>
      </c>
      <c r="D59" t="s">
        <v>4046</v>
      </c>
      <c r="E59" t="s">
        <v>4047</v>
      </c>
      <c r="F59" t="s">
        <v>4048</v>
      </c>
    </row>
    <row r="60" spans="1:6" x14ac:dyDescent="0.25">
      <c r="A60" t="s">
        <v>4062</v>
      </c>
      <c r="B60" t="s">
        <v>5585</v>
      </c>
      <c r="C60" t="s">
        <v>63</v>
      </c>
      <c r="D60" s="7">
        <v>4</v>
      </c>
      <c r="E60" s="2">
        <v>37</v>
      </c>
      <c r="F60" s="2">
        <v>148</v>
      </c>
    </row>
    <row r="61" spans="1:6" x14ac:dyDescent="0.25">
      <c r="A61" t="s">
        <v>4062</v>
      </c>
      <c r="B61" t="s">
        <v>5577</v>
      </c>
      <c r="C61" t="s">
        <v>63</v>
      </c>
      <c r="D61" s="7">
        <v>0.76</v>
      </c>
      <c r="E61" s="2">
        <v>2900</v>
      </c>
      <c r="F61" s="2">
        <v>2204</v>
      </c>
    </row>
    <row r="62" spans="1:6" x14ac:dyDescent="0.25">
      <c r="A62" t="s">
        <v>4062</v>
      </c>
      <c r="B62" t="s">
        <v>5589</v>
      </c>
      <c r="C62" t="s">
        <v>63</v>
      </c>
      <c r="D62" s="7">
        <v>2</v>
      </c>
      <c r="E62" s="2">
        <v>56919</v>
      </c>
      <c r="F62" s="2">
        <v>113838</v>
      </c>
    </row>
    <row r="63" spans="1:6" x14ac:dyDescent="0.25">
      <c r="A63" t="s">
        <v>4062</v>
      </c>
      <c r="B63" t="s">
        <v>5582</v>
      </c>
      <c r="C63" t="s">
        <v>63</v>
      </c>
      <c r="D63" s="7">
        <v>1.75</v>
      </c>
      <c r="E63" s="2">
        <v>39169</v>
      </c>
      <c r="F63" s="2">
        <v>68545.75</v>
      </c>
    </row>
    <row r="64" spans="1:6" x14ac:dyDescent="0.25">
      <c r="A64" t="s">
        <v>4062</v>
      </c>
      <c r="B64" t="s">
        <v>5579</v>
      </c>
      <c r="C64" t="s">
        <v>231</v>
      </c>
      <c r="D64" s="7">
        <v>0.02</v>
      </c>
      <c r="E64" s="2">
        <v>13475</v>
      </c>
      <c r="F64" s="2">
        <v>269.5</v>
      </c>
    </row>
    <row r="65" spans="1:6" x14ac:dyDescent="0.25">
      <c r="A65" t="s">
        <v>4062</v>
      </c>
      <c r="B65" t="s">
        <v>4072</v>
      </c>
      <c r="C65" t="s">
        <v>4066</v>
      </c>
      <c r="D65" s="7">
        <v>0.15</v>
      </c>
      <c r="E65" s="2">
        <v>3150</v>
      </c>
      <c r="F65" s="2">
        <v>472.5</v>
      </c>
    </row>
    <row r="66" spans="1:6" x14ac:dyDescent="0.25">
      <c r="A66" t="s">
        <v>4049</v>
      </c>
      <c r="B66" t="s">
        <v>4182</v>
      </c>
      <c r="C66" t="s">
        <v>4051</v>
      </c>
      <c r="D66" s="7">
        <v>7</v>
      </c>
      <c r="E66" s="2">
        <v>10845.1</v>
      </c>
      <c r="F66" s="2">
        <v>75915.7</v>
      </c>
    </row>
    <row r="67" spans="1:6" x14ac:dyDescent="0.25">
      <c r="A67" t="s">
        <v>4049</v>
      </c>
      <c r="B67" t="s">
        <v>4183</v>
      </c>
      <c r="C67" t="s">
        <v>4051</v>
      </c>
      <c r="D67" s="7">
        <v>7</v>
      </c>
      <c r="E67" s="2">
        <v>18621.17</v>
      </c>
      <c r="F67" s="2">
        <v>130348.19</v>
      </c>
    </row>
    <row r="68" spans="1:6" x14ac:dyDescent="0.25">
      <c r="A68" t="s">
        <v>4052</v>
      </c>
      <c r="B68" t="s">
        <v>4053</v>
      </c>
      <c r="C68" t="s">
        <v>4054</v>
      </c>
      <c r="D68" s="7">
        <v>0.7</v>
      </c>
      <c r="E68" s="2">
        <v>206263.89</v>
      </c>
      <c r="F68" s="2">
        <v>1443.85</v>
      </c>
    </row>
    <row r="69" spans="1:6" x14ac:dyDescent="0.25">
      <c r="A69" t="s">
        <v>4055</v>
      </c>
      <c r="D69" s="7"/>
      <c r="E69" s="2"/>
      <c r="F69" s="2">
        <f>SUBTOTAL(109,A_1_14_05[VALOR PARCIAL])</f>
      </c>
    </row>
    <row r="71" ht="30" customHeight="1" spans="1:6" x14ac:dyDescent="0.25">
      <c r="A71" s="5" t="s">
        <v>5590</v>
      </c>
      <c r="B71" s="5"/>
      <c r="C71" s="5"/>
      <c r="D71" s="5"/>
      <c r="E71" s="5"/>
      <c r="F71" s="5"/>
    </row>
    <row r="72" ht="42" customHeight="1" spans="1:6" x14ac:dyDescent="0.25">
      <c r="A72" s="6" t="s">
        <v>5591</v>
      </c>
      <c r="B72" s="6"/>
      <c r="C72" s="6"/>
      <c r="D72" s="6"/>
      <c r="E72" s="6"/>
      <c r="F72" s="6"/>
    </row>
    <row r="73" spans="1:6" x14ac:dyDescent="0.25">
      <c r="A73" t="s">
        <v>4044</v>
      </c>
      <c r="B73" t="s">
        <v>4045</v>
      </c>
      <c r="C73" t="s">
        <v>5</v>
      </c>
      <c r="D73" t="s">
        <v>4046</v>
      </c>
      <c r="E73" t="s">
        <v>4047</v>
      </c>
      <c r="F73" t="s">
        <v>4048</v>
      </c>
    </row>
    <row r="74" spans="1:6" x14ac:dyDescent="0.25">
      <c r="A74" t="s">
        <v>4062</v>
      </c>
      <c r="B74" t="s">
        <v>5585</v>
      </c>
      <c r="C74" t="s">
        <v>63</v>
      </c>
      <c r="D74" s="7">
        <v>4</v>
      </c>
      <c r="E74" s="2">
        <v>37</v>
      </c>
      <c r="F74" s="2">
        <v>148</v>
      </c>
    </row>
    <row r="75" spans="1:6" x14ac:dyDescent="0.25">
      <c r="A75" t="s">
        <v>4062</v>
      </c>
      <c r="B75" t="s">
        <v>5577</v>
      </c>
      <c r="C75" t="s">
        <v>63</v>
      </c>
      <c r="D75" s="7">
        <v>0.8</v>
      </c>
      <c r="E75" s="2">
        <v>2900</v>
      </c>
      <c r="F75" s="2">
        <v>2320</v>
      </c>
    </row>
    <row r="76" spans="1:6" x14ac:dyDescent="0.25">
      <c r="A76" t="s">
        <v>4062</v>
      </c>
      <c r="B76" t="s">
        <v>5592</v>
      </c>
      <c r="C76" t="s">
        <v>63</v>
      </c>
      <c r="D76" s="7">
        <v>1.3</v>
      </c>
      <c r="E76" s="2">
        <v>250000</v>
      </c>
      <c r="F76" s="2">
        <v>325000</v>
      </c>
    </row>
    <row r="77" spans="1:6" x14ac:dyDescent="0.25">
      <c r="A77" t="s">
        <v>4062</v>
      </c>
      <c r="B77" t="s">
        <v>5582</v>
      </c>
      <c r="C77" t="s">
        <v>63</v>
      </c>
      <c r="D77" s="7">
        <v>1.07</v>
      </c>
      <c r="E77" s="2">
        <v>39169</v>
      </c>
      <c r="F77" s="2">
        <v>41910.83</v>
      </c>
    </row>
    <row r="78" spans="1:6" x14ac:dyDescent="0.25">
      <c r="A78" t="s">
        <v>4062</v>
      </c>
      <c r="B78" t="s">
        <v>5579</v>
      </c>
      <c r="C78" t="s">
        <v>231</v>
      </c>
      <c r="D78" s="7">
        <v>0.02</v>
      </c>
      <c r="E78" s="2">
        <v>13475</v>
      </c>
      <c r="F78" s="2">
        <v>269.5</v>
      </c>
    </row>
    <row r="79" spans="1:6" x14ac:dyDescent="0.25">
      <c r="A79" t="s">
        <v>4062</v>
      </c>
      <c r="B79" t="s">
        <v>4072</v>
      </c>
      <c r="C79" t="s">
        <v>4066</v>
      </c>
      <c r="D79" s="7">
        <v>0.15</v>
      </c>
      <c r="E79" s="2">
        <v>3150</v>
      </c>
      <c r="F79" s="2">
        <v>472.5</v>
      </c>
    </row>
    <row r="80" spans="1:6" x14ac:dyDescent="0.25">
      <c r="A80" t="s">
        <v>4049</v>
      </c>
      <c r="B80" t="s">
        <v>4182</v>
      </c>
      <c r="C80" t="s">
        <v>4051</v>
      </c>
      <c r="D80" s="7">
        <v>8</v>
      </c>
      <c r="E80" s="2">
        <v>10845.1</v>
      </c>
      <c r="F80" s="2">
        <v>86760.8</v>
      </c>
    </row>
    <row r="81" spans="1:6" x14ac:dyDescent="0.25">
      <c r="A81" t="s">
        <v>4049</v>
      </c>
      <c r="B81" t="s">
        <v>4183</v>
      </c>
      <c r="C81" t="s">
        <v>4051</v>
      </c>
      <c r="D81" s="7">
        <v>8</v>
      </c>
      <c r="E81" s="2">
        <v>18621.17</v>
      </c>
      <c r="F81" s="2">
        <v>148969.36</v>
      </c>
    </row>
    <row r="82" spans="1:6" x14ac:dyDescent="0.25">
      <c r="A82" t="s">
        <v>4052</v>
      </c>
      <c r="B82" t="s">
        <v>4053</v>
      </c>
      <c r="C82" t="s">
        <v>4054</v>
      </c>
      <c r="D82" s="7">
        <v>2.5</v>
      </c>
      <c r="E82" s="2">
        <v>235730.16</v>
      </c>
      <c r="F82" s="2">
        <v>5893.25</v>
      </c>
    </row>
    <row r="83" spans="1:6" x14ac:dyDescent="0.25">
      <c r="A83" t="s">
        <v>4055</v>
      </c>
      <c r="D83" s="7"/>
      <c r="E83" s="2"/>
      <c r="F83" s="2">
        <f>SUBTOTAL(109,A_1_14_06[VALOR PARCIAL])</f>
      </c>
    </row>
    <row r="85" ht="30" customHeight="1" spans="1:6" x14ac:dyDescent="0.25">
      <c r="A85" s="5" t="s">
        <v>5593</v>
      </c>
      <c r="B85" s="5"/>
      <c r="C85" s="5"/>
      <c r="D85" s="5"/>
      <c r="E85" s="5"/>
      <c r="F85" s="5"/>
    </row>
    <row r="86" ht="42" customHeight="1" spans="1:6" x14ac:dyDescent="0.25">
      <c r="A86" s="6" t="s">
        <v>5594</v>
      </c>
      <c r="B86" s="6"/>
      <c r="C86" s="6"/>
      <c r="D86" s="6"/>
      <c r="E86" s="6"/>
      <c r="F86" s="6"/>
    </row>
    <row r="87" spans="1:6" x14ac:dyDescent="0.25">
      <c r="A87" t="s">
        <v>4044</v>
      </c>
      <c r="B87" t="s">
        <v>4045</v>
      </c>
      <c r="C87" t="s">
        <v>5</v>
      </c>
      <c r="D87" t="s">
        <v>4046</v>
      </c>
      <c r="E87" t="s">
        <v>4047</v>
      </c>
      <c r="F87" t="s">
        <v>4048</v>
      </c>
    </row>
    <row r="88" spans="1:6" x14ac:dyDescent="0.25">
      <c r="A88" t="s">
        <v>4062</v>
      </c>
      <c r="B88" t="s">
        <v>5585</v>
      </c>
      <c r="C88" t="s">
        <v>63</v>
      </c>
      <c r="D88" s="7">
        <v>4</v>
      </c>
      <c r="E88" s="2">
        <v>37</v>
      </c>
      <c r="F88" s="2">
        <v>148</v>
      </c>
    </row>
    <row r="89" spans="1:6" x14ac:dyDescent="0.25">
      <c r="A89" t="s">
        <v>4062</v>
      </c>
      <c r="B89" t="s">
        <v>5577</v>
      </c>
      <c r="C89" t="s">
        <v>63</v>
      </c>
      <c r="D89" s="7">
        <v>3</v>
      </c>
      <c r="E89" s="2">
        <v>2900</v>
      </c>
      <c r="F89" s="2">
        <v>8700</v>
      </c>
    </row>
    <row r="90" spans="1:6" x14ac:dyDescent="0.25">
      <c r="A90" t="s">
        <v>4062</v>
      </c>
      <c r="B90" t="s">
        <v>5595</v>
      </c>
      <c r="C90" t="s">
        <v>63</v>
      </c>
      <c r="D90" s="7">
        <v>1.75</v>
      </c>
      <c r="E90" s="2">
        <v>46610</v>
      </c>
      <c r="F90" s="2">
        <v>81567.5</v>
      </c>
    </row>
    <row r="91" spans="1:6" x14ac:dyDescent="0.25">
      <c r="A91" t="s">
        <v>4062</v>
      </c>
      <c r="B91" t="s">
        <v>5582</v>
      </c>
      <c r="C91" t="s">
        <v>63</v>
      </c>
      <c r="D91" s="7">
        <v>1.5</v>
      </c>
      <c r="E91" s="2">
        <v>39169</v>
      </c>
      <c r="F91" s="2">
        <v>58753.5</v>
      </c>
    </row>
    <row r="92" spans="1:6" x14ac:dyDescent="0.25">
      <c r="A92" t="s">
        <v>4062</v>
      </c>
      <c r="B92" t="s">
        <v>5579</v>
      </c>
      <c r="C92" t="s">
        <v>231</v>
      </c>
      <c r="D92" s="7">
        <v>0.02</v>
      </c>
      <c r="E92" s="2">
        <v>13475</v>
      </c>
      <c r="F92" s="2">
        <v>269.5</v>
      </c>
    </row>
    <row r="93" spans="1:6" x14ac:dyDescent="0.25">
      <c r="A93" t="s">
        <v>4062</v>
      </c>
      <c r="B93" t="s">
        <v>4072</v>
      </c>
      <c r="C93" t="s">
        <v>4066</v>
      </c>
      <c r="D93" s="7">
        <v>0.15</v>
      </c>
      <c r="E93" s="2">
        <v>3150</v>
      </c>
      <c r="F93" s="2">
        <v>472.5</v>
      </c>
    </row>
    <row r="94" spans="1:6" x14ac:dyDescent="0.25">
      <c r="A94" t="s">
        <v>4049</v>
      </c>
      <c r="B94" t="s">
        <v>4182</v>
      </c>
      <c r="C94" t="s">
        <v>4051</v>
      </c>
      <c r="D94" s="7">
        <v>8</v>
      </c>
      <c r="E94" s="2">
        <v>10845.1</v>
      </c>
      <c r="F94" s="2">
        <v>86760.8</v>
      </c>
    </row>
    <row r="95" spans="1:6" x14ac:dyDescent="0.25">
      <c r="A95" t="s">
        <v>4049</v>
      </c>
      <c r="B95" t="s">
        <v>4183</v>
      </c>
      <c r="C95" t="s">
        <v>4051</v>
      </c>
      <c r="D95" s="7">
        <v>8</v>
      </c>
      <c r="E95" s="2">
        <v>18621.17</v>
      </c>
      <c r="F95" s="2">
        <v>148969.36</v>
      </c>
    </row>
    <row r="96" spans="1:6" x14ac:dyDescent="0.25">
      <c r="A96" t="s">
        <v>4052</v>
      </c>
      <c r="B96" t="s">
        <v>4053</v>
      </c>
      <c r="C96" t="s">
        <v>4054</v>
      </c>
      <c r="D96" s="7">
        <v>5</v>
      </c>
      <c r="E96" s="2">
        <v>235730.16</v>
      </c>
      <c r="F96" s="2">
        <v>11786.51</v>
      </c>
    </row>
    <row r="97" spans="1:6" x14ac:dyDescent="0.25">
      <c r="A97" t="s">
        <v>4055</v>
      </c>
      <c r="D97" s="7"/>
      <c r="E97" s="2"/>
      <c r="F97" s="2">
        <f>SUBTOTAL(109,A_1_14_07[VALOR PARCIAL])</f>
      </c>
    </row>
    <row r="99" ht="30" customHeight="1" spans="1:6" x14ac:dyDescent="0.25">
      <c r="A99" s="5" t="s">
        <v>5596</v>
      </c>
      <c r="B99" s="5"/>
      <c r="C99" s="5"/>
      <c r="D99" s="5"/>
      <c r="E99" s="5"/>
      <c r="F99" s="5"/>
    </row>
    <row r="100" ht="42" customHeight="1" spans="1:6" x14ac:dyDescent="0.25">
      <c r="A100" s="6" t="s">
        <v>5597</v>
      </c>
      <c r="B100" s="6"/>
      <c r="C100" s="6"/>
      <c r="D100" s="6"/>
      <c r="E100" s="6"/>
      <c r="F100" s="6"/>
    </row>
    <row r="101" spans="1:6" x14ac:dyDescent="0.25">
      <c r="A101" t="s">
        <v>4044</v>
      </c>
      <c r="B101" t="s">
        <v>4045</v>
      </c>
      <c r="C101" t="s">
        <v>5</v>
      </c>
      <c r="D101" t="s">
        <v>4046</v>
      </c>
      <c r="E101" t="s">
        <v>4047</v>
      </c>
      <c r="F101" t="s">
        <v>4048</v>
      </c>
    </row>
    <row r="102" spans="1:6" x14ac:dyDescent="0.25">
      <c r="A102" t="s">
        <v>4062</v>
      </c>
      <c r="B102" t="s">
        <v>5585</v>
      </c>
      <c r="C102" t="s">
        <v>63</v>
      </c>
      <c r="D102" s="7">
        <v>7</v>
      </c>
      <c r="E102" s="2">
        <v>37</v>
      </c>
      <c r="F102" s="2">
        <v>259</v>
      </c>
    </row>
    <row r="103" spans="1:6" x14ac:dyDescent="0.25">
      <c r="A103" t="s">
        <v>4062</v>
      </c>
      <c r="B103" t="s">
        <v>5577</v>
      </c>
      <c r="C103" t="s">
        <v>63</v>
      </c>
      <c r="D103" s="7">
        <v>0.76</v>
      </c>
      <c r="E103" s="2">
        <v>2900</v>
      </c>
      <c r="F103" s="2">
        <v>2204</v>
      </c>
    </row>
    <row r="104" spans="1:6" x14ac:dyDescent="0.25">
      <c r="A104" t="s">
        <v>4062</v>
      </c>
      <c r="B104" t="s">
        <v>5586</v>
      </c>
      <c r="C104" t="s">
        <v>63</v>
      </c>
      <c r="D104" s="7">
        <v>2</v>
      </c>
      <c r="E104" s="2">
        <v>42329</v>
      </c>
      <c r="F104" s="2">
        <v>84658</v>
      </c>
    </row>
    <row r="105" spans="1:6" x14ac:dyDescent="0.25">
      <c r="A105" t="s">
        <v>4062</v>
      </c>
      <c r="B105" t="s">
        <v>5582</v>
      </c>
      <c r="C105" t="s">
        <v>63</v>
      </c>
      <c r="D105" s="7">
        <v>2.5</v>
      </c>
      <c r="E105" s="2">
        <v>39169</v>
      </c>
      <c r="F105" s="2">
        <v>97922.5</v>
      </c>
    </row>
    <row r="106" spans="1:6" x14ac:dyDescent="0.25">
      <c r="A106" t="s">
        <v>4062</v>
      </c>
      <c r="B106" t="s">
        <v>5579</v>
      </c>
      <c r="C106" t="s">
        <v>231</v>
      </c>
      <c r="D106" s="7">
        <v>0.02</v>
      </c>
      <c r="E106" s="2">
        <v>13475</v>
      </c>
      <c r="F106" s="2">
        <v>269.5</v>
      </c>
    </row>
    <row r="107" spans="1:6" x14ac:dyDescent="0.25">
      <c r="A107" t="s">
        <v>4062</v>
      </c>
      <c r="B107" t="s">
        <v>4072</v>
      </c>
      <c r="C107" t="s">
        <v>4066</v>
      </c>
      <c r="D107" s="7">
        <v>0.4</v>
      </c>
      <c r="E107" s="2">
        <v>3150</v>
      </c>
      <c r="F107" s="2">
        <v>1260</v>
      </c>
    </row>
    <row r="108" spans="1:6" x14ac:dyDescent="0.25">
      <c r="A108" t="s">
        <v>4049</v>
      </c>
      <c r="B108" t="s">
        <v>4182</v>
      </c>
      <c r="C108" t="s">
        <v>4051</v>
      </c>
      <c r="D108" s="7">
        <v>8</v>
      </c>
      <c r="E108" s="2">
        <v>10845.1</v>
      </c>
      <c r="F108" s="2">
        <v>86760.8</v>
      </c>
    </row>
    <row r="109" spans="1:6" x14ac:dyDescent="0.25">
      <c r="A109" t="s">
        <v>4049</v>
      </c>
      <c r="B109" t="s">
        <v>4183</v>
      </c>
      <c r="C109" t="s">
        <v>4051</v>
      </c>
      <c r="D109" s="7">
        <v>8</v>
      </c>
      <c r="E109" s="2">
        <v>18621.17</v>
      </c>
      <c r="F109" s="2">
        <v>148969.36</v>
      </c>
    </row>
    <row r="110" spans="1:6" x14ac:dyDescent="0.25">
      <c r="A110" t="s">
        <v>4052</v>
      </c>
      <c r="B110" t="s">
        <v>4053</v>
      </c>
      <c r="C110" t="s">
        <v>4054</v>
      </c>
      <c r="D110" s="7">
        <v>5</v>
      </c>
      <c r="E110" s="2">
        <v>235730.16</v>
      </c>
      <c r="F110" s="2">
        <v>11786.51</v>
      </c>
    </row>
    <row r="111" spans="1:6" x14ac:dyDescent="0.25">
      <c r="A111" t="s">
        <v>4055</v>
      </c>
      <c r="D111" s="7"/>
      <c r="E111" s="2"/>
      <c r="F111" s="2">
        <f>SUBTOTAL(109,A_1_14_08[VALOR PARCIAL])</f>
      </c>
    </row>
    <row r="113" ht="30" customHeight="1" spans="1:6" x14ac:dyDescent="0.25">
      <c r="A113" s="5" t="s">
        <v>5598</v>
      </c>
      <c r="B113" s="5"/>
      <c r="C113" s="5"/>
      <c r="D113" s="5"/>
      <c r="E113" s="5"/>
      <c r="F113" s="5"/>
    </row>
    <row r="114" ht="42" customHeight="1" spans="1:6" x14ac:dyDescent="0.25">
      <c r="A114" s="6" t="s">
        <v>5599</v>
      </c>
      <c r="B114" s="6"/>
      <c r="C114" s="6"/>
      <c r="D114" s="6"/>
      <c r="E114" s="6"/>
      <c r="F114" s="6"/>
    </row>
    <row r="115" spans="1:6" x14ac:dyDescent="0.25">
      <c r="A115" t="s">
        <v>4044</v>
      </c>
      <c r="B115" t="s">
        <v>4045</v>
      </c>
      <c r="C115" t="s">
        <v>5</v>
      </c>
      <c r="D115" t="s">
        <v>4046</v>
      </c>
      <c r="E115" t="s">
        <v>4047</v>
      </c>
      <c r="F115" t="s">
        <v>4048</v>
      </c>
    </row>
    <row r="116" spans="1:6" x14ac:dyDescent="0.25">
      <c r="A116" t="s">
        <v>4062</v>
      </c>
      <c r="B116" t="s">
        <v>5585</v>
      </c>
      <c r="C116" t="s">
        <v>63</v>
      </c>
      <c r="D116" s="7">
        <v>7</v>
      </c>
      <c r="E116" s="2">
        <v>37</v>
      </c>
      <c r="F116" s="2">
        <v>259</v>
      </c>
    </row>
    <row r="117" spans="1:6" x14ac:dyDescent="0.25">
      <c r="A117" t="s">
        <v>4062</v>
      </c>
      <c r="B117" t="s">
        <v>5577</v>
      </c>
      <c r="C117" t="s">
        <v>63</v>
      </c>
      <c r="D117" s="7">
        <v>0.76</v>
      </c>
      <c r="E117" s="2">
        <v>2900</v>
      </c>
      <c r="F117" s="2">
        <v>2204</v>
      </c>
    </row>
    <row r="118" spans="1:6" x14ac:dyDescent="0.25">
      <c r="A118" t="s">
        <v>4062</v>
      </c>
      <c r="B118" t="s">
        <v>5589</v>
      </c>
      <c r="C118" t="s">
        <v>63</v>
      </c>
      <c r="D118" s="7">
        <v>2.75</v>
      </c>
      <c r="E118" s="2">
        <v>56919</v>
      </c>
      <c r="F118" s="2">
        <v>156527.25</v>
      </c>
    </row>
    <row r="119" spans="1:6" x14ac:dyDescent="0.25">
      <c r="A119" t="s">
        <v>4062</v>
      </c>
      <c r="B119" t="s">
        <v>5582</v>
      </c>
      <c r="C119" t="s">
        <v>63</v>
      </c>
      <c r="D119" s="7">
        <v>2</v>
      </c>
      <c r="E119" s="2">
        <v>39169</v>
      </c>
      <c r="F119" s="2">
        <v>78338</v>
      </c>
    </row>
    <row r="120" spans="1:6" x14ac:dyDescent="0.25">
      <c r="A120" t="s">
        <v>4062</v>
      </c>
      <c r="B120" t="s">
        <v>5579</v>
      </c>
      <c r="C120" t="s">
        <v>231</v>
      </c>
      <c r="D120" s="7">
        <v>0.02</v>
      </c>
      <c r="E120" s="2">
        <v>13475</v>
      </c>
      <c r="F120" s="2">
        <v>269.5</v>
      </c>
    </row>
    <row r="121" spans="1:6" x14ac:dyDescent="0.25">
      <c r="A121" t="s">
        <v>4062</v>
      </c>
      <c r="B121" t="s">
        <v>4072</v>
      </c>
      <c r="C121" t="s">
        <v>4066</v>
      </c>
      <c r="D121" s="7">
        <v>0.4</v>
      </c>
      <c r="E121" s="2">
        <v>3150</v>
      </c>
      <c r="F121" s="2">
        <v>1260</v>
      </c>
    </row>
    <row r="122" spans="1:6" x14ac:dyDescent="0.25">
      <c r="A122" t="s">
        <v>4049</v>
      </c>
      <c r="B122" t="s">
        <v>4182</v>
      </c>
      <c r="C122" t="s">
        <v>4051</v>
      </c>
      <c r="D122" s="7">
        <v>10</v>
      </c>
      <c r="E122" s="2">
        <v>10845.1</v>
      </c>
      <c r="F122" s="2">
        <v>108451</v>
      </c>
    </row>
    <row r="123" spans="1:6" x14ac:dyDescent="0.25">
      <c r="A123" t="s">
        <v>4049</v>
      </c>
      <c r="B123" t="s">
        <v>4183</v>
      </c>
      <c r="C123" t="s">
        <v>4051</v>
      </c>
      <c r="D123" s="7">
        <v>10</v>
      </c>
      <c r="E123" s="2">
        <v>18621.17</v>
      </c>
      <c r="F123" s="2">
        <v>186211.7</v>
      </c>
    </row>
    <row r="124" spans="1:6" x14ac:dyDescent="0.25">
      <c r="A124" t="s">
        <v>4052</v>
      </c>
      <c r="B124" t="s">
        <v>4053</v>
      </c>
      <c r="C124" t="s">
        <v>4054</v>
      </c>
      <c r="D124" s="7">
        <v>2.3</v>
      </c>
      <c r="E124" s="2">
        <v>294662.7</v>
      </c>
      <c r="F124" s="2">
        <v>6777.24</v>
      </c>
    </row>
    <row r="125" spans="1:6" x14ac:dyDescent="0.25">
      <c r="A125" t="s">
        <v>4055</v>
      </c>
      <c r="D125" s="7"/>
      <c r="E125" s="2"/>
      <c r="F125" s="2">
        <f>SUBTOTAL(109,A_1_14_09[VALOR PARCIAL])</f>
      </c>
    </row>
    <row r="127" ht="30" customHeight="1" spans="1:6" x14ac:dyDescent="0.25">
      <c r="A127" s="5" t="s">
        <v>5600</v>
      </c>
      <c r="B127" s="5"/>
      <c r="C127" s="5"/>
      <c r="D127" s="5"/>
      <c r="E127" s="5"/>
      <c r="F127" s="5"/>
    </row>
    <row r="128" ht="42" customHeight="1" spans="1:6" x14ac:dyDescent="0.25">
      <c r="A128" s="6" t="s">
        <v>5601</v>
      </c>
      <c r="B128" s="6"/>
      <c r="C128" s="6"/>
      <c r="D128" s="6"/>
      <c r="E128" s="6"/>
      <c r="F128" s="6"/>
    </row>
    <row r="129" spans="1:6" x14ac:dyDescent="0.25">
      <c r="A129" t="s">
        <v>4044</v>
      </c>
      <c r="B129" t="s">
        <v>4045</v>
      </c>
      <c r="C129" t="s">
        <v>5</v>
      </c>
      <c r="D129" t="s">
        <v>4046</v>
      </c>
      <c r="E129" t="s">
        <v>4047</v>
      </c>
      <c r="F129" t="s">
        <v>4048</v>
      </c>
    </row>
    <row r="130" spans="1:6" x14ac:dyDescent="0.25">
      <c r="A130" t="s">
        <v>4062</v>
      </c>
      <c r="B130" t="s">
        <v>5585</v>
      </c>
      <c r="C130" t="s">
        <v>63</v>
      </c>
      <c r="D130" s="7">
        <v>7</v>
      </c>
      <c r="E130" s="2">
        <v>37</v>
      </c>
      <c r="F130" s="2">
        <v>259</v>
      </c>
    </row>
    <row r="131" spans="1:6" x14ac:dyDescent="0.25">
      <c r="A131" t="s">
        <v>4062</v>
      </c>
      <c r="B131" t="s">
        <v>5576</v>
      </c>
      <c r="C131" t="s">
        <v>63</v>
      </c>
      <c r="D131" s="7">
        <v>0.75</v>
      </c>
      <c r="E131" s="2">
        <v>79950</v>
      </c>
      <c r="F131" s="2">
        <v>59962.5</v>
      </c>
    </row>
    <row r="132" spans="1:6" x14ac:dyDescent="0.25">
      <c r="A132" t="s">
        <v>4062</v>
      </c>
      <c r="B132" t="s">
        <v>5577</v>
      </c>
      <c r="C132" t="s">
        <v>63</v>
      </c>
      <c r="D132" s="7">
        <v>0.76</v>
      </c>
      <c r="E132" s="2">
        <v>2900</v>
      </c>
      <c r="F132" s="2">
        <v>2204</v>
      </c>
    </row>
    <row r="133" spans="1:6" x14ac:dyDescent="0.25">
      <c r="A133" t="s">
        <v>4062</v>
      </c>
      <c r="B133" t="s">
        <v>5592</v>
      </c>
      <c r="C133" t="s">
        <v>63</v>
      </c>
      <c r="D133" s="7">
        <v>2.1</v>
      </c>
      <c r="E133" s="2">
        <v>250000</v>
      </c>
      <c r="F133" s="2">
        <v>525000</v>
      </c>
    </row>
    <row r="134" spans="1:6" x14ac:dyDescent="0.25">
      <c r="A134" t="s">
        <v>4062</v>
      </c>
      <c r="B134" t="s">
        <v>5579</v>
      </c>
      <c r="C134" t="s">
        <v>231</v>
      </c>
      <c r="D134" s="7">
        <v>1</v>
      </c>
      <c r="E134" s="2">
        <v>13475</v>
      </c>
      <c r="F134" s="2">
        <v>13475</v>
      </c>
    </row>
    <row r="135" spans="1:6" x14ac:dyDescent="0.25">
      <c r="A135" t="s">
        <v>4062</v>
      </c>
      <c r="B135" t="s">
        <v>4072</v>
      </c>
      <c r="C135" t="s">
        <v>4066</v>
      </c>
      <c r="D135" s="7">
        <v>0.45</v>
      </c>
      <c r="E135" s="2">
        <v>3150</v>
      </c>
      <c r="F135" s="2">
        <v>1417.5</v>
      </c>
    </row>
    <row r="136" spans="1:6" x14ac:dyDescent="0.25">
      <c r="A136" t="s">
        <v>4049</v>
      </c>
      <c r="B136" t="s">
        <v>4182</v>
      </c>
      <c r="C136" t="s">
        <v>4051</v>
      </c>
      <c r="D136" s="7">
        <v>9</v>
      </c>
      <c r="E136" s="2">
        <v>10845.1</v>
      </c>
      <c r="F136" s="2">
        <v>97605.9</v>
      </c>
    </row>
    <row r="137" spans="1:6" x14ac:dyDescent="0.25">
      <c r="A137" t="s">
        <v>4049</v>
      </c>
      <c r="B137" t="s">
        <v>4183</v>
      </c>
      <c r="C137" t="s">
        <v>4051</v>
      </c>
      <c r="D137" s="7">
        <v>9</v>
      </c>
      <c r="E137" s="2">
        <v>18621.17</v>
      </c>
      <c r="F137" s="2">
        <v>167590.53</v>
      </c>
    </row>
    <row r="138" spans="1:6" x14ac:dyDescent="0.25">
      <c r="A138" t="s">
        <v>4052</v>
      </c>
      <c r="B138" t="s">
        <v>4053</v>
      </c>
      <c r="C138" t="s">
        <v>4054</v>
      </c>
      <c r="D138" s="7">
        <v>3</v>
      </c>
      <c r="E138" s="2">
        <v>265196.43</v>
      </c>
      <c r="F138" s="2">
        <v>7955.89</v>
      </c>
    </row>
    <row r="139" spans="1:6" x14ac:dyDescent="0.25">
      <c r="A139" t="s">
        <v>4055</v>
      </c>
      <c r="D139" s="7"/>
      <c r="E139" s="2"/>
      <c r="F139" s="2">
        <f>SUBTOTAL(109,A_1_14_10[VALOR PARCIAL])</f>
      </c>
    </row>
    <row r="141" ht="30" customHeight="1" spans="1:6" x14ac:dyDescent="0.25">
      <c r="A141" s="5" t="s">
        <v>5602</v>
      </c>
      <c r="B141" s="5"/>
      <c r="C141" s="5"/>
      <c r="D141" s="5"/>
      <c r="E141" s="5"/>
      <c r="F141" s="5"/>
    </row>
    <row r="142" ht="42" customHeight="1" spans="1:6" x14ac:dyDescent="0.25">
      <c r="A142" s="6" t="s">
        <v>5603</v>
      </c>
      <c r="B142" s="6"/>
      <c r="C142" s="6"/>
      <c r="D142" s="6"/>
      <c r="E142" s="6"/>
      <c r="F142" s="6"/>
    </row>
    <row r="143" spans="1:6" x14ac:dyDescent="0.25">
      <c r="A143" t="s">
        <v>4044</v>
      </c>
      <c r="B143" t="s">
        <v>4045</v>
      </c>
      <c r="C143" t="s">
        <v>5</v>
      </c>
      <c r="D143" t="s">
        <v>4046</v>
      </c>
      <c r="E143" t="s">
        <v>4047</v>
      </c>
      <c r="F143" t="s">
        <v>4048</v>
      </c>
    </row>
    <row r="144" spans="1:6" x14ac:dyDescent="0.25">
      <c r="A144" t="s">
        <v>4062</v>
      </c>
      <c r="B144" t="s">
        <v>5585</v>
      </c>
      <c r="C144" t="s">
        <v>63</v>
      </c>
      <c r="D144" s="7">
        <v>7</v>
      </c>
      <c r="E144" s="2">
        <v>37</v>
      </c>
      <c r="F144" s="2">
        <v>259</v>
      </c>
    </row>
    <row r="145" spans="1:6" x14ac:dyDescent="0.25">
      <c r="A145" t="s">
        <v>4062</v>
      </c>
      <c r="B145" t="s">
        <v>5577</v>
      </c>
      <c r="C145" t="s">
        <v>63</v>
      </c>
      <c r="D145" s="7">
        <v>4</v>
      </c>
      <c r="E145" s="2">
        <v>2900</v>
      </c>
      <c r="F145" s="2">
        <v>11600</v>
      </c>
    </row>
    <row r="146" spans="1:6" x14ac:dyDescent="0.25">
      <c r="A146" t="s">
        <v>4062</v>
      </c>
      <c r="B146" t="s">
        <v>5595</v>
      </c>
      <c r="C146" t="s">
        <v>63</v>
      </c>
      <c r="D146" s="7">
        <v>2</v>
      </c>
      <c r="E146" s="2">
        <v>46610</v>
      </c>
      <c r="F146" s="2">
        <v>93220</v>
      </c>
    </row>
    <row r="147" spans="1:6" x14ac:dyDescent="0.25">
      <c r="A147" t="s">
        <v>4062</v>
      </c>
      <c r="B147" t="s">
        <v>5582</v>
      </c>
      <c r="C147" t="s">
        <v>63</v>
      </c>
      <c r="D147" s="7">
        <v>2.5</v>
      </c>
      <c r="E147" s="2">
        <v>39169</v>
      </c>
      <c r="F147" s="2">
        <v>97922.5</v>
      </c>
    </row>
    <row r="148" spans="1:6" x14ac:dyDescent="0.25">
      <c r="A148" t="s">
        <v>4062</v>
      </c>
      <c r="B148" t="s">
        <v>5579</v>
      </c>
      <c r="C148" t="s">
        <v>231</v>
      </c>
      <c r="D148" s="7">
        <v>0.2</v>
      </c>
      <c r="E148" s="2">
        <v>13475</v>
      </c>
      <c r="F148" s="2">
        <v>2695</v>
      </c>
    </row>
    <row r="149" spans="1:6" x14ac:dyDescent="0.25">
      <c r="A149" t="s">
        <v>4062</v>
      </c>
      <c r="B149" t="s">
        <v>4072</v>
      </c>
      <c r="C149" t="s">
        <v>4066</v>
      </c>
      <c r="D149" s="7">
        <v>0.45</v>
      </c>
      <c r="E149" s="2">
        <v>3150</v>
      </c>
      <c r="F149" s="2">
        <v>1417.5</v>
      </c>
    </row>
    <row r="150" spans="1:6" x14ac:dyDescent="0.25">
      <c r="A150" t="s">
        <v>4049</v>
      </c>
      <c r="B150" t="s">
        <v>4182</v>
      </c>
      <c r="C150" t="s">
        <v>4051</v>
      </c>
      <c r="D150" s="7">
        <v>8</v>
      </c>
      <c r="E150" s="2">
        <v>10845.1</v>
      </c>
      <c r="F150" s="2">
        <v>86760.8</v>
      </c>
    </row>
    <row r="151" spans="1:6" x14ac:dyDescent="0.25">
      <c r="A151" t="s">
        <v>4049</v>
      </c>
      <c r="B151" t="s">
        <v>4183</v>
      </c>
      <c r="C151" t="s">
        <v>4051</v>
      </c>
      <c r="D151" s="7">
        <v>8</v>
      </c>
      <c r="E151" s="2">
        <v>18621.17</v>
      </c>
      <c r="F151" s="2">
        <v>148969.36</v>
      </c>
    </row>
    <row r="152" spans="1:6" x14ac:dyDescent="0.25">
      <c r="A152" t="s">
        <v>4052</v>
      </c>
      <c r="B152" t="s">
        <v>4053</v>
      </c>
      <c r="C152" t="s">
        <v>4054</v>
      </c>
      <c r="D152" s="7">
        <v>2.5</v>
      </c>
      <c r="E152" s="2">
        <v>235730.16</v>
      </c>
      <c r="F152" s="2">
        <v>5893.25</v>
      </c>
    </row>
    <row r="153" spans="1:6" x14ac:dyDescent="0.25">
      <c r="A153" t="s">
        <v>4055</v>
      </c>
      <c r="D153" s="7"/>
      <c r="E153" s="2"/>
      <c r="F153" s="2">
        <f>SUBTOTAL(109,A_1_14_11[VALOR PARCIAL])</f>
      </c>
    </row>
    <row r="155" ht="30" customHeight="1" spans="1:6" x14ac:dyDescent="0.25">
      <c r="A155" s="5" t="s">
        <v>5604</v>
      </c>
      <c r="B155" s="5"/>
      <c r="C155" s="5"/>
      <c r="D155" s="5"/>
      <c r="E155" s="5"/>
      <c r="F155" s="5"/>
    </row>
    <row r="156" ht="42" customHeight="1" spans="1:6" x14ac:dyDescent="0.25">
      <c r="A156" s="6" t="s">
        <v>5605</v>
      </c>
      <c r="B156" s="6"/>
      <c r="C156" s="6"/>
      <c r="D156" s="6"/>
      <c r="E156" s="6"/>
      <c r="F156" s="6"/>
    </row>
    <row r="157" spans="1:6" x14ac:dyDescent="0.25">
      <c r="A157" t="s">
        <v>4044</v>
      </c>
      <c r="B157" t="s">
        <v>4045</v>
      </c>
      <c r="C157" t="s">
        <v>5</v>
      </c>
      <c r="D157" t="s">
        <v>4046</v>
      </c>
      <c r="E157" t="s">
        <v>4047</v>
      </c>
      <c r="F157" t="s">
        <v>4048</v>
      </c>
    </row>
    <row r="158" spans="1:6" x14ac:dyDescent="0.25">
      <c r="A158" t="s">
        <v>4062</v>
      </c>
      <c r="B158" t="s">
        <v>5585</v>
      </c>
      <c r="C158" t="s">
        <v>63</v>
      </c>
      <c r="D158" s="7">
        <v>7</v>
      </c>
      <c r="E158" s="2">
        <v>37</v>
      </c>
      <c r="F158" s="2">
        <v>259</v>
      </c>
    </row>
    <row r="159" spans="1:6" x14ac:dyDescent="0.25">
      <c r="A159" t="s">
        <v>4062</v>
      </c>
      <c r="B159" t="s">
        <v>5577</v>
      </c>
      <c r="C159" t="s">
        <v>63</v>
      </c>
      <c r="D159" s="7">
        <v>0.76</v>
      </c>
      <c r="E159" s="2">
        <v>2900</v>
      </c>
      <c r="F159" s="2">
        <v>2204</v>
      </c>
    </row>
    <row r="160" spans="1:6" x14ac:dyDescent="0.25">
      <c r="A160" t="s">
        <v>4062</v>
      </c>
      <c r="B160" t="s">
        <v>5586</v>
      </c>
      <c r="C160" t="s">
        <v>63</v>
      </c>
      <c r="D160" s="7">
        <v>2.3</v>
      </c>
      <c r="E160" s="2">
        <v>42329</v>
      </c>
      <c r="F160" s="2">
        <v>97356.7</v>
      </c>
    </row>
    <row r="161" spans="1:6" x14ac:dyDescent="0.25">
      <c r="A161" t="s">
        <v>4062</v>
      </c>
      <c r="B161" t="s">
        <v>5582</v>
      </c>
      <c r="C161" t="s">
        <v>63</v>
      </c>
      <c r="D161" s="7">
        <v>1</v>
      </c>
      <c r="E161" s="2">
        <v>39169</v>
      </c>
      <c r="F161" s="2">
        <v>39169</v>
      </c>
    </row>
    <row r="162" spans="1:6" x14ac:dyDescent="0.25">
      <c r="A162" t="s">
        <v>4062</v>
      </c>
      <c r="B162" t="s">
        <v>5579</v>
      </c>
      <c r="C162" t="s">
        <v>231</v>
      </c>
      <c r="D162" s="7">
        <v>0.2</v>
      </c>
      <c r="E162" s="2">
        <v>13475</v>
      </c>
      <c r="F162" s="2">
        <v>2695</v>
      </c>
    </row>
    <row r="163" spans="1:6" x14ac:dyDescent="0.25">
      <c r="A163" t="s">
        <v>4062</v>
      </c>
      <c r="B163" t="s">
        <v>4072</v>
      </c>
      <c r="C163" t="s">
        <v>4066</v>
      </c>
      <c r="D163" s="7">
        <v>0.45</v>
      </c>
      <c r="E163" s="2">
        <v>3150</v>
      </c>
      <c r="F163" s="2">
        <v>1417.5</v>
      </c>
    </row>
    <row r="164" spans="1:6" x14ac:dyDescent="0.25">
      <c r="A164" t="s">
        <v>4049</v>
      </c>
      <c r="B164" t="s">
        <v>4182</v>
      </c>
      <c r="C164" t="s">
        <v>4051</v>
      </c>
      <c r="D164" s="7">
        <v>8</v>
      </c>
      <c r="E164" s="2">
        <v>10845.1</v>
      </c>
      <c r="F164" s="2">
        <v>86760.8</v>
      </c>
    </row>
    <row r="165" spans="1:6" x14ac:dyDescent="0.25">
      <c r="A165" t="s">
        <v>4049</v>
      </c>
      <c r="B165" t="s">
        <v>4183</v>
      </c>
      <c r="C165" t="s">
        <v>4051</v>
      </c>
      <c r="D165" s="7">
        <v>8</v>
      </c>
      <c r="E165" s="2">
        <v>18621.17</v>
      </c>
      <c r="F165" s="2">
        <v>148969.36</v>
      </c>
    </row>
    <row r="166" spans="1:6" x14ac:dyDescent="0.25">
      <c r="A166" t="s">
        <v>4052</v>
      </c>
      <c r="B166" t="s">
        <v>4053</v>
      </c>
      <c r="C166" t="s">
        <v>4054</v>
      </c>
      <c r="D166" s="7">
        <v>5</v>
      </c>
      <c r="E166" s="2">
        <v>235730.16</v>
      </c>
      <c r="F166" s="2">
        <v>11786.51</v>
      </c>
    </row>
    <row r="167" spans="1:6" x14ac:dyDescent="0.25">
      <c r="A167" t="s">
        <v>4055</v>
      </c>
      <c r="D167" s="7"/>
      <c r="E167" s="2"/>
      <c r="F167" s="2">
        <f>SUBTOTAL(109,A_1_14_12[VALOR PARCIAL])</f>
      </c>
    </row>
    <row r="169" ht="30" customHeight="1" spans="1:6" x14ac:dyDescent="0.25">
      <c r="A169" s="5" t="s">
        <v>5606</v>
      </c>
      <c r="B169" s="5"/>
      <c r="C169" s="5"/>
      <c r="D169" s="5"/>
      <c r="E169" s="5"/>
      <c r="F169" s="5"/>
    </row>
    <row r="170" ht="42" customHeight="1" spans="1:6" x14ac:dyDescent="0.25">
      <c r="A170" s="6" t="s">
        <v>5607</v>
      </c>
      <c r="B170" s="6"/>
      <c r="C170" s="6"/>
      <c r="D170" s="6"/>
      <c r="E170" s="6"/>
      <c r="F170" s="6"/>
    </row>
    <row r="171" spans="1:6" x14ac:dyDescent="0.25">
      <c r="A171" t="s">
        <v>4044</v>
      </c>
      <c r="B171" t="s">
        <v>4045</v>
      </c>
      <c r="C171" t="s">
        <v>5</v>
      </c>
      <c r="D171" t="s">
        <v>4046</v>
      </c>
      <c r="E171" t="s">
        <v>4047</v>
      </c>
      <c r="F171" t="s">
        <v>4048</v>
      </c>
    </row>
    <row r="172" spans="1:6" x14ac:dyDescent="0.25">
      <c r="A172" t="s">
        <v>4062</v>
      </c>
      <c r="B172" t="s">
        <v>5585</v>
      </c>
      <c r="C172" t="s">
        <v>63</v>
      </c>
      <c r="D172" s="7">
        <v>7</v>
      </c>
      <c r="E172" s="2">
        <v>37</v>
      </c>
      <c r="F172" s="2">
        <v>259</v>
      </c>
    </row>
    <row r="173" spans="1:6" x14ac:dyDescent="0.25">
      <c r="A173" t="s">
        <v>4062</v>
      </c>
      <c r="B173" t="s">
        <v>5577</v>
      </c>
      <c r="C173" t="s">
        <v>63</v>
      </c>
      <c r="D173" s="7">
        <v>0.76</v>
      </c>
      <c r="E173" s="2">
        <v>2900</v>
      </c>
      <c r="F173" s="2">
        <v>2204</v>
      </c>
    </row>
    <row r="174" spans="1:6" x14ac:dyDescent="0.25">
      <c r="A174" t="s">
        <v>4062</v>
      </c>
      <c r="B174" t="s">
        <v>5589</v>
      </c>
      <c r="C174" t="s">
        <v>63</v>
      </c>
      <c r="D174" s="7">
        <v>1.75</v>
      </c>
      <c r="E174" s="2">
        <v>56919</v>
      </c>
      <c r="F174" s="2">
        <v>99608.25</v>
      </c>
    </row>
    <row r="175" spans="1:6" x14ac:dyDescent="0.25">
      <c r="A175" t="s">
        <v>4062</v>
      </c>
      <c r="B175" t="s">
        <v>5582</v>
      </c>
      <c r="C175" t="s">
        <v>63</v>
      </c>
      <c r="D175" s="7">
        <v>1.5</v>
      </c>
      <c r="E175" s="2">
        <v>39169</v>
      </c>
      <c r="F175" s="2">
        <v>58753.5</v>
      </c>
    </row>
    <row r="176" spans="1:6" x14ac:dyDescent="0.25">
      <c r="A176" t="s">
        <v>4062</v>
      </c>
      <c r="B176" t="s">
        <v>5579</v>
      </c>
      <c r="C176" t="s">
        <v>231</v>
      </c>
      <c r="D176" s="7">
        <v>0.2</v>
      </c>
      <c r="E176" s="2">
        <v>13475</v>
      </c>
      <c r="F176" s="2">
        <v>2695</v>
      </c>
    </row>
    <row r="177" spans="1:6" x14ac:dyDescent="0.25">
      <c r="A177" t="s">
        <v>4062</v>
      </c>
      <c r="B177" t="s">
        <v>4072</v>
      </c>
      <c r="C177" t="s">
        <v>4066</v>
      </c>
      <c r="D177" s="7">
        <v>0.45</v>
      </c>
      <c r="E177" s="2">
        <v>3150</v>
      </c>
      <c r="F177" s="2">
        <v>1417.5</v>
      </c>
    </row>
    <row r="178" spans="1:6" x14ac:dyDescent="0.25">
      <c r="A178" t="s">
        <v>4049</v>
      </c>
      <c r="B178" t="s">
        <v>4182</v>
      </c>
      <c r="C178" t="s">
        <v>4051</v>
      </c>
      <c r="D178" s="7">
        <v>7</v>
      </c>
      <c r="E178" s="2">
        <v>10845.1</v>
      </c>
      <c r="F178" s="2">
        <v>75915.7</v>
      </c>
    </row>
    <row r="179" spans="1:6" x14ac:dyDescent="0.25">
      <c r="A179" t="s">
        <v>4049</v>
      </c>
      <c r="B179" t="s">
        <v>4183</v>
      </c>
      <c r="C179" t="s">
        <v>4051</v>
      </c>
      <c r="D179" s="7">
        <v>7</v>
      </c>
      <c r="E179" s="2">
        <v>18621.17</v>
      </c>
      <c r="F179" s="2">
        <v>130348.19</v>
      </c>
    </row>
    <row r="180" spans="1:6" x14ac:dyDescent="0.25">
      <c r="A180" t="s">
        <v>4052</v>
      </c>
      <c r="B180" t="s">
        <v>4053</v>
      </c>
      <c r="C180" t="s">
        <v>4054</v>
      </c>
      <c r="D180" s="7">
        <v>2.5</v>
      </c>
      <c r="E180" s="2">
        <v>206263.89</v>
      </c>
      <c r="F180" s="2">
        <v>5156.6</v>
      </c>
    </row>
    <row r="181" spans="1:6" x14ac:dyDescent="0.25">
      <c r="A181" t="s">
        <v>4055</v>
      </c>
      <c r="D181" s="7"/>
      <c r="E181" s="2"/>
      <c r="F181" s="2">
        <f>SUBTOTAL(109,A_1_14_13[VALOR PARCIAL])</f>
      </c>
    </row>
    <row r="183" ht="30" customHeight="1" spans="1:6" x14ac:dyDescent="0.25">
      <c r="A183" s="5" t="s">
        <v>5608</v>
      </c>
      <c r="B183" s="5"/>
      <c r="C183" s="5"/>
      <c r="D183" s="5"/>
      <c r="E183" s="5"/>
      <c r="F183" s="5"/>
    </row>
    <row r="184" ht="42" customHeight="1" spans="1:6" x14ac:dyDescent="0.25">
      <c r="A184" s="6" t="s">
        <v>5609</v>
      </c>
      <c r="B184" s="6"/>
      <c r="C184" s="6"/>
      <c r="D184" s="6"/>
      <c r="E184" s="6"/>
      <c r="F184" s="6"/>
    </row>
    <row r="185" spans="1:6" x14ac:dyDescent="0.25">
      <c r="A185" t="s">
        <v>4044</v>
      </c>
      <c r="B185" t="s">
        <v>4045</v>
      </c>
      <c r="C185" t="s">
        <v>5</v>
      </c>
      <c r="D185" t="s">
        <v>4046</v>
      </c>
      <c r="E185" t="s">
        <v>4047</v>
      </c>
      <c r="F185" t="s">
        <v>4048</v>
      </c>
    </row>
    <row r="186" spans="1:6" x14ac:dyDescent="0.25">
      <c r="A186" t="s">
        <v>4062</v>
      </c>
      <c r="B186" t="s">
        <v>5585</v>
      </c>
      <c r="C186" t="s">
        <v>63</v>
      </c>
      <c r="D186" s="7">
        <v>7</v>
      </c>
      <c r="E186" s="2">
        <v>37</v>
      </c>
      <c r="F186" s="2">
        <v>259</v>
      </c>
    </row>
    <row r="187" spans="1:6" x14ac:dyDescent="0.25">
      <c r="A187" t="s">
        <v>4062</v>
      </c>
      <c r="B187" t="s">
        <v>5576</v>
      </c>
      <c r="C187" t="s">
        <v>63</v>
      </c>
      <c r="D187" s="7">
        <v>0.3</v>
      </c>
      <c r="E187" s="2">
        <v>79950</v>
      </c>
      <c r="F187" s="2">
        <v>23985</v>
      </c>
    </row>
    <row r="188" spans="1:6" x14ac:dyDescent="0.25">
      <c r="A188" t="s">
        <v>4062</v>
      </c>
      <c r="B188" t="s">
        <v>5577</v>
      </c>
      <c r="C188" t="s">
        <v>63</v>
      </c>
      <c r="D188" s="7">
        <v>4</v>
      </c>
      <c r="E188" s="2">
        <v>2900</v>
      </c>
      <c r="F188" s="2">
        <v>11600</v>
      </c>
    </row>
    <row r="189" spans="1:6" x14ac:dyDescent="0.25">
      <c r="A189" t="s">
        <v>4062</v>
      </c>
      <c r="B189" t="s">
        <v>5592</v>
      </c>
      <c r="C189" t="s">
        <v>63</v>
      </c>
      <c r="D189" s="7">
        <v>2.1</v>
      </c>
      <c r="E189" s="2">
        <v>250000</v>
      </c>
      <c r="F189" s="2">
        <v>525000</v>
      </c>
    </row>
    <row r="190" spans="1:6" x14ac:dyDescent="0.25">
      <c r="A190" t="s">
        <v>4062</v>
      </c>
      <c r="B190" t="s">
        <v>5582</v>
      </c>
      <c r="C190" t="s">
        <v>63</v>
      </c>
      <c r="D190" s="7">
        <v>0.25</v>
      </c>
      <c r="E190" s="2">
        <v>39169</v>
      </c>
      <c r="F190" s="2">
        <v>9792.25</v>
      </c>
    </row>
    <row r="191" spans="1:6" x14ac:dyDescent="0.25">
      <c r="A191" t="s">
        <v>4062</v>
      </c>
      <c r="B191" t="s">
        <v>5579</v>
      </c>
      <c r="C191" t="s">
        <v>231</v>
      </c>
      <c r="D191" s="7">
        <v>0.2</v>
      </c>
      <c r="E191" s="2">
        <v>13475</v>
      </c>
      <c r="F191" s="2">
        <v>2695</v>
      </c>
    </row>
    <row r="192" spans="1:6" x14ac:dyDescent="0.25">
      <c r="A192" t="s">
        <v>4062</v>
      </c>
      <c r="B192" t="s">
        <v>4072</v>
      </c>
      <c r="C192" t="s">
        <v>4066</v>
      </c>
      <c r="D192" s="7">
        <v>0.45</v>
      </c>
      <c r="E192" s="2">
        <v>3150</v>
      </c>
      <c r="F192" s="2">
        <v>1417.5</v>
      </c>
    </row>
    <row r="193" spans="1:6" x14ac:dyDescent="0.25">
      <c r="A193" t="s">
        <v>4049</v>
      </c>
      <c r="B193" t="s">
        <v>4182</v>
      </c>
      <c r="C193" t="s">
        <v>4051</v>
      </c>
      <c r="D193" s="7">
        <v>8</v>
      </c>
      <c r="E193" s="2">
        <v>10845.1</v>
      </c>
      <c r="F193" s="2">
        <v>86760.8</v>
      </c>
    </row>
    <row r="194" spans="1:6" x14ac:dyDescent="0.25">
      <c r="A194" t="s">
        <v>4049</v>
      </c>
      <c r="B194" t="s">
        <v>4183</v>
      </c>
      <c r="C194" t="s">
        <v>4051</v>
      </c>
      <c r="D194" s="7">
        <v>8</v>
      </c>
      <c r="E194" s="2">
        <v>18621.17</v>
      </c>
      <c r="F194" s="2">
        <v>148969.36</v>
      </c>
    </row>
    <row r="195" spans="1:6" x14ac:dyDescent="0.25">
      <c r="A195" t="s">
        <v>4052</v>
      </c>
      <c r="B195" t="s">
        <v>4053</v>
      </c>
      <c r="C195" t="s">
        <v>4054</v>
      </c>
      <c r="D195" s="7">
        <v>3</v>
      </c>
      <c r="E195" s="2">
        <v>235730.16</v>
      </c>
      <c r="F195" s="2">
        <v>7071.9</v>
      </c>
    </row>
    <row r="196" spans="1:6" x14ac:dyDescent="0.25">
      <c r="A196" t="s">
        <v>4055</v>
      </c>
      <c r="D196" s="7"/>
      <c r="E196" s="2"/>
      <c r="F196" s="2">
        <f>SUBTOTAL(109,A_1_14_14[VALOR PARCIAL])</f>
      </c>
    </row>
    <row r="198" ht="30" customHeight="1" spans="1:6" x14ac:dyDescent="0.25">
      <c r="A198" s="5" t="s">
        <v>5610</v>
      </c>
      <c r="B198" s="5"/>
      <c r="C198" s="5"/>
      <c r="D198" s="5"/>
      <c r="E198" s="5"/>
      <c r="F198" s="5"/>
    </row>
    <row r="199" ht="42" customHeight="1" spans="1:6" x14ac:dyDescent="0.25">
      <c r="A199" s="6" t="s">
        <v>5611</v>
      </c>
      <c r="B199" s="6"/>
      <c r="C199" s="6"/>
      <c r="D199" s="6"/>
      <c r="E199" s="6"/>
      <c r="F199" s="6"/>
    </row>
    <row r="200" spans="1:6" x14ac:dyDescent="0.25">
      <c r="A200" t="s">
        <v>4044</v>
      </c>
      <c r="B200" t="s">
        <v>4045</v>
      </c>
      <c r="C200" t="s">
        <v>5</v>
      </c>
      <c r="D200" t="s">
        <v>4046</v>
      </c>
      <c r="E200" t="s">
        <v>4047</v>
      </c>
      <c r="F200" t="s">
        <v>4048</v>
      </c>
    </row>
    <row r="201" spans="1:6" x14ac:dyDescent="0.25">
      <c r="A201" t="s">
        <v>4062</v>
      </c>
      <c r="B201" t="s">
        <v>5585</v>
      </c>
      <c r="C201" t="s">
        <v>63</v>
      </c>
      <c r="D201" s="7">
        <v>7</v>
      </c>
      <c r="E201" s="2">
        <v>37</v>
      </c>
      <c r="F201" s="2">
        <v>259</v>
      </c>
    </row>
    <row r="202" spans="1:6" x14ac:dyDescent="0.25">
      <c r="A202" t="s">
        <v>4062</v>
      </c>
      <c r="B202" t="s">
        <v>5577</v>
      </c>
      <c r="C202" t="s">
        <v>63</v>
      </c>
      <c r="D202" s="7">
        <v>0.76</v>
      </c>
      <c r="E202" s="2">
        <v>2900</v>
      </c>
      <c r="F202" s="2">
        <v>2204</v>
      </c>
    </row>
    <row r="203" spans="1:6" x14ac:dyDescent="0.25">
      <c r="A203" t="s">
        <v>4062</v>
      </c>
      <c r="B203" t="s">
        <v>5595</v>
      </c>
      <c r="C203" t="s">
        <v>63</v>
      </c>
      <c r="D203" s="7">
        <v>1.25</v>
      </c>
      <c r="E203" s="2">
        <v>46610</v>
      </c>
      <c r="F203" s="2">
        <v>58262.5</v>
      </c>
    </row>
    <row r="204" spans="1:6" x14ac:dyDescent="0.25">
      <c r="A204" t="s">
        <v>4062</v>
      </c>
      <c r="B204" t="s">
        <v>5582</v>
      </c>
      <c r="C204" t="s">
        <v>63</v>
      </c>
      <c r="D204" s="7">
        <v>1.5</v>
      </c>
      <c r="E204" s="2">
        <v>39169</v>
      </c>
      <c r="F204" s="2">
        <v>58753.5</v>
      </c>
    </row>
    <row r="205" spans="1:6" x14ac:dyDescent="0.25">
      <c r="A205" t="s">
        <v>4062</v>
      </c>
      <c r="B205" t="s">
        <v>5579</v>
      </c>
      <c r="C205" t="s">
        <v>231</v>
      </c>
      <c r="D205" s="7">
        <v>0.2</v>
      </c>
      <c r="E205" s="2">
        <v>13475</v>
      </c>
      <c r="F205" s="2">
        <v>2695</v>
      </c>
    </row>
    <row r="206" spans="1:6" x14ac:dyDescent="0.25">
      <c r="A206" t="s">
        <v>4062</v>
      </c>
      <c r="B206" t="s">
        <v>4072</v>
      </c>
      <c r="C206" t="s">
        <v>4066</v>
      </c>
      <c r="D206" s="7">
        <v>0.45</v>
      </c>
      <c r="E206" s="2">
        <v>3150</v>
      </c>
      <c r="F206" s="2">
        <v>1417.5</v>
      </c>
    </row>
    <row r="207" spans="1:6" x14ac:dyDescent="0.25">
      <c r="A207" t="s">
        <v>4049</v>
      </c>
      <c r="B207" t="s">
        <v>4182</v>
      </c>
      <c r="C207" t="s">
        <v>4051</v>
      </c>
      <c r="D207" s="7">
        <v>8</v>
      </c>
      <c r="E207" s="2">
        <v>10845.1</v>
      </c>
      <c r="F207" s="2">
        <v>86760.8</v>
      </c>
    </row>
    <row r="208" spans="1:6" x14ac:dyDescent="0.25">
      <c r="A208" t="s">
        <v>4049</v>
      </c>
      <c r="B208" t="s">
        <v>4183</v>
      </c>
      <c r="C208" t="s">
        <v>4051</v>
      </c>
      <c r="D208" s="7">
        <v>8</v>
      </c>
      <c r="E208" s="2">
        <v>18621.17</v>
      </c>
      <c r="F208" s="2">
        <v>148969.36</v>
      </c>
    </row>
    <row r="209" spans="1:6" x14ac:dyDescent="0.25">
      <c r="A209" t="s">
        <v>4052</v>
      </c>
      <c r="B209" t="s">
        <v>4053</v>
      </c>
      <c r="C209" t="s">
        <v>4054</v>
      </c>
      <c r="D209" s="7">
        <v>2.5</v>
      </c>
      <c r="E209" s="2">
        <v>235730.16</v>
      </c>
      <c r="F209" s="2">
        <v>5893.25</v>
      </c>
    </row>
    <row r="210" spans="1:6" x14ac:dyDescent="0.25">
      <c r="A210" t="s">
        <v>4055</v>
      </c>
      <c r="D210" s="7"/>
      <c r="E210" s="2"/>
      <c r="F210" s="2">
        <f>SUBTOTAL(109,A_1_14_15[VALOR PARCIAL])</f>
      </c>
    </row>
    <row r="212" ht="30" customHeight="1" spans="1:6" x14ac:dyDescent="0.25">
      <c r="A212" s="5" t="s">
        <v>5612</v>
      </c>
      <c r="B212" s="5"/>
      <c r="C212" s="5"/>
      <c r="D212" s="5"/>
      <c r="E212" s="5"/>
      <c r="F212" s="5"/>
    </row>
    <row r="213" ht="42" customHeight="1" spans="1:6" x14ac:dyDescent="0.25">
      <c r="A213" s="6" t="s">
        <v>5613</v>
      </c>
      <c r="B213" s="6"/>
      <c r="C213" s="6"/>
      <c r="D213" s="6"/>
      <c r="E213" s="6"/>
      <c r="F213" s="6"/>
    </row>
    <row r="214" spans="1:6" x14ac:dyDescent="0.25">
      <c r="A214" t="s">
        <v>4044</v>
      </c>
      <c r="B214" t="s">
        <v>4045</v>
      </c>
      <c r="C214" t="s">
        <v>5</v>
      </c>
      <c r="D214" t="s">
        <v>4046</v>
      </c>
      <c r="E214" t="s">
        <v>4047</v>
      </c>
      <c r="F214" t="s">
        <v>4048</v>
      </c>
    </row>
    <row r="215" spans="1:6" x14ac:dyDescent="0.25">
      <c r="A215" t="s">
        <v>4062</v>
      </c>
      <c r="B215" t="s">
        <v>5614</v>
      </c>
      <c r="C215" t="s">
        <v>63</v>
      </c>
      <c r="D215" s="7">
        <v>1</v>
      </c>
      <c r="E215" s="2">
        <v>160512</v>
      </c>
      <c r="F215" s="2">
        <v>160512</v>
      </c>
    </row>
    <row r="216" spans="1:6" x14ac:dyDescent="0.25">
      <c r="A216" t="s">
        <v>4049</v>
      </c>
      <c r="B216" t="s">
        <v>4182</v>
      </c>
      <c r="C216" t="s">
        <v>4051</v>
      </c>
      <c r="D216" s="7">
        <v>0.5</v>
      </c>
      <c r="E216" s="2">
        <v>10845.1</v>
      </c>
      <c r="F216" s="2">
        <v>5422.55</v>
      </c>
    </row>
    <row r="217" spans="1:6" x14ac:dyDescent="0.25">
      <c r="A217" t="s">
        <v>4049</v>
      </c>
      <c r="B217" t="s">
        <v>4183</v>
      </c>
      <c r="C217" t="s">
        <v>4051</v>
      </c>
      <c r="D217" s="7">
        <v>0.5</v>
      </c>
      <c r="E217" s="2">
        <v>18621.17</v>
      </c>
      <c r="F217" s="2">
        <v>9310.58</v>
      </c>
    </row>
    <row r="218" spans="1:6" x14ac:dyDescent="0.25">
      <c r="A218" t="s">
        <v>4052</v>
      </c>
      <c r="B218" t="s">
        <v>4053</v>
      </c>
      <c r="C218" t="s">
        <v>4054</v>
      </c>
      <c r="D218" s="7">
        <v>2</v>
      </c>
      <c r="E218" s="2">
        <v>14733.13</v>
      </c>
      <c r="F218" s="2">
        <v>294.66</v>
      </c>
    </row>
    <row r="219" spans="1:6" x14ac:dyDescent="0.25">
      <c r="A219" t="s">
        <v>4055</v>
      </c>
      <c r="D219" s="7"/>
      <c r="E219" s="2"/>
      <c r="F219" s="2">
        <f>SUBTOTAL(109,A_1_14_16[VALOR PARCIAL])</f>
      </c>
    </row>
    <row r="221" ht="30" customHeight="1" spans="1:6" x14ac:dyDescent="0.25">
      <c r="A221" s="5" t="s">
        <v>5615</v>
      </c>
      <c r="B221" s="5"/>
      <c r="C221" s="5"/>
      <c r="D221" s="5"/>
      <c r="E221" s="5"/>
      <c r="F221" s="5"/>
    </row>
    <row r="222" ht="42" customHeight="1" spans="1:6" x14ac:dyDescent="0.25">
      <c r="A222" s="6" t="s">
        <v>5616</v>
      </c>
      <c r="B222" s="6"/>
      <c r="C222" s="6"/>
      <c r="D222" s="6"/>
      <c r="E222" s="6"/>
      <c r="F222" s="6"/>
    </row>
    <row r="223" spans="1:6" x14ac:dyDescent="0.25">
      <c r="A223" t="s">
        <v>4044</v>
      </c>
      <c r="B223" t="s">
        <v>4045</v>
      </c>
      <c r="C223" t="s">
        <v>5</v>
      </c>
      <c r="D223" t="s">
        <v>4046</v>
      </c>
      <c r="E223" t="s">
        <v>4047</v>
      </c>
      <c r="F223" t="s">
        <v>4048</v>
      </c>
    </row>
    <row r="224" spans="1:6" x14ac:dyDescent="0.25">
      <c r="A224" t="s">
        <v>4062</v>
      </c>
      <c r="B224" t="s">
        <v>5617</v>
      </c>
      <c r="C224" t="s">
        <v>63</v>
      </c>
      <c r="D224" s="7">
        <v>1</v>
      </c>
      <c r="E224" s="2">
        <v>227500</v>
      </c>
      <c r="F224" s="2">
        <v>227500</v>
      </c>
    </row>
    <row r="225" spans="1:6" x14ac:dyDescent="0.25">
      <c r="A225" t="s">
        <v>4049</v>
      </c>
      <c r="B225" t="s">
        <v>4182</v>
      </c>
      <c r="C225" t="s">
        <v>4051</v>
      </c>
      <c r="D225" s="7">
        <v>0.5</v>
      </c>
      <c r="E225" s="2">
        <v>10845.1</v>
      </c>
      <c r="F225" s="2">
        <v>5422.55</v>
      </c>
    </row>
    <row r="226" spans="1:6" x14ac:dyDescent="0.25">
      <c r="A226" t="s">
        <v>4049</v>
      </c>
      <c r="B226" t="s">
        <v>4183</v>
      </c>
      <c r="C226" t="s">
        <v>4051</v>
      </c>
      <c r="D226" s="7">
        <v>0.5</v>
      </c>
      <c r="E226" s="2">
        <v>18621.17</v>
      </c>
      <c r="F226" s="2">
        <v>9310.58</v>
      </c>
    </row>
    <row r="227" spans="1:6" x14ac:dyDescent="0.25">
      <c r="A227" t="s">
        <v>4052</v>
      </c>
      <c r="B227" t="s">
        <v>4053</v>
      </c>
      <c r="C227" t="s">
        <v>4054</v>
      </c>
      <c r="D227" s="7">
        <v>2</v>
      </c>
      <c r="E227" s="2">
        <v>14733.13</v>
      </c>
      <c r="F227" s="2">
        <v>294.66</v>
      </c>
    </row>
    <row r="228" spans="1:6" x14ac:dyDescent="0.25">
      <c r="A228" t="s">
        <v>4055</v>
      </c>
      <c r="D228" s="7"/>
      <c r="E228" s="2"/>
      <c r="F228" s="2">
        <f>SUBTOTAL(109,A_1_14_17[VALOR PARCIAL])</f>
      </c>
    </row>
    <row r="230" ht="30" customHeight="1" spans="1:6" x14ac:dyDescent="0.25">
      <c r="A230" s="5" t="s">
        <v>5618</v>
      </c>
      <c r="B230" s="5"/>
      <c r="C230" s="5"/>
      <c r="D230" s="5"/>
      <c r="E230" s="5"/>
      <c r="F230" s="5"/>
    </row>
    <row r="231" ht="42" customHeight="1" spans="1:6" x14ac:dyDescent="0.25">
      <c r="A231" s="6" t="s">
        <v>5619</v>
      </c>
      <c r="B231" s="6"/>
      <c r="C231" s="6"/>
      <c r="D231" s="6"/>
      <c r="E231" s="6"/>
      <c r="F231" s="6"/>
    </row>
    <row r="232" spans="1:6" x14ac:dyDescent="0.25">
      <c r="A232" t="s">
        <v>4044</v>
      </c>
      <c r="B232" t="s">
        <v>4045</v>
      </c>
      <c r="C232" t="s">
        <v>5</v>
      </c>
      <c r="D232" t="s">
        <v>4046</v>
      </c>
      <c r="E232" t="s">
        <v>4047</v>
      </c>
      <c r="F232" t="s">
        <v>4048</v>
      </c>
    </row>
    <row r="233" spans="1:6" x14ac:dyDescent="0.25">
      <c r="A233" t="s">
        <v>4062</v>
      </c>
      <c r="B233" t="s">
        <v>5620</v>
      </c>
      <c r="C233" t="s">
        <v>63</v>
      </c>
      <c r="D233" s="7">
        <v>1</v>
      </c>
      <c r="E233" s="2">
        <v>195114</v>
      </c>
      <c r="F233" s="2">
        <v>195114</v>
      </c>
    </row>
    <row r="234" spans="1:6" x14ac:dyDescent="0.25">
      <c r="A234" t="s">
        <v>4049</v>
      </c>
      <c r="B234" t="s">
        <v>4182</v>
      </c>
      <c r="C234" t="s">
        <v>4051</v>
      </c>
      <c r="D234" s="7">
        <v>0.5</v>
      </c>
      <c r="E234" s="2">
        <v>10845.1</v>
      </c>
      <c r="F234" s="2">
        <v>5422.55</v>
      </c>
    </row>
    <row r="235" spans="1:6" x14ac:dyDescent="0.25">
      <c r="A235" t="s">
        <v>4049</v>
      </c>
      <c r="B235" t="s">
        <v>4183</v>
      </c>
      <c r="C235" t="s">
        <v>4051</v>
      </c>
      <c r="D235" s="7">
        <v>0.5</v>
      </c>
      <c r="E235" s="2">
        <v>18621.17</v>
      </c>
      <c r="F235" s="2">
        <v>9310.58</v>
      </c>
    </row>
    <row r="236" spans="1:6" x14ac:dyDescent="0.25">
      <c r="A236" t="s">
        <v>4052</v>
      </c>
      <c r="B236" t="s">
        <v>4053</v>
      </c>
      <c r="C236" t="s">
        <v>4054</v>
      </c>
      <c r="D236" s="7">
        <v>2</v>
      </c>
      <c r="E236" s="2">
        <v>14733.13</v>
      </c>
      <c r="F236" s="2">
        <v>294.66</v>
      </c>
    </row>
    <row r="237" spans="1:6" x14ac:dyDescent="0.25">
      <c r="A237" t="s">
        <v>4055</v>
      </c>
      <c r="D237" s="7"/>
      <c r="E237" s="2"/>
      <c r="F237" s="2">
        <f>SUBTOTAL(109,A_1_14_18[VALOR PARCIAL])</f>
      </c>
    </row>
    <row r="239" ht="30" customHeight="1" spans="1:6" x14ac:dyDescent="0.25">
      <c r="A239" s="5" t="s">
        <v>5621</v>
      </c>
      <c r="B239" s="5"/>
      <c r="C239" s="5"/>
      <c r="D239" s="5"/>
      <c r="E239" s="5"/>
      <c r="F239" s="5"/>
    </row>
    <row r="240" ht="42" customHeight="1" spans="1:6" x14ac:dyDescent="0.25">
      <c r="A240" s="6" t="s">
        <v>5622</v>
      </c>
      <c r="B240" s="6"/>
      <c r="C240" s="6"/>
      <c r="D240" s="6"/>
      <c r="E240" s="6"/>
      <c r="F240" s="6"/>
    </row>
    <row r="241" spans="1:6" x14ac:dyDescent="0.25">
      <c r="A241" t="s">
        <v>4044</v>
      </c>
      <c r="B241" t="s">
        <v>4045</v>
      </c>
      <c r="C241" t="s">
        <v>5</v>
      </c>
      <c r="D241" t="s">
        <v>4046</v>
      </c>
      <c r="E241" t="s">
        <v>4047</v>
      </c>
      <c r="F241" t="s">
        <v>4048</v>
      </c>
    </row>
    <row r="242" spans="1:6" x14ac:dyDescent="0.25">
      <c r="A242" t="s">
        <v>4062</v>
      </c>
      <c r="B242" t="s">
        <v>5623</v>
      </c>
      <c r="C242" t="s">
        <v>63</v>
      </c>
      <c r="D242" s="7">
        <v>1</v>
      </c>
      <c r="E242" s="2">
        <v>135300</v>
      </c>
      <c r="F242" s="2">
        <v>135300</v>
      </c>
    </row>
    <row r="243" spans="1:6" x14ac:dyDescent="0.25">
      <c r="A243" t="s">
        <v>4049</v>
      </c>
      <c r="B243" t="s">
        <v>4182</v>
      </c>
      <c r="C243" t="s">
        <v>4051</v>
      </c>
      <c r="D243" s="7">
        <v>0.7</v>
      </c>
      <c r="E243" s="2">
        <v>10845.1</v>
      </c>
      <c r="F243" s="2">
        <v>7591.57</v>
      </c>
    </row>
    <row r="244" spans="1:6" x14ac:dyDescent="0.25">
      <c r="A244" t="s">
        <v>4049</v>
      </c>
      <c r="B244" t="s">
        <v>4183</v>
      </c>
      <c r="C244" t="s">
        <v>4051</v>
      </c>
      <c r="D244" s="7">
        <v>0.7</v>
      </c>
      <c r="E244" s="2">
        <v>18621.17</v>
      </c>
      <c r="F244" s="2">
        <v>13034.82</v>
      </c>
    </row>
    <row r="245" spans="1:6" x14ac:dyDescent="0.25">
      <c r="A245" t="s">
        <v>4052</v>
      </c>
      <c r="B245" t="s">
        <v>4053</v>
      </c>
      <c r="C245" t="s">
        <v>4054</v>
      </c>
      <c r="D245" s="7">
        <v>2</v>
      </c>
      <c r="E245" s="2">
        <v>20626.39</v>
      </c>
      <c r="F245" s="2">
        <v>412.53</v>
      </c>
    </row>
    <row r="246" spans="1:6" x14ac:dyDescent="0.25">
      <c r="A246" t="s">
        <v>4055</v>
      </c>
      <c r="D246" s="7"/>
      <c r="E246" s="2"/>
      <c r="F246" s="2">
        <f>SUBTOTAL(109,A_1_14_19[VALOR PARCIAL])</f>
      </c>
    </row>
    <row r="248" ht="30" customHeight="1" spans="1:6" x14ac:dyDescent="0.25">
      <c r="A248" s="5" t="s">
        <v>5624</v>
      </c>
      <c r="B248" s="5"/>
      <c r="C248" s="5"/>
      <c r="D248" s="5"/>
      <c r="E248" s="5"/>
      <c r="F248" s="5"/>
    </row>
    <row r="249" ht="42" customHeight="1" spans="1:6" x14ac:dyDescent="0.25">
      <c r="A249" s="6" t="s">
        <v>5625</v>
      </c>
      <c r="B249" s="6"/>
      <c r="C249" s="6"/>
      <c r="D249" s="6"/>
      <c r="E249" s="6"/>
      <c r="F249" s="6"/>
    </row>
    <row r="250" spans="1:6" x14ac:dyDescent="0.25">
      <c r="A250" t="s">
        <v>4044</v>
      </c>
      <c r="B250" t="s">
        <v>4045</v>
      </c>
      <c r="C250" t="s">
        <v>5</v>
      </c>
      <c r="D250" t="s">
        <v>4046</v>
      </c>
      <c r="E250" t="s">
        <v>4047</v>
      </c>
      <c r="F250" t="s">
        <v>4048</v>
      </c>
    </row>
    <row r="251" spans="1:6" x14ac:dyDescent="0.25">
      <c r="A251" t="s">
        <v>4062</v>
      </c>
      <c r="B251" t="s">
        <v>5626</v>
      </c>
      <c r="C251" t="s">
        <v>63</v>
      </c>
      <c r="D251" s="7">
        <v>1</v>
      </c>
      <c r="E251" s="2">
        <v>156300</v>
      </c>
      <c r="F251" s="2">
        <v>156300</v>
      </c>
    </row>
    <row r="252" spans="1:6" x14ac:dyDescent="0.25">
      <c r="A252" t="s">
        <v>4049</v>
      </c>
      <c r="B252" t="s">
        <v>4182</v>
      </c>
      <c r="C252" t="s">
        <v>4051</v>
      </c>
      <c r="D252" s="7">
        <v>0.5</v>
      </c>
      <c r="E252" s="2">
        <v>10845.1</v>
      </c>
      <c r="F252" s="2">
        <v>5422.55</v>
      </c>
    </row>
    <row r="253" spans="1:6" x14ac:dyDescent="0.25">
      <c r="A253" t="s">
        <v>4049</v>
      </c>
      <c r="B253" t="s">
        <v>4183</v>
      </c>
      <c r="C253" t="s">
        <v>4051</v>
      </c>
      <c r="D253" s="7">
        <v>0.5</v>
      </c>
      <c r="E253" s="2">
        <v>18621.17</v>
      </c>
      <c r="F253" s="2">
        <v>9310.58</v>
      </c>
    </row>
    <row r="254" spans="1:6" x14ac:dyDescent="0.25">
      <c r="A254" t="s">
        <v>4052</v>
      </c>
      <c r="B254" t="s">
        <v>4053</v>
      </c>
      <c r="C254" t="s">
        <v>4054</v>
      </c>
      <c r="D254" s="7">
        <v>2</v>
      </c>
      <c r="E254" s="2">
        <v>14733.13</v>
      </c>
      <c r="F254" s="2">
        <v>294.66</v>
      </c>
    </row>
    <row r="255" spans="1:6" x14ac:dyDescent="0.25">
      <c r="A255" t="s">
        <v>4055</v>
      </c>
      <c r="D255" s="7"/>
      <c r="E255" s="2"/>
      <c r="F255" s="2">
        <f>SUBTOTAL(109,A_1_14_20[VALOR PARCIAL])</f>
      </c>
    </row>
    <row r="257" ht="30" customHeight="1" spans="1:6" x14ac:dyDescent="0.25">
      <c r="A257" s="5" t="s">
        <v>5627</v>
      </c>
      <c r="B257" s="5"/>
      <c r="C257" s="5"/>
      <c r="D257" s="5"/>
      <c r="E257" s="5"/>
      <c r="F257" s="5"/>
    </row>
    <row r="258" ht="42" customHeight="1" spans="1:6" x14ac:dyDescent="0.25">
      <c r="A258" s="6" t="s">
        <v>5628</v>
      </c>
      <c r="B258" s="6"/>
      <c r="C258" s="6"/>
      <c r="D258" s="6"/>
      <c r="E258" s="6"/>
      <c r="F258" s="6"/>
    </row>
    <row r="259" spans="1:6" x14ac:dyDescent="0.25">
      <c r="A259" t="s">
        <v>4044</v>
      </c>
      <c r="B259" t="s">
        <v>4045</v>
      </c>
      <c r="C259" t="s">
        <v>5</v>
      </c>
      <c r="D259" t="s">
        <v>4046</v>
      </c>
      <c r="E259" t="s">
        <v>4047</v>
      </c>
      <c r="F259" t="s">
        <v>4048</v>
      </c>
    </row>
    <row r="260" spans="1:6" x14ac:dyDescent="0.25">
      <c r="A260" t="s">
        <v>4062</v>
      </c>
      <c r="B260" t="s">
        <v>5629</v>
      </c>
      <c r="C260" t="s">
        <v>63</v>
      </c>
      <c r="D260" s="7">
        <v>1</v>
      </c>
      <c r="E260" s="2">
        <v>260000</v>
      </c>
      <c r="F260" s="2">
        <v>260000</v>
      </c>
    </row>
    <row r="261" spans="1:6" x14ac:dyDescent="0.25">
      <c r="A261" t="s">
        <v>4049</v>
      </c>
      <c r="B261" t="s">
        <v>4182</v>
      </c>
      <c r="C261" t="s">
        <v>4051</v>
      </c>
      <c r="D261" s="7">
        <v>0.5</v>
      </c>
      <c r="E261" s="2">
        <v>10845.1</v>
      </c>
      <c r="F261" s="2">
        <v>5422.55</v>
      </c>
    </row>
    <row r="262" spans="1:6" x14ac:dyDescent="0.25">
      <c r="A262" t="s">
        <v>4049</v>
      </c>
      <c r="B262" t="s">
        <v>4183</v>
      </c>
      <c r="C262" t="s">
        <v>4051</v>
      </c>
      <c r="D262" s="7">
        <v>0.5</v>
      </c>
      <c r="E262" s="2">
        <v>18621.17</v>
      </c>
      <c r="F262" s="2">
        <v>9310.58</v>
      </c>
    </row>
    <row r="263" spans="1:6" x14ac:dyDescent="0.25">
      <c r="A263" t="s">
        <v>4052</v>
      </c>
      <c r="B263" t="s">
        <v>4053</v>
      </c>
      <c r="C263" t="s">
        <v>4054</v>
      </c>
      <c r="D263" s="7">
        <v>2</v>
      </c>
      <c r="E263" s="2">
        <v>14733.13</v>
      </c>
      <c r="F263" s="2">
        <v>294.66</v>
      </c>
    </row>
    <row r="264" spans="1:6" x14ac:dyDescent="0.25">
      <c r="A264" t="s">
        <v>4055</v>
      </c>
      <c r="D264" s="7"/>
      <c r="E264" s="2"/>
      <c r="F264" s="2">
        <f>SUBTOTAL(109,A_1_14_21[VALOR PARCIAL])</f>
      </c>
    </row>
    <row r="266" ht="30" customHeight="1" spans="1:6" x14ac:dyDescent="0.25">
      <c r="A266" s="5" t="s">
        <v>5630</v>
      </c>
      <c r="B266" s="5"/>
      <c r="C266" s="5"/>
      <c r="D266" s="5"/>
      <c r="E266" s="5"/>
      <c r="F266" s="5"/>
    </row>
    <row r="267" ht="42" customHeight="1" spans="1:6" x14ac:dyDescent="0.25">
      <c r="A267" s="6" t="s">
        <v>5631</v>
      </c>
      <c r="B267" s="6"/>
      <c r="C267" s="6"/>
      <c r="D267" s="6"/>
      <c r="E267" s="6"/>
      <c r="F267" s="6"/>
    </row>
    <row r="268" spans="1:6" x14ac:dyDescent="0.25">
      <c r="A268" t="s">
        <v>4044</v>
      </c>
      <c r="B268" t="s">
        <v>4045</v>
      </c>
      <c r="C268" t="s">
        <v>5</v>
      </c>
      <c r="D268" t="s">
        <v>4046</v>
      </c>
      <c r="E268" t="s">
        <v>4047</v>
      </c>
      <c r="F268" t="s">
        <v>4048</v>
      </c>
    </row>
    <row r="269" spans="1:6" x14ac:dyDescent="0.25">
      <c r="A269" t="s">
        <v>4062</v>
      </c>
      <c r="B269" t="s">
        <v>5585</v>
      </c>
      <c r="C269" t="s">
        <v>63</v>
      </c>
      <c r="D269" s="7">
        <v>18</v>
      </c>
      <c r="E269" s="2">
        <v>37</v>
      </c>
      <c r="F269" s="2">
        <v>666</v>
      </c>
    </row>
    <row r="270" spans="1:6" x14ac:dyDescent="0.25">
      <c r="A270" t="s">
        <v>4062</v>
      </c>
      <c r="B270" t="s">
        <v>5576</v>
      </c>
      <c r="C270" t="s">
        <v>63</v>
      </c>
      <c r="D270" s="7">
        <v>0.54</v>
      </c>
      <c r="E270" s="2">
        <v>79950</v>
      </c>
      <c r="F270" s="2">
        <v>43173</v>
      </c>
    </row>
    <row r="271" spans="1:6" x14ac:dyDescent="0.25">
      <c r="A271" t="s">
        <v>4062</v>
      </c>
      <c r="B271" t="s">
        <v>5577</v>
      </c>
      <c r="C271" t="s">
        <v>63</v>
      </c>
      <c r="D271" s="7">
        <v>3</v>
      </c>
      <c r="E271" s="2">
        <v>2900</v>
      </c>
      <c r="F271" s="2">
        <v>8700</v>
      </c>
    </row>
    <row r="272" spans="1:6" x14ac:dyDescent="0.25">
      <c r="A272" t="s">
        <v>4062</v>
      </c>
      <c r="B272" t="s">
        <v>5595</v>
      </c>
      <c r="C272" t="s">
        <v>63</v>
      </c>
      <c r="D272" s="7">
        <v>4</v>
      </c>
      <c r="E272" s="2">
        <v>46610</v>
      </c>
      <c r="F272" s="2">
        <v>186440</v>
      </c>
    </row>
    <row r="273" spans="1:6" x14ac:dyDescent="0.25">
      <c r="A273" t="s">
        <v>4062</v>
      </c>
      <c r="B273" t="s">
        <v>5579</v>
      </c>
      <c r="C273" t="s">
        <v>231</v>
      </c>
      <c r="D273" s="7">
        <v>0.5</v>
      </c>
      <c r="E273" s="2">
        <v>13475</v>
      </c>
      <c r="F273" s="2">
        <v>6737.5</v>
      </c>
    </row>
    <row r="274" spans="1:6" x14ac:dyDescent="0.25">
      <c r="A274" t="s">
        <v>4062</v>
      </c>
      <c r="B274" t="s">
        <v>4072</v>
      </c>
      <c r="C274" t="s">
        <v>4066</v>
      </c>
      <c r="D274" s="7">
        <v>0.35</v>
      </c>
      <c r="E274" s="2">
        <v>3150</v>
      </c>
      <c r="F274" s="2">
        <v>1102.5</v>
      </c>
    </row>
    <row r="275" spans="1:6" x14ac:dyDescent="0.25">
      <c r="A275" t="s">
        <v>4049</v>
      </c>
      <c r="B275" t="s">
        <v>4182</v>
      </c>
      <c r="C275" t="s">
        <v>4051</v>
      </c>
      <c r="D275" s="7">
        <v>4</v>
      </c>
      <c r="E275" s="2">
        <v>10845.1</v>
      </c>
      <c r="F275" s="2">
        <v>43380.4</v>
      </c>
    </row>
    <row r="276" spans="1:6" x14ac:dyDescent="0.25">
      <c r="A276" t="s">
        <v>4049</v>
      </c>
      <c r="B276" t="s">
        <v>4183</v>
      </c>
      <c r="C276" t="s">
        <v>4051</v>
      </c>
      <c r="D276" s="7">
        <v>4</v>
      </c>
      <c r="E276" s="2">
        <v>18621.17</v>
      </c>
      <c r="F276" s="2">
        <v>74484.68</v>
      </c>
    </row>
    <row r="277" spans="1:6" x14ac:dyDescent="0.25">
      <c r="A277" t="s">
        <v>4052</v>
      </c>
      <c r="B277" t="s">
        <v>4053</v>
      </c>
      <c r="C277" t="s">
        <v>4054</v>
      </c>
      <c r="D277" s="7">
        <v>5</v>
      </c>
      <c r="E277" s="2">
        <v>117865.08</v>
      </c>
      <c r="F277" s="2">
        <v>5893.25</v>
      </c>
    </row>
    <row r="278" spans="1:6" x14ac:dyDescent="0.25">
      <c r="A278" t="s">
        <v>4055</v>
      </c>
      <c r="D278" s="7"/>
      <c r="E278" s="2"/>
      <c r="F278" s="2">
        <f>SUBTOTAL(109,A_1_14_22[VALOR PARCIAL])</f>
      </c>
    </row>
    <row r="280" ht="30" customHeight="1" spans="1:6" x14ac:dyDescent="0.25">
      <c r="A280" s="5" t="s">
        <v>5632</v>
      </c>
      <c r="B280" s="5"/>
      <c r="C280" s="5"/>
      <c r="D280" s="5"/>
      <c r="E280" s="5"/>
      <c r="F280" s="5"/>
    </row>
    <row r="281" ht="42" customHeight="1" spans="1:6" x14ac:dyDescent="0.25">
      <c r="A281" s="6" t="s">
        <v>5633</v>
      </c>
      <c r="B281" s="6"/>
      <c r="C281" s="6"/>
      <c r="D281" s="6"/>
      <c r="E281" s="6"/>
      <c r="F281" s="6"/>
    </row>
    <row r="282" spans="1:6" x14ac:dyDescent="0.25">
      <c r="A282" t="s">
        <v>4044</v>
      </c>
      <c r="B282" t="s">
        <v>4045</v>
      </c>
      <c r="C282" t="s">
        <v>5</v>
      </c>
      <c r="D282" t="s">
        <v>4046</v>
      </c>
      <c r="E282" t="s">
        <v>4047</v>
      </c>
      <c r="F282" t="s">
        <v>4048</v>
      </c>
    </row>
    <row r="283" spans="1:6" x14ac:dyDescent="0.25">
      <c r="A283" t="s">
        <v>4062</v>
      </c>
      <c r="B283" t="s">
        <v>5250</v>
      </c>
      <c r="C283" t="s">
        <v>63</v>
      </c>
      <c r="D283" s="7">
        <v>7</v>
      </c>
      <c r="E283" s="2">
        <v>185</v>
      </c>
      <c r="F283" s="2">
        <v>1295</v>
      </c>
    </row>
    <row r="284" spans="1:6" x14ac:dyDescent="0.25">
      <c r="A284" t="s">
        <v>4062</v>
      </c>
      <c r="B284" t="s">
        <v>5577</v>
      </c>
      <c r="C284" t="s">
        <v>63</v>
      </c>
      <c r="D284" s="7">
        <v>4.6</v>
      </c>
      <c r="E284" s="2">
        <v>2900</v>
      </c>
      <c r="F284" s="2">
        <v>13340</v>
      </c>
    </row>
    <row r="285" spans="1:6" x14ac:dyDescent="0.25">
      <c r="A285" t="s">
        <v>4062</v>
      </c>
      <c r="B285" t="s">
        <v>5578</v>
      </c>
      <c r="C285" t="s">
        <v>63</v>
      </c>
      <c r="D285" s="7">
        <v>1.6</v>
      </c>
      <c r="E285" s="2">
        <v>182000</v>
      </c>
      <c r="F285" s="2">
        <v>291200</v>
      </c>
    </row>
    <row r="286" spans="1:6" x14ac:dyDescent="0.25">
      <c r="A286" t="s">
        <v>4062</v>
      </c>
      <c r="B286" t="s">
        <v>5582</v>
      </c>
      <c r="C286" t="s">
        <v>63</v>
      </c>
      <c r="D286" s="7">
        <v>1.74</v>
      </c>
      <c r="E286" s="2">
        <v>39169</v>
      </c>
      <c r="F286" s="2">
        <v>68154.06</v>
      </c>
    </row>
    <row r="287" spans="1:6" x14ac:dyDescent="0.25">
      <c r="A287" t="s">
        <v>4062</v>
      </c>
      <c r="B287" t="s">
        <v>5579</v>
      </c>
      <c r="C287" t="s">
        <v>231</v>
      </c>
      <c r="D287" s="7">
        <v>0.2</v>
      </c>
      <c r="E287" s="2">
        <v>13475</v>
      </c>
      <c r="F287" s="2">
        <v>2695</v>
      </c>
    </row>
    <row r="288" spans="1:6" x14ac:dyDescent="0.25">
      <c r="A288" t="s">
        <v>4062</v>
      </c>
      <c r="B288" t="s">
        <v>4072</v>
      </c>
      <c r="C288" t="s">
        <v>4066</v>
      </c>
      <c r="D288" s="7">
        <v>0.4</v>
      </c>
      <c r="E288" s="2">
        <v>3150</v>
      </c>
      <c r="F288" s="2">
        <v>1260</v>
      </c>
    </row>
    <row r="289" spans="1:6" x14ac:dyDescent="0.25">
      <c r="A289" t="s">
        <v>4049</v>
      </c>
      <c r="B289" t="s">
        <v>4182</v>
      </c>
      <c r="C289" t="s">
        <v>4051</v>
      </c>
      <c r="D289" s="7">
        <v>12</v>
      </c>
      <c r="E289" s="2">
        <v>10845.1</v>
      </c>
      <c r="F289" s="2">
        <v>130141.2</v>
      </c>
    </row>
    <row r="290" spans="1:6" x14ac:dyDescent="0.25">
      <c r="A290" t="s">
        <v>4049</v>
      </c>
      <c r="B290" t="s">
        <v>4183</v>
      </c>
      <c r="C290" t="s">
        <v>4051</v>
      </c>
      <c r="D290" s="7">
        <v>12</v>
      </c>
      <c r="E290" s="2">
        <v>18621.17</v>
      </c>
      <c r="F290" s="2">
        <v>223454.04</v>
      </c>
    </row>
    <row r="291" spans="1:6" x14ac:dyDescent="0.25">
      <c r="A291" t="s">
        <v>4052</v>
      </c>
      <c r="B291" t="s">
        <v>4053</v>
      </c>
      <c r="C291" t="s">
        <v>4054</v>
      </c>
      <c r="D291" s="7">
        <v>2</v>
      </c>
      <c r="E291" s="2">
        <v>353595.24</v>
      </c>
      <c r="F291" s="2">
        <v>7071.9</v>
      </c>
    </row>
    <row r="292" spans="1:6" x14ac:dyDescent="0.25">
      <c r="A292" t="s">
        <v>4055</v>
      </c>
      <c r="D292" s="7"/>
      <c r="E292" s="2"/>
      <c r="F292" s="2">
        <f>SUBTOTAL(109,A_1_14_23[VALOR PARCIAL])</f>
      </c>
    </row>
    <row r="294" ht="30" customHeight="1" spans="1:6" x14ac:dyDescent="0.25">
      <c r="A294" s="5" t="s">
        <v>5634</v>
      </c>
      <c r="B294" s="5"/>
      <c r="C294" s="5"/>
      <c r="D294" s="5"/>
      <c r="E294" s="5"/>
      <c r="F294" s="5"/>
    </row>
    <row r="295" ht="42" customHeight="1" spans="1:6" x14ac:dyDescent="0.25">
      <c r="A295" s="6" t="s">
        <v>5635</v>
      </c>
      <c r="B295" s="6"/>
      <c r="C295" s="6"/>
      <c r="D295" s="6"/>
      <c r="E295" s="6"/>
      <c r="F295" s="6"/>
    </row>
    <row r="296" spans="1:6" x14ac:dyDescent="0.25">
      <c r="A296" t="s">
        <v>4044</v>
      </c>
      <c r="B296" t="s">
        <v>4045</v>
      </c>
      <c r="C296" t="s">
        <v>5</v>
      </c>
      <c r="D296" t="s">
        <v>4046</v>
      </c>
      <c r="E296" t="s">
        <v>4047</v>
      </c>
      <c r="F296" t="s">
        <v>4048</v>
      </c>
    </row>
    <row r="297" spans="1:6" x14ac:dyDescent="0.25">
      <c r="A297" t="s">
        <v>4062</v>
      </c>
      <c r="B297" t="s">
        <v>5250</v>
      </c>
      <c r="C297" t="s">
        <v>63</v>
      </c>
      <c r="D297" s="7">
        <v>4.56</v>
      </c>
      <c r="E297" s="2">
        <v>185</v>
      </c>
      <c r="F297" s="2">
        <v>843.6</v>
      </c>
    </row>
    <row r="298" spans="1:6" x14ac:dyDescent="0.25">
      <c r="A298" t="s">
        <v>4062</v>
      </c>
      <c r="B298" t="s">
        <v>5576</v>
      </c>
      <c r="C298" t="s">
        <v>63</v>
      </c>
      <c r="D298" s="7">
        <v>1</v>
      </c>
      <c r="E298" s="2">
        <v>79950</v>
      </c>
      <c r="F298" s="2">
        <v>79950</v>
      </c>
    </row>
    <row r="299" spans="1:6" x14ac:dyDescent="0.25">
      <c r="A299" t="s">
        <v>4062</v>
      </c>
      <c r="B299" t="s">
        <v>5578</v>
      </c>
      <c r="C299" t="s">
        <v>63</v>
      </c>
      <c r="D299" s="7">
        <v>1.15</v>
      </c>
      <c r="E299" s="2">
        <v>182000</v>
      </c>
      <c r="F299" s="2">
        <v>209300</v>
      </c>
    </row>
    <row r="300" spans="1:6" x14ac:dyDescent="0.25">
      <c r="A300" t="s">
        <v>4062</v>
      </c>
      <c r="B300" t="s">
        <v>5579</v>
      </c>
      <c r="C300" t="s">
        <v>231</v>
      </c>
      <c r="D300" s="7">
        <v>0.2</v>
      </c>
      <c r="E300" s="2">
        <v>13475</v>
      </c>
      <c r="F300" s="2">
        <v>2695</v>
      </c>
    </row>
    <row r="301" spans="1:6" x14ac:dyDescent="0.25">
      <c r="A301" t="s">
        <v>4062</v>
      </c>
      <c r="B301" t="s">
        <v>4072</v>
      </c>
      <c r="C301" t="s">
        <v>4066</v>
      </c>
      <c r="D301" s="7">
        <v>0.15</v>
      </c>
      <c r="E301" s="2">
        <v>3150</v>
      </c>
      <c r="F301" s="2">
        <v>472.5</v>
      </c>
    </row>
    <row r="302" spans="1:6" x14ac:dyDescent="0.25">
      <c r="A302" t="s">
        <v>4049</v>
      </c>
      <c r="B302" t="s">
        <v>4182</v>
      </c>
      <c r="C302" t="s">
        <v>4051</v>
      </c>
      <c r="D302" s="7">
        <v>10</v>
      </c>
      <c r="E302" s="2">
        <v>10845.1</v>
      </c>
      <c r="F302" s="2">
        <v>108451</v>
      </c>
    </row>
    <row r="303" spans="1:6" x14ac:dyDescent="0.25">
      <c r="A303" t="s">
        <v>4049</v>
      </c>
      <c r="B303" t="s">
        <v>4183</v>
      </c>
      <c r="C303" t="s">
        <v>4051</v>
      </c>
      <c r="D303" s="7">
        <v>10</v>
      </c>
      <c r="E303" s="2">
        <v>18621.17</v>
      </c>
      <c r="F303" s="2">
        <v>186211.7</v>
      </c>
    </row>
    <row r="304" spans="1:6" x14ac:dyDescent="0.25">
      <c r="A304" t="s">
        <v>4052</v>
      </c>
      <c r="B304" t="s">
        <v>4053</v>
      </c>
      <c r="C304" t="s">
        <v>4054</v>
      </c>
      <c r="D304" s="7">
        <v>2.5</v>
      </c>
      <c r="E304" s="2">
        <v>294662.7</v>
      </c>
      <c r="F304" s="2">
        <v>7366.57</v>
      </c>
    </row>
    <row r="305" spans="1:6" x14ac:dyDescent="0.25">
      <c r="A305" t="s">
        <v>4055</v>
      </c>
      <c r="D305" s="7"/>
      <c r="E305" s="2"/>
      <c r="F305" s="2">
        <f>SUBTOTAL(109,A_1_14_24[VALOR PARCIAL])</f>
      </c>
    </row>
    <row r="307" ht="30" customHeight="1" spans="1:6" x14ac:dyDescent="0.25">
      <c r="A307" s="5" t="s">
        <v>5636</v>
      </c>
      <c r="B307" s="5"/>
      <c r="C307" s="5"/>
      <c r="D307" s="5"/>
      <c r="E307" s="5"/>
      <c r="F307" s="5"/>
    </row>
    <row r="308" ht="42" customHeight="1" spans="1:6" x14ac:dyDescent="0.25">
      <c r="A308" s="6" t="s">
        <v>5637</v>
      </c>
      <c r="B308" s="6"/>
      <c r="C308" s="6"/>
      <c r="D308" s="6"/>
      <c r="E308" s="6"/>
      <c r="F308" s="6"/>
    </row>
    <row r="309" spans="1:6" x14ac:dyDescent="0.25">
      <c r="A309" t="s">
        <v>4044</v>
      </c>
      <c r="B309" t="s">
        <v>4045</v>
      </c>
      <c r="C309" t="s">
        <v>5</v>
      </c>
      <c r="D309" t="s">
        <v>4046</v>
      </c>
      <c r="E309" t="s">
        <v>4047</v>
      </c>
      <c r="F309" t="s">
        <v>4048</v>
      </c>
    </row>
    <row r="310" spans="1:6" x14ac:dyDescent="0.25">
      <c r="A310" t="s">
        <v>4062</v>
      </c>
      <c r="B310" t="s">
        <v>5585</v>
      </c>
      <c r="C310" t="s">
        <v>63</v>
      </c>
      <c r="D310" s="7">
        <v>2</v>
      </c>
      <c r="E310" s="2">
        <v>37</v>
      </c>
      <c r="F310" s="2">
        <v>74</v>
      </c>
    </row>
    <row r="311" spans="1:6" x14ac:dyDescent="0.25">
      <c r="A311" t="s">
        <v>4062</v>
      </c>
      <c r="B311" t="s">
        <v>5586</v>
      </c>
      <c r="C311" t="s">
        <v>63</v>
      </c>
      <c r="D311" s="7">
        <v>0.75</v>
      </c>
      <c r="E311" s="2">
        <v>42329</v>
      </c>
      <c r="F311" s="2">
        <v>31746.75</v>
      </c>
    </row>
    <row r="312" spans="1:6" x14ac:dyDescent="0.25">
      <c r="A312" t="s">
        <v>4062</v>
      </c>
      <c r="B312" t="s">
        <v>4072</v>
      </c>
      <c r="C312" t="s">
        <v>4066</v>
      </c>
      <c r="D312" s="7">
        <v>0.25</v>
      </c>
      <c r="E312" s="2">
        <v>3150</v>
      </c>
      <c r="F312" s="2">
        <v>787.5</v>
      </c>
    </row>
    <row r="313" spans="1:6" x14ac:dyDescent="0.25">
      <c r="A313" t="s">
        <v>4049</v>
      </c>
      <c r="B313" t="s">
        <v>4182</v>
      </c>
      <c r="C313" t="s">
        <v>4051</v>
      </c>
      <c r="D313" s="7">
        <v>1.4</v>
      </c>
      <c r="E313" s="2">
        <v>10845.1</v>
      </c>
      <c r="F313" s="2">
        <v>15183.14</v>
      </c>
    </row>
    <row r="314" spans="1:6" x14ac:dyDescent="0.25">
      <c r="A314" t="s">
        <v>4049</v>
      </c>
      <c r="B314" t="s">
        <v>4183</v>
      </c>
      <c r="C314" t="s">
        <v>4051</v>
      </c>
      <c r="D314" s="7">
        <v>1.4</v>
      </c>
      <c r="E314" s="2">
        <v>18621.17</v>
      </c>
      <c r="F314" s="2">
        <v>26069.64</v>
      </c>
    </row>
    <row r="315" spans="1:6" x14ac:dyDescent="0.25">
      <c r="A315" t="s">
        <v>4052</v>
      </c>
      <c r="B315" t="s">
        <v>4053</v>
      </c>
      <c r="C315" t="s">
        <v>4054</v>
      </c>
      <c r="D315" s="7">
        <v>5</v>
      </c>
      <c r="E315" s="2">
        <v>41252.78</v>
      </c>
      <c r="F315" s="2">
        <v>2062.64</v>
      </c>
    </row>
    <row r="316" spans="1:6" x14ac:dyDescent="0.25">
      <c r="A316" t="s">
        <v>4055</v>
      </c>
      <c r="D316" s="7"/>
      <c r="E316" s="2"/>
      <c r="F316" s="2">
        <f>SUBTOTAL(109,A_1_14_25[VALOR PARCIAL])</f>
      </c>
    </row>
    <row r="318" ht="30" customHeight="1" spans="1:6" x14ac:dyDescent="0.25">
      <c r="A318" s="5" t="s">
        <v>5638</v>
      </c>
      <c r="B318" s="5"/>
      <c r="C318" s="5"/>
      <c r="D318" s="5"/>
      <c r="E318" s="5"/>
      <c r="F318" s="5"/>
    </row>
    <row r="319" ht="42" customHeight="1" spans="1:6" x14ac:dyDescent="0.25">
      <c r="A319" s="6" t="s">
        <v>5639</v>
      </c>
      <c r="B319" s="6"/>
      <c r="C319" s="6"/>
      <c r="D319" s="6"/>
      <c r="E319" s="6"/>
      <c r="F319" s="6"/>
    </row>
    <row r="320" spans="1:6" x14ac:dyDescent="0.25">
      <c r="A320" t="s">
        <v>4044</v>
      </c>
      <c r="B320" t="s">
        <v>4045</v>
      </c>
      <c r="C320" t="s">
        <v>5</v>
      </c>
      <c r="D320" t="s">
        <v>4046</v>
      </c>
      <c r="E320" t="s">
        <v>4047</v>
      </c>
      <c r="F320" t="s">
        <v>4048</v>
      </c>
    </row>
    <row r="321" spans="1:6" x14ac:dyDescent="0.25">
      <c r="A321" t="s">
        <v>4062</v>
      </c>
      <c r="B321" t="s">
        <v>5585</v>
      </c>
      <c r="C321" t="s">
        <v>63</v>
      </c>
      <c r="D321" s="7">
        <v>2</v>
      </c>
      <c r="E321" s="2">
        <v>37</v>
      </c>
      <c r="F321" s="2">
        <v>74</v>
      </c>
    </row>
    <row r="322" spans="1:6" x14ac:dyDescent="0.25">
      <c r="A322" t="s">
        <v>4062</v>
      </c>
      <c r="B322" t="s">
        <v>5589</v>
      </c>
      <c r="C322" t="s">
        <v>63</v>
      </c>
      <c r="D322" s="7">
        <v>1</v>
      </c>
      <c r="E322" s="2">
        <v>56919</v>
      </c>
      <c r="F322" s="2">
        <v>56919</v>
      </c>
    </row>
    <row r="323" spans="1:6" x14ac:dyDescent="0.25">
      <c r="A323" t="s">
        <v>4062</v>
      </c>
      <c r="B323" t="s">
        <v>4072</v>
      </c>
      <c r="C323" t="s">
        <v>4066</v>
      </c>
      <c r="D323" s="7">
        <v>0.25</v>
      </c>
      <c r="E323" s="2">
        <v>3150</v>
      </c>
      <c r="F323" s="2">
        <v>787.5</v>
      </c>
    </row>
    <row r="324" spans="1:6" x14ac:dyDescent="0.25">
      <c r="A324" t="s">
        <v>4049</v>
      </c>
      <c r="B324" t="s">
        <v>4182</v>
      </c>
      <c r="C324" t="s">
        <v>4051</v>
      </c>
      <c r="D324" s="7">
        <v>1.2</v>
      </c>
      <c r="E324" s="2">
        <v>10845.1</v>
      </c>
      <c r="F324" s="2">
        <v>13014.12</v>
      </c>
    </row>
    <row r="325" spans="1:6" x14ac:dyDescent="0.25">
      <c r="A325" t="s">
        <v>4049</v>
      </c>
      <c r="B325" t="s">
        <v>4183</v>
      </c>
      <c r="C325" t="s">
        <v>4051</v>
      </c>
      <c r="D325" s="7">
        <v>1.2</v>
      </c>
      <c r="E325" s="2">
        <v>18621.17</v>
      </c>
      <c r="F325" s="2">
        <v>22345.4</v>
      </c>
    </row>
    <row r="326" spans="1:6" x14ac:dyDescent="0.25">
      <c r="A326" t="s">
        <v>4052</v>
      </c>
      <c r="B326" t="s">
        <v>4053</v>
      </c>
      <c r="C326" t="s">
        <v>4054</v>
      </c>
      <c r="D326" s="7">
        <v>5</v>
      </c>
      <c r="E326" s="2">
        <v>35359.52</v>
      </c>
      <c r="F326" s="2">
        <v>1767.98</v>
      </c>
    </row>
    <row r="327" spans="1:6" x14ac:dyDescent="0.25">
      <c r="A327" t="s">
        <v>4055</v>
      </c>
      <c r="D327" s="7"/>
      <c r="E327" s="2"/>
      <c r="F327" s="2">
        <f>SUBTOTAL(109,A_1_14_26[VALOR PARCIAL])</f>
      </c>
    </row>
    <row r="329" ht="30" customHeight="1" spans="1:6" x14ac:dyDescent="0.25">
      <c r="A329" s="5" t="s">
        <v>5640</v>
      </c>
      <c r="B329" s="5"/>
      <c r="C329" s="5"/>
      <c r="D329" s="5"/>
      <c r="E329" s="5"/>
      <c r="F329" s="5"/>
    </row>
    <row r="330" ht="42" customHeight="1" spans="1:6" x14ac:dyDescent="0.25">
      <c r="A330" s="6" t="s">
        <v>5641</v>
      </c>
      <c r="B330" s="6"/>
      <c r="C330" s="6"/>
      <c r="D330" s="6"/>
      <c r="E330" s="6"/>
      <c r="F330" s="6"/>
    </row>
    <row r="331" spans="1:6" x14ac:dyDescent="0.25">
      <c r="A331" t="s">
        <v>4044</v>
      </c>
      <c r="B331" t="s">
        <v>4045</v>
      </c>
      <c r="C331" t="s">
        <v>5</v>
      </c>
      <c r="D331" t="s">
        <v>4046</v>
      </c>
      <c r="E331" t="s">
        <v>4047</v>
      </c>
      <c r="F331" t="s">
        <v>4048</v>
      </c>
    </row>
    <row r="332" spans="1:6" x14ac:dyDescent="0.25">
      <c r="A332" t="s">
        <v>4062</v>
      </c>
      <c r="B332" t="s">
        <v>5585</v>
      </c>
      <c r="C332" t="s">
        <v>63</v>
      </c>
      <c r="D332" s="7">
        <v>2</v>
      </c>
      <c r="E332" s="2">
        <v>37</v>
      </c>
      <c r="F332" s="2">
        <v>74</v>
      </c>
    </row>
    <row r="333" spans="1:6" x14ac:dyDescent="0.25">
      <c r="A333" t="s">
        <v>4062</v>
      </c>
      <c r="B333" t="s">
        <v>5592</v>
      </c>
      <c r="C333" t="s">
        <v>63</v>
      </c>
      <c r="D333" s="7">
        <v>1</v>
      </c>
      <c r="E333" s="2">
        <v>250000</v>
      </c>
      <c r="F333" s="2">
        <v>250000</v>
      </c>
    </row>
    <row r="334" spans="1:6" x14ac:dyDescent="0.25">
      <c r="A334" t="s">
        <v>4062</v>
      </c>
      <c r="B334" t="s">
        <v>4072</v>
      </c>
      <c r="C334" t="s">
        <v>4066</v>
      </c>
      <c r="D334" s="7">
        <v>0.25</v>
      </c>
      <c r="E334" s="2">
        <v>3150</v>
      </c>
      <c r="F334" s="2">
        <v>787.5</v>
      </c>
    </row>
    <row r="335" spans="1:6" x14ac:dyDescent="0.25">
      <c r="A335" t="s">
        <v>4049</v>
      </c>
      <c r="B335" t="s">
        <v>4182</v>
      </c>
      <c r="C335" t="s">
        <v>4051</v>
      </c>
      <c r="D335" s="7">
        <v>1</v>
      </c>
      <c r="E335" s="2">
        <v>10845.1</v>
      </c>
      <c r="F335" s="2">
        <v>10845.1</v>
      </c>
    </row>
    <row r="336" spans="1:6" x14ac:dyDescent="0.25">
      <c r="A336" t="s">
        <v>4049</v>
      </c>
      <c r="B336" t="s">
        <v>4183</v>
      </c>
      <c r="C336" t="s">
        <v>4051</v>
      </c>
      <c r="D336" s="7">
        <v>1</v>
      </c>
      <c r="E336" s="2">
        <v>18621.17</v>
      </c>
      <c r="F336" s="2">
        <v>18621.17</v>
      </c>
    </row>
    <row r="337" spans="1:6" x14ac:dyDescent="0.25">
      <c r="A337" t="s">
        <v>4052</v>
      </c>
      <c r="B337" t="s">
        <v>4053</v>
      </c>
      <c r="C337" t="s">
        <v>4054</v>
      </c>
      <c r="D337" s="7">
        <v>5</v>
      </c>
      <c r="E337" s="2">
        <v>29466.27</v>
      </c>
      <c r="F337" s="2">
        <v>1473.31</v>
      </c>
    </row>
    <row r="338" spans="1:6" x14ac:dyDescent="0.25">
      <c r="A338" t="s">
        <v>4055</v>
      </c>
      <c r="D338" s="7"/>
      <c r="E338" s="2"/>
      <c r="F338" s="2">
        <f>SUBTOTAL(109,A_1_14_27[VALOR PARCIAL])</f>
      </c>
    </row>
    <row r="340" ht="30" customHeight="1" spans="1:6" x14ac:dyDescent="0.25">
      <c r="A340" s="5" t="s">
        <v>5642</v>
      </c>
      <c r="B340" s="5"/>
      <c r="C340" s="5"/>
      <c r="D340" s="5"/>
      <c r="E340" s="5"/>
      <c r="F340" s="5"/>
    </row>
    <row r="341" ht="42" customHeight="1" spans="1:6" x14ac:dyDescent="0.25">
      <c r="A341" s="6" t="s">
        <v>5643</v>
      </c>
      <c r="B341" s="6"/>
      <c r="C341" s="6"/>
      <c r="D341" s="6"/>
      <c r="E341" s="6"/>
      <c r="F341" s="6"/>
    </row>
    <row r="342" spans="1:6" x14ac:dyDescent="0.25">
      <c r="A342" t="s">
        <v>4044</v>
      </c>
      <c r="B342" t="s">
        <v>4045</v>
      </c>
      <c r="C342" t="s">
        <v>5</v>
      </c>
      <c r="D342" t="s">
        <v>4046</v>
      </c>
      <c r="E342" t="s">
        <v>4047</v>
      </c>
      <c r="F342" t="s">
        <v>4048</v>
      </c>
    </row>
    <row r="343" spans="1:6" x14ac:dyDescent="0.25">
      <c r="A343" t="s">
        <v>4062</v>
      </c>
      <c r="B343" t="s">
        <v>5585</v>
      </c>
      <c r="C343" t="s">
        <v>63</v>
      </c>
      <c r="D343" s="7">
        <v>2</v>
      </c>
      <c r="E343" s="2">
        <v>37</v>
      </c>
      <c r="F343" s="2">
        <v>74</v>
      </c>
    </row>
    <row r="344" spans="1:6" x14ac:dyDescent="0.25">
      <c r="A344" t="s">
        <v>4062</v>
      </c>
      <c r="B344" t="s">
        <v>5595</v>
      </c>
      <c r="C344" t="s">
        <v>63</v>
      </c>
      <c r="D344" s="7">
        <v>0.95</v>
      </c>
      <c r="E344" s="2">
        <v>46610</v>
      </c>
      <c r="F344" s="2">
        <v>44279.5</v>
      </c>
    </row>
    <row r="345" spans="1:6" x14ac:dyDescent="0.25">
      <c r="A345" t="s">
        <v>4062</v>
      </c>
      <c r="B345" t="s">
        <v>4072</v>
      </c>
      <c r="C345" t="s">
        <v>4066</v>
      </c>
      <c r="D345" s="7">
        <v>0.25</v>
      </c>
      <c r="E345" s="2">
        <v>3150</v>
      </c>
      <c r="F345" s="2">
        <v>787.5</v>
      </c>
    </row>
    <row r="346" spans="1:6" x14ac:dyDescent="0.25">
      <c r="A346" t="s">
        <v>4049</v>
      </c>
      <c r="B346" t="s">
        <v>4182</v>
      </c>
      <c r="C346" t="s">
        <v>4051</v>
      </c>
      <c r="D346" s="7">
        <v>1.2</v>
      </c>
      <c r="E346" s="2">
        <v>10845.1</v>
      </c>
      <c r="F346" s="2">
        <v>13014.12</v>
      </c>
    </row>
    <row r="347" spans="1:6" x14ac:dyDescent="0.25">
      <c r="A347" t="s">
        <v>4049</v>
      </c>
      <c r="B347" t="s">
        <v>4183</v>
      </c>
      <c r="C347" t="s">
        <v>4051</v>
      </c>
      <c r="D347" s="7">
        <v>1.2</v>
      </c>
      <c r="E347" s="2">
        <v>18621.17</v>
      </c>
      <c r="F347" s="2">
        <v>22345.4</v>
      </c>
    </row>
    <row r="348" spans="1:6" x14ac:dyDescent="0.25">
      <c r="A348" t="s">
        <v>4052</v>
      </c>
      <c r="B348" t="s">
        <v>4053</v>
      </c>
      <c r="C348" t="s">
        <v>4054</v>
      </c>
      <c r="D348" s="7">
        <v>5</v>
      </c>
      <c r="E348" s="2">
        <v>35359.52</v>
      </c>
      <c r="F348" s="2">
        <v>1767.98</v>
      </c>
    </row>
    <row r="349" spans="1:6" x14ac:dyDescent="0.25">
      <c r="A349" t="s">
        <v>4055</v>
      </c>
      <c r="D349" s="7"/>
      <c r="E349" s="2"/>
      <c r="F349" s="2">
        <f>SUBTOTAL(109,A_1_14_28[VALOR PARCIAL])</f>
      </c>
    </row>
    <row r="351" ht="30" customHeight="1" spans="1:6" x14ac:dyDescent="0.25">
      <c r="A351" s="5" t="s">
        <v>5644</v>
      </c>
      <c r="B351" s="5"/>
      <c r="C351" s="5"/>
      <c r="D351" s="5"/>
      <c r="E351" s="5"/>
      <c r="F351" s="5"/>
    </row>
    <row r="352" ht="42" customHeight="1" spans="1:6" x14ac:dyDescent="0.25">
      <c r="A352" s="6" t="s">
        <v>5645</v>
      </c>
      <c r="B352" s="6"/>
      <c r="C352" s="6"/>
      <c r="D352" s="6"/>
      <c r="E352" s="6"/>
      <c r="F352" s="6"/>
    </row>
    <row r="353" spans="1:6" x14ac:dyDescent="0.25">
      <c r="A353" t="s">
        <v>4044</v>
      </c>
      <c r="B353" t="s">
        <v>4045</v>
      </c>
      <c r="C353" t="s">
        <v>5</v>
      </c>
      <c r="D353" t="s">
        <v>4046</v>
      </c>
      <c r="E353" t="s">
        <v>4047</v>
      </c>
      <c r="F353" t="s">
        <v>4048</v>
      </c>
    </row>
    <row r="354" spans="1:6" x14ac:dyDescent="0.25">
      <c r="A354" t="s">
        <v>4062</v>
      </c>
      <c r="B354" t="s">
        <v>5250</v>
      </c>
      <c r="C354" t="s">
        <v>63</v>
      </c>
      <c r="D354" s="7">
        <v>2</v>
      </c>
      <c r="E354" s="2">
        <v>185</v>
      </c>
      <c r="F354" s="2">
        <v>370</v>
      </c>
    </row>
    <row r="355" spans="1:6" x14ac:dyDescent="0.25">
      <c r="A355" t="s">
        <v>4062</v>
      </c>
      <c r="B355" t="s">
        <v>5578</v>
      </c>
      <c r="C355" t="s">
        <v>63</v>
      </c>
      <c r="D355" s="7">
        <v>0.3</v>
      </c>
      <c r="E355" s="2">
        <v>182000</v>
      </c>
      <c r="F355" s="2">
        <v>54600</v>
      </c>
    </row>
    <row r="356" spans="1:6" x14ac:dyDescent="0.25">
      <c r="A356" t="s">
        <v>4062</v>
      </c>
      <c r="B356" t="s">
        <v>4072</v>
      </c>
      <c r="C356" t="s">
        <v>4066</v>
      </c>
      <c r="D356" s="7">
        <v>0.25</v>
      </c>
      <c r="E356" s="2">
        <v>3150</v>
      </c>
      <c r="F356" s="2">
        <v>787.5</v>
      </c>
    </row>
    <row r="357" spans="1:6" x14ac:dyDescent="0.25">
      <c r="A357" t="s">
        <v>4049</v>
      </c>
      <c r="B357" t="s">
        <v>4182</v>
      </c>
      <c r="C357" t="s">
        <v>4051</v>
      </c>
      <c r="D357" s="7">
        <v>1</v>
      </c>
      <c r="E357" s="2">
        <v>10845.1</v>
      </c>
      <c r="F357" s="2">
        <v>10845.1</v>
      </c>
    </row>
    <row r="358" spans="1:6" x14ac:dyDescent="0.25">
      <c r="A358" t="s">
        <v>4049</v>
      </c>
      <c r="B358" t="s">
        <v>4183</v>
      </c>
      <c r="C358" t="s">
        <v>4051</v>
      </c>
      <c r="D358" s="7">
        <v>1</v>
      </c>
      <c r="E358" s="2">
        <v>18621.17</v>
      </c>
      <c r="F358" s="2">
        <v>18621.17</v>
      </c>
    </row>
    <row r="359" spans="1:6" x14ac:dyDescent="0.25">
      <c r="A359" t="s">
        <v>4052</v>
      </c>
      <c r="B359" t="s">
        <v>4053</v>
      </c>
      <c r="C359" t="s">
        <v>4054</v>
      </c>
      <c r="D359" s="7">
        <v>2.5</v>
      </c>
      <c r="E359" s="2">
        <v>29466.27</v>
      </c>
      <c r="F359" s="2">
        <v>736.66</v>
      </c>
    </row>
    <row r="360" spans="1:6" x14ac:dyDescent="0.25">
      <c r="A360" t="s">
        <v>4055</v>
      </c>
      <c r="D360" s="7"/>
      <c r="E360" s="2"/>
      <c r="F360" s="2">
        <f>SUBTOTAL(109,A_1_14_29[VALOR PARCIAL])</f>
      </c>
    </row>
    <row r="362" ht="30" customHeight="1" spans="1:6" x14ac:dyDescent="0.25">
      <c r="A362" s="5" t="s">
        <v>5646</v>
      </c>
      <c r="B362" s="5"/>
      <c r="C362" s="5"/>
      <c r="D362" s="5"/>
      <c r="E362" s="5"/>
      <c r="F362" s="5"/>
    </row>
    <row r="363" ht="42" customHeight="1" spans="1:6" x14ac:dyDescent="0.25">
      <c r="A363" s="6" t="s">
        <v>5647</v>
      </c>
      <c r="B363" s="6"/>
      <c r="C363" s="6"/>
      <c r="D363" s="6"/>
      <c r="E363" s="6"/>
      <c r="F363" s="6"/>
    </row>
    <row r="364" spans="1:6" x14ac:dyDescent="0.25">
      <c r="A364" t="s">
        <v>4044</v>
      </c>
      <c r="B364" t="s">
        <v>4045</v>
      </c>
      <c r="C364" t="s">
        <v>5</v>
      </c>
      <c r="D364" t="s">
        <v>4046</v>
      </c>
      <c r="E364" t="s">
        <v>4047</v>
      </c>
      <c r="F364" t="s">
        <v>4048</v>
      </c>
    </row>
    <row r="365" spans="1:6" x14ac:dyDescent="0.25">
      <c r="A365" t="s">
        <v>4062</v>
      </c>
      <c r="B365" t="s">
        <v>5250</v>
      </c>
      <c r="C365" t="s">
        <v>63</v>
      </c>
      <c r="D365" s="7">
        <v>2</v>
      </c>
      <c r="E365" s="2">
        <v>185</v>
      </c>
      <c r="F365" s="2">
        <v>370</v>
      </c>
    </row>
    <row r="366" spans="1:6" x14ac:dyDescent="0.25">
      <c r="A366" t="s">
        <v>4062</v>
      </c>
      <c r="B366" t="s">
        <v>5648</v>
      </c>
      <c r="C366" t="s">
        <v>42</v>
      </c>
      <c r="D366" s="7">
        <v>1</v>
      </c>
      <c r="E366" s="2">
        <v>18750</v>
      </c>
      <c r="F366" s="2">
        <v>18750</v>
      </c>
    </row>
    <row r="367" spans="1:6" x14ac:dyDescent="0.25">
      <c r="A367" t="s">
        <v>4062</v>
      </c>
      <c r="B367" t="s">
        <v>4072</v>
      </c>
      <c r="C367" t="s">
        <v>4066</v>
      </c>
      <c r="D367" s="7">
        <v>0.14</v>
      </c>
      <c r="E367" s="2">
        <v>3150</v>
      </c>
      <c r="F367" s="2">
        <v>441</v>
      </c>
    </row>
    <row r="368" spans="1:6" x14ac:dyDescent="0.25">
      <c r="A368" t="s">
        <v>4049</v>
      </c>
      <c r="B368" t="s">
        <v>4182</v>
      </c>
      <c r="C368" t="s">
        <v>4051</v>
      </c>
      <c r="D368" s="7">
        <v>0.8</v>
      </c>
      <c r="E368" s="2">
        <v>10845.1</v>
      </c>
      <c r="F368" s="2">
        <v>8676.08</v>
      </c>
    </row>
    <row r="369" spans="1:6" x14ac:dyDescent="0.25">
      <c r="A369" t="s">
        <v>4049</v>
      </c>
      <c r="B369" t="s">
        <v>4183</v>
      </c>
      <c r="C369" t="s">
        <v>4051</v>
      </c>
      <c r="D369" s="7">
        <v>0.8</v>
      </c>
      <c r="E369" s="2">
        <v>18621.17</v>
      </c>
      <c r="F369" s="2">
        <v>14896.94</v>
      </c>
    </row>
    <row r="370" spans="1:6" x14ac:dyDescent="0.25">
      <c r="A370" t="s">
        <v>4052</v>
      </c>
      <c r="B370" t="s">
        <v>4053</v>
      </c>
      <c r="C370" t="s">
        <v>4054</v>
      </c>
      <c r="D370" s="7">
        <v>2</v>
      </c>
      <c r="E370" s="2">
        <v>23573.02</v>
      </c>
      <c r="F370" s="2">
        <v>471.46</v>
      </c>
    </row>
    <row r="371" spans="1:6" x14ac:dyDescent="0.25">
      <c r="A371" t="s">
        <v>4055</v>
      </c>
      <c r="D371" s="7"/>
      <c r="E371" s="2"/>
      <c r="F371" s="2">
        <f>SUBTOTAL(109,A_1_14_30[VALOR PARCIAL])</f>
      </c>
    </row>
    <row r="373" ht="30" customHeight="1" spans="1:6" x14ac:dyDescent="0.25">
      <c r="A373" s="5" t="s">
        <v>5649</v>
      </c>
      <c r="B373" s="5"/>
      <c r="C373" s="5"/>
      <c r="D373" s="5"/>
      <c r="E373" s="5"/>
      <c r="F373" s="5"/>
    </row>
    <row r="374" ht="42" customHeight="1" spans="1:6" x14ac:dyDescent="0.25">
      <c r="A374" s="6" t="s">
        <v>5650</v>
      </c>
      <c r="B374" s="6"/>
      <c r="C374" s="6"/>
      <c r="D374" s="6"/>
      <c r="E374" s="6"/>
      <c r="F374" s="6"/>
    </row>
    <row r="375" spans="1:6" x14ac:dyDescent="0.25">
      <c r="A375" t="s">
        <v>4044</v>
      </c>
      <c r="B375" t="s">
        <v>4045</v>
      </c>
      <c r="C375" t="s">
        <v>5</v>
      </c>
      <c r="D375" t="s">
        <v>4046</v>
      </c>
      <c r="E375" t="s">
        <v>4047</v>
      </c>
      <c r="F375" t="s">
        <v>4048</v>
      </c>
    </row>
    <row r="376" spans="1:6" x14ac:dyDescent="0.25">
      <c r="A376" t="s">
        <v>4062</v>
      </c>
      <c r="B376" t="s">
        <v>5585</v>
      </c>
      <c r="C376" t="s">
        <v>63</v>
      </c>
      <c r="D376" s="7">
        <v>18</v>
      </c>
      <c r="E376" s="2">
        <v>37</v>
      </c>
      <c r="F376" s="2">
        <v>666</v>
      </c>
    </row>
    <row r="377" spans="1:6" x14ac:dyDescent="0.25">
      <c r="A377" t="s">
        <v>4062</v>
      </c>
      <c r="B377" t="s">
        <v>5542</v>
      </c>
      <c r="C377" t="s">
        <v>63</v>
      </c>
      <c r="D377" s="7">
        <v>0.54</v>
      </c>
      <c r="E377" s="2">
        <v>42119</v>
      </c>
      <c r="F377" s="2">
        <v>22744.26</v>
      </c>
    </row>
    <row r="378" spans="1:6" x14ac:dyDescent="0.25">
      <c r="A378" t="s">
        <v>4062</v>
      </c>
      <c r="B378" t="s">
        <v>5577</v>
      </c>
      <c r="C378" t="s">
        <v>63</v>
      </c>
      <c r="D378" s="7">
        <v>3</v>
      </c>
      <c r="E378" s="2">
        <v>2900</v>
      </c>
      <c r="F378" s="2">
        <v>8700</v>
      </c>
    </row>
    <row r="379" spans="1:6" x14ac:dyDescent="0.25">
      <c r="A379" t="s">
        <v>4062</v>
      </c>
      <c r="B379" t="s">
        <v>5586</v>
      </c>
      <c r="C379" t="s">
        <v>63</v>
      </c>
      <c r="D379" s="7">
        <v>4</v>
      </c>
      <c r="E379" s="2">
        <v>42329</v>
      </c>
      <c r="F379" s="2">
        <v>169316</v>
      </c>
    </row>
    <row r="380" spans="1:6" x14ac:dyDescent="0.25">
      <c r="A380" t="s">
        <v>4062</v>
      </c>
      <c r="B380" t="s">
        <v>5579</v>
      </c>
      <c r="C380" t="s">
        <v>231</v>
      </c>
      <c r="D380" s="7">
        <v>0.5</v>
      </c>
      <c r="E380" s="2">
        <v>13475</v>
      </c>
      <c r="F380" s="2">
        <v>6737.5</v>
      </c>
    </row>
    <row r="381" spans="1:6" x14ac:dyDescent="0.25">
      <c r="A381" t="s">
        <v>4062</v>
      </c>
      <c r="B381" t="s">
        <v>4072</v>
      </c>
      <c r="C381" t="s">
        <v>4066</v>
      </c>
      <c r="D381" s="7">
        <v>0.5</v>
      </c>
      <c r="E381" s="2">
        <v>3150</v>
      </c>
      <c r="F381" s="2">
        <v>1575</v>
      </c>
    </row>
    <row r="382" spans="1:6" x14ac:dyDescent="0.25">
      <c r="A382" t="s">
        <v>4049</v>
      </c>
      <c r="B382" t="s">
        <v>4182</v>
      </c>
      <c r="C382" t="s">
        <v>4051</v>
      </c>
      <c r="D382" s="7">
        <v>4</v>
      </c>
      <c r="E382" s="2">
        <v>10845.1</v>
      </c>
      <c r="F382" s="2">
        <v>43380.4</v>
      </c>
    </row>
    <row r="383" spans="1:6" x14ac:dyDescent="0.25">
      <c r="A383" t="s">
        <v>4049</v>
      </c>
      <c r="B383" t="s">
        <v>4183</v>
      </c>
      <c r="C383" t="s">
        <v>4051</v>
      </c>
      <c r="D383" s="7">
        <v>4</v>
      </c>
      <c r="E383" s="2">
        <v>18621.17</v>
      </c>
      <c r="F383" s="2">
        <v>74484.68</v>
      </c>
    </row>
    <row r="384" spans="1:6" x14ac:dyDescent="0.25">
      <c r="A384" t="s">
        <v>4052</v>
      </c>
      <c r="B384" t="s">
        <v>4053</v>
      </c>
      <c r="C384" t="s">
        <v>4054</v>
      </c>
      <c r="D384" s="7">
        <v>5</v>
      </c>
      <c r="E384" s="2">
        <v>117865.08</v>
      </c>
      <c r="F384" s="2">
        <v>5893.25</v>
      </c>
    </row>
    <row r="385" spans="1:6" x14ac:dyDescent="0.25">
      <c r="A385" t="s">
        <v>4055</v>
      </c>
      <c r="D385" s="7"/>
      <c r="E385" s="2"/>
      <c r="F385" s="2">
        <f>SUBTOTAL(109,A_1_14_31[VALOR PARCIAL])</f>
      </c>
    </row>
    <row r="387" ht="30" customHeight="1" spans="1:6" x14ac:dyDescent="0.25">
      <c r="A387" s="5" t="s">
        <v>5651</v>
      </c>
      <c r="B387" s="5"/>
      <c r="C387" s="5"/>
      <c r="D387" s="5"/>
      <c r="E387" s="5"/>
      <c r="F387" s="5"/>
    </row>
    <row r="388" ht="42" customHeight="1" spans="1:6" x14ac:dyDescent="0.25">
      <c r="A388" s="6" t="s">
        <v>5652</v>
      </c>
      <c r="B388" s="6"/>
      <c r="C388" s="6"/>
      <c r="D388" s="6"/>
      <c r="E388" s="6"/>
      <c r="F388" s="6"/>
    </row>
    <row r="389" spans="1:6" x14ac:dyDescent="0.25">
      <c r="A389" t="s">
        <v>4044</v>
      </c>
      <c r="B389" t="s">
        <v>4045</v>
      </c>
      <c r="C389" t="s">
        <v>5</v>
      </c>
      <c r="D389" t="s">
        <v>4046</v>
      </c>
      <c r="E389" t="s">
        <v>4047</v>
      </c>
      <c r="F389" t="s">
        <v>4048</v>
      </c>
    </row>
    <row r="390" spans="1:6" x14ac:dyDescent="0.25">
      <c r="A390" t="s">
        <v>4062</v>
      </c>
      <c r="B390" t="s">
        <v>5585</v>
      </c>
      <c r="C390" t="s">
        <v>63</v>
      </c>
      <c r="D390" s="7">
        <v>18</v>
      </c>
      <c r="E390" s="2">
        <v>37</v>
      </c>
      <c r="F390" s="2">
        <v>666</v>
      </c>
    </row>
    <row r="391" spans="1:6" x14ac:dyDescent="0.25">
      <c r="A391" t="s">
        <v>4062</v>
      </c>
      <c r="B391" t="s">
        <v>5576</v>
      </c>
      <c r="C391" t="s">
        <v>63</v>
      </c>
      <c r="D391" s="7">
        <v>0.75</v>
      </c>
      <c r="E391" s="2">
        <v>79950</v>
      </c>
      <c r="F391" s="2">
        <v>59962.5</v>
      </c>
    </row>
    <row r="392" spans="1:6" x14ac:dyDescent="0.25">
      <c r="A392" t="s">
        <v>4062</v>
      </c>
      <c r="B392" t="s">
        <v>5577</v>
      </c>
      <c r="C392" t="s">
        <v>63</v>
      </c>
      <c r="D392" s="7">
        <v>3</v>
      </c>
      <c r="E392" s="2">
        <v>2900</v>
      </c>
      <c r="F392" s="2">
        <v>8700</v>
      </c>
    </row>
    <row r="393" spans="1:6" x14ac:dyDescent="0.25">
      <c r="A393" t="s">
        <v>4062</v>
      </c>
      <c r="B393" t="s">
        <v>5589</v>
      </c>
      <c r="C393" t="s">
        <v>63</v>
      </c>
      <c r="D393" s="7">
        <v>4.75</v>
      </c>
      <c r="E393" s="2">
        <v>56919</v>
      </c>
      <c r="F393" s="2">
        <v>270365.25</v>
      </c>
    </row>
    <row r="394" spans="1:6" x14ac:dyDescent="0.25">
      <c r="A394" t="s">
        <v>4062</v>
      </c>
      <c r="B394" t="s">
        <v>5579</v>
      </c>
      <c r="C394" t="s">
        <v>231</v>
      </c>
      <c r="D394" s="7">
        <v>0.5</v>
      </c>
      <c r="E394" s="2">
        <v>13475</v>
      </c>
      <c r="F394" s="2">
        <v>6737.5</v>
      </c>
    </row>
    <row r="395" spans="1:6" x14ac:dyDescent="0.25">
      <c r="A395" t="s">
        <v>4049</v>
      </c>
      <c r="B395" t="s">
        <v>4182</v>
      </c>
      <c r="C395" t="s">
        <v>4051</v>
      </c>
      <c r="D395" s="7">
        <v>4</v>
      </c>
      <c r="E395" s="2">
        <v>10845.1</v>
      </c>
      <c r="F395" s="2">
        <v>43380.4</v>
      </c>
    </row>
    <row r="396" spans="1:6" x14ac:dyDescent="0.25">
      <c r="A396" t="s">
        <v>4049</v>
      </c>
      <c r="B396" t="s">
        <v>4183</v>
      </c>
      <c r="C396" t="s">
        <v>4051</v>
      </c>
      <c r="D396" s="7">
        <v>4</v>
      </c>
      <c r="E396" s="2">
        <v>18621.17</v>
      </c>
      <c r="F396" s="2">
        <v>74484.68</v>
      </c>
    </row>
    <row r="397" spans="1:6" x14ac:dyDescent="0.25">
      <c r="A397" t="s">
        <v>4052</v>
      </c>
      <c r="B397" t="s">
        <v>4053</v>
      </c>
      <c r="C397" t="s">
        <v>4054</v>
      </c>
      <c r="D397" s="7">
        <v>5</v>
      </c>
      <c r="E397" s="2">
        <v>117865.08</v>
      </c>
      <c r="F397" s="2">
        <v>5893.25</v>
      </c>
    </row>
    <row r="398" spans="1:6" x14ac:dyDescent="0.25">
      <c r="A398" t="s">
        <v>4055</v>
      </c>
      <c r="D398" s="7"/>
      <c r="E398" s="2"/>
      <c r="F398" s="2">
        <f>SUBTOTAL(109,A_1_14_32[VALOR PARCIAL])</f>
      </c>
    </row>
    <row r="400" ht="30" customHeight="1" spans="1:6" x14ac:dyDescent="0.25">
      <c r="A400" s="5" t="s">
        <v>5653</v>
      </c>
      <c r="B400" s="5"/>
      <c r="C400" s="5"/>
      <c r="D400" s="5"/>
      <c r="E400" s="5"/>
      <c r="F400" s="5"/>
    </row>
    <row r="401" ht="42" customHeight="1" spans="1:6" x14ac:dyDescent="0.25">
      <c r="A401" s="6" t="s">
        <v>5654</v>
      </c>
      <c r="B401" s="6"/>
      <c r="C401" s="6"/>
      <c r="D401" s="6"/>
      <c r="E401" s="6"/>
      <c r="F401" s="6"/>
    </row>
    <row r="402" spans="1:6" x14ac:dyDescent="0.25">
      <c r="A402" t="s">
        <v>4044</v>
      </c>
      <c r="B402" t="s">
        <v>4045</v>
      </c>
      <c r="C402" t="s">
        <v>5</v>
      </c>
      <c r="D402" t="s">
        <v>4046</v>
      </c>
      <c r="E402" t="s">
        <v>4047</v>
      </c>
      <c r="F402" t="s">
        <v>4048</v>
      </c>
    </row>
    <row r="403" spans="1:6" x14ac:dyDescent="0.25">
      <c r="A403" t="s">
        <v>4062</v>
      </c>
      <c r="B403" t="s">
        <v>5585</v>
      </c>
      <c r="C403" t="s">
        <v>63</v>
      </c>
      <c r="D403" s="7">
        <v>18</v>
      </c>
      <c r="E403" s="2">
        <v>37</v>
      </c>
      <c r="F403" s="2">
        <v>666</v>
      </c>
    </row>
    <row r="404" spans="1:6" x14ac:dyDescent="0.25">
      <c r="A404" t="s">
        <v>4062</v>
      </c>
      <c r="B404" t="s">
        <v>5576</v>
      </c>
      <c r="C404" t="s">
        <v>63</v>
      </c>
      <c r="D404" s="7">
        <v>0.2</v>
      </c>
      <c r="E404" s="2">
        <v>79950</v>
      </c>
      <c r="F404" s="2">
        <v>15990</v>
      </c>
    </row>
    <row r="405" spans="1:6" x14ac:dyDescent="0.25">
      <c r="A405" t="s">
        <v>4062</v>
      </c>
      <c r="B405" t="s">
        <v>5577</v>
      </c>
      <c r="C405" t="s">
        <v>63</v>
      </c>
      <c r="D405" s="7">
        <v>3</v>
      </c>
      <c r="E405" s="2">
        <v>2900</v>
      </c>
      <c r="F405" s="2">
        <v>8700</v>
      </c>
    </row>
    <row r="406" spans="1:6" x14ac:dyDescent="0.25">
      <c r="A406" t="s">
        <v>4062</v>
      </c>
      <c r="B406" t="s">
        <v>5578</v>
      </c>
      <c r="C406" t="s">
        <v>63</v>
      </c>
      <c r="D406" s="7">
        <v>3.6</v>
      </c>
      <c r="E406" s="2">
        <v>182000</v>
      </c>
      <c r="F406" s="2">
        <v>655200</v>
      </c>
    </row>
    <row r="407" spans="1:6" x14ac:dyDescent="0.25">
      <c r="A407" t="s">
        <v>4062</v>
      </c>
      <c r="B407" t="s">
        <v>5579</v>
      </c>
      <c r="C407" t="s">
        <v>231</v>
      </c>
      <c r="D407" s="7">
        <v>1</v>
      </c>
      <c r="E407" s="2">
        <v>13475</v>
      </c>
      <c r="F407" s="2">
        <v>13475</v>
      </c>
    </row>
    <row r="408" spans="1:6" x14ac:dyDescent="0.25">
      <c r="A408" t="s">
        <v>4062</v>
      </c>
      <c r="B408" t="s">
        <v>4072</v>
      </c>
      <c r="C408" t="s">
        <v>4066</v>
      </c>
      <c r="D408" s="7">
        <v>0.35</v>
      </c>
      <c r="E408" s="2">
        <v>3150</v>
      </c>
      <c r="F408" s="2">
        <v>1102.5</v>
      </c>
    </row>
    <row r="409" spans="1:6" x14ac:dyDescent="0.25">
      <c r="A409" t="s">
        <v>4049</v>
      </c>
      <c r="B409" t="s">
        <v>4182</v>
      </c>
      <c r="C409" t="s">
        <v>4051</v>
      </c>
      <c r="D409" s="7">
        <v>14</v>
      </c>
      <c r="E409" s="2">
        <v>10845.1</v>
      </c>
      <c r="F409" s="2">
        <v>151831.4</v>
      </c>
    </row>
    <row r="410" spans="1:6" x14ac:dyDescent="0.25">
      <c r="A410" t="s">
        <v>4049</v>
      </c>
      <c r="B410" t="s">
        <v>4183</v>
      </c>
      <c r="C410" t="s">
        <v>4051</v>
      </c>
      <c r="D410" s="7">
        <v>14</v>
      </c>
      <c r="E410" s="2">
        <v>18621.17</v>
      </c>
      <c r="F410" s="2">
        <v>260696.38</v>
      </c>
    </row>
    <row r="411" spans="1:6" x14ac:dyDescent="0.25">
      <c r="A411" t="s">
        <v>4052</v>
      </c>
      <c r="B411" t="s">
        <v>4053</v>
      </c>
      <c r="C411" t="s">
        <v>4054</v>
      </c>
      <c r="D411" s="7">
        <v>5</v>
      </c>
      <c r="E411" s="2">
        <v>412527.78</v>
      </c>
      <c r="F411" s="2">
        <v>20626.39</v>
      </c>
    </row>
    <row r="412" spans="1:6" x14ac:dyDescent="0.25">
      <c r="A412" t="s">
        <v>4055</v>
      </c>
      <c r="D412" s="7"/>
      <c r="E412" s="2"/>
      <c r="F412" s="2">
        <f>SUBTOTAL(109,A_1_14_33[VALOR PARCIAL])</f>
      </c>
    </row>
    <row r="414" ht="30" customHeight="1" spans="1:6" x14ac:dyDescent="0.25">
      <c r="A414" s="5" t="s">
        <v>5655</v>
      </c>
      <c r="B414" s="5"/>
      <c r="C414" s="5"/>
      <c r="D414" s="5"/>
      <c r="E414" s="5"/>
      <c r="F414" s="5"/>
    </row>
    <row r="415" ht="42" customHeight="1" spans="1:6" x14ac:dyDescent="0.25">
      <c r="A415" s="6" t="s">
        <v>5656</v>
      </c>
      <c r="B415" s="6"/>
      <c r="C415" s="6"/>
      <c r="D415" s="6"/>
      <c r="E415" s="6"/>
      <c r="F415" s="6"/>
    </row>
    <row r="416" spans="1:6" x14ac:dyDescent="0.25">
      <c r="A416" t="s">
        <v>4044</v>
      </c>
      <c r="B416" t="s">
        <v>4045</v>
      </c>
      <c r="C416" t="s">
        <v>5</v>
      </c>
      <c r="D416" t="s">
        <v>4046</v>
      </c>
      <c r="E416" t="s">
        <v>4047</v>
      </c>
      <c r="F416" t="s">
        <v>4048</v>
      </c>
    </row>
    <row r="417" spans="1:6" x14ac:dyDescent="0.25">
      <c r="A417" t="s">
        <v>4062</v>
      </c>
      <c r="B417" t="s">
        <v>5585</v>
      </c>
      <c r="C417" t="s">
        <v>63</v>
      </c>
      <c r="D417" s="7">
        <v>18</v>
      </c>
      <c r="E417" s="2">
        <v>37</v>
      </c>
      <c r="F417" s="2">
        <v>666</v>
      </c>
    </row>
    <row r="418" spans="1:6" x14ac:dyDescent="0.25">
      <c r="A418" t="s">
        <v>4062</v>
      </c>
      <c r="B418" t="s">
        <v>5576</v>
      </c>
      <c r="C418" t="s">
        <v>63</v>
      </c>
      <c r="D418" s="7">
        <v>1</v>
      </c>
      <c r="E418" s="2">
        <v>79950</v>
      </c>
      <c r="F418" s="2">
        <v>79950</v>
      </c>
    </row>
    <row r="419" spans="1:6" x14ac:dyDescent="0.25">
      <c r="A419" t="s">
        <v>4062</v>
      </c>
      <c r="B419" t="s">
        <v>5577</v>
      </c>
      <c r="C419" t="s">
        <v>63</v>
      </c>
      <c r="D419" s="7">
        <v>3</v>
      </c>
      <c r="E419" s="2">
        <v>2900</v>
      </c>
      <c r="F419" s="2">
        <v>8700</v>
      </c>
    </row>
    <row r="420" spans="1:6" x14ac:dyDescent="0.25">
      <c r="A420" t="s">
        <v>4062</v>
      </c>
      <c r="B420" t="s">
        <v>5592</v>
      </c>
      <c r="C420" t="s">
        <v>63</v>
      </c>
      <c r="D420" s="7">
        <v>4.5</v>
      </c>
      <c r="E420" s="2">
        <v>250000</v>
      </c>
      <c r="F420" s="2">
        <v>1125000</v>
      </c>
    </row>
    <row r="421" spans="1:6" x14ac:dyDescent="0.25">
      <c r="A421" t="s">
        <v>4062</v>
      </c>
      <c r="B421" t="s">
        <v>5579</v>
      </c>
      <c r="C421" t="s">
        <v>231</v>
      </c>
      <c r="D421" s="7">
        <v>0.5</v>
      </c>
      <c r="E421" s="2">
        <v>13475</v>
      </c>
      <c r="F421" s="2">
        <v>6737.5</v>
      </c>
    </row>
    <row r="422" spans="1:6" x14ac:dyDescent="0.25">
      <c r="A422" t="s">
        <v>4062</v>
      </c>
      <c r="B422" t="s">
        <v>4072</v>
      </c>
      <c r="C422" t="s">
        <v>4066</v>
      </c>
      <c r="D422" s="7">
        <v>0.35</v>
      </c>
      <c r="E422" s="2">
        <v>3150</v>
      </c>
      <c r="F422" s="2">
        <v>1102.5</v>
      </c>
    </row>
    <row r="423" spans="1:6" x14ac:dyDescent="0.25">
      <c r="A423" t="s">
        <v>4049</v>
      </c>
      <c r="B423" t="s">
        <v>4182</v>
      </c>
      <c r="C423" t="s">
        <v>4051</v>
      </c>
      <c r="D423" s="7">
        <v>4.5</v>
      </c>
      <c r="E423" s="2">
        <v>10845.1</v>
      </c>
      <c r="F423" s="2">
        <v>48802.95</v>
      </c>
    </row>
    <row r="424" spans="1:6" x14ac:dyDescent="0.25">
      <c r="A424" t="s">
        <v>4049</v>
      </c>
      <c r="B424" t="s">
        <v>4183</v>
      </c>
      <c r="C424" t="s">
        <v>4051</v>
      </c>
      <c r="D424" s="7">
        <v>4.5</v>
      </c>
      <c r="E424" s="2">
        <v>18621.17</v>
      </c>
      <c r="F424" s="2">
        <v>83795.26</v>
      </c>
    </row>
    <row r="425" spans="1:6" x14ac:dyDescent="0.25">
      <c r="A425" t="s">
        <v>4052</v>
      </c>
      <c r="B425" t="s">
        <v>4053</v>
      </c>
      <c r="C425" t="s">
        <v>4054</v>
      </c>
      <c r="D425" s="7">
        <v>10</v>
      </c>
      <c r="E425" s="2">
        <v>132598.21</v>
      </c>
      <c r="F425" s="2">
        <v>13259.82</v>
      </c>
    </row>
    <row r="426" spans="1:6" x14ac:dyDescent="0.25">
      <c r="A426" t="s">
        <v>4055</v>
      </c>
      <c r="D426" s="7"/>
      <c r="E426" s="2"/>
      <c r="F426" s="2">
        <f>SUBTOTAL(109,A_1_14_34[VALOR PARCIAL])</f>
      </c>
    </row>
    <row r="428" ht="30" customHeight="1" spans="1:6" x14ac:dyDescent="0.25">
      <c r="A428" s="5" t="s">
        <v>5657</v>
      </c>
      <c r="B428" s="5"/>
      <c r="C428" s="5"/>
      <c r="D428" s="5"/>
      <c r="E428" s="5"/>
      <c r="F428" s="5"/>
    </row>
    <row r="429" ht="42" customHeight="1" spans="1:6" x14ac:dyDescent="0.25">
      <c r="A429" s="6" t="s">
        <v>5658</v>
      </c>
      <c r="B429" s="6"/>
      <c r="C429" s="6"/>
      <c r="D429" s="6"/>
      <c r="E429" s="6"/>
      <c r="F429" s="6"/>
    </row>
    <row r="430" spans="1:6" x14ac:dyDescent="0.25">
      <c r="A430" t="s">
        <v>4044</v>
      </c>
      <c r="B430" t="s">
        <v>4045</v>
      </c>
      <c r="C430" t="s">
        <v>5</v>
      </c>
      <c r="D430" t="s">
        <v>4046</v>
      </c>
      <c r="E430" t="s">
        <v>4047</v>
      </c>
      <c r="F430" t="s">
        <v>4048</v>
      </c>
    </row>
    <row r="431" spans="1:6" x14ac:dyDescent="0.25">
      <c r="A431" t="s">
        <v>4062</v>
      </c>
      <c r="B431" t="s">
        <v>5585</v>
      </c>
      <c r="C431" t="s">
        <v>63</v>
      </c>
      <c r="D431" s="7">
        <v>6</v>
      </c>
      <c r="E431" s="2">
        <v>37</v>
      </c>
      <c r="F431" s="2">
        <v>222</v>
      </c>
    </row>
    <row r="432" spans="1:6" x14ac:dyDescent="0.25">
      <c r="A432" t="s">
        <v>4062</v>
      </c>
      <c r="B432" t="s">
        <v>5577</v>
      </c>
      <c r="C432" t="s">
        <v>63</v>
      </c>
      <c r="D432" s="7">
        <v>1</v>
      </c>
      <c r="E432" s="2">
        <v>2900</v>
      </c>
      <c r="F432" s="2">
        <v>2900</v>
      </c>
    </row>
    <row r="433" spans="1:6" x14ac:dyDescent="0.25">
      <c r="A433" t="s">
        <v>4062</v>
      </c>
      <c r="B433" t="s">
        <v>5586</v>
      </c>
      <c r="C433" t="s">
        <v>63</v>
      </c>
      <c r="D433" s="7">
        <v>0.75</v>
      </c>
      <c r="E433" s="2">
        <v>42329</v>
      </c>
      <c r="F433" s="2">
        <v>31746.75</v>
      </c>
    </row>
    <row r="434" spans="1:6" x14ac:dyDescent="0.25">
      <c r="A434" t="s">
        <v>4062</v>
      </c>
      <c r="B434" t="s">
        <v>5579</v>
      </c>
      <c r="C434" t="s">
        <v>231</v>
      </c>
      <c r="D434" s="7">
        <v>0.13</v>
      </c>
      <c r="E434" s="2">
        <v>13475</v>
      </c>
      <c r="F434" s="2">
        <v>1751.75</v>
      </c>
    </row>
    <row r="435" spans="1:6" x14ac:dyDescent="0.25">
      <c r="A435" t="s">
        <v>4062</v>
      </c>
      <c r="B435" t="s">
        <v>4072</v>
      </c>
      <c r="C435" t="s">
        <v>4066</v>
      </c>
      <c r="D435" s="7">
        <v>0.25</v>
      </c>
      <c r="E435" s="2">
        <v>3150</v>
      </c>
      <c r="F435" s="2">
        <v>787.5</v>
      </c>
    </row>
    <row r="436" spans="1:6" x14ac:dyDescent="0.25">
      <c r="A436" t="s">
        <v>4049</v>
      </c>
      <c r="B436" t="s">
        <v>4182</v>
      </c>
      <c r="C436" t="s">
        <v>4051</v>
      </c>
      <c r="D436" s="7">
        <v>2.5</v>
      </c>
      <c r="E436" s="2">
        <v>10845.1</v>
      </c>
      <c r="F436" s="2">
        <v>27112.75</v>
      </c>
    </row>
    <row r="437" spans="1:6" x14ac:dyDescent="0.25">
      <c r="A437" t="s">
        <v>4049</v>
      </c>
      <c r="B437" t="s">
        <v>4183</v>
      </c>
      <c r="C437" t="s">
        <v>4051</v>
      </c>
      <c r="D437" s="7">
        <v>2.5</v>
      </c>
      <c r="E437" s="2">
        <v>18621.17</v>
      </c>
      <c r="F437" s="2">
        <v>46552.92</v>
      </c>
    </row>
    <row r="438" spans="1:6" x14ac:dyDescent="0.25">
      <c r="A438" t="s">
        <v>4052</v>
      </c>
      <c r="B438" t="s">
        <v>4053</v>
      </c>
      <c r="C438" t="s">
        <v>4054</v>
      </c>
      <c r="D438" s="7">
        <v>5</v>
      </c>
      <c r="E438" s="2">
        <v>73665.67</v>
      </c>
      <c r="F438" s="2">
        <v>3683.28</v>
      </c>
    </row>
    <row r="439" spans="1:6" x14ac:dyDescent="0.25">
      <c r="A439" t="s">
        <v>4055</v>
      </c>
      <c r="D439" s="7"/>
      <c r="E439" s="2"/>
      <c r="F439" s="2">
        <f>SUBTOTAL(109,A_1_14_35[VALOR PARCIAL])</f>
      </c>
    </row>
    <row r="441" ht="30" customHeight="1" spans="1:6" x14ac:dyDescent="0.25">
      <c r="A441" s="5" t="s">
        <v>5659</v>
      </c>
      <c r="B441" s="5"/>
      <c r="C441" s="5"/>
      <c r="D441" s="5"/>
      <c r="E441" s="5"/>
      <c r="F441" s="5"/>
    </row>
    <row r="442" ht="42" customHeight="1" spans="1:6" x14ac:dyDescent="0.25">
      <c r="A442" s="6" t="s">
        <v>5660</v>
      </c>
      <c r="B442" s="6"/>
      <c r="C442" s="6"/>
      <c r="D442" s="6"/>
      <c r="E442" s="6"/>
      <c r="F442" s="6"/>
    </row>
    <row r="443" spans="1:6" x14ac:dyDescent="0.25">
      <c r="A443" t="s">
        <v>4044</v>
      </c>
      <c r="B443" t="s">
        <v>4045</v>
      </c>
      <c r="C443" t="s">
        <v>5</v>
      </c>
      <c r="D443" t="s">
        <v>4046</v>
      </c>
      <c r="E443" t="s">
        <v>4047</v>
      </c>
      <c r="F443" t="s">
        <v>4048</v>
      </c>
    </row>
    <row r="444" spans="1:6" x14ac:dyDescent="0.25">
      <c r="A444" t="s">
        <v>4062</v>
      </c>
      <c r="B444" t="s">
        <v>5585</v>
      </c>
      <c r="C444" t="s">
        <v>63</v>
      </c>
      <c r="D444" s="7">
        <v>6</v>
      </c>
      <c r="E444" s="2">
        <v>37</v>
      </c>
      <c r="F444" s="2">
        <v>222</v>
      </c>
    </row>
    <row r="445" spans="1:6" x14ac:dyDescent="0.25">
      <c r="A445" t="s">
        <v>4062</v>
      </c>
      <c r="B445" t="s">
        <v>5577</v>
      </c>
      <c r="C445" t="s">
        <v>63</v>
      </c>
      <c r="D445" s="7">
        <v>1</v>
      </c>
      <c r="E445" s="2">
        <v>2900</v>
      </c>
      <c r="F445" s="2">
        <v>2900</v>
      </c>
    </row>
    <row r="446" spans="1:6" x14ac:dyDescent="0.25">
      <c r="A446" t="s">
        <v>4062</v>
      </c>
      <c r="B446" t="s">
        <v>5589</v>
      </c>
      <c r="C446" t="s">
        <v>63</v>
      </c>
      <c r="D446" s="7">
        <v>1.1</v>
      </c>
      <c r="E446" s="2">
        <v>56919</v>
      </c>
      <c r="F446" s="2">
        <v>62610.9</v>
      </c>
    </row>
    <row r="447" spans="1:6" x14ac:dyDescent="0.25">
      <c r="A447" t="s">
        <v>4062</v>
      </c>
      <c r="B447" t="s">
        <v>5579</v>
      </c>
      <c r="C447" t="s">
        <v>231</v>
      </c>
      <c r="D447" s="7">
        <v>0.13</v>
      </c>
      <c r="E447" s="2">
        <v>13475</v>
      </c>
      <c r="F447" s="2">
        <v>1751.75</v>
      </c>
    </row>
    <row r="448" spans="1:6" x14ac:dyDescent="0.25">
      <c r="A448" t="s">
        <v>4062</v>
      </c>
      <c r="B448" t="s">
        <v>4072</v>
      </c>
      <c r="C448" t="s">
        <v>4066</v>
      </c>
      <c r="D448" s="7">
        <v>0.25</v>
      </c>
      <c r="E448" s="2">
        <v>3150</v>
      </c>
      <c r="F448" s="2">
        <v>787.5</v>
      </c>
    </row>
    <row r="449" spans="1:6" x14ac:dyDescent="0.25">
      <c r="A449" t="s">
        <v>4049</v>
      </c>
      <c r="B449" t="s">
        <v>4182</v>
      </c>
      <c r="C449" t="s">
        <v>4051</v>
      </c>
      <c r="D449" s="7">
        <v>2.5</v>
      </c>
      <c r="E449" s="2">
        <v>10845.1</v>
      </c>
      <c r="F449" s="2">
        <v>27112.75</v>
      </c>
    </row>
    <row r="450" spans="1:6" x14ac:dyDescent="0.25">
      <c r="A450" t="s">
        <v>4049</v>
      </c>
      <c r="B450" t="s">
        <v>4183</v>
      </c>
      <c r="C450" t="s">
        <v>4051</v>
      </c>
      <c r="D450" s="7">
        <v>2.5</v>
      </c>
      <c r="E450" s="2">
        <v>18621.17</v>
      </c>
      <c r="F450" s="2">
        <v>46552.92</v>
      </c>
    </row>
    <row r="451" spans="1:6" x14ac:dyDescent="0.25">
      <c r="A451" t="s">
        <v>4052</v>
      </c>
      <c r="B451" t="s">
        <v>4053</v>
      </c>
      <c r="C451" t="s">
        <v>4054</v>
      </c>
      <c r="D451" s="7">
        <v>5</v>
      </c>
      <c r="E451" s="2">
        <v>73665.67</v>
      </c>
      <c r="F451" s="2">
        <v>3683.28</v>
      </c>
    </row>
    <row r="452" spans="1:6" x14ac:dyDescent="0.25">
      <c r="A452" t="s">
        <v>4055</v>
      </c>
      <c r="D452" s="7"/>
      <c r="E452" s="2"/>
      <c r="F452" s="2">
        <f>SUBTOTAL(109,A_1_14_36[VALOR PARCIAL])</f>
      </c>
    </row>
    <row r="454" ht="30" customHeight="1" spans="1:6" x14ac:dyDescent="0.25">
      <c r="A454" s="5" t="s">
        <v>5661</v>
      </c>
      <c r="B454" s="5"/>
      <c r="C454" s="5"/>
      <c r="D454" s="5"/>
      <c r="E454" s="5"/>
      <c r="F454" s="5"/>
    </row>
    <row r="455" ht="42" customHeight="1" spans="1:6" x14ac:dyDescent="0.25">
      <c r="A455" s="6" t="s">
        <v>5662</v>
      </c>
      <c r="B455" s="6"/>
      <c r="C455" s="6"/>
      <c r="D455" s="6"/>
      <c r="E455" s="6"/>
      <c r="F455" s="6"/>
    </row>
    <row r="456" spans="1:6" x14ac:dyDescent="0.25">
      <c r="A456" t="s">
        <v>4044</v>
      </c>
      <c r="B456" t="s">
        <v>4045</v>
      </c>
      <c r="C456" t="s">
        <v>5</v>
      </c>
      <c r="D456" t="s">
        <v>4046</v>
      </c>
      <c r="E456" t="s">
        <v>4047</v>
      </c>
      <c r="F456" t="s">
        <v>4048</v>
      </c>
    </row>
    <row r="457" spans="1:6" x14ac:dyDescent="0.25">
      <c r="A457" t="s">
        <v>4062</v>
      </c>
      <c r="B457" t="s">
        <v>5585</v>
      </c>
      <c r="C457" t="s">
        <v>63</v>
      </c>
      <c r="D457" s="7">
        <v>6</v>
      </c>
      <c r="E457" s="2">
        <v>37</v>
      </c>
      <c r="F457" s="2">
        <v>222</v>
      </c>
    </row>
    <row r="458" spans="1:6" x14ac:dyDescent="0.25">
      <c r="A458" t="s">
        <v>4062</v>
      </c>
      <c r="B458" t="s">
        <v>5577</v>
      </c>
      <c r="C458" t="s">
        <v>63</v>
      </c>
      <c r="D458" s="7">
        <v>1</v>
      </c>
      <c r="E458" s="2">
        <v>2900</v>
      </c>
      <c r="F458" s="2">
        <v>2900</v>
      </c>
    </row>
    <row r="459" spans="1:6" x14ac:dyDescent="0.25">
      <c r="A459" t="s">
        <v>4062</v>
      </c>
      <c r="B459" t="s">
        <v>5592</v>
      </c>
      <c r="C459" t="s">
        <v>63</v>
      </c>
      <c r="D459" s="7">
        <v>1.1</v>
      </c>
      <c r="E459" s="2">
        <v>250000</v>
      </c>
      <c r="F459" s="2">
        <v>275000</v>
      </c>
    </row>
    <row r="460" spans="1:6" x14ac:dyDescent="0.25">
      <c r="A460" t="s">
        <v>4062</v>
      </c>
      <c r="B460" t="s">
        <v>5579</v>
      </c>
      <c r="C460" t="s">
        <v>231</v>
      </c>
      <c r="D460" s="7">
        <v>0.13</v>
      </c>
      <c r="E460" s="2">
        <v>13475</v>
      </c>
      <c r="F460" s="2">
        <v>1751.75</v>
      </c>
    </row>
    <row r="461" spans="1:6" x14ac:dyDescent="0.25">
      <c r="A461" t="s">
        <v>4062</v>
      </c>
      <c r="B461" t="s">
        <v>4072</v>
      </c>
      <c r="C461" t="s">
        <v>4066</v>
      </c>
      <c r="D461" s="7">
        <v>0.25</v>
      </c>
      <c r="E461" s="2">
        <v>3150</v>
      </c>
      <c r="F461" s="2">
        <v>787.5</v>
      </c>
    </row>
    <row r="462" spans="1:6" x14ac:dyDescent="0.25">
      <c r="A462" t="s">
        <v>4049</v>
      </c>
      <c r="B462" t="s">
        <v>4182</v>
      </c>
      <c r="C462" t="s">
        <v>4051</v>
      </c>
      <c r="D462" s="7">
        <v>2.5</v>
      </c>
      <c r="E462" s="2">
        <v>10845.1</v>
      </c>
      <c r="F462" s="2">
        <v>27112.75</v>
      </c>
    </row>
    <row r="463" spans="1:6" x14ac:dyDescent="0.25">
      <c r="A463" t="s">
        <v>4049</v>
      </c>
      <c r="B463" t="s">
        <v>4183</v>
      </c>
      <c r="C463" t="s">
        <v>4051</v>
      </c>
      <c r="D463" s="7">
        <v>2.5</v>
      </c>
      <c r="E463" s="2">
        <v>18621.17</v>
      </c>
      <c r="F463" s="2">
        <v>46552.92</v>
      </c>
    </row>
    <row r="464" spans="1:6" x14ac:dyDescent="0.25">
      <c r="A464" t="s">
        <v>4052</v>
      </c>
      <c r="B464" t="s">
        <v>4053</v>
      </c>
      <c r="C464" t="s">
        <v>4054</v>
      </c>
      <c r="D464" s="7">
        <v>5</v>
      </c>
      <c r="E464" s="2">
        <v>73665.67</v>
      </c>
      <c r="F464" s="2">
        <v>3683.28</v>
      </c>
    </row>
    <row r="465" spans="1:6" x14ac:dyDescent="0.25">
      <c r="A465" t="s">
        <v>4055</v>
      </c>
      <c r="D465" s="7"/>
      <c r="E465" s="2"/>
      <c r="F465" s="2">
        <f>SUBTOTAL(109,A_1_14_37[VALOR PARCIAL])</f>
      </c>
    </row>
    <row r="467" ht="30" customHeight="1" spans="1:6" x14ac:dyDescent="0.25">
      <c r="A467" s="5" t="s">
        <v>5663</v>
      </c>
      <c r="B467" s="5"/>
      <c r="C467" s="5"/>
      <c r="D467" s="5"/>
      <c r="E467" s="5"/>
      <c r="F467" s="5"/>
    </row>
    <row r="468" ht="42" customHeight="1" spans="1:6" x14ac:dyDescent="0.25">
      <c r="A468" s="6" t="s">
        <v>5664</v>
      </c>
      <c r="B468" s="6"/>
      <c r="C468" s="6"/>
      <c r="D468" s="6"/>
      <c r="E468" s="6"/>
      <c r="F468" s="6"/>
    </row>
    <row r="469" spans="1:6" x14ac:dyDescent="0.25">
      <c r="A469" t="s">
        <v>4044</v>
      </c>
      <c r="B469" t="s">
        <v>4045</v>
      </c>
      <c r="C469" t="s">
        <v>5</v>
      </c>
      <c r="D469" t="s">
        <v>4046</v>
      </c>
      <c r="E469" t="s">
        <v>4047</v>
      </c>
      <c r="F469" t="s">
        <v>4048</v>
      </c>
    </row>
    <row r="470" spans="1:6" x14ac:dyDescent="0.25">
      <c r="A470" t="s">
        <v>4062</v>
      </c>
      <c r="B470" t="s">
        <v>5585</v>
      </c>
      <c r="C470" t="s">
        <v>63</v>
      </c>
      <c r="D470" s="7">
        <v>6</v>
      </c>
      <c r="E470" s="2">
        <v>37</v>
      </c>
      <c r="F470" s="2">
        <v>222</v>
      </c>
    </row>
    <row r="471" spans="1:6" x14ac:dyDescent="0.25">
      <c r="A471" t="s">
        <v>4062</v>
      </c>
      <c r="B471" t="s">
        <v>5577</v>
      </c>
      <c r="C471" t="s">
        <v>63</v>
      </c>
      <c r="D471" s="7">
        <v>1</v>
      </c>
      <c r="E471" s="2">
        <v>2900</v>
      </c>
      <c r="F471" s="2">
        <v>2900</v>
      </c>
    </row>
    <row r="472" spans="1:6" x14ac:dyDescent="0.25">
      <c r="A472" t="s">
        <v>4062</v>
      </c>
      <c r="B472" t="s">
        <v>5595</v>
      </c>
      <c r="C472" t="s">
        <v>63</v>
      </c>
      <c r="D472" s="7">
        <v>1.1</v>
      </c>
      <c r="E472" s="2">
        <v>46610</v>
      </c>
      <c r="F472" s="2">
        <v>51271</v>
      </c>
    </row>
    <row r="473" spans="1:6" x14ac:dyDescent="0.25">
      <c r="A473" t="s">
        <v>4062</v>
      </c>
      <c r="B473" t="s">
        <v>5579</v>
      </c>
      <c r="C473" t="s">
        <v>231</v>
      </c>
      <c r="D473" s="7">
        <v>0.13</v>
      </c>
      <c r="E473" s="2">
        <v>13475</v>
      </c>
      <c r="F473" s="2">
        <v>1751.75</v>
      </c>
    </row>
    <row r="474" spans="1:6" x14ac:dyDescent="0.25">
      <c r="A474" t="s">
        <v>4062</v>
      </c>
      <c r="B474" t="s">
        <v>4072</v>
      </c>
      <c r="C474" t="s">
        <v>4066</v>
      </c>
      <c r="D474" s="7">
        <v>0.25</v>
      </c>
      <c r="E474" s="2">
        <v>3150</v>
      </c>
      <c r="F474" s="2">
        <v>787.5</v>
      </c>
    </row>
    <row r="475" spans="1:6" x14ac:dyDescent="0.25">
      <c r="A475" t="s">
        <v>4049</v>
      </c>
      <c r="B475" t="s">
        <v>4182</v>
      </c>
      <c r="C475" t="s">
        <v>4051</v>
      </c>
      <c r="D475" s="7">
        <v>2.5</v>
      </c>
      <c r="E475" s="2">
        <v>10845.1</v>
      </c>
      <c r="F475" s="2">
        <v>27112.75</v>
      </c>
    </row>
    <row r="476" spans="1:6" x14ac:dyDescent="0.25">
      <c r="A476" t="s">
        <v>4049</v>
      </c>
      <c r="B476" t="s">
        <v>4183</v>
      </c>
      <c r="C476" t="s">
        <v>4051</v>
      </c>
      <c r="D476" s="7">
        <v>2.5</v>
      </c>
      <c r="E476" s="2">
        <v>18621.17</v>
      </c>
      <c r="F476" s="2">
        <v>46552.92</v>
      </c>
    </row>
    <row r="477" spans="1:6" x14ac:dyDescent="0.25">
      <c r="A477" t="s">
        <v>4052</v>
      </c>
      <c r="B477" t="s">
        <v>4053</v>
      </c>
      <c r="C477" t="s">
        <v>4054</v>
      </c>
      <c r="D477" s="7">
        <v>5</v>
      </c>
      <c r="E477" s="2">
        <v>73665.67</v>
      </c>
      <c r="F477" s="2">
        <v>3683.28</v>
      </c>
    </row>
    <row r="478" spans="1:6" x14ac:dyDescent="0.25">
      <c r="A478" t="s">
        <v>4055</v>
      </c>
      <c r="D478" s="7"/>
      <c r="E478" s="2"/>
      <c r="F478" s="2">
        <f>SUBTOTAL(109,A_1_14_38[VALOR PARCIAL])</f>
      </c>
    </row>
    <row r="480" ht="30" customHeight="1" spans="1:6" x14ac:dyDescent="0.25">
      <c r="A480" s="5" t="s">
        <v>5665</v>
      </c>
      <c r="B480" s="5"/>
      <c r="C480" s="5"/>
      <c r="D480" s="5"/>
      <c r="E480" s="5"/>
      <c r="F480" s="5"/>
    </row>
    <row r="481" ht="42" customHeight="1" spans="1:6" x14ac:dyDescent="0.25">
      <c r="A481" s="6" t="s">
        <v>5666</v>
      </c>
      <c r="B481" s="6"/>
      <c r="C481" s="6"/>
      <c r="D481" s="6"/>
      <c r="E481" s="6"/>
      <c r="F481" s="6"/>
    </row>
    <row r="482" spans="1:6" x14ac:dyDescent="0.25">
      <c r="A482" t="s">
        <v>4044</v>
      </c>
      <c r="B482" t="s">
        <v>4045</v>
      </c>
      <c r="C482" t="s">
        <v>5</v>
      </c>
      <c r="D482" t="s">
        <v>4046</v>
      </c>
      <c r="E482" t="s">
        <v>4047</v>
      </c>
      <c r="F482" t="s">
        <v>4048</v>
      </c>
    </row>
    <row r="483" spans="1:6" x14ac:dyDescent="0.25">
      <c r="A483" t="s">
        <v>4062</v>
      </c>
      <c r="B483" t="s">
        <v>5585</v>
      </c>
      <c r="C483" t="s">
        <v>63</v>
      </c>
      <c r="D483" s="7">
        <v>6</v>
      </c>
      <c r="E483" s="2">
        <v>37</v>
      </c>
      <c r="F483" s="2">
        <v>222</v>
      </c>
    </row>
    <row r="484" spans="1:6" x14ac:dyDescent="0.25">
      <c r="A484" t="s">
        <v>4062</v>
      </c>
      <c r="B484" t="s">
        <v>5577</v>
      </c>
      <c r="C484" t="s">
        <v>63</v>
      </c>
      <c r="D484" s="7">
        <v>1</v>
      </c>
      <c r="E484" s="2">
        <v>2900</v>
      </c>
      <c r="F484" s="2">
        <v>2900</v>
      </c>
    </row>
    <row r="485" spans="1:6" x14ac:dyDescent="0.25">
      <c r="A485" t="s">
        <v>4062</v>
      </c>
      <c r="B485" t="s">
        <v>5578</v>
      </c>
      <c r="C485" t="s">
        <v>63</v>
      </c>
      <c r="D485" s="7">
        <v>1</v>
      </c>
      <c r="E485" s="2">
        <v>182000</v>
      </c>
      <c r="F485" s="2">
        <v>182000</v>
      </c>
    </row>
    <row r="486" spans="1:6" x14ac:dyDescent="0.25">
      <c r="A486" t="s">
        <v>4062</v>
      </c>
      <c r="B486" t="s">
        <v>5579</v>
      </c>
      <c r="C486" t="s">
        <v>231</v>
      </c>
      <c r="D486" s="7">
        <v>0.13</v>
      </c>
      <c r="E486" s="2">
        <v>13475</v>
      </c>
      <c r="F486" s="2">
        <v>1751.75</v>
      </c>
    </row>
    <row r="487" spans="1:6" x14ac:dyDescent="0.25">
      <c r="A487" t="s">
        <v>4062</v>
      </c>
      <c r="B487" t="s">
        <v>4072</v>
      </c>
      <c r="C487" t="s">
        <v>4066</v>
      </c>
      <c r="D487" s="7">
        <v>0.25</v>
      </c>
      <c r="E487" s="2">
        <v>3150</v>
      </c>
      <c r="F487" s="2">
        <v>787.5</v>
      </c>
    </row>
    <row r="488" spans="1:6" x14ac:dyDescent="0.25">
      <c r="A488" t="s">
        <v>4049</v>
      </c>
      <c r="B488" t="s">
        <v>4182</v>
      </c>
      <c r="C488" t="s">
        <v>4051</v>
      </c>
      <c r="D488" s="7">
        <v>2.5</v>
      </c>
      <c r="E488" s="2">
        <v>10845.1</v>
      </c>
      <c r="F488" s="2">
        <v>27112.75</v>
      </c>
    </row>
    <row r="489" spans="1:6" x14ac:dyDescent="0.25">
      <c r="A489" t="s">
        <v>4049</v>
      </c>
      <c r="B489" t="s">
        <v>4183</v>
      </c>
      <c r="C489" t="s">
        <v>4051</v>
      </c>
      <c r="D489" s="7">
        <v>2.5</v>
      </c>
      <c r="E489" s="2">
        <v>18621.17</v>
      </c>
      <c r="F489" s="2">
        <v>46552.92</v>
      </c>
    </row>
    <row r="490" spans="1:6" x14ac:dyDescent="0.25">
      <c r="A490" t="s">
        <v>4052</v>
      </c>
      <c r="B490" t="s">
        <v>4053</v>
      </c>
      <c r="C490" t="s">
        <v>4054</v>
      </c>
      <c r="D490" s="7">
        <v>5</v>
      </c>
      <c r="E490" s="2">
        <v>73665.67</v>
      </c>
      <c r="F490" s="2">
        <v>3683.28</v>
      </c>
    </row>
    <row r="491" spans="1:6" x14ac:dyDescent="0.25">
      <c r="A491" t="s">
        <v>4055</v>
      </c>
      <c r="D491" s="7"/>
      <c r="E491" s="2"/>
      <c r="F491" s="2">
        <f>SUBTOTAL(109,A_1_14_39[VALOR PARCIAL])</f>
      </c>
    </row>
  </sheetData>
  <mergeCells count="78">
    <mergeCell ref="A4:F4"/>
    <mergeCell ref="A5:F5"/>
    <mergeCell ref="A15:F15"/>
    <mergeCell ref="A16:F16"/>
    <mergeCell ref="A29:F29"/>
    <mergeCell ref="A30:F30"/>
    <mergeCell ref="A43:F43"/>
    <mergeCell ref="A44:F44"/>
    <mergeCell ref="A57:F57"/>
    <mergeCell ref="A58:F58"/>
    <mergeCell ref="A71:F71"/>
    <mergeCell ref="A72:F72"/>
    <mergeCell ref="A85:F85"/>
    <mergeCell ref="A86:F86"/>
    <mergeCell ref="A99:F99"/>
    <mergeCell ref="A100:F100"/>
    <mergeCell ref="A113:F113"/>
    <mergeCell ref="A114:F114"/>
    <mergeCell ref="A127:F127"/>
    <mergeCell ref="A128:F128"/>
    <mergeCell ref="A141:F141"/>
    <mergeCell ref="A142:F142"/>
    <mergeCell ref="A155:F155"/>
    <mergeCell ref="A156:F156"/>
    <mergeCell ref="A169:F169"/>
    <mergeCell ref="A170:F170"/>
    <mergeCell ref="A183:F183"/>
    <mergeCell ref="A184:F184"/>
    <mergeCell ref="A198:F198"/>
    <mergeCell ref="A199:F199"/>
    <mergeCell ref="A212:F212"/>
    <mergeCell ref="A213:F213"/>
    <mergeCell ref="A221:F221"/>
    <mergeCell ref="A222:F222"/>
    <mergeCell ref="A230:F230"/>
    <mergeCell ref="A231:F231"/>
    <mergeCell ref="A239:F239"/>
    <mergeCell ref="A240:F240"/>
    <mergeCell ref="A248:F248"/>
    <mergeCell ref="A249:F249"/>
    <mergeCell ref="A257:F257"/>
    <mergeCell ref="A258:F258"/>
    <mergeCell ref="A266:F266"/>
    <mergeCell ref="A267:F267"/>
    <mergeCell ref="A280:F280"/>
    <mergeCell ref="A281:F281"/>
    <mergeCell ref="A294:F294"/>
    <mergeCell ref="A295:F295"/>
    <mergeCell ref="A307:F307"/>
    <mergeCell ref="A308:F308"/>
    <mergeCell ref="A318:F318"/>
    <mergeCell ref="A319:F319"/>
    <mergeCell ref="A329:F329"/>
    <mergeCell ref="A330:F330"/>
    <mergeCell ref="A340:F340"/>
    <mergeCell ref="A341:F341"/>
    <mergeCell ref="A351:F351"/>
    <mergeCell ref="A352:F352"/>
    <mergeCell ref="A362:F362"/>
    <mergeCell ref="A363:F363"/>
    <mergeCell ref="A373:F373"/>
    <mergeCell ref="A374:F374"/>
    <mergeCell ref="A387:F387"/>
    <mergeCell ref="A388:F388"/>
    <mergeCell ref="A400:F400"/>
    <mergeCell ref="A401:F401"/>
    <mergeCell ref="A414:F414"/>
    <mergeCell ref="A415:F415"/>
    <mergeCell ref="A428:F428"/>
    <mergeCell ref="A429:F429"/>
    <mergeCell ref="A441:F441"/>
    <mergeCell ref="A442:F442"/>
    <mergeCell ref="A454:F454"/>
    <mergeCell ref="A455:F455"/>
    <mergeCell ref="A467:F467"/>
    <mergeCell ref="A468:F468"/>
    <mergeCell ref="A480:F480"/>
    <mergeCell ref="A481:F481"/>
  </mergeCells>
  <pageMargins left="0.7" right="0.7" top="0.75" bottom="0.75" header="0.3" footer="0.3"/>
  <pageSetup orientation="portrait" horizontalDpi="4294967295" verticalDpi="4294967295" scale="100" fitToWidth="1" fitToHeight="1"/>
  <tableParts count="3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5667</v>
      </c>
    </row>
    <row r="2" spans="1:1" x14ac:dyDescent="0.25">
      <c r="A2" s="4" t="s">
        <v>5668</v>
      </c>
    </row>
    <row r="4" ht="30" customHeight="1" spans="1:6" x14ac:dyDescent="0.25">
      <c r="A4" s="5" t="s">
        <v>5669</v>
      </c>
      <c r="B4" s="5"/>
      <c r="C4" s="5"/>
      <c r="D4" s="5"/>
      <c r="E4" s="5"/>
      <c r="F4" s="5"/>
    </row>
    <row r="5" ht="42" customHeight="1" spans="1:6" x14ac:dyDescent="0.25">
      <c r="A5" s="6" t="s">
        <v>5670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5671</v>
      </c>
      <c r="C7" t="s">
        <v>231</v>
      </c>
      <c r="D7" s="7">
        <v>3</v>
      </c>
      <c r="E7" s="2">
        <v>2615</v>
      </c>
      <c r="F7" s="2">
        <v>7845</v>
      </c>
    </row>
    <row r="8" spans="1:6" x14ac:dyDescent="0.25">
      <c r="A8" t="s">
        <v>4062</v>
      </c>
      <c r="B8" t="s">
        <v>5672</v>
      </c>
      <c r="C8" t="s">
        <v>231</v>
      </c>
      <c r="D8" s="7">
        <v>1.68</v>
      </c>
      <c r="E8" s="2">
        <v>2562</v>
      </c>
      <c r="F8" s="2">
        <v>4304.16</v>
      </c>
    </row>
    <row r="9" spans="1:6" x14ac:dyDescent="0.25">
      <c r="A9" t="s">
        <v>4062</v>
      </c>
      <c r="B9" t="s">
        <v>5673</v>
      </c>
      <c r="C9" t="s">
        <v>4377</v>
      </c>
      <c r="D9" s="7">
        <v>0.01</v>
      </c>
      <c r="E9" s="2">
        <v>38633</v>
      </c>
      <c r="F9" s="2">
        <v>386.33</v>
      </c>
    </row>
    <row r="10" spans="1:6" x14ac:dyDescent="0.25">
      <c r="A10" t="s">
        <v>4062</v>
      </c>
      <c r="B10" t="s">
        <v>5013</v>
      </c>
      <c r="C10" t="s">
        <v>231</v>
      </c>
      <c r="D10" s="7">
        <v>0.16</v>
      </c>
      <c r="E10" s="2">
        <v>11906</v>
      </c>
      <c r="F10" s="2">
        <v>1904.96</v>
      </c>
    </row>
    <row r="11" spans="1:6" x14ac:dyDescent="0.25">
      <c r="A11" t="s">
        <v>4049</v>
      </c>
      <c r="B11" t="s">
        <v>4050</v>
      </c>
      <c r="C11" t="s">
        <v>4051</v>
      </c>
      <c r="D11" s="7">
        <v>2</v>
      </c>
      <c r="E11" s="2">
        <v>9037.33</v>
      </c>
      <c r="F11" s="2">
        <v>18074.66</v>
      </c>
    </row>
    <row r="12" spans="1:6" x14ac:dyDescent="0.25">
      <c r="A12" t="s">
        <v>4049</v>
      </c>
      <c r="B12" t="s">
        <v>4073</v>
      </c>
      <c r="C12" t="s">
        <v>4051</v>
      </c>
      <c r="D12" s="7">
        <v>2</v>
      </c>
      <c r="E12" s="2">
        <v>15517.89</v>
      </c>
      <c r="F12" s="2">
        <v>31035.78</v>
      </c>
    </row>
    <row r="13" spans="1:6" x14ac:dyDescent="0.25">
      <c r="A13" t="s">
        <v>4049</v>
      </c>
      <c r="B13" t="s">
        <v>5674</v>
      </c>
      <c r="C13" t="s">
        <v>287</v>
      </c>
      <c r="D13" s="7">
        <v>0.25</v>
      </c>
      <c r="E13" s="2">
        <v>101823</v>
      </c>
      <c r="F13" s="2">
        <v>25455.75</v>
      </c>
    </row>
    <row r="14" spans="1:6" x14ac:dyDescent="0.25">
      <c r="A14" t="s">
        <v>4052</v>
      </c>
      <c r="B14" t="s">
        <v>4105</v>
      </c>
      <c r="C14" t="s">
        <v>4106</v>
      </c>
      <c r="D14" s="7">
        <v>0.1</v>
      </c>
      <c r="E14" s="2">
        <v>25125</v>
      </c>
      <c r="F14" s="2">
        <v>2512.5</v>
      </c>
    </row>
    <row r="15" spans="1:6" x14ac:dyDescent="0.25">
      <c r="A15" t="s">
        <v>4052</v>
      </c>
      <c r="B15" t="s">
        <v>4053</v>
      </c>
      <c r="C15" t="s">
        <v>4054</v>
      </c>
      <c r="D15" s="7">
        <v>0.03</v>
      </c>
      <c r="E15" s="2">
        <v>74566.19</v>
      </c>
      <c r="F15" s="2">
        <v>22.37</v>
      </c>
    </row>
    <row r="16" spans="1:6" x14ac:dyDescent="0.25">
      <c r="A16" t="s">
        <v>4055</v>
      </c>
      <c r="D16" s="7"/>
      <c r="E16" s="2"/>
      <c r="F16" s="2">
        <f>SUBTOTAL(109,A_1_15_01[VALOR PARCIAL])</f>
      </c>
    </row>
    <row r="18" ht="30" customHeight="1" spans="1:6" x14ac:dyDescent="0.25">
      <c r="A18" s="5" t="s">
        <v>5675</v>
      </c>
      <c r="B18" s="5"/>
      <c r="C18" s="5"/>
      <c r="D18" s="5"/>
      <c r="E18" s="5"/>
      <c r="F18" s="5"/>
    </row>
    <row r="19" ht="42" customHeight="1" spans="1:6" x14ac:dyDescent="0.25">
      <c r="A19" s="6" t="s">
        <v>5676</v>
      </c>
      <c r="B19" s="6"/>
      <c r="C19" s="6"/>
      <c r="D19" s="6"/>
      <c r="E19" s="6"/>
      <c r="F19" s="6"/>
    </row>
    <row r="20" spans="1:6" x14ac:dyDescent="0.25">
      <c r="A20" t="s">
        <v>4044</v>
      </c>
      <c r="B20" t="s">
        <v>4045</v>
      </c>
      <c r="C20" t="s">
        <v>5</v>
      </c>
      <c r="D20" t="s">
        <v>4046</v>
      </c>
      <c r="E20" t="s">
        <v>4047</v>
      </c>
      <c r="F20" t="s">
        <v>4048</v>
      </c>
    </row>
    <row r="21" spans="1:6" x14ac:dyDescent="0.25">
      <c r="A21" t="s">
        <v>4062</v>
      </c>
      <c r="B21" t="s">
        <v>5671</v>
      </c>
      <c r="C21" t="s">
        <v>231</v>
      </c>
      <c r="D21" s="7">
        <v>2</v>
      </c>
      <c r="E21" s="2">
        <v>2615</v>
      </c>
      <c r="F21" s="2">
        <v>5230</v>
      </c>
    </row>
    <row r="22" spans="1:6" x14ac:dyDescent="0.25">
      <c r="A22" t="s">
        <v>4062</v>
      </c>
      <c r="B22" t="s">
        <v>5672</v>
      </c>
      <c r="C22" t="s">
        <v>231</v>
      </c>
      <c r="D22" s="7">
        <v>1.68</v>
      </c>
      <c r="E22" s="2">
        <v>2562</v>
      </c>
      <c r="F22" s="2">
        <v>4304.16</v>
      </c>
    </row>
    <row r="23" spans="1:6" x14ac:dyDescent="0.25">
      <c r="A23" t="s">
        <v>4062</v>
      </c>
      <c r="B23" t="s">
        <v>5677</v>
      </c>
      <c r="C23" t="s">
        <v>231</v>
      </c>
      <c r="D23" s="7">
        <v>1.56</v>
      </c>
      <c r="E23" s="2">
        <v>2507</v>
      </c>
      <c r="F23" s="2">
        <v>3910.92</v>
      </c>
    </row>
    <row r="24" spans="1:6" x14ac:dyDescent="0.25">
      <c r="A24" t="s">
        <v>4062</v>
      </c>
      <c r="B24" t="s">
        <v>5673</v>
      </c>
      <c r="C24" t="s">
        <v>4377</v>
      </c>
      <c r="D24" s="7">
        <v>0.02</v>
      </c>
      <c r="E24" s="2">
        <v>38633</v>
      </c>
      <c r="F24" s="2">
        <v>772.66</v>
      </c>
    </row>
    <row r="25" spans="1:6" x14ac:dyDescent="0.25">
      <c r="A25" t="s">
        <v>4062</v>
      </c>
      <c r="B25" t="s">
        <v>5013</v>
      </c>
      <c r="C25" t="s">
        <v>231</v>
      </c>
      <c r="D25" s="7">
        <v>0.16</v>
      </c>
      <c r="E25" s="2">
        <v>11906</v>
      </c>
      <c r="F25" s="2">
        <v>1904.96</v>
      </c>
    </row>
    <row r="26" spans="1:6" x14ac:dyDescent="0.25">
      <c r="A26" t="s">
        <v>4049</v>
      </c>
      <c r="B26" t="s">
        <v>4050</v>
      </c>
      <c r="C26" t="s">
        <v>4051</v>
      </c>
      <c r="D26" s="7">
        <v>2</v>
      </c>
      <c r="E26" s="2">
        <v>9037.33</v>
      </c>
      <c r="F26" s="2">
        <v>18074.66</v>
      </c>
    </row>
    <row r="27" spans="1:6" x14ac:dyDescent="0.25">
      <c r="A27" t="s">
        <v>4049</v>
      </c>
      <c r="B27" t="s">
        <v>4073</v>
      </c>
      <c r="C27" t="s">
        <v>4051</v>
      </c>
      <c r="D27" s="7">
        <v>2</v>
      </c>
      <c r="E27" s="2">
        <v>15517.89</v>
      </c>
      <c r="F27" s="2">
        <v>31035.78</v>
      </c>
    </row>
    <row r="28" spans="1:6" x14ac:dyDescent="0.25">
      <c r="A28" t="s">
        <v>4049</v>
      </c>
      <c r="B28" t="s">
        <v>5674</v>
      </c>
      <c r="C28" t="s">
        <v>287</v>
      </c>
      <c r="D28" s="7">
        <v>0.25</v>
      </c>
      <c r="E28" s="2">
        <v>101823</v>
      </c>
      <c r="F28" s="2">
        <v>25455.75</v>
      </c>
    </row>
    <row r="29" spans="1:6" x14ac:dyDescent="0.25">
      <c r="A29" t="s">
        <v>4052</v>
      </c>
      <c r="B29" t="s">
        <v>4105</v>
      </c>
      <c r="C29" t="s">
        <v>4106</v>
      </c>
      <c r="D29" s="7">
        <v>0.1</v>
      </c>
      <c r="E29" s="2">
        <v>25125</v>
      </c>
      <c r="F29" s="2">
        <v>2512.5</v>
      </c>
    </row>
    <row r="30" spans="1:6" x14ac:dyDescent="0.25">
      <c r="A30" t="s">
        <v>4052</v>
      </c>
      <c r="B30" t="s">
        <v>4053</v>
      </c>
      <c r="C30" t="s">
        <v>4054</v>
      </c>
      <c r="D30" s="7">
        <v>3</v>
      </c>
      <c r="E30" s="2">
        <v>74566.19</v>
      </c>
      <c r="F30" s="2">
        <v>2236.99</v>
      </c>
    </row>
    <row r="31" spans="1:6" x14ac:dyDescent="0.25">
      <c r="A31" t="s">
        <v>4055</v>
      </c>
      <c r="D31" s="7"/>
      <c r="E31" s="2"/>
      <c r="F31" s="2">
        <f>SUBTOTAL(109,A_1_15_02[VALOR PARCIAL])</f>
      </c>
    </row>
    <row r="33" ht="30" customHeight="1" spans="1:6" x14ac:dyDescent="0.25">
      <c r="A33" s="5" t="s">
        <v>5678</v>
      </c>
      <c r="B33" s="5"/>
      <c r="C33" s="5"/>
      <c r="D33" s="5"/>
      <c r="E33" s="5"/>
      <c r="F33" s="5"/>
    </row>
    <row r="34" ht="42" customHeight="1" spans="1:6" x14ac:dyDescent="0.25">
      <c r="A34" s="6" t="s">
        <v>5679</v>
      </c>
      <c r="B34" s="6"/>
      <c r="C34" s="6"/>
      <c r="D34" s="6"/>
      <c r="E34" s="6"/>
      <c r="F34" s="6"/>
    </row>
    <row r="35" spans="1:6" x14ac:dyDescent="0.25">
      <c r="A35" t="s">
        <v>4044</v>
      </c>
      <c r="B35" t="s">
        <v>4045</v>
      </c>
      <c r="C35" t="s">
        <v>5</v>
      </c>
      <c r="D35" t="s">
        <v>4046</v>
      </c>
      <c r="E35" t="s">
        <v>4047</v>
      </c>
      <c r="F35" t="s">
        <v>4048</v>
      </c>
    </row>
    <row r="36" spans="1:6" x14ac:dyDescent="0.25">
      <c r="A36" t="s">
        <v>4062</v>
      </c>
      <c r="B36" t="s">
        <v>5680</v>
      </c>
      <c r="C36" t="s">
        <v>21</v>
      </c>
      <c r="D36" s="7">
        <v>1</v>
      </c>
      <c r="E36" s="2">
        <v>335000</v>
      </c>
      <c r="F36" s="2">
        <v>335000</v>
      </c>
    </row>
    <row r="37" spans="1:6" x14ac:dyDescent="0.25">
      <c r="A37" t="s">
        <v>4049</v>
      </c>
      <c r="B37" t="s">
        <v>4241</v>
      </c>
      <c r="C37" t="s">
        <v>4051</v>
      </c>
      <c r="D37" s="7">
        <v>1</v>
      </c>
      <c r="E37" s="2">
        <v>9941.22</v>
      </c>
      <c r="F37" s="2">
        <v>9941.22</v>
      </c>
    </row>
    <row r="38" spans="1:6" x14ac:dyDescent="0.25">
      <c r="A38" t="s">
        <v>4049</v>
      </c>
      <c r="B38" t="s">
        <v>4242</v>
      </c>
      <c r="C38" t="s">
        <v>4051</v>
      </c>
      <c r="D38" s="7">
        <v>1</v>
      </c>
      <c r="E38" s="2">
        <v>17069.53</v>
      </c>
      <c r="F38" s="2">
        <v>17069.53</v>
      </c>
    </row>
    <row r="39" spans="1:6" x14ac:dyDescent="0.25">
      <c r="A39" t="s">
        <v>4052</v>
      </c>
      <c r="B39" t="s">
        <v>4053</v>
      </c>
      <c r="C39" t="s">
        <v>4054</v>
      </c>
      <c r="D39" s="7">
        <v>5</v>
      </c>
      <c r="E39" s="2">
        <v>27010.75</v>
      </c>
      <c r="F39" s="2">
        <v>1350.54</v>
      </c>
    </row>
    <row r="40" spans="1:6" x14ac:dyDescent="0.25">
      <c r="A40" t="s">
        <v>4055</v>
      </c>
      <c r="D40" s="7"/>
      <c r="E40" s="2"/>
      <c r="F40" s="2">
        <f>SUBTOTAL(109,A_1_15_03[VALOR PARCIAL])</f>
      </c>
    </row>
    <row r="42" ht="30" customHeight="1" spans="1:6" x14ac:dyDescent="0.25">
      <c r="A42" s="5" t="s">
        <v>5681</v>
      </c>
      <c r="B42" s="5"/>
      <c r="C42" s="5"/>
      <c r="D42" s="5"/>
      <c r="E42" s="5"/>
      <c r="F42" s="5"/>
    </row>
    <row r="43" ht="42" customHeight="1" spans="1:6" x14ac:dyDescent="0.25">
      <c r="A43" s="6" t="s">
        <v>5682</v>
      </c>
      <c r="B43" s="6"/>
      <c r="C43" s="6"/>
      <c r="D43" s="6"/>
      <c r="E43" s="6"/>
      <c r="F43" s="6"/>
    </row>
    <row r="44" spans="1:6" x14ac:dyDescent="0.25">
      <c r="A44" t="s">
        <v>4044</v>
      </c>
      <c r="B44" t="s">
        <v>4045</v>
      </c>
      <c r="C44" t="s">
        <v>5</v>
      </c>
      <c r="D44" t="s">
        <v>4046</v>
      </c>
      <c r="E44" t="s">
        <v>4047</v>
      </c>
      <c r="F44" t="s">
        <v>4048</v>
      </c>
    </row>
    <row r="45" spans="1:6" x14ac:dyDescent="0.25">
      <c r="A45" t="s">
        <v>4062</v>
      </c>
      <c r="B45" t="s">
        <v>5683</v>
      </c>
      <c r="C45" t="s">
        <v>21</v>
      </c>
      <c r="D45" s="7">
        <v>1</v>
      </c>
      <c r="E45" s="2">
        <v>179618</v>
      </c>
      <c r="F45" s="2">
        <v>179618</v>
      </c>
    </row>
    <row r="46" spans="1:6" x14ac:dyDescent="0.25">
      <c r="A46" t="s">
        <v>4049</v>
      </c>
      <c r="B46" t="s">
        <v>4241</v>
      </c>
      <c r="C46" t="s">
        <v>4051</v>
      </c>
      <c r="D46" s="7">
        <v>1</v>
      </c>
      <c r="E46" s="2">
        <v>9941.22</v>
      </c>
      <c r="F46" s="2">
        <v>9941.22</v>
      </c>
    </row>
    <row r="47" spans="1:6" x14ac:dyDescent="0.25">
      <c r="A47" t="s">
        <v>4049</v>
      </c>
      <c r="B47" t="s">
        <v>4242</v>
      </c>
      <c r="C47" t="s">
        <v>4051</v>
      </c>
      <c r="D47" s="7">
        <v>1</v>
      </c>
      <c r="E47" s="2">
        <v>17069.53</v>
      </c>
      <c r="F47" s="2">
        <v>17069.53</v>
      </c>
    </row>
    <row r="48" spans="1:6" x14ac:dyDescent="0.25">
      <c r="A48" t="s">
        <v>4052</v>
      </c>
      <c r="B48" t="s">
        <v>4053</v>
      </c>
      <c r="C48" t="s">
        <v>4054</v>
      </c>
      <c r="D48" s="7">
        <v>5</v>
      </c>
      <c r="E48" s="2">
        <v>27010.75</v>
      </c>
      <c r="F48" s="2">
        <v>1350.54</v>
      </c>
    </row>
    <row r="49" spans="1:6" x14ac:dyDescent="0.25">
      <c r="A49" t="s">
        <v>4055</v>
      </c>
      <c r="D49" s="7"/>
      <c r="E49" s="2"/>
      <c r="F49" s="2">
        <f>SUBTOTAL(109,A_1_15_04[VALOR PARCIAL])</f>
      </c>
    </row>
    <row r="51" ht="30" customHeight="1" spans="1:6" x14ac:dyDescent="0.25">
      <c r="A51" s="5" t="s">
        <v>5684</v>
      </c>
      <c r="B51" s="5"/>
      <c r="C51" s="5"/>
      <c r="D51" s="5"/>
      <c r="E51" s="5"/>
      <c r="F51" s="5"/>
    </row>
    <row r="52" ht="42" customHeight="1" spans="1:6" x14ac:dyDescent="0.25">
      <c r="A52" s="6" t="s">
        <v>5685</v>
      </c>
      <c r="B52" s="6"/>
      <c r="C52" s="6"/>
      <c r="D52" s="6"/>
      <c r="E52" s="6"/>
      <c r="F52" s="6"/>
    </row>
    <row r="53" spans="1:6" x14ac:dyDescent="0.25">
      <c r="A53" t="s">
        <v>4044</v>
      </c>
      <c r="B53" t="s">
        <v>4045</v>
      </c>
      <c r="C53" t="s">
        <v>5</v>
      </c>
      <c r="D53" t="s">
        <v>4046</v>
      </c>
      <c r="E53" t="s">
        <v>4047</v>
      </c>
      <c r="F53" t="s">
        <v>4048</v>
      </c>
    </row>
    <row r="54" spans="1:6" x14ac:dyDescent="0.25">
      <c r="A54" t="s">
        <v>4062</v>
      </c>
      <c r="B54" t="s">
        <v>5686</v>
      </c>
      <c r="C54" t="s">
        <v>42</v>
      </c>
      <c r="D54" s="7">
        <v>2</v>
      </c>
      <c r="E54" s="2">
        <v>3517.99</v>
      </c>
      <c r="F54" s="2">
        <v>7035.98</v>
      </c>
    </row>
    <row r="55" spans="1:6" x14ac:dyDescent="0.25">
      <c r="A55" t="s">
        <v>4062</v>
      </c>
      <c r="B55" t="s">
        <v>4710</v>
      </c>
      <c r="C55" t="s">
        <v>42</v>
      </c>
      <c r="D55" s="7">
        <v>3.75</v>
      </c>
      <c r="E55" s="2">
        <v>15139</v>
      </c>
      <c r="F55" s="2">
        <v>56771.25</v>
      </c>
    </row>
    <row r="56" spans="1:6" x14ac:dyDescent="0.25">
      <c r="A56" t="s">
        <v>4062</v>
      </c>
      <c r="B56" t="s">
        <v>4711</v>
      </c>
      <c r="C56" t="s">
        <v>42</v>
      </c>
      <c r="D56" s="7">
        <v>1.75</v>
      </c>
      <c r="E56" s="2">
        <v>25286</v>
      </c>
      <c r="F56" s="2">
        <v>44250.5</v>
      </c>
    </row>
    <row r="57" spans="1:6" x14ac:dyDescent="0.25">
      <c r="A57" t="s">
        <v>4062</v>
      </c>
      <c r="B57" t="s">
        <v>5472</v>
      </c>
      <c r="C57" t="s">
        <v>231</v>
      </c>
      <c r="D57" s="7">
        <v>3.75</v>
      </c>
      <c r="E57" s="2">
        <v>3895</v>
      </c>
      <c r="F57" s="2">
        <v>14606.25</v>
      </c>
    </row>
    <row r="58" spans="1:6" x14ac:dyDescent="0.25">
      <c r="A58" t="s">
        <v>4062</v>
      </c>
      <c r="B58" t="s">
        <v>4679</v>
      </c>
      <c r="C58" t="s">
        <v>63</v>
      </c>
      <c r="D58" s="7">
        <v>0.25</v>
      </c>
      <c r="E58" s="2">
        <v>41500</v>
      </c>
      <c r="F58" s="2">
        <v>10375</v>
      </c>
    </row>
    <row r="59" spans="1:6" x14ac:dyDescent="0.25">
      <c r="A59" t="s">
        <v>4062</v>
      </c>
      <c r="B59" t="s">
        <v>5673</v>
      </c>
      <c r="C59" t="s">
        <v>4377</v>
      </c>
      <c r="D59" s="7">
        <v>0.04</v>
      </c>
      <c r="E59" s="2">
        <v>38633</v>
      </c>
      <c r="F59" s="2">
        <v>1545.32</v>
      </c>
    </row>
    <row r="60" spans="1:6" x14ac:dyDescent="0.25">
      <c r="A60" t="s">
        <v>4062</v>
      </c>
      <c r="B60" t="s">
        <v>5013</v>
      </c>
      <c r="C60" t="s">
        <v>231</v>
      </c>
      <c r="D60" s="7">
        <v>0.7</v>
      </c>
      <c r="E60" s="2">
        <v>11906</v>
      </c>
      <c r="F60" s="2">
        <v>8334.2</v>
      </c>
    </row>
    <row r="61" spans="1:6" x14ac:dyDescent="0.25">
      <c r="A61" t="s">
        <v>4049</v>
      </c>
      <c r="B61" t="s">
        <v>5674</v>
      </c>
      <c r="C61" t="s">
        <v>287</v>
      </c>
      <c r="D61" s="7">
        <v>0.55</v>
      </c>
      <c r="E61" s="2">
        <v>101823</v>
      </c>
      <c r="F61" s="2">
        <v>56002.65</v>
      </c>
    </row>
    <row r="62" spans="1:6" x14ac:dyDescent="0.25">
      <c r="A62" t="s">
        <v>4052</v>
      </c>
      <c r="B62" t="s">
        <v>4053</v>
      </c>
      <c r="C62" t="s">
        <v>4054</v>
      </c>
      <c r="D62" s="7">
        <v>2</v>
      </c>
      <c r="E62" s="2">
        <v>56002.65</v>
      </c>
      <c r="F62" s="2">
        <v>1120.05</v>
      </c>
    </row>
    <row r="63" spans="1:6" x14ac:dyDescent="0.25">
      <c r="A63" t="s">
        <v>4055</v>
      </c>
      <c r="D63" s="7"/>
      <c r="E63" s="2"/>
      <c r="F63" s="2">
        <f>SUBTOTAL(109,A_1_15_05[VALOR PARCIAL])</f>
      </c>
    </row>
    <row r="65" ht="30" customHeight="1" spans="1:6" x14ac:dyDescent="0.25">
      <c r="A65" s="5" t="s">
        <v>5687</v>
      </c>
      <c r="B65" s="5"/>
      <c r="C65" s="5"/>
      <c r="D65" s="5"/>
      <c r="E65" s="5"/>
      <c r="F65" s="5"/>
    </row>
    <row r="66" ht="42" customHeight="1" spans="1:6" x14ac:dyDescent="0.25">
      <c r="A66" s="6" t="s">
        <v>5688</v>
      </c>
      <c r="B66" s="6"/>
      <c r="C66" s="6"/>
      <c r="D66" s="6"/>
      <c r="E66" s="6"/>
      <c r="F66" s="6"/>
    </row>
    <row r="67" spans="1:6" x14ac:dyDescent="0.25">
      <c r="A67" t="s">
        <v>4044</v>
      </c>
      <c r="B67" t="s">
        <v>4045</v>
      </c>
      <c r="C67" t="s">
        <v>5</v>
      </c>
      <c r="D67" t="s">
        <v>4046</v>
      </c>
      <c r="E67" t="s">
        <v>4047</v>
      </c>
      <c r="F67" t="s">
        <v>4048</v>
      </c>
    </row>
    <row r="68" spans="1:6" x14ac:dyDescent="0.25">
      <c r="A68" t="s">
        <v>4062</v>
      </c>
      <c r="B68" t="s">
        <v>5689</v>
      </c>
      <c r="C68" t="s">
        <v>21</v>
      </c>
      <c r="D68" s="7">
        <v>1</v>
      </c>
      <c r="E68" s="2">
        <v>278803.27</v>
      </c>
      <c r="F68" s="2">
        <v>278803.27</v>
      </c>
    </row>
    <row r="69" spans="1:6" x14ac:dyDescent="0.25">
      <c r="A69" t="s">
        <v>4049</v>
      </c>
      <c r="B69" t="s">
        <v>4050</v>
      </c>
      <c r="C69" t="s">
        <v>4051</v>
      </c>
      <c r="D69" s="7">
        <v>1</v>
      </c>
      <c r="E69" s="2">
        <v>9037.33</v>
      </c>
      <c r="F69" s="2">
        <v>9037.33</v>
      </c>
    </row>
    <row r="70" spans="1:6" x14ac:dyDescent="0.25">
      <c r="A70" t="s">
        <v>4049</v>
      </c>
      <c r="B70" t="s">
        <v>4073</v>
      </c>
      <c r="C70" t="s">
        <v>4051</v>
      </c>
      <c r="D70" s="7">
        <v>1</v>
      </c>
      <c r="E70" s="2">
        <v>15517.89</v>
      </c>
      <c r="F70" s="2">
        <v>15517.89</v>
      </c>
    </row>
    <row r="71" spans="1:6" x14ac:dyDescent="0.25">
      <c r="A71" t="s">
        <v>4052</v>
      </c>
      <c r="B71" t="s">
        <v>4053</v>
      </c>
      <c r="C71" t="s">
        <v>4054</v>
      </c>
      <c r="D71" s="7">
        <v>0.25</v>
      </c>
      <c r="E71" s="2">
        <v>24555.22</v>
      </c>
      <c r="F71" s="2">
        <v>61.39</v>
      </c>
    </row>
    <row r="72" spans="1:6" x14ac:dyDescent="0.25">
      <c r="A72" t="s">
        <v>4055</v>
      </c>
      <c r="D72" s="7"/>
      <c r="E72" s="2"/>
      <c r="F72" s="2">
        <f>SUBTOTAL(109,A_1_15_06[VALOR PARCIAL])</f>
      </c>
    </row>
    <row r="74" ht="30" customHeight="1" spans="1:6" x14ac:dyDescent="0.25">
      <c r="A74" s="5" t="s">
        <v>5690</v>
      </c>
      <c r="B74" s="5"/>
      <c r="C74" s="5"/>
      <c r="D74" s="5"/>
      <c r="E74" s="5"/>
      <c r="F74" s="5"/>
    </row>
    <row r="75" ht="42" customHeight="1" spans="1:6" x14ac:dyDescent="0.25">
      <c r="A75" s="6" t="s">
        <v>5691</v>
      </c>
      <c r="B75" s="6"/>
      <c r="C75" s="6"/>
      <c r="D75" s="6"/>
      <c r="E75" s="6"/>
      <c r="F75" s="6"/>
    </row>
    <row r="76" spans="1:6" x14ac:dyDescent="0.25">
      <c r="A76" t="s">
        <v>4044</v>
      </c>
      <c r="B76" t="s">
        <v>4045</v>
      </c>
      <c r="C76" t="s">
        <v>5</v>
      </c>
      <c r="D76" t="s">
        <v>4046</v>
      </c>
      <c r="E76" t="s">
        <v>4047</v>
      </c>
      <c r="F76" t="s">
        <v>4048</v>
      </c>
    </row>
    <row r="77" spans="1:6" x14ac:dyDescent="0.25">
      <c r="A77" t="s">
        <v>4062</v>
      </c>
      <c r="B77" t="s">
        <v>5692</v>
      </c>
      <c r="C77" t="s">
        <v>63</v>
      </c>
      <c r="D77" s="7">
        <v>3</v>
      </c>
      <c r="E77" s="2">
        <v>3000</v>
      </c>
      <c r="F77" s="2">
        <v>9000</v>
      </c>
    </row>
    <row r="78" spans="1:6" x14ac:dyDescent="0.25">
      <c r="A78" t="s">
        <v>4062</v>
      </c>
      <c r="B78" t="s">
        <v>5693</v>
      </c>
      <c r="C78" t="s">
        <v>63</v>
      </c>
      <c r="D78" s="7">
        <v>0.45</v>
      </c>
      <c r="E78" s="2">
        <v>178000</v>
      </c>
      <c r="F78" s="2">
        <v>80100</v>
      </c>
    </row>
    <row r="79" spans="1:6" x14ac:dyDescent="0.25">
      <c r="A79" t="s">
        <v>4062</v>
      </c>
      <c r="B79" t="s">
        <v>5673</v>
      </c>
      <c r="C79" t="s">
        <v>4377</v>
      </c>
      <c r="D79" s="7">
        <v>0.04</v>
      </c>
      <c r="E79" s="2">
        <v>38633</v>
      </c>
      <c r="F79" s="2">
        <v>1545.32</v>
      </c>
    </row>
    <row r="80" spans="1:6" x14ac:dyDescent="0.25">
      <c r="A80" t="s">
        <v>4062</v>
      </c>
      <c r="B80" t="s">
        <v>5013</v>
      </c>
      <c r="C80" t="s">
        <v>231</v>
      </c>
      <c r="D80" s="7">
        <v>0.08</v>
      </c>
      <c r="E80" s="2">
        <v>11906</v>
      </c>
      <c r="F80" s="2">
        <v>952.48</v>
      </c>
    </row>
    <row r="81" spans="1:6" x14ac:dyDescent="0.25">
      <c r="A81" t="s">
        <v>4052</v>
      </c>
      <c r="B81" t="s">
        <v>5674</v>
      </c>
      <c r="C81" t="s">
        <v>287</v>
      </c>
      <c r="D81" s="7">
        <v>0.5</v>
      </c>
      <c r="E81" s="2">
        <v>101823</v>
      </c>
      <c r="F81" s="2">
        <v>50911.5</v>
      </c>
    </row>
    <row r="82" spans="1:6" x14ac:dyDescent="0.25">
      <c r="A82" t="s">
        <v>4055</v>
      </c>
      <c r="D82" s="7"/>
      <c r="E82" s="2"/>
      <c r="F82" s="2">
        <f>SUBTOTAL(109,A_1_15_07[VALOR PARCIAL])</f>
      </c>
    </row>
    <row r="84" ht="30" customHeight="1" spans="1:6" x14ac:dyDescent="0.25">
      <c r="A84" s="5" t="s">
        <v>5694</v>
      </c>
      <c r="B84" s="5"/>
      <c r="C84" s="5"/>
      <c r="D84" s="5"/>
      <c r="E84" s="5"/>
      <c r="F84" s="5"/>
    </row>
    <row r="85" ht="42" customHeight="1" spans="1:6" x14ac:dyDescent="0.25">
      <c r="A85" s="6" t="s">
        <v>5695</v>
      </c>
      <c r="B85" s="6"/>
      <c r="C85" s="6"/>
      <c r="D85" s="6"/>
      <c r="E85" s="6"/>
      <c r="F85" s="6"/>
    </row>
    <row r="86" spans="1:6" x14ac:dyDescent="0.25">
      <c r="A86" t="s">
        <v>4044</v>
      </c>
      <c r="B86" t="s">
        <v>4045</v>
      </c>
      <c r="C86" t="s">
        <v>5</v>
      </c>
      <c r="D86" t="s">
        <v>4046</v>
      </c>
      <c r="E86" t="s">
        <v>4047</v>
      </c>
      <c r="F86" t="s">
        <v>4048</v>
      </c>
    </row>
    <row r="87" spans="1:6" x14ac:dyDescent="0.25">
      <c r="A87" t="s">
        <v>4062</v>
      </c>
      <c r="B87" t="s">
        <v>5693</v>
      </c>
      <c r="C87" t="s">
        <v>63</v>
      </c>
      <c r="D87" s="7">
        <v>0.62</v>
      </c>
      <c r="E87" s="2">
        <v>178000</v>
      </c>
      <c r="F87" s="2">
        <v>110360</v>
      </c>
    </row>
    <row r="88" spans="1:6" x14ac:dyDescent="0.25">
      <c r="A88" t="s">
        <v>4062</v>
      </c>
      <c r="B88" t="s">
        <v>5673</v>
      </c>
      <c r="C88" t="s">
        <v>4377</v>
      </c>
      <c r="D88" s="7">
        <v>0.05</v>
      </c>
      <c r="E88" s="2">
        <v>38633</v>
      </c>
      <c r="F88" s="2">
        <v>1931.65</v>
      </c>
    </row>
    <row r="89" spans="1:6" x14ac:dyDescent="0.25">
      <c r="A89" t="s">
        <v>4062</v>
      </c>
      <c r="B89" t="s">
        <v>5013</v>
      </c>
      <c r="C89" t="s">
        <v>231</v>
      </c>
      <c r="D89" s="7">
        <v>0.67</v>
      </c>
      <c r="E89" s="2">
        <v>11906</v>
      </c>
      <c r="F89" s="2">
        <v>7977.02</v>
      </c>
    </row>
    <row r="90" spans="1:6" x14ac:dyDescent="0.25">
      <c r="A90" t="s">
        <v>4049</v>
      </c>
      <c r="B90" t="s">
        <v>5674</v>
      </c>
      <c r="C90" t="s">
        <v>287</v>
      </c>
      <c r="D90" s="7">
        <v>1</v>
      </c>
      <c r="E90" s="2">
        <v>101823</v>
      </c>
      <c r="F90" s="2">
        <v>101823</v>
      </c>
    </row>
    <row r="91" spans="1:6" x14ac:dyDescent="0.25">
      <c r="A91" t="s">
        <v>4052</v>
      </c>
      <c r="B91" t="s">
        <v>4053</v>
      </c>
      <c r="C91" t="s">
        <v>4054</v>
      </c>
      <c r="D91" s="7">
        <v>2.5</v>
      </c>
      <c r="E91" s="2">
        <v>101823</v>
      </c>
      <c r="F91" s="2">
        <v>2545.57</v>
      </c>
    </row>
    <row r="92" spans="1:6" x14ac:dyDescent="0.25">
      <c r="A92" t="s">
        <v>4055</v>
      </c>
      <c r="D92" s="7"/>
      <c r="E92" s="2"/>
      <c r="F92" s="2">
        <f>SUBTOTAL(109,A_1_15_08[VALOR PARCIAL])</f>
      </c>
    </row>
    <row r="94" ht="30" customHeight="1" spans="1:6" x14ac:dyDescent="0.25">
      <c r="A94" s="5" t="s">
        <v>5696</v>
      </c>
      <c r="B94" s="5"/>
      <c r="C94" s="5"/>
      <c r="D94" s="5"/>
      <c r="E94" s="5"/>
      <c r="F94" s="5"/>
    </row>
    <row r="95" ht="42" customHeight="1" spans="1:6" x14ac:dyDescent="0.25">
      <c r="A95" s="6" t="s">
        <v>5697</v>
      </c>
      <c r="B95" s="6"/>
      <c r="C95" s="6"/>
      <c r="D95" s="6"/>
      <c r="E95" s="6"/>
      <c r="F95" s="6"/>
    </row>
    <row r="96" spans="1:6" x14ac:dyDescent="0.25">
      <c r="A96" t="s">
        <v>4044</v>
      </c>
      <c r="B96" t="s">
        <v>4045</v>
      </c>
      <c r="C96" t="s">
        <v>5</v>
      </c>
      <c r="D96" t="s">
        <v>4046</v>
      </c>
      <c r="E96" t="s">
        <v>4047</v>
      </c>
      <c r="F96" t="s">
        <v>4048</v>
      </c>
    </row>
    <row r="97" spans="1:6" x14ac:dyDescent="0.25">
      <c r="A97" t="s">
        <v>4062</v>
      </c>
      <c r="B97" t="s">
        <v>5698</v>
      </c>
      <c r="C97" t="s">
        <v>42</v>
      </c>
      <c r="D97" s="7">
        <v>1</v>
      </c>
      <c r="E97" s="2">
        <v>2267</v>
      </c>
      <c r="F97" s="2">
        <v>2267</v>
      </c>
    </row>
    <row r="98" spans="1:6" x14ac:dyDescent="0.25">
      <c r="A98" t="s">
        <v>4062</v>
      </c>
      <c r="B98" t="s">
        <v>5699</v>
      </c>
      <c r="C98" t="s">
        <v>21</v>
      </c>
      <c r="D98" s="7">
        <v>0.5</v>
      </c>
      <c r="E98" s="2">
        <v>38108.33</v>
      </c>
      <c r="F98" s="2">
        <v>19054.17</v>
      </c>
    </row>
    <row r="99" spans="1:6" x14ac:dyDescent="0.25">
      <c r="A99" t="s">
        <v>4062</v>
      </c>
      <c r="B99" t="s">
        <v>5577</v>
      </c>
      <c r="C99" t="s">
        <v>63</v>
      </c>
      <c r="D99" s="7">
        <v>2</v>
      </c>
      <c r="E99" s="2">
        <v>2900</v>
      </c>
      <c r="F99" s="2">
        <v>5800</v>
      </c>
    </row>
    <row r="100" spans="1:6" x14ac:dyDescent="0.25">
      <c r="A100" t="s">
        <v>4062</v>
      </c>
      <c r="B100" t="s">
        <v>5693</v>
      </c>
      <c r="C100" t="s">
        <v>63</v>
      </c>
      <c r="D100" s="7">
        <v>0.4</v>
      </c>
      <c r="E100" s="2">
        <v>178000</v>
      </c>
      <c r="F100" s="2">
        <v>71200</v>
      </c>
    </row>
    <row r="101" spans="1:6" x14ac:dyDescent="0.25">
      <c r="A101" t="s">
        <v>4062</v>
      </c>
      <c r="B101" t="s">
        <v>5700</v>
      </c>
      <c r="C101" t="s">
        <v>63</v>
      </c>
      <c r="D101" s="7">
        <v>1</v>
      </c>
      <c r="E101" s="2">
        <v>2825</v>
      </c>
      <c r="F101" s="2">
        <v>2825</v>
      </c>
    </row>
    <row r="102" spans="1:6" x14ac:dyDescent="0.25">
      <c r="A102" t="s">
        <v>4062</v>
      </c>
      <c r="B102" t="s">
        <v>5673</v>
      </c>
      <c r="C102" t="s">
        <v>4377</v>
      </c>
      <c r="D102" s="7">
        <v>0.23</v>
      </c>
      <c r="E102" s="2">
        <v>38633</v>
      </c>
      <c r="F102" s="2">
        <v>8885.59</v>
      </c>
    </row>
    <row r="103" spans="1:6" x14ac:dyDescent="0.25">
      <c r="A103" t="s">
        <v>4062</v>
      </c>
      <c r="B103" t="s">
        <v>5013</v>
      </c>
      <c r="C103" t="s">
        <v>231</v>
      </c>
      <c r="D103" s="7">
        <v>0.75</v>
      </c>
      <c r="E103" s="2">
        <v>11906</v>
      </c>
      <c r="F103" s="2">
        <v>8929.5</v>
      </c>
    </row>
    <row r="104" spans="1:6" x14ac:dyDescent="0.25">
      <c r="A104" t="s">
        <v>4049</v>
      </c>
      <c r="B104" t="s">
        <v>4050</v>
      </c>
      <c r="C104" t="s">
        <v>4051</v>
      </c>
      <c r="D104" s="7">
        <v>2</v>
      </c>
      <c r="E104" s="2">
        <v>9037.33</v>
      </c>
      <c r="F104" s="2">
        <v>18074.66</v>
      </c>
    </row>
    <row r="105" spans="1:6" x14ac:dyDescent="0.25">
      <c r="A105" t="s">
        <v>4049</v>
      </c>
      <c r="B105" t="s">
        <v>4073</v>
      </c>
      <c r="C105" t="s">
        <v>4051</v>
      </c>
      <c r="D105" s="7">
        <v>1</v>
      </c>
      <c r="E105" s="2">
        <v>15517.89</v>
      </c>
      <c r="F105" s="2">
        <v>15517.89</v>
      </c>
    </row>
    <row r="106" spans="1:6" x14ac:dyDescent="0.25">
      <c r="A106" t="s">
        <v>4049</v>
      </c>
      <c r="B106" t="s">
        <v>5674</v>
      </c>
      <c r="C106" t="s">
        <v>287</v>
      </c>
      <c r="D106" s="7">
        <v>0.65</v>
      </c>
      <c r="E106" s="2">
        <v>101823</v>
      </c>
      <c r="F106" s="2">
        <v>66184.95</v>
      </c>
    </row>
    <row r="107" spans="1:6" x14ac:dyDescent="0.25">
      <c r="A107" t="s">
        <v>4052</v>
      </c>
      <c r="B107" t="s">
        <v>4053</v>
      </c>
      <c r="C107" t="s">
        <v>4054</v>
      </c>
      <c r="D107" s="7">
        <v>2.5</v>
      </c>
      <c r="E107" s="2">
        <v>99777.5</v>
      </c>
      <c r="F107" s="2">
        <v>2494.44</v>
      </c>
    </row>
    <row r="108" spans="1:6" x14ac:dyDescent="0.25">
      <c r="A108" t="s">
        <v>4055</v>
      </c>
      <c r="D108" s="7"/>
      <c r="E108" s="2"/>
      <c r="F108" s="2">
        <f>SUBTOTAL(109,A_1_15_09[VALOR PARCIAL])</f>
      </c>
    </row>
    <row r="110" ht="30" customHeight="1" spans="1:6" x14ac:dyDescent="0.25">
      <c r="A110" s="5" t="s">
        <v>5701</v>
      </c>
      <c r="B110" s="5"/>
      <c r="C110" s="5"/>
      <c r="D110" s="5"/>
      <c r="E110" s="5"/>
      <c r="F110" s="5"/>
    </row>
    <row r="111" ht="42" customHeight="1" spans="1:6" x14ac:dyDescent="0.25">
      <c r="A111" s="6" t="s">
        <v>5702</v>
      </c>
      <c r="B111" s="6"/>
      <c r="C111" s="6"/>
      <c r="D111" s="6"/>
      <c r="E111" s="6"/>
      <c r="F111" s="6"/>
    </row>
    <row r="112" spans="1:6" x14ac:dyDescent="0.25">
      <c r="A112" t="s">
        <v>4044</v>
      </c>
      <c r="B112" t="s">
        <v>4045</v>
      </c>
      <c r="C112" t="s">
        <v>5</v>
      </c>
      <c r="D112" t="s">
        <v>4046</v>
      </c>
      <c r="E112" t="s">
        <v>4047</v>
      </c>
      <c r="F112" t="s">
        <v>4048</v>
      </c>
    </row>
    <row r="113" spans="1:6" x14ac:dyDescent="0.25">
      <c r="A113" t="s">
        <v>4062</v>
      </c>
      <c r="B113" t="s">
        <v>5577</v>
      </c>
      <c r="C113" t="s">
        <v>63</v>
      </c>
      <c r="D113" s="7">
        <v>2</v>
      </c>
      <c r="E113" s="2">
        <v>2900</v>
      </c>
      <c r="F113" s="2">
        <v>5800</v>
      </c>
    </row>
    <row r="114" spans="1:6" x14ac:dyDescent="0.25">
      <c r="A114" t="s">
        <v>4062</v>
      </c>
      <c r="B114" t="s">
        <v>5693</v>
      </c>
      <c r="C114" t="s">
        <v>63</v>
      </c>
      <c r="D114" s="7">
        <v>1.67</v>
      </c>
      <c r="E114" s="2">
        <v>178000</v>
      </c>
      <c r="F114" s="2">
        <v>297260</v>
      </c>
    </row>
    <row r="115" spans="1:6" x14ac:dyDescent="0.25">
      <c r="A115" t="s">
        <v>4062</v>
      </c>
      <c r="B115" t="s">
        <v>5703</v>
      </c>
      <c r="C115" t="s">
        <v>5704</v>
      </c>
      <c r="D115" s="7">
        <v>0.11</v>
      </c>
      <c r="E115" s="2">
        <v>44800</v>
      </c>
      <c r="F115" s="2">
        <v>4928</v>
      </c>
    </row>
    <row r="116" spans="1:6" x14ac:dyDescent="0.25">
      <c r="A116" t="s">
        <v>4062</v>
      </c>
      <c r="B116" t="s">
        <v>5673</v>
      </c>
      <c r="C116" t="s">
        <v>4377</v>
      </c>
      <c r="D116" s="7">
        <v>0.23</v>
      </c>
      <c r="E116" s="2">
        <v>38633</v>
      </c>
      <c r="F116" s="2">
        <v>8885.59</v>
      </c>
    </row>
    <row r="117" spans="1:6" x14ac:dyDescent="0.25">
      <c r="A117" t="s">
        <v>4062</v>
      </c>
      <c r="B117" t="s">
        <v>5013</v>
      </c>
      <c r="C117" t="s">
        <v>231</v>
      </c>
      <c r="D117" s="7">
        <v>1.25</v>
      </c>
      <c r="E117" s="2">
        <v>11906</v>
      </c>
      <c r="F117" s="2">
        <v>14882.5</v>
      </c>
    </row>
    <row r="118" spans="1:6" x14ac:dyDescent="0.25">
      <c r="A118" t="s">
        <v>4049</v>
      </c>
      <c r="B118" t="s">
        <v>4241</v>
      </c>
      <c r="C118" t="s">
        <v>4051</v>
      </c>
      <c r="D118" s="7">
        <v>3</v>
      </c>
      <c r="E118" s="2">
        <v>9941.22</v>
      </c>
      <c r="F118" s="2">
        <v>29823.66</v>
      </c>
    </row>
    <row r="119" spans="1:6" x14ac:dyDescent="0.25">
      <c r="A119" t="s">
        <v>4049</v>
      </c>
      <c r="B119" t="s">
        <v>4183</v>
      </c>
      <c r="C119" t="s">
        <v>4051</v>
      </c>
      <c r="D119" s="7">
        <v>3</v>
      </c>
      <c r="E119" s="2">
        <v>18621.17</v>
      </c>
      <c r="F119" s="2">
        <v>55863.51</v>
      </c>
    </row>
    <row r="120" spans="1:6" x14ac:dyDescent="0.25">
      <c r="A120" t="s">
        <v>4052</v>
      </c>
      <c r="B120" t="s">
        <v>4053</v>
      </c>
      <c r="C120" t="s">
        <v>4054</v>
      </c>
      <c r="D120" s="7">
        <v>5</v>
      </c>
      <c r="E120" s="2">
        <v>85687.17</v>
      </c>
      <c r="F120" s="2">
        <v>4284.36</v>
      </c>
    </row>
    <row r="121" spans="1:6" x14ac:dyDescent="0.25">
      <c r="A121" t="s">
        <v>4055</v>
      </c>
      <c r="D121" s="7"/>
      <c r="E121" s="2"/>
      <c r="F121" s="2">
        <f>SUBTOTAL(109,A_1_15_10[VALOR PARCIAL])</f>
      </c>
    </row>
    <row r="123" ht="30" customHeight="1" spans="1:6" x14ac:dyDescent="0.25">
      <c r="A123" s="5" t="s">
        <v>5705</v>
      </c>
      <c r="B123" s="5"/>
      <c r="C123" s="5"/>
      <c r="D123" s="5"/>
      <c r="E123" s="5"/>
      <c r="F123" s="5"/>
    </row>
    <row r="124" ht="42" customHeight="1" spans="1:6" x14ac:dyDescent="0.25">
      <c r="A124" s="6" t="s">
        <v>5706</v>
      </c>
      <c r="B124" s="6"/>
      <c r="C124" s="6"/>
      <c r="D124" s="6"/>
      <c r="E124" s="6"/>
      <c r="F124" s="6"/>
    </row>
    <row r="125" spans="1:6" x14ac:dyDescent="0.25">
      <c r="A125" t="s">
        <v>4044</v>
      </c>
      <c r="B125" t="s">
        <v>4045</v>
      </c>
      <c r="C125" t="s">
        <v>5</v>
      </c>
      <c r="D125" t="s">
        <v>4046</v>
      </c>
      <c r="E125" t="s">
        <v>4047</v>
      </c>
      <c r="F125" t="s">
        <v>4048</v>
      </c>
    </row>
    <row r="126" spans="1:6" x14ac:dyDescent="0.25">
      <c r="A126" t="s">
        <v>4062</v>
      </c>
      <c r="B126" t="s">
        <v>5707</v>
      </c>
      <c r="C126" t="s">
        <v>63</v>
      </c>
      <c r="D126" s="7">
        <v>1.74</v>
      </c>
      <c r="E126" s="2">
        <v>11484</v>
      </c>
      <c r="F126" s="2">
        <v>19982.16</v>
      </c>
    </row>
    <row r="127" spans="1:6" x14ac:dyDescent="0.25">
      <c r="A127" t="s">
        <v>4062</v>
      </c>
      <c r="B127" t="s">
        <v>5673</v>
      </c>
      <c r="C127" t="s">
        <v>4377</v>
      </c>
      <c r="D127" s="7">
        <v>0.2</v>
      </c>
      <c r="E127" s="2">
        <v>38633</v>
      </c>
      <c r="F127" s="2">
        <v>7726.6</v>
      </c>
    </row>
    <row r="128" spans="1:6" x14ac:dyDescent="0.25">
      <c r="A128" t="s">
        <v>4062</v>
      </c>
      <c r="B128" t="s">
        <v>5013</v>
      </c>
      <c r="C128" t="s">
        <v>231</v>
      </c>
      <c r="D128" s="7">
        <v>0.6</v>
      </c>
      <c r="E128" s="2">
        <v>11906</v>
      </c>
      <c r="F128" s="2">
        <v>7143.6</v>
      </c>
    </row>
    <row r="129" spans="1:6" x14ac:dyDescent="0.25">
      <c r="A129" t="s">
        <v>4049</v>
      </c>
      <c r="B129" t="s">
        <v>4050</v>
      </c>
      <c r="C129" t="s">
        <v>4051</v>
      </c>
      <c r="D129" s="7">
        <v>1</v>
      </c>
      <c r="E129" s="2">
        <v>9037.33</v>
      </c>
      <c r="F129" s="2">
        <v>9037.33</v>
      </c>
    </row>
    <row r="130" spans="1:6" x14ac:dyDescent="0.25">
      <c r="A130" t="s">
        <v>4049</v>
      </c>
      <c r="B130" t="s">
        <v>4073</v>
      </c>
      <c r="C130" t="s">
        <v>4051</v>
      </c>
      <c r="D130" s="7">
        <v>1</v>
      </c>
      <c r="E130" s="2">
        <v>15517.89</v>
      </c>
      <c r="F130" s="2">
        <v>15517.89</v>
      </c>
    </row>
    <row r="131" spans="1:6" x14ac:dyDescent="0.25">
      <c r="A131" t="s">
        <v>4049</v>
      </c>
      <c r="B131" t="s">
        <v>5674</v>
      </c>
      <c r="C131" t="s">
        <v>287</v>
      </c>
      <c r="D131" s="7">
        <v>0.3</v>
      </c>
      <c r="E131" s="2">
        <v>101823</v>
      </c>
      <c r="F131" s="2">
        <v>30546.9</v>
      </c>
    </row>
    <row r="132" spans="1:6" x14ac:dyDescent="0.25">
      <c r="A132" t="s">
        <v>4052</v>
      </c>
      <c r="B132" t="s">
        <v>4053</v>
      </c>
      <c r="C132" t="s">
        <v>4054</v>
      </c>
      <c r="D132" s="7">
        <v>3.5</v>
      </c>
      <c r="E132" s="2">
        <v>55102.12</v>
      </c>
      <c r="F132" s="2">
        <v>1928.57</v>
      </c>
    </row>
    <row r="133" spans="1:6" x14ac:dyDescent="0.25">
      <c r="A133" t="s">
        <v>4055</v>
      </c>
      <c r="D133" s="7"/>
      <c r="E133" s="2"/>
      <c r="F133" s="2">
        <f>SUBTOTAL(109,A_1_15_11[VALOR PARCIAL])</f>
      </c>
    </row>
    <row r="135" ht="30" customHeight="1" spans="1:6" x14ac:dyDescent="0.25">
      <c r="A135" s="5" t="s">
        <v>5708</v>
      </c>
      <c r="B135" s="5"/>
      <c r="C135" s="5"/>
      <c r="D135" s="5"/>
      <c r="E135" s="5"/>
      <c r="F135" s="5"/>
    </row>
    <row r="136" ht="42" customHeight="1" spans="1:6" x14ac:dyDescent="0.25">
      <c r="A136" s="6" t="s">
        <v>5709</v>
      </c>
      <c r="B136" s="6"/>
      <c r="C136" s="6"/>
      <c r="D136" s="6"/>
      <c r="E136" s="6"/>
      <c r="F136" s="6"/>
    </row>
    <row r="137" spans="1:6" x14ac:dyDescent="0.25">
      <c r="A137" t="s">
        <v>4044</v>
      </c>
      <c r="B137" t="s">
        <v>4045</v>
      </c>
      <c r="C137" t="s">
        <v>5</v>
      </c>
      <c r="D137" t="s">
        <v>4046</v>
      </c>
      <c r="E137" t="s">
        <v>4047</v>
      </c>
      <c r="F137" t="s">
        <v>4048</v>
      </c>
    </row>
    <row r="138" spans="1:6" x14ac:dyDescent="0.25">
      <c r="A138" t="s">
        <v>4062</v>
      </c>
      <c r="B138" t="s">
        <v>5710</v>
      </c>
      <c r="C138" t="s">
        <v>42</v>
      </c>
      <c r="D138" s="7">
        <v>7.35</v>
      </c>
      <c r="E138" s="2">
        <v>3089.68</v>
      </c>
      <c r="F138" s="2">
        <v>22709.15</v>
      </c>
    </row>
    <row r="139" spans="1:6" x14ac:dyDescent="0.25">
      <c r="A139" t="s">
        <v>4062</v>
      </c>
      <c r="B139" t="s">
        <v>5693</v>
      </c>
      <c r="C139" t="s">
        <v>63</v>
      </c>
      <c r="D139" s="7">
        <v>0.3</v>
      </c>
      <c r="E139" s="2">
        <v>178000</v>
      </c>
      <c r="F139" s="2">
        <v>53400</v>
      </c>
    </row>
    <row r="140" spans="1:6" x14ac:dyDescent="0.25">
      <c r="A140" t="s">
        <v>4062</v>
      </c>
      <c r="B140" t="s">
        <v>5673</v>
      </c>
      <c r="C140" t="s">
        <v>4377</v>
      </c>
      <c r="D140" s="7">
        <v>0.02</v>
      </c>
      <c r="E140" s="2">
        <v>38633</v>
      </c>
      <c r="F140" s="2">
        <v>772.66</v>
      </c>
    </row>
    <row r="141" spans="1:6" x14ac:dyDescent="0.25">
      <c r="A141" t="s">
        <v>4062</v>
      </c>
      <c r="B141" t="s">
        <v>5013</v>
      </c>
      <c r="C141" t="s">
        <v>231</v>
      </c>
      <c r="D141" s="7">
        <v>0.46</v>
      </c>
      <c r="E141" s="2">
        <v>11906</v>
      </c>
      <c r="F141" s="2">
        <v>5476.76</v>
      </c>
    </row>
    <row r="142" spans="1:6" x14ac:dyDescent="0.25">
      <c r="A142" t="s">
        <v>4049</v>
      </c>
      <c r="B142" t="s">
        <v>4050</v>
      </c>
      <c r="C142" t="s">
        <v>4051</v>
      </c>
      <c r="D142" s="7">
        <v>1.5</v>
      </c>
      <c r="E142" s="2">
        <v>9037.33</v>
      </c>
      <c r="F142" s="2">
        <v>13555.99</v>
      </c>
    </row>
    <row r="143" spans="1:6" x14ac:dyDescent="0.25">
      <c r="A143" t="s">
        <v>4049</v>
      </c>
      <c r="B143" t="s">
        <v>4073</v>
      </c>
      <c r="C143" t="s">
        <v>4051</v>
      </c>
      <c r="D143" s="7">
        <v>1.5</v>
      </c>
      <c r="E143" s="2">
        <v>15517.89</v>
      </c>
      <c r="F143" s="2">
        <v>23276.83</v>
      </c>
    </row>
    <row r="144" spans="1:6" x14ac:dyDescent="0.25">
      <c r="A144" t="s">
        <v>4049</v>
      </c>
      <c r="B144" t="s">
        <v>5674</v>
      </c>
      <c r="C144" t="s">
        <v>287</v>
      </c>
      <c r="D144" s="7">
        <v>0.5</v>
      </c>
      <c r="E144" s="2">
        <v>101823</v>
      </c>
      <c r="F144" s="2">
        <v>50911.5</v>
      </c>
    </row>
    <row r="145" spans="1:6" x14ac:dyDescent="0.25">
      <c r="A145" t="s">
        <v>4052</v>
      </c>
      <c r="B145" t="s">
        <v>4053</v>
      </c>
      <c r="C145" t="s">
        <v>4054</v>
      </c>
      <c r="D145" s="7">
        <v>2</v>
      </c>
      <c r="E145" s="2">
        <v>87744.32</v>
      </c>
      <c r="F145" s="2">
        <v>1754.89</v>
      </c>
    </row>
    <row r="146" spans="1:6" x14ac:dyDescent="0.25">
      <c r="A146" t="s">
        <v>4055</v>
      </c>
      <c r="D146" s="7"/>
      <c r="E146" s="2"/>
      <c r="F146" s="2">
        <f>SUBTOTAL(109,A_1_15_12[VALOR PARCIAL])</f>
      </c>
    </row>
    <row r="148" ht="30" customHeight="1" spans="1:6" x14ac:dyDescent="0.25">
      <c r="A148" s="5" t="s">
        <v>5711</v>
      </c>
      <c r="B148" s="5"/>
      <c r="C148" s="5"/>
      <c r="D148" s="5"/>
      <c r="E148" s="5"/>
      <c r="F148" s="5"/>
    </row>
    <row r="149" ht="42" customHeight="1" spans="1:6" x14ac:dyDescent="0.25">
      <c r="A149" s="6" t="s">
        <v>5712</v>
      </c>
      <c r="B149" s="6"/>
      <c r="C149" s="6"/>
      <c r="D149" s="6"/>
      <c r="E149" s="6"/>
      <c r="F149" s="6"/>
    </row>
    <row r="150" spans="1:6" x14ac:dyDescent="0.25">
      <c r="A150" t="s">
        <v>4044</v>
      </c>
      <c r="B150" t="s">
        <v>4045</v>
      </c>
      <c r="C150" t="s">
        <v>5</v>
      </c>
      <c r="D150" t="s">
        <v>4046</v>
      </c>
      <c r="E150" t="s">
        <v>4047</v>
      </c>
      <c r="F150" t="s">
        <v>4048</v>
      </c>
    </row>
    <row r="151" spans="1:6" x14ac:dyDescent="0.25">
      <c r="A151" t="s">
        <v>4062</v>
      </c>
      <c r="B151" t="s">
        <v>5672</v>
      </c>
      <c r="C151" t="s">
        <v>231</v>
      </c>
      <c r="D151" s="7">
        <v>0.56</v>
      </c>
      <c r="E151" s="2">
        <v>2562</v>
      </c>
      <c r="F151" s="2">
        <v>1434.72</v>
      </c>
    </row>
    <row r="152" spans="1:6" x14ac:dyDescent="0.25">
      <c r="A152" t="s">
        <v>4062</v>
      </c>
      <c r="B152" t="s">
        <v>5673</v>
      </c>
      <c r="C152" t="s">
        <v>4377</v>
      </c>
      <c r="D152" s="7">
        <v>0.01</v>
      </c>
      <c r="E152" s="2">
        <v>38633</v>
      </c>
      <c r="F152" s="2">
        <v>386.33</v>
      </c>
    </row>
    <row r="153" spans="1:6" x14ac:dyDescent="0.25">
      <c r="A153" t="s">
        <v>4049</v>
      </c>
      <c r="B153" t="s">
        <v>4050</v>
      </c>
      <c r="C153" t="s">
        <v>4051</v>
      </c>
      <c r="D153" s="7">
        <v>0.3</v>
      </c>
      <c r="E153" s="2">
        <v>9037.33</v>
      </c>
      <c r="F153" s="2">
        <v>2711.2</v>
      </c>
    </row>
    <row r="154" spans="1:6" x14ac:dyDescent="0.25">
      <c r="A154" t="s">
        <v>4049</v>
      </c>
      <c r="B154" t="s">
        <v>4073</v>
      </c>
      <c r="C154" t="s">
        <v>4051</v>
      </c>
      <c r="D154" s="7">
        <v>0.3</v>
      </c>
      <c r="E154" s="2">
        <v>15517.89</v>
      </c>
      <c r="F154" s="2">
        <v>4655.37</v>
      </c>
    </row>
    <row r="155" spans="1:6" x14ac:dyDescent="0.25">
      <c r="A155" t="s">
        <v>4052</v>
      </c>
      <c r="B155" t="s">
        <v>4105</v>
      </c>
      <c r="C155" t="s">
        <v>4106</v>
      </c>
      <c r="D155" s="7">
        <v>0.1</v>
      </c>
      <c r="E155" s="2">
        <v>25125</v>
      </c>
      <c r="F155" s="2">
        <v>2512.5</v>
      </c>
    </row>
    <row r="156" spans="1:6" x14ac:dyDescent="0.25">
      <c r="A156" t="s">
        <v>4052</v>
      </c>
      <c r="B156" t="s">
        <v>4053</v>
      </c>
      <c r="C156" t="s">
        <v>4054</v>
      </c>
      <c r="D156" s="7">
        <v>5</v>
      </c>
      <c r="E156" s="2">
        <v>7366.57</v>
      </c>
      <c r="F156" s="2">
        <v>368.33</v>
      </c>
    </row>
    <row r="157" spans="1:6" x14ac:dyDescent="0.25">
      <c r="A157" t="s">
        <v>4055</v>
      </c>
      <c r="D157" s="7"/>
      <c r="E157" s="2"/>
      <c r="F157" s="2">
        <f>SUBTOTAL(109,A_1_15_13[VALOR PARCIAL])</f>
      </c>
    </row>
    <row r="159" ht="30" customHeight="1" spans="1:6" x14ac:dyDescent="0.25">
      <c r="A159" s="5" t="s">
        <v>5713</v>
      </c>
      <c r="B159" s="5"/>
      <c r="C159" s="5"/>
      <c r="D159" s="5"/>
      <c r="E159" s="5"/>
      <c r="F159" s="5"/>
    </row>
    <row r="160" ht="42" customHeight="1" spans="1:6" x14ac:dyDescent="0.25">
      <c r="A160" s="6" t="s">
        <v>5714</v>
      </c>
      <c r="B160" s="6"/>
      <c r="C160" s="6"/>
      <c r="D160" s="6"/>
      <c r="E160" s="6"/>
      <c r="F160" s="6"/>
    </row>
    <row r="161" spans="1:6" x14ac:dyDescent="0.25">
      <c r="A161" t="s">
        <v>4044</v>
      </c>
      <c r="B161" t="s">
        <v>4045</v>
      </c>
      <c r="C161" t="s">
        <v>5</v>
      </c>
      <c r="D161" t="s">
        <v>4046</v>
      </c>
      <c r="E161" t="s">
        <v>4047</v>
      </c>
      <c r="F161" t="s">
        <v>4048</v>
      </c>
    </row>
    <row r="162" spans="1:6" x14ac:dyDescent="0.25">
      <c r="A162" t="s">
        <v>4062</v>
      </c>
      <c r="B162" t="s">
        <v>5698</v>
      </c>
      <c r="C162" t="s">
        <v>42</v>
      </c>
      <c r="D162" s="7">
        <v>2</v>
      </c>
      <c r="E162" s="2">
        <v>2267</v>
      </c>
      <c r="F162" s="2">
        <v>4534</v>
      </c>
    </row>
    <row r="163" spans="1:6" x14ac:dyDescent="0.25">
      <c r="A163" t="s">
        <v>4062</v>
      </c>
      <c r="B163" t="s">
        <v>5699</v>
      </c>
      <c r="C163" t="s">
        <v>21</v>
      </c>
      <c r="D163" s="7">
        <v>1</v>
      </c>
      <c r="E163" s="2">
        <v>38108.33</v>
      </c>
      <c r="F163" s="2">
        <v>38108.33</v>
      </c>
    </row>
    <row r="164" spans="1:6" x14ac:dyDescent="0.25">
      <c r="A164" t="s">
        <v>4062</v>
      </c>
      <c r="B164" t="s">
        <v>5715</v>
      </c>
      <c r="C164" t="s">
        <v>63</v>
      </c>
      <c r="D164" s="7">
        <v>2</v>
      </c>
      <c r="E164" s="2">
        <v>2475</v>
      </c>
      <c r="F164" s="2">
        <v>4950</v>
      </c>
    </row>
    <row r="165" spans="1:6" x14ac:dyDescent="0.25">
      <c r="A165" t="s">
        <v>4062</v>
      </c>
      <c r="B165" t="s">
        <v>5693</v>
      </c>
      <c r="C165" t="s">
        <v>63</v>
      </c>
      <c r="D165" s="7">
        <v>0.4</v>
      </c>
      <c r="E165" s="2">
        <v>178000</v>
      </c>
      <c r="F165" s="2">
        <v>71200</v>
      </c>
    </row>
    <row r="166" spans="1:6" x14ac:dyDescent="0.25">
      <c r="A166" t="s">
        <v>4062</v>
      </c>
      <c r="B166" t="s">
        <v>5700</v>
      </c>
      <c r="C166" t="s">
        <v>63</v>
      </c>
      <c r="D166" s="7">
        <v>1</v>
      </c>
      <c r="E166" s="2">
        <v>2825</v>
      </c>
      <c r="F166" s="2">
        <v>2825</v>
      </c>
    </row>
    <row r="167" spans="1:6" x14ac:dyDescent="0.25">
      <c r="A167" t="s">
        <v>4062</v>
      </c>
      <c r="B167" t="s">
        <v>5673</v>
      </c>
      <c r="C167" t="s">
        <v>4377</v>
      </c>
      <c r="D167" s="7">
        <v>0.23</v>
      </c>
      <c r="E167" s="2">
        <v>38633</v>
      </c>
      <c r="F167" s="2">
        <v>8885.59</v>
      </c>
    </row>
    <row r="168" spans="1:6" x14ac:dyDescent="0.25">
      <c r="A168" t="s">
        <v>4062</v>
      </c>
      <c r="B168" t="s">
        <v>5013</v>
      </c>
      <c r="C168" t="s">
        <v>231</v>
      </c>
      <c r="D168" s="7">
        <v>0.16</v>
      </c>
      <c r="E168" s="2">
        <v>11906</v>
      </c>
      <c r="F168" s="2">
        <v>1904.96</v>
      </c>
    </row>
    <row r="169" spans="1:6" x14ac:dyDescent="0.25">
      <c r="A169" t="s">
        <v>4049</v>
      </c>
      <c r="B169" t="s">
        <v>4050</v>
      </c>
      <c r="C169" t="s">
        <v>4051</v>
      </c>
      <c r="D169" s="7">
        <v>1.4</v>
      </c>
      <c r="E169" s="2">
        <v>9037.33</v>
      </c>
      <c r="F169" s="2">
        <v>12652.26</v>
      </c>
    </row>
    <row r="170" spans="1:6" x14ac:dyDescent="0.25">
      <c r="A170" t="s">
        <v>4049</v>
      </c>
      <c r="B170" t="s">
        <v>4073</v>
      </c>
      <c r="C170" t="s">
        <v>4051</v>
      </c>
      <c r="D170" s="7">
        <v>0.9</v>
      </c>
      <c r="E170" s="2">
        <v>15517.89</v>
      </c>
      <c r="F170" s="2">
        <v>13966.1</v>
      </c>
    </row>
    <row r="171" spans="1:6" x14ac:dyDescent="0.25">
      <c r="A171" t="s">
        <v>4049</v>
      </c>
      <c r="B171" t="s">
        <v>5674</v>
      </c>
      <c r="C171" t="s">
        <v>287</v>
      </c>
      <c r="D171" s="7">
        <v>0.6</v>
      </c>
      <c r="E171" s="2">
        <v>101823</v>
      </c>
      <c r="F171" s="2">
        <v>61093.8</v>
      </c>
    </row>
    <row r="172" spans="1:6" x14ac:dyDescent="0.25">
      <c r="A172" t="s">
        <v>4052</v>
      </c>
      <c r="B172" t="s">
        <v>4053</v>
      </c>
      <c r="C172" t="s">
        <v>4054</v>
      </c>
      <c r="D172" s="7">
        <v>2</v>
      </c>
      <c r="E172" s="2">
        <v>87712.16</v>
      </c>
      <c r="F172" s="2">
        <v>1754.24</v>
      </c>
    </row>
    <row r="173" spans="1:6" x14ac:dyDescent="0.25">
      <c r="A173" t="s">
        <v>4055</v>
      </c>
      <c r="D173" s="7"/>
      <c r="E173" s="2"/>
      <c r="F173" s="2">
        <f>SUBTOTAL(109,A_1_15_14[VALOR PARCIAL])</f>
      </c>
    </row>
    <row r="175" ht="30" customHeight="1" spans="1:6" x14ac:dyDescent="0.25">
      <c r="A175" s="5" t="s">
        <v>5716</v>
      </c>
      <c r="B175" s="5"/>
      <c r="C175" s="5"/>
      <c r="D175" s="5"/>
      <c r="E175" s="5"/>
      <c r="F175" s="5"/>
    </row>
    <row r="176" ht="42" customHeight="1" spans="1:6" x14ac:dyDescent="0.25">
      <c r="A176" s="6" t="s">
        <v>5717</v>
      </c>
      <c r="B176" s="6"/>
      <c r="C176" s="6"/>
      <c r="D176" s="6"/>
      <c r="E176" s="6"/>
      <c r="F176" s="6"/>
    </row>
    <row r="177" spans="1:6" x14ac:dyDescent="0.25">
      <c r="A177" t="s">
        <v>4044</v>
      </c>
      <c r="B177" t="s">
        <v>4045</v>
      </c>
      <c r="C177" t="s">
        <v>5</v>
      </c>
      <c r="D177" t="s">
        <v>4046</v>
      </c>
      <c r="E177" t="s">
        <v>4047</v>
      </c>
      <c r="F177" t="s">
        <v>4048</v>
      </c>
    </row>
    <row r="178" spans="1:6" x14ac:dyDescent="0.25">
      <c r="A178" t="s">
        <v>4062</v>
      </c>
      <c r="B178" t="s">
        <v>5718</v>
      </c>
      <c r="C178" t="s">
        <v>21</v>
      </c>
      <c r="D178" s="7">
        <v>1</v>
      </c>
      <c r="E178" s="2">
        <v>173435.5</v>
      </c>
      <c r="F178" s="2">
        <v>173435.5</v>
      </c>
    </row>
    <row r="179" spans="1:6" x14ac:dyDescent="0.25">
      <c r="A179" t="s">
        <v>4049</v>
      </c>
      <c r="B179" t="s">
        <v>4050</v>
      </c>
      <c r="C179" t="s">
        <v>4051</v>
      </c>
      <c r="D179" s="7">
        <v>2</v>
      </c>
      <c r="E179" s="2">
        <v>9037.33</v>
      </c>
      <c r="F179" s="2">
        <v>18074.66</v>
      </c>
    </row>
    <row r="180" spans="1:6" x14ac:dyDescent="0.25">
      <c r="A180" t="s">
        <v>4049</v>
      </c>
      <c r="B180" t="s">
        <v>4073</v>
      </c>
      <c r="C180" t="s">
        <v>4051</v>
      </c>
      <c r="D180" s="7">
        <v>2</v>
      </c>
      <c r="E180" s="2">
        <v>15517.89</v>
      </c>
      <c r="F180" s="2">
        <v>31035.78</v>
      </c>
    </row>
    <row r="181" spans="1:6" x14ac:dyDescent="0.25">
      <c r="A181" t="s">
        <v>4052</v>
      </c>
      <c r="B181" t="s">
        <v>4053</v>
      </c>
      <c r="C181" t="s">
        <v>4054</v>
      </c>
      <c r="D181" s="7">
        <v>3</v>
      </c>
      <c r="E181" s="2">
        <v>49110.44</v>
      </c>
      <c r="F181" s="2">
        <v>1473.31</v>
      </c>
    </row>
    <row r="182" spans="1:6" x14ac:dyDescent="0.25">
      <c r="A182" t="s">
        <v>4055</v>
      </c>
      <c r="D182" s="7"/>
      <c r="E182" s="2"/>
      <c r="F182" s="2">
        <f>SUBTOTAL(109,A_1_15_15[VALOR PARCIAL])</f>
      </c>
    </row>
    <row r="184" ht="30" customHeight="1" spans="1:6" x14ac:dyDescent="0.25">
      <c r="A184" s="5" t="s">
        <v>5719</v>
      </c>
      <c r="B184" s="5"/>
      <c r="C184" s="5"/>
      <c r="D184" s="5"/>
      <c r="E184" s="5"/>
      <c r="F184" s="5"/>
    </row>
    <row r="185" ht="42" customHeight="1" spans="1:6" x14ac:dyDescent="0.25">
      <c r="A185" s="6" t="s">
        <v>5720</v>
      </c>
      <c r="B185" s="6"/>
      <c r="C185" s="6"/>
      <c r="D185" s="6"/>
      <c r="E185" s="6"/>
      <c r="F185" s="6"/>
    </row>
    <row r="186" spans="1:6" x14ac:dyDescent="0.25">
      <c r="A186" t="s">
        <v>4044</v>
      </c>
      <c r="B186" t="s">
        <v>4045</v>
      </c>
      <c r="C186" t="s">
        <v>5</v>
      </c>
      <c r="D186" t="s">
        <v>4046</v>
      </c>
      <c r="E186" t="s">
        <v>4047</v>
      </c>
      <c r="F186" t="s">
        <v>4048</v>
      </c>
    </row>
    <row r="187" spans="1:6" x14ac:dyDescent="0.25">
      <c r="A187" t="s">
        <v>4062</v>
      </c>
      <c r="B187" t="s">
        <v>5721</v>
      </c>
      <c r="C187" t="s">
        <v>21</v>
      </c>
      <c r="D187" s="7">
        <v>1</v>
      </c>
      <c r="E187" s="2">
        <v>131400</v>
      </c>
      <c r="F187" s="2">
        <v>131400</v>
      </c>
    </row>
    <row r="188" spans="1:6" x14ac:dyDescent="0.25">
      <c r="A188" t="s">
        <v>4049</v>
      </c>
      <c r="B188" t="s">
        <v>4050</v>
      </c>
      <c r="C188" t="s">
        <v>4051</v>
      </c>
      <c r="D188" s="7">
        <v>2.1</v>
      </c>
      <c r="E188" s="2">
        <v>9037.33</v>
      </c>
      <c r="F188" s="2">
        <v>18978.39</v>
      </c>
    </row>
    <row r="189" spans="1:6" x14ac:dyDescent="0.25">
      <c r="A189" t="s">
        <v>4049</v>
      </c>
      <c r="B189" t="s">
        <v>4073</v>
      </c>
      <c r="C189" t="s">
        <v>4051</v>
      </c>
      <c r="D189" s="7">
        <v>2.1</v>
      </c>
      <c r="E189" s="2">
        <v>15517.89</v>
      </c>
      <c r="F189" s="2">
        <v>32587.57</v>
      </c>
    </row>
    <row r="190" spans="1:6" x14ac:dyDescent="0.25">
      <c r="A190" t="s">
        <v>4052</v>
      </c>
      <c r="B190" t="s">
        <v>4053</v>
      </c>
      <c r="C190" t="s">
        <v>4054</v>
      </c>
      <c r="D190" s="7">
        <v>3</v>
      </c>
      <c r="E190" s="2">
        <v>51565.96</v>
      </c>
      <c r="F190" s="2">
        <v>1546.98</v>
      </c>
    </row>
    <row r="191" spans="1:6" x14ac:dyDescent="0.25">
      <c r="A191" t="s">
        <v>4055</v>
      </c>
      <c r="D191" s="7"/>
      <c r="E191" s="2"/>
      <c r="F191" s="2">
        <f>SUBTOTAL(109,A_1_15_16[VALOR PARCIAL])</f>
      </c>
    </row>
    <row r="193" ht="30" customHeight="1" spans="1:6" x14ac:dyDescent="0.25">
      <c r="A193" s="5" t="s">
        <v>5722</v>
      </c>
      <c r="B193" s="5"/>
      <c r="C193" s="5"/>
      <c r="D193" s="5"/>
      <c r="E193" s="5"/>
      <c r="F193" s="5"/>
    </row>
    <row r="194" ht="42" customHeight="1" spans="1:6" x14ac:dyDescent="0.25">
      <c r="A194" s="6" t="s">
        <v>5723</v>
      </c>
      <c r="B194" s="6"/>
      <c r="C194" s="6"/>
      <c r="D194" s="6"/>
      <c r="E194" s="6"/>
      <c r="F194" s="6"/>
    </row>
    <row r="195" spans="1:6" x14ac:dyDescent="0.25">
      <c r="A195" t="s">
        <v>4044</v>
      </c>
      <c r="B195" t="s">
        <v>4045</v>
      </c>
      <c r="C195" t="s">
        <v>5</v>
      </c>
      <c r="D195" t="s">
        <v>4046</v>
      </c>
      <c r="E195" t="s">
        <v>4047</v>
      </c>
      <c r="F195" t="s">
        <v>4048</v>
      </c>
    </row>
    <row r="196" spans="1:6" x14ac:dyDescent="0.25">
      <c r="A196" t="s">
        <v>4062</v>
      </c>
      <c r="B196" t="s">
        <v>5724</v>
      </c>
      <c r="C196" t="s">
        <v>21</v>
      </c>
      <c r="D196" s="7">
        <v>1.05</v>
      </c>
      <c r="E196" s="2">
        <v>530000</v>
      </c>
      <c r="F196" s="2">
        <v>556500</v>
      </c>
    </row>
    <row r="197" spans="1:6" x14ac:dyDescent="0.25">
      <c r="A197" t="s">
        <v>4049</v>
      </c>
      <c r="B197" t="s">
        <v>4241</v>
      </c>
      <c r="C197" t="s">
        <v>4051</v>
      </c>
      <c r="D197" s="7">
        <v>1</v>
      </c>
      <c r="E197" s="2">
        <v>9941.22</v>
      </c>
      <c r="F197" s="2">
        <v>9941.22</v>
      </c>
    </row>
    <row r="198" spans="1:6" x14ac:dyDescent="0.25">
      <c r="A198" t="s">
        <v>4049</v>
      </c>
      <c r="B198" t="s">
        <v>4242</v>
      </c>
      <c r="C198" t="s">
        <v>4051</v>
      </c>
      <c r="D198" s="7">
        <v>1</v>
      </c>
      <c r="E198" s="2">
        <v>17069.53</v>
      </c>
      <c r="F198" s="2">
        <v>17069.53</v>
      </c>
    </row>
    <row r="199" spans="1:6" x14ac:dyDescent="0.25">
      <c r="A199" t="s">
        <v>4052</v>
      </c>
      <c r="B199" t="s">
        <v>5725</v>
      </c>
      <c r="C199" t="s">
        <v>287</v>
      </c>
      <c r="D199" s="7">
        <v>0.15</v>
      </c>
      <c r="E199" s="2">
        <v>19084</v>
      </c>
      <c r="F199" s="2">
        <v>2862.6</v>
      </c>
    </row>
    <row r="200" spans="1:6" x14ac:dyDescent="0.25">
      <c r="A200" t="s">
        <v>4052</v>
      </c>
      <c r="B200" t="s">
        <v>4053</v>
      </c>
      <c r="C200" t="s">
        <v>4054</v>
      </c>
      <c r="D200" s="7">
        <v>5</v>
      </c>
      <c r="E200" s="2">
        <v>27010.75</v>
      </c>
      <c r="F200" s="2">
        <v>1350.54</v>
      </c>
    </row>
    <row r="201" spans="1:6" x14ac:dyDescent="0.25">
      <c r="A201" t="s">
        <v>4055</v>
      </c>
      <c r="D201" s="7"/>
      <c r="E201" s="2"/>
      <c r="F201" s="2">
        <f>SUBTOTAL(109,A_1_15_17[VALOR PARCIAL])</f>
      </c>
    </row>
    <row r="203" ht="30" customHeight="1" spans="1:6" x14ac:dyDescent="0.25">
      <c r="A203" s="5" t="s">
        <v>5726</v>
      </c>
      <c r="B203" s="5"/>
      <c r="C203" s="5"/>
      <c r="D203" s="5"/>
      <c r="E203" s="5"/>
      <c r="F203" s="5"/>
    </row>
    <row r="204" ht="42" customHeight="1" spans="1:6" x14ac:dyDescent="0.25">
      <c r="A204" s="6" t="s">
        <v>5727</v>
      </c>
      <c r="B204" s="6"/>
      <c r="C204" s="6"/>
      <c r="D204" s="6"/>
      <c r="E204" s="6"/>
      <c r="F204" s="6"/>
    </row>
    <row r="205" spans="1:6" x14ac:dyDescent="0.25">
      <c r="A205" t="s">
        <v>4044</v>
      </c>
      <c r="B205" t="s">
        <v>4045</v>
      </c>
      <c r="C205" t="s">
        <v>5</v>
      </c>
      <c r="D205" t="s">
        <v>4046</v>
      </c>
      <c r="E205" t="s">
        <v>4047</v>
      </c>
      <c r="F205" t="s">
        <v>4048</v>
      </c>
    </row>
    <row r="206" spans="1:6" x14ac:dyDescent="0.25">
      <c r="A206" t="s">
        <v>4062</v>
      </c>
      <c r="B206" t="s">
        <v>5728</v>
      </c>
      <c r="C206" t="s">
        <v>42</v>
      </c>
      <c r="D206" s="7">
        <v>1.05</v>
      </c>
      <c r="E206" s="2">
        <v>178836</v>
      </c>
      <c r="F206" s="2">
        <v>187777.8</v>
      </c>
    </row>
    <row r="207" spans="1:6" x14ac:dyDescent="0.25">
      <c r="A207" t="s">
        <v>4049</v>
      </c>
      <c r="B207" t="s">
        <v>5729</v>
      </c>
      <c r="C207" t="s">
        <v>287</v>
      </c>
      <c r="D207" s="7">
        <v>0.15</v>
      </c>
      <c r="E207" s="2">
        <v>3510.83</v>
      </c>
      <c r="F207" s="2">
        <v>526.62</v>
      </c>
    </row>
    <row r="208" spans="1:6" x14ac:dyDescent="0.25">
      <c r="A208" t="s">
        <v>4049</v>
      </c>
      <c r="B208" t="s">
        <v>4241</v>
      </c>
      <c r="C208" t="s">
        <v>4051</v>
      </c>
      <c r="D208" s="7">
        <v>0.2</v>
      </c>
      <c r="E208" s="2">
        <v>9941.22</v>
      </c>
      <c r="F208" s="2">
        <v>1988.24</v>
      </c>
    </row>
    <row r="209" spans="1:6" x14ac:dyDescent="0.25">
      <c r="A209" t="s">
        <v>4049</v>
      </c>
      <c r="B209" t="s">
        <v>4242</v>
      </c>
      <c r="C209" t="s">
        <v>4051</v>
      </c>
      <c r="D209" s="7">
        <v>0.2</v>
      </c>
      <c r="E209" s="2">
        <v>17069.53</v>
      </c>
      <c r="F209" s="2">
        <v>3413.91</v>
      </c>
    </row>
    <row r="210" spans="1:6" x14ac:dyDescent="0.25">
      <c r="A210" t="s">
        <v>4052</v>
      </c>
      <c r="B210" t="s">
        <v>4053</v>
      </c>
      <c r="C210" t="s">
        <v>4054</v>
      </c>
      <c r="D210" s="7">
        <v>5</v>
      </c>
      <c r="E210" s="2">
        <v>5402.15</v>
      </c>
      <c r="F210" s="2">
        <v>270.11</v>
      </c>
    </row>
    <row r="211" spans="1:6" x14ac:dyDescent="0.25">
      <c r="A211" t="s">
        <v>4055</v>
      </c>
      <c r="D211" s="7"/>
      <c r="E211" s="2"/>
      <c r="F211" s="2">
        <f>SUBTOTAL(109,A_1_15_18[VALOR PARCIAL])</f>
      </c>
    </row>
  </sheetData>
  <mergeCells count="36">
    <mergeCell ref="A4:F4"/>
    <mergeCell ref="A5:F5"/>
    <mergeCell ref="A18:F18"/>
    <mergeCell ref="A19:F19"/>
    <mergeCell ref="A33:F33"/>
    <mergeCell ref="A34:F34"/>
    <mergeCell ref="A42:F42"/>
    <mergeCell ref="A43:F43"/>
    <mergeCell ref="A51:F51"/>
    <mergeCell ref="A52:F52"/>
    <mergeCell ref="A65:F65"/>
    <mergeCell ref="A66:F66"/>
    <mergeCell ref="A74:F74"/>
    <mergeCell ref="A75:F75"/>
    <mergeCell ref="A84:F84"/>
    <mergeCell ref="A85:F85"/>
    <mergeCell ref="A94:F94"/>
    <mergeCell ref="A95:F95"/>
    <mergeCell ref="A110:F110"/>
    <mergeCell ref="A111:F111"/>
    <mergeCell ref="A123:F123"/>
    <mergeCell ref="A124:F124"/>
    <mergeCell ref="A135:F135"/>
    <mergeCell ref="A136:F136"/>
    <mergeCell ref="A148:F148"/>
    <mergeCell ref="A149:F149"/>
    <mergeCell ref="A159:F159"/>
    <mergeCell ref="A160:F160"/>
    <mergeCell ref="A175:F175"/>
    <mergeCell ref="A176:F176"/>
    <mergeCell ref="A184:F184"/>
    <mergeCell ref="A185:F185"/>
    <mergeCell ref="A193:F193"/>
    <mergeCell ref="A194:F194"/>
    <mergeCell ref="A203:F203"/>
    <mergeCell ref="A204:F204"/>
  </mergeCells>
  <pageMargins left="0.7" right="0.7" top="0.75" bottom="0.75" header="0.3" footer="0.3"/>
  <pageSetup orientation="portrait" horizontalDpi="4294967295" verticalDpi="4294967295" scale="100" fitToWidth="1" fitToHeight="1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7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5730</v>
      </c>
    </row>
    <row r="2" spans="1:1" x14ac:dyDescent="0.25">
      <c r="A2" s="4" t="s">
        <v>5125</v>
      </c>
    </row>
    <row r="4" ht="30" customHeight="1" spans="1:6" x14ac:dyDescent="0.25">
      <c r="A4" s="5" t="s">
        <v>5731</v>
      </c>
      <c r="B4" s="5"/>
      <c r="C4" s="5"/>
      <c r="D4" s="5"/>
      <c r="E4" s="5"/>
      <c r="F4" s="5"/>
    </row>
    <row r="5" ht="42" customHeight="1" spans="1:6" x14ac:dyDescent="0.25">
      <c r="A5" s="6" t="s">
        <v>5732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1736</v>
      </c>
      <c r="C7" t="s">
        <v>63</v>
      </c>
      <c r="D7" s="7">
        <v>1</v>
      </c>
      <c r="E7" s="2">
        <v>632623</v>
      </c>
      <c r="F7" s="2">
        <v>632623</v>
      </c>
    </row>
    <row r="8" spans="1:6" x14ac:dyDescent="0.25">
      <c r="A8" t="s">
        <v>4062</v>
      </c>
      <c r="B8" t="s">
        <v>4690</v>
      </c>
      <c r="C8" t="s">
        <v>231</v>
      </c>
      <c r="D8" s="7">
        <v>1</v>
      </c>
      <c r="E8" s="2">
        <v>2025</v>
      </c>
      <c r="F8" s="2">
        <v>2025</v>
      </c>
    </row>
    <row r="9" spans="1:6" x14ac:dyDescent="0.25">
      <c r="A9" t="s">
        <v>4062</v>
      </c>
      <c r="B9" t="s">
        <v>4076</v>
      </c>
      <c r="C9" t="s">
        <v>3963</v>
      </c>
      <c r="D9" s="7">
        <v>0.25</v>
      </c>
      <c r="E9" s="2">
        <v>21</v>
      </c>
      <c r="F9" s="2">
        <v>5.25</v>
      </c>
    </row>
    <row r="10" spans="1:6" x14ac:dyDescent="0.25">
      <c r="A10" t="s">
        <v>4049</v>
      </c>
      <c r="B10" t="s">
        <v>4050</v>
      </c>
      <c r="C10" t="s">
        <v>4051</v>
      </c>
      <c r="D10" s="7">
        <v>1.2</v>
      </c>
      <c r="E10" s="2">
        <v>9037.33</v>
      </c>
      <c r="F10" s="2">
        <v>10844.8</v>
      </c>
    </row>
    <row r="11" spans="1:6" x14ac:dyDescent="0.25">
      <c r="A11" t="s">
        <v>4049</v>
      </c>
      <c r="B11" t="s">
        <v>4073</v>
      </c>
      <c r="C11" t="s">
        <v>4051</v>
      </c>
      <c r="D11" s="7">
        <v>1.2</v>
      </c>
      <c r="E11" s="2">
        <v>15517.89</v>
      </c>
      <c r="F11" s="2">
        <v>18621.47</v>
      </c>
    </row>
    <row r="12" spans="1:6" x14ac:dyDescent="0.25">
      <c r="A12" t="s">
        <v>4052</v>
      </c>
      <c r="B12" t="s">
        <v>4053</v>
      </c>
      <c r="C12" t="s">
        <v>4054</v>
      </c>
      <c r="D12" s="7">
        <v>5</v>
      </c>
      <c r="E12" s="2">
        <v>29466.27</v>
      </c>
      <c r="F12" s="2">
        <v>1473.31</v>
      </c>
    </row>
    <row r="13" spans="1:6" x14ac:dyDescent="0.25">
      <c r="A13" t="s">
        <v>4055</v>
      </c>
      <c r="D13" s="7"/>
      <c r="E13" s="2"/>
      <c r="F13" s="2">
        <f>SUBTOTAL(109,A_1_16_01[VALOR PARCIAL])</f>
      </c>
    </row>
    <row r="15" ht="30" customHeight="1" spans="1:6" x14ac:dyDescent="0.25">
      <c r="A15" s="5" t="s">
        <v>5733</v>
      </c>
      <c r="B15" s="5"/>
      <c r="C15" s="5"/>
      <c r="D15" s="5"/>
      <c r="E15" s="5"/>
      <c r="F15" s="5"/>
    </row>
    <row r="16" ht="42" customHeight="1" spans="1:6" x14ac:dyDescent="0.25">
      <c r="A16" s="6" t="s">
        <v>5734</v>
      </c>
      <c r="B16" s="6"/>
      <c r="C16" s="6"/>
      <c r="D16" s="6"/>
      <c r="E16" s="6"/>
      <c r="F16" s="6"/>
    </row>
    <row r="17" spans="1:6" x14ac:dyDescent="0.25">
      <c r="A17" t="s">
        <v>4044</v>
      </c>
      <c r="B17" t="s">
        <v>4045</v>
      </c>
      <c r="C17" t="s">
        <v>5</v>
      </c>
      <c r="D17" t="s">
        <v>4046</v>
      </c>
      <c r="E17" t="s">
        <v>4047</v>
      </c>
      <c r="F17" t="s">
        <v>4048</v>
      </c>
    </row>
    <row r="18" spans="1:6" x14ac:dyDescent="0.25">
      <c r="A18" t="s">
        <v>4062</v>
      </c>
      <c r="B18" t="s">
        <v>5735</v>
      </c>
      <c r="C18" t="s">
        <v>63</v>
      </c>
      <c r="D18" s="7">
        <v>1</v>
      </c>
      <c r="E18" s="2">
        <v>74133</v>
      </c>
      <c r="F18" s="2">
        <v>74133</v>
      </c>
    </row>
    <row r="19" spans="1:6" x14ac:dyDescent="0.25">
      <c r="A19" t="s">
        <v>4049</v>
      </c>
      <c r="B19" t="s">
        <v>4241</v>
      </c>
      <c r="C19" t="s">
        <v>4051</v>
      </c>
      <c r="D19" s="7">
        <v>0.3</v>
      </c>
      <c r="E19" s="2">
        <v>9941.22</v>
      </c>
      <c r="F19" s="2">
        <v>2982.37</v>
      </c>
    </row>
    <row r="20" spans="1:6" x14ac:dyDescent="0.25">
      <c r="A20" t="s">
        <v>4049</v>
      </c>
      <c r="B20" t="s">
        <v>4242</v>
      </c>
      <c r="C20" t="s">
        <v>4051</v>
      </c>
      <c r="D20" s="7">
        <v>0.3</v>
      </c>
      <c r="E20" s="2">
        <v>17069.53</v>
      </c>
      <c r="F20" s="2">
        <v>5120.86</v>
      </c>
    </row>
    <row r="21" spans="1:6" x14ac:dyDescent="0.25">
      <c r="A21" t="s">
        <v>4052</v>
      </c>
      <c r="B21" t="s">
        <v>4053</v>
      </c>
      <c r="C21" t="s">
        <v>4054</v>
      </c>
      <c r="D21" s="7">
        <v>5</v>
      </c>
      <c r="E21" s="2">
        <v>8103.23</v>
      </c>
      <c r="F21" s="2">
        <v>405.16</v>
      </c>
    </row>
    <row r="22" spans="1:6" x14ac:dyDescent="0.25">
      <c r="A22" t="s">
        <v>4055</v>
      </c>
      <c r="D22" s="7"/>
      <c r="E22" s="2"/>
      <c r="F22" s="2">
        <f>SUBTOTAL(109,A_1_16_02[VALOR PARCIAL])</f>
      </c>
    </row>
    <row r="24" ht="30" customHeight="1" spans="1:6" x14ac:dyDescent="0.25">
      <c r="A24" s="5" t="s">
        <v>5736</v>
      </c>
      <c r="B24" s="5"/>
      <c r="C24" s="5"/>
      <c r="D24" s="5"/>
      <c r="E24" s="5"/>
      <c r="F24" s="5"/>
    </row>
    <row r="25" ht="42" customHeight="1" spans="1:6" x14ac:dyDescent="0.25">
      <c r="A25" s="6" t="s">
        <v>5737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4690</v>
      </c>
      <c r="C27" t="s">
        <v>231</v>
      </c>
      <c r="D27" s="7">
        <v>1</v>
      </c>
      <c r="E27" s="2">
        <v>2025</v>
      </c>
      <c r="F27" s="2">
        <v>2025</v>
      </c>
    </row>
    <row r="28" spans="1:6" x14ac:dyDescent="0.25">
      <c r="A28" t="s">
        <v>4062</v>
      </c>
      <c r="B28" t="s">
        <v>5738</v>
      </c>
      <c r="C28" t="s">
        <v>63</v>
      </c>
      <c r="D28" s="7">
        <v>1</v>
      </c>
      <c r="E28" s="2">
        <v>158317</v>
      </c>
      <c r="F28" s="2">
        <v>158317</v>
      </c>
    </row>
    <row r="29" spans="1:6" x14ac:dyDescent="0.25">
      <c r="A29" t="s">
        <v>4062</v>
      </c>
      <c r="B29" t="s">
        <v>4076</v>
      </c>
      <c r="C29" t="s">
        <v>3963</v>
      </c>
      <c r="D29" s="7">
        <v>2.85</v>
      </c>
      <c r="E29" s="2">
        <v>21</v>
      </c>
      <c r="F29" s="2">
        <v>59.85</v>
      </c>
    </row>
    <row r="30" spans="1:6" x14ac:dyDescent="0.25">
      <c r="A30" t="s">
        <v>4049</v>
      </c>
      <c r="B30" t="s">
        <v>4241</v>
      </c>
      <c r="C30" t="s">
        <v>4051</v>
      </c>
      <c r="D30" s="7">
        <v>0.5</v>
      </c>
      <c r="E30" s="2">
        <v>9941.22</v>
      </c>
      <c r="F30" s="2">
        <v>4970.61</v>
      </c>
    </row>
    <row r="31" spans="1:6" x14ac:dyDescent="0.25">
      <c r="A31" t="s">
        <v>4049</v>
      </c>
      <c r="B31" t="s">
        <v>4242</v>
      </c>
      <c r="C31" t="s">
        <v>4051</v>
      </c>
      <c r="D31" s="7">
        <v>0.5</v>
      </c>
      <c r="E31" s="2">
        <v>17069.53</v>
      </c>
      <c r="F31" s="2">
        <v>8534.76</v>
      </c>
    </row>
    <row r="32" spans="1:6" x14ac:dyDescent="0.25">
      <c r="A32" t="s">
        <v>4052</v>
      </c>
      <c r="B32" t="s">
        <v>4053</v>
      </c>
      <c r="C32" t="s">
        <v>4054</v>
      </c>
      <c r="D32" s="7">
        <v>5</v>
      </c>
      <c r="E32" s="2">
        <v>13505.37</v>
      </c>
      <c r="F32" s="2">
        <v>675.27</v>
      </c>
    </row>
    <row r="33" spans="1:6" x14ac:dyDescent="0.25">
      <c r="A33" t="s">
        <v>4055</v>
      </c>
      <c r="D33" s="7"/>
      <c r="E33" s="2"/>
      <c r="F33" s="2">
        <f>SUBTOTAL(109,A_1_16_03[VALOR PARCIAL])</f>
      </c>
    </row>
    <row r="35" ht="30" customHeight="1" spans="1:6" x14ac:dyDescent="0.25">
      <c r="A35" s="5" t="s">
        <v>5739</v>
      </c>
      <c r="B35" s="5"/>
      <c r="C35" s="5"/>
      <c r="D35" s="5"/>
      <c r="E35" s="5"/>
      <c r="F35" s="5"/>
    </row>
    <row r="36" ht="42" customHeight="1" spans="1:6" x14ac:dyDescent="0.25">
      <c r="A36" s="6" t="s">
        <v>5740</v>
      </c>
      <c r="B36" s="6"/>
      <c r="C36" s="6"/>
      <c r="D36" s="6"/>
      <c r="E36" s="6"/>
      <c r="F36" s="6"/>
    </row>
    <row r="37" spans="1:6" x14ac:dyDescent="0.25">
      <c r="A37" t="s">
        <v>4044</v>
      </c>
      <c r="B37" t="s">
        <v>4045</v>
      </c>
      <c r="C37" t="s">
        <v>5</v>
      </c>
      <c r="D37" t="s">
        <v>4046</v>
      </c>
      <c r="E37" t="s">
        <v>4047</v>
      </c>
      <c r="F37" t="s">
        <v>4048</v>
      </c>
    </row>
    <row r="38" spans="1:6" x14ac:dyDescent="0.25">
      <c r="A38" t="s">
        <v>4062</v>
      </c>
      <c r="B38" t="s">
        <v>4690</v>
      </c>
      <c r="C38" t="s">
        <v>231</v>
      </c>
      <c r="D38" s="7">
        <v>0.5</v>
      </c>
      <c r="E38" s="2">
        <v>2025</v>
      </c>
      <c r="F38" s="2">
        <v>1012.5</v>
      </c>
    </row>
    <row r="39" spans="1:6" x14ac:dyDescent="0.25">
      <c r="A39" t="s">
        <v>4062</v>
      </c>
      <c r="B39" t="s">
        <v>4076</v>
      </c>
      <c r="C39" t="s">
        <v>3963</v>
      </c>
      <c r="D39" s="7">
        <v>2.85</v>
      </c>
      <c r="E39" s="2">
        <v>21</v>
      </c>
      <c r="F39" s="2">
        <v>59.85</v>
      </c>
    </row>
    <row r="40" spans="1:6" x14ac:dyDescent="0.25">
      <c r="A40" t="s">
        <v>4062</v>
      </c>
      <c r="B40" t="s">
        <v>5741</v>
      </c>
      <c r="C40" t="s">
        <v>63</v>
      </c>
      <c r="D40" s="7">
        <v>1</v>
      </c>
      <c r="E40" s="2">
        <v>279032</v>
      </c>
      <c r="F40" s="2">
        <v>279032</v>
      </c>
    </row>
    <row r="41" spans="1:6" x14ac:dyDescent="0.25">
      <c r="A41" t="s">
        <v>4049</v>
      </c>
      <c r="B41" t="s">
        <v>4241</v>
      </c>
      <c r="C41" t="s">
        <v>4051</v>
      </c>
      <c r="D41" s="7">
        <v>1.6</v>
      </c>
      <c r="E41" s="2">
        <v>9941.22</v>
      </c>
      <c r="F41" s="2">
        <v>15905.95</v>
      </c>
    </row>
    <row r="42" spans="1:6" x14ac:dyDescent="0.25">
      <c r="A42" t="s">
        <v>4049</v>
      </c>
      <c r="B42" t="s">
        <v>4242</v>
      </c>
      <c r="C42" t="s">
        <v>4051</v>
      </c>
      <c r="D42" s="7">
        <v>1.6</v>
      </c>
      <c r="E42" s="2">
        <v>17069.53</v>
      </c>
      <c r="F42" s="2">
        <v>27311.25</v>
      </c>
    </row>
    <row r="43" spans="1:6" x14ac:dyDescent="0.25">
      <c r="A43" t="s">
        <v>4052</v>
      </c>
      <c r="B43" t="s">
        <v>4053</v>
      </c>
      <c r="C43" t="s">
        <v>4054</v>
      </c>
      <c r="D43" s="7">
        <v>5</v>
      </c>
      <c r="E43" s="2">
        <v>43217.2</v>
      </c>
      <c r="F43" s="2">
        <v>2160.86</v>
      </c>
    </row>
    <row r="44" spans="1:6" x14ac:dyDescent="0.25">
      <c r="A44" t="s">
        <v>4055</v>
      </c>
      <c r="D44" s="7"/>
      <c r="E44" s="2"/>
      <c r="F44" s="2">
        <f>SUBTOTAL(109,A_1_16_04[VALOR PARCIAL])</f>
      </c>
    </row>
    <row r="46" ht="30" customHeight="1" spans="1:6" x14ac:dyDescent="0.25">
      <c r="A46" s="5" t="s">
        <v>5742</v>
      </c>
      <c r="B46" s="5"/>
      <c r="C46" s="5"/>
      <c r="D46" s="5"/>
      <c r="E46" s="5"/>
      <c r="F46" s="5"/>
    </row>
    <row r="47" ht="42" customHeight="1" spans="1:6" x14ac:dyDescent="0.25">
      <c r="A47" s="6" t="s">
        <v>5743</v>
      </c>
      <c r="B47" s="6"/>
      <c r="C47" s="6"/>
      <c r="D47" s="6"/>
      <c r="E47" s="6"/>
      <c r="F47" s="6"/>
    </row>
    <row r="48" spans="1:6" x14ac:dyDescent="0.25">
      <c r="A48" t="s">
        <v>4044</v>
      </c>
      <c r="B48" t="s">
        <v>4045</v>
      </c>
      <c r="C48" t="s">
        <v>5</v>
      </c>
      <c r="D48" t="s">
        <v>4046</v>
      </c>
      <c r="E48" t="s">
        <v>4047</v>
      </c>
      <c r="F48" t="s">
        <v>4048</v>
      </c>
    </row>
    <row r="49" spans="1:6" x14ac:dyDescent="0.25">
      <c r="A49" t="s">
        <v>4062</v>
      </c>
      <c r="B49" t="s">
        <v>4690</v>
      </c>
      <c r="C49" t="s">
        <v>231</v>
      </c>
      <c r="D49" s="7">
        <v>1</v>
      </c>
      <c r="E49" s="2">
        <v>2025</v>
      </c>
      <c r="F49" s="2">
        <v>2025</v>
      </c>
    </row>
    <row r="50" spans="1:6" x14ac:dyDescent="0.25">
      <c r="A50" t="s">
        <v>4062</v>
      </c>
      <c r="B50" t="s">
        <v>4076</v>
      </c>
      <c r="C50" t="s">
        <v>3963</v>
      </c>
      <c r="D50" s="7">
        <v>2.85</v>
      </c>
      <c r="E50" s="2">
        <v>21</v>
      </c>
      <c r="F50" s="2">
        <v>59.85</v>
      </c>
    </row>
    <row r="51" spans="1:6" x14ac:dyDescent="0.25">
      <c r="A51" t="s">
        <v>4062</v>
      </c>
      <c r="B51" t="s">
        <v>5744</v>
      </c>
      <c r="C51" t="s">
        <v>63</v>
      </c>
      <c r="D51" s="7">
        <v>1</v>
      </c>
      <c r="E51" s="2">
        <v>299923</v>
      </c>
      <c r="F51" s="2">
        <v>299923</v>
      </c>
    </row>
    <row r="52" spans="1:6" x14ac:dyDescent="0.25">
      <c r="A52" t="s">
        <v>4049</v>
      </c>
      <c r="B52" t="s">
        <v>4050</v>
      </c>
      <c r="C52" t="s">
        <v>4051</v>
      </c>
      <c r="D52" s="7">
        <v>1.6</v>
      </c>
      <c r="E52" s="2">
        <v>9037.33</v>
      </c>
      <c r="F52" s="2">
        <v>14459.73</v>
      </c>
    </row>
    <row r="53" spans="1:6" x14ac:dyDescent="0.25">
      <c r="A53" t="s">
        <v>4049</v>
      </c>
      <c r="B53" t="s">
        <v>4242</v>
      </c>
      <c r="C53" t="s">
        <v>4051</v>
      </c>
      <c r="D53" s="7">
        <v>1.6</v>
      </c>
      <c r="E53" s="2">
        <v>17069.53</v>
      </c>
      <c r="F53" s="2">
        <v>27311.25</v>
      </c>
    </row>
    <row r="54" spans="1:6" x14ac:dyDescent="0.25">
      <c r="A54" t="s">
        <v>4052</v>
      </c>
      <c r="B54" t="s">
        <v>4053</v>
      </c>
      <c r="C54" t="s">
        <v>4054</v>
      </c>
      <c r="D54" s="7">
        <v>5</v>
      </c>
      <c r="E54" s="2">
        <v>41770.98</v>
      </c>
      <c r="F54" s="2">
        <v>2088.55</v>
      </c>
    </row>
    <row r="55" spans="1:6" x14ac:dyDescent="0.25">
      <c r="A55" t="s">
        <v>4055</v>
      </c>
      <c r="D55" s="7"/>
      <c r="E55" s="2"/>
      <c r="F55" s="2">
        <f>SUBTOTAL(109,A_1_16_05[VALOR PARCIAL])</f>
      </c>
    </row>
    <row r="57" ht="30" customHeight="1" spans="1:6" x14ac:dyDescent="0.25">
      <c r="A57" s="5" t="s">
        <v>5745</v>
      </c>
      <c r="B57" s="5"/>
      <c r="C57" s="5"/>
      <c r="D57" s="5"/>
      <c r="E57" s="5"/>
      <c r="F57" s="5"/>
    </row>
    <row r="58" ht="42" customHeight="1" spans="1:6" x14ac:dyDescent="0.25">
      <c r="A58" s="6" t="s">
        <v>5746</v>
      </c>
      <c r="B58" s="6"/>
      <c r="C58" s="6"/>
      <c r="D58" s="6"/>
      <c r="E58" s="6"/>
      <c r="F58" s="6"/>
    </row>
    <row r="59" spans="1:6" x14ac:dyDescent="0.25">
      <c r="A59" t="s">
        <v>4044</v>
      </c>
      <c r="B59" t="s">
        <v>4045</v>
      </c>
      <c r="C59" t="s">
        <v>5</v>
      </c>
      <c r="D59" t="s">
        <v>4046</v>
      </c>
      <c r="E59" t="s">
        <v>4047</v>
      </c>
      <c r="F59" t="s">
        <v>4048</v>
      </c>
    </row>
    <row r="60" spans="1:6" x14ac:dyDescent="0.25">
      <c r="A60" t="s">
        <v>4062</v>
      </c>
      <c r="B60" t="s">
        <v>5747</v>
      </c>
      <c r="C60" t="s">
        <v>63</v>
      </c>
      <c r="D60" s="7">
        <v>1</v>
      </c>
      <c r="E60" s="2">
        <v>142000</v>
      </c>
      <c r="F60" s="2">
        <v>142000</v>
      </c>
    </row>
    <row r="61" spans="1:6" x14ac:dyDescent="0.25">
      <c r="A61" t="s">
        <v>4049</v>
      </c>
      <c r="B61" t="s">
        <v>5729</v>
      </c>
      <c r="C61" t="s">
        <v>287</v>
      </c>
      <c r="D61" s="7">
        <v>0.02</v>
      </c>
      <c r="E61" s="2">
        <v>3510.83</v>
      </c>
      <c r="F61" s="2">
        <v>70.22</v>
      </c>
    </row>
    <row r="62" spans="1:6" x14ac:dyDescent="0.25">
      <c r="A62" t="s">
        <v>4049</v>
      </c>
      <c r="B62" t="s">
        <v>4050</v>
      </c>
      <c r="C62" t="s">
        <v>4051</v>
      </c>
      <c r="D62" s="7">
        <v>0.5</v>
      </c>
      <c r="E62" s="2">
        <v>9037.33</v>
      </c>
      <c r="F62" s="2">
        <v>4518.66</v>
      </c>
    </row>
    <row r="63" spans="1:6" x14ac:dyDescent="0.25">
      <c r="A63" t="s">
        <v>4049</v>
      </c>
      <c r="B63" t="s">
        <v>4073</v>
      </c>
      <c r="C63" t="s">
        <v>4051</v>
      </c>
      <c r="D63" s="7">
        <v>0.5</v>
      </c>
      <c r="E63" s="2">
        <v>15517.89</v>
      </c>
      <c r="F63" s="2">
        <v>7758.94</v>
      </c>
    </row>
    <row r="64" spans="1:6" x14ac:dyDescent="0.25">
      <c r="A64" t="s">
        <v>4052</v>
      </c>
      <c r="B64" t="s">
        <v>4053</v>
      </c>
      <c r="C64" t="s">
        <v>4054</v>
      </c>
      <c r="D64" s="7">
        <v>5</v>
      </c>
      <c r="E64" s="2">
        <v>12277.6</v>
      </c>
      <c r="F64" s="2">
        <v>613.88</v>
      </c>
    </row>
    <row r="65" spans="1:6" x14ac:dyDescent="0.25">
      <c r="A65" t="s">
        <v>4055</v>
      </c>
      <c r="D65" s="7"/>
      <c r="E65" s="2"/>
      <c r="F65" s="2">
        <f>SUBTOTAL(109,A_1_16_06[VALOR PARCIAL])</f>
      </c>
    </row>
    <row r="67" ht="30" customHeight="1" spans="1:6" x14ac:dyDescent="0.25">
      <c r="A67" s="5" t="s">
        <v>5748</v>
      </c>
      <c r="B67" s="5"/>
      <c r="C67" s="5"/>
      <c r="D67" s="5"/>
      <c r="E67" s="5"/>
      <c r="F67" s="5"/>
    </row>
    <row r="68" ht="42" customHeight="1" spans="1:6" x14ac:dyDescent="0.25">
      <c r="A68" s="6" t="s">
        <v>5749</v>
      </c>
      <c r="B68" s="6"/>
      <c r="C68" s="6"/>
      <c r="D68" s="6"/>
      <c r="E68" s="6"/>
      <c r="F68" s="6"/>
    </row>
    <row r="69" spans="1:6" x14ac:dyDescent="0.25">
      <c r="A69" t="s">
        <v>4044</v>
      </c>
      <c r="B69" t="s">
        <v>4045</v>
      </c>
      <c r="C69" t="s">
        <v>5</v>
      </c>
      <c r="D69" t="s">
        <v>4046</v>
      </c>
      <c r="E69" t="s">
        <v>4047</v>
      </c>
      <c r="F69" t="s">
        <v>4048</v>
      </c>
    </row>
    <row r="70" spans="1:6" x14ac:dyDescent="0.25">
      <c r="A70" t="s">
        <v>4062</v>
      </c>
      <c r="B70" t="s">
        <v>5750</v>
      </c>
      <c r="C70" t="s">
        <v>63</v>
      </c>
      <c r="D70" s="7">
        <v>1</v>
      </c>
      <c r="E70" s="2">
        <v>245950</v>
      </c>
      <c r="F70" s="2">
        <v>245950</v>
      </c>
    </row>
    <row r="71" spans="1:6" x14ac:dyDescent="0.25">
      <c r="A71" t="s">
        <v>4049</v>
      </c>
      <c r="B71" t="s">
        <v>4050</v>
      </c>
      <c r="C71" t="s">
        <v>4051</v>
      </c>
      <c r="D71" s="7">
        <v>0.25</v>
      </c>
      <c r="E71" s="2">
        <v>9037.33</v>
      </c>
      <c r="F71" s="2">
        <v>2259.33</v>
      </c>
    </row>
    <row r="72" spans="1:6" x14ac:dyDescent="0.25">
      <c r="A72" t="s">
        <v>4049</v>
      </c>
      <c r="B72" t="s">
        <v>4073</v>
      </c>
      <c r="C72" t="s">
        <v>4051</v>
      </c>
      <c r="D72" s="7">
        <v>0.25</v>
      </c>
      <c r="E72" s="2">
        <v>15517.89</v>
      </c>
      <c r="F72" s="2">
        <v>3879.47</v>
      </c>
    </row>
    <row r="73" spans="1:6" x14ac:dyDescent="0.25">
      <c r="A73" t="s">
        <v>4052</v>
      </c>
      <c r="B73" t="s">
        <v>5729</v>
      </c>
      <c r="C73" t="s">
        <v>287</v>
      </c>
      <c r="D73" s="7">
        <v>0.2</v>
      </c>
      <c r="E73" s="2">
        <v>3510.83</v>
      </c>
      <c r="F73" s="2">
        <v>702.17</v>
      </c>
    </row>
    <row r="74" spans="1:6" x14ac:dyDescent="0.25">
      <c r="A74" t="s">
        <v>4052</v>
      </c>
      <c r="B74" t="s">
        <v>4053</v>
      </c>
      <c r="C74" t="s">
        <v>4054</v>
      </c>
      <c r="D74" s="7">
        <v>5</v>
      </c>
      <c r="E74" s="2">
        <v>6138.8</v>
      </c>
      <c r="F74" s="2">
        <v>306.94</v>
      </c>
    </row>
    <row r="75" spans="1:6" x14ac:dyDescent="0.25">
      <c r="A75" t="s">
        <v>4055</v>
      </c>
      <c r="D75" s="7"/>
      <c r="E75" s="2"/>
      <c r="F75" s="2">
        <f>SUBTOTAL(109,A_1_16_07[VALOR PARCIAL])</f>
      </c>
    </row>
    <row r="77" ht="30" customHeight="1" spans="1:6" x14ac:dyDescent="0.25">
      <c r="A77" s="5" t="s">
        <v>5751</v>
      </c>
      <c r="B77" s="5"/>
      <c r="C77" s="5"/>
      <c r="D77" s="5"/>
      <c r="E77" s="5"/>
      <c r="F77" s="5"/>
    </row>
    <row r="78" ht="42" customHeight="1" spans="1:6" x14ac:dyDescent="0.25">
      <c r="A78" s="6" t="s">
        <v>5752</v>
      </c>
      <c r="B78" s="6"/>
      <c r="C78" s="6"/>
      <c r="D78" s="6"/>
      <c r="E78" s="6"/>
      <c r="F78" s="6"/>
    </row>
    <row r="79" spans="1:6" x14ac:dyDescent="0.25">
      <c r="A79" t="s">
        <v>4044</v>
      </c>
      <c r="B79" t="s">
        <v>4045</v>
      </c>
      <c r="C79" t="s">
        <v>5</v>
      </c>
      <c r="D79" t="s">
        <v>4046</v>
      </c>
      <c r="E79" t="s">
        <v>4047</v>
      </c>
      <c r="F79" t="s">
        <v>4048</v>
      </c>
    </row>
    <row r="80" spans="1:6" x14ac:dyDescent="0.25">
      <c r="A80" t="s">
        <v>4062</v>
      </c>
      <c r="B80" t="s">
        <v>4690</v>
      </c>
      <c r="C80" t="s">
        <v>231</v>
      </c>
      <c r="D80" s="7">
        <v>1</v>
      </c>
      <c r="E80" s="2">
        <v>2025</v>
      </c>
      <c r="F80" s="2">
        <v>2025</v>
      </c>
    </row>
    <row r="81" spans="1:6" x14ac:dyDescent="0.25">
      <c r="A81" t="s">
        <v>4062</v>
      </c>
      <c r="B81" t="s">
        <v>5753</v>
      </c>
      <c r="C81" t="s">
        <v>63</v>
      </c>
      <c r="D81" s="7">
        <v>1</v>
      </c>
      <c r="E81" s="2">
        <v>781350</v>
      </c>
      <c r="F81" s="2">
        <v>781350</v>
      </c>
    </row>
    <row r="82" spans="1:6" x14ac:dyDescent="0.25">
      <c r="A82" t="s">
        <v>4049</v>
      </c>
      <c r="B82" t="s">
        <v>5729</v>
      </c>
      <c r="C82" t="s">
        <v>287</v>
      </c>
      <c r="D82" s="7">
        <v>0.2</v>
      </c>
      <c r="E82" s="2">
        <v>3510.83</v>
      </c>
      <c r="F82" s="2">
        <v>702.17</v>
      </c>
    </row>
    <row r="83" spans="1:6" x14ac:dyDescent="0.25">
      <c r="A83" t="s">
        <v>4049</v>
      </c>
      <c r="B83" t="s">
        <v>4050</v>
      </c>
      <c r="C83" t="s">
        <v>4051</v>
      </c>
      <c r="D83" s="7">
        <v>0.75</v>
      </c>
      <c r="E83" s="2">
        <v>9037.33</v>
      </c>
      <c r="F83" s="2">
        <v>6778</v>
      </c>
    </row>
    <row r="84" spans="1:6" x14ac:dyDescent="0.25">
      <c r="A84" t="s">
        <v>4049</v>
      </c>
      <c r="B84" t="s">
        <v>4242</v>
      </c>
      <c r="C84" t="s">
        <v>4051</v>
      </c>
      <c r="D84" s="7">
        <v>0.75</v>
      </c>
      <c r="E84" s="2">
        <v>17069.53</v>
      </c>
      <c r="F84" s="2">
        <v>12802.15</v>
      </c>
    </row>
    <row r="85" spans="1:6" x14ac:dyDescent="0.25">
      <c r="A85" t="s">
        <v>4052</v>
      </c>
      <c r="B85" t="s">
        <v>4053</v>
      </c>
      <c r="C85" t="s">
        <v>4054</v>
      </c>
      <c r="D85" s="7">
        <v>5</v>
      </c>
      <c r="E85" s="2">
        <v>19580.15</v>
      </c>
      <c r="F85" s="2">
        <v>979.01</v>
      </c>
    </row>
    <row r="86" spans="1:6" x14ac:dyDescent="0.25">
      <c r="A86" t="s">
        <v>4055</v>
      </c>
      <c r="D86" s="7"/>
      <c r="E86" s="2"/>
      <c r="F86" s="2">
        <f>SUBTOTAL(109,A_1_16_08[VALOR PARCIAL])</f>
      </c>
    </row>
    <row r="88" ht="30" customHeight="1" spans="1:6" x14ac:dyDescent="0.25">
      <c r="A88" s="5" t="s">
        <v>5754</v>
      </c>
      <c r="B88" s="5"/>
      <c r="C88" s="5"/>
      <c r="D88" s="5"/>
      <c r="E88" s="5"/>
      <c r="F88" s="5"/>
    </row>
    <row r="89" ht="42" customHeight="1" spans="1:6" x14ac:dyDescent="0.25">
      <c r="A89" s="6" t="s">
        <v>5755</v>
      </c>
      <c r="B89" s="6"/>
      <c r="C89" s="6"/>
      <c r="D89" s="6"/>
      <c r="E89" s="6"/>
      <c r="F89" s="6"/>
    </row>
    <row r="90" spans="1:6" x14ac:dyDescent="0.25">
      <c r="A90" t="s">
        <v>4044</v>
      </c>
      <c r="B90" t="s">
        <v>4045</v>
      </c>
      <c r="C90" t="s">
        <v>5</v>
      </c>
      <c r="D90" t="s">
        <v>4046</v>
      </c>
      <c r="E90" t="s">
        <v>4047</v>
      </c>
      <c r="F90" t="s">
        <v>4048</v>
      </c>
    </row>
    <row r="91" spans="1:6" x14ac:dyDescent="0.25">
      <c r="A91" t="s">
        <v>4062</v>
      </c>
      <c r="B91" t="s">
        <v>4691</v>
      </c>
      <c r="C91" t="s">
        <v>4532</v>
      </c>
      <c r="D91" s="7">
        <v>1</v>
      </c>
      <c r="E91" s="2">
        <v>748</v>
      </c>
      <c r="F91" s="2">
        <v>748</v>
      </c>
    </row>
    <row r="92" spans="1:6" x14ac:dyDescent="0.25">
      <c r="A92" t="s">
        <v>4062</v>
      </c>
      <c r="B92" t="s">
        <v>5756</v>
      </c>
      <c r="C92" t="s">
        <v>63</v>
      </c>
      <c r="D92" s="7">
        <v>1</v>
      </c>
      <c r="E92" s="2">
        <v>35950</v>
      </c>
      <c r="F92" s="2">
        <v>35950</v>
      </c>
    </row>
    <row r="93" spans="1:6" x14ac:dyDescent="0.25">
      <c r="A93" t="s">
        <v>4062</v>
      </c>
      <c r="B93" t="s">
        <v>4659</v>
      </c>
      <c r="C93" t="s">
        <v>4377</v>
      </c>
      <c r="D93" s="7">
        <v>0.01</v>
      </c>
      <c r="E93" s="2">
        <v>31500</v>
      </c>
      <c r="F93" s="2">
        <v>315</v>
      </c>
    </row>
    <row r="94" spans="1:6" x14ac:dyDescent="0.25">
      <c r="A94" t="s">
        <v>4062</v>
      </c>
      <c r="B94" t="s">
        <v>4376</v>
      </c>
      <c r="C94" t="s">
        <v>4377</v>
      </c>
      <c r="D94" s="7">
        <v>0.01</v>
      </c>
      <c r="E94" s="2">
        <v>72237.67</v>
      </c>
      <c r="F94" s="2">
        <v>722.38</v>
      </c>
    </row>
    <row r="95" spans="1:6" x14ac:dyDescent="0.25">
      <c r="A95" t="s">
        <v>4049</v>
      </c>
      <c r="B95" t="s">
        <v>4241</v>
      </c>
      <c r="C95" t="s">
        <v>4051</v>
      </c>
      <c r="D95" s="7">
        <v>0.3</v>
      </c>
      <c r="E95" s="2">
        <v>9941.22</v>
      </c>
      <c r="F95" s="2">
        <v>2982.37</v>
      </c>
    </row>
    <row r="96" spans="1:6" x14ac:dyDescent="0.25">
      <c r="A96" t="s">
        <v>4049</v>
      </c>
      <c r="B96" t="s">
        <v>4242</v>
      </c>
      <c r="C96" t="s">
        <v>4051</v>
      </c>
      <c r="D96" s="7">
        <v>0.3</v>
      </c>
      <c r="E96" s="2">
        <v>17069.53</v>
      </c>
      <c r="F96" s="2">
        <v>5120.86</v>
      </c>
    </row>
    <row r="97" spans="1:6" x14ac:dyDescent="0.25">
      <c r="A97" t="s">
        <v>4052</v>
      </c>
      <c r="B97" t="s">
        <v>4053</v>
      </c>
      <c r="C97" t="s">
        <v>4054</v>
      </c>
      <c r="D97" s="7">
        <v>5</v>
      </c>
      <c r="E97" s="2">
        <v>8103.23</v>
      </c>
      <c r="F97" s="2">
        <v>405.16</v>
      </c>
    </row>
    <row r="98" spans="1:6" x14ac:dyDescent="0.25">
      <c r="A98" t="s">
        <v>4055</v>
      </c>
      <c r="D98" s="7"/>
      <c r="E98" s="2"/>
      <c r="F98" s="2">
        <f>SUBTOTAL(109,A_1_16_09[VALOR PARCIAL])</f>
      </c>
    </row>
    <row r="100" ht="30" customHeight="1" spans="1:6" x14ac:dyDescent="0.25">
      <c r="A100" s="5" t="s">
        <v>5757</v>
      </c>
      <c r="B100" s="5"/>
      <c r="C100" s="5"/>
      <c r="D100" s="5"/>
      <c r="E100" s="5"/>
      <c r="F100" s="5"/>
    </row>
    <row r="101" ht="42" customHeight="1" spans="1:6" x14ac:dyDescent="0.25">
      <c r="A101" s="6" t="s">
        <v>5758</v>
      </c>
      <c r="B101" s="6"/>
      <c r="C101" s="6"/>
      <c r="D101" s="6"/>
      <c r="E101" s="6"/>
      <c r="F101" s="6"/>
    </row>
    <row r="102" spans="1:6" x14ac:dyDescent="0.25">
      <c r="A102" t="s">
        <v>4044</v>
      </c>
      <c r="B102" t="s">
        <v>4045</v>
      </c>
      <c r="C102" t="s">
        <v>5</v>
      </c>
      <c r="D102" t="s">
        <v>4046</v>
      </c>
      <c r="E102" t="s">
        <v>4047</v>
      </c>
      <c r="F102" t="s">
        <v>4048</v>
      </c>
    </row>
    <row r="103" spans="1:6" x14ac:dyDescent="0.25">
      <c r="A103" t="s">
        <v>4062</v>
      </c>
      <c r="B103" t="s">
        <v>4690</v>
      </c>
      <c r="C103" t="s">
        <v>231</v>
      </c>
      <c r="D103" s="7">
        <v>1</v>
      </c>
      <c r="E103" s="2">
        <v>2025</v>
      </c>
      <c r="F103" s="2">
        <v>2025</v>
      </c>
    </row>
    <row r="104" spans="1:6" x14ac:dyDescent="0.25">
      <c r="A104" t="s">
        <v>4062</v>
      </c>
      <c r="B104" t="s">
        <v>5759</v>
      </c>
      <c r="C104" t="s">
        <v>63</v>
      </c>
      <c r="D104" s="7">
        <v>1</v>
      </c>
      <c r="E104" s="2">
        <v>75850</v>
      </c>
      <c r="F104" s="2">
        <v>75850</v>
      </c>
    </row>
    <row r="105" spans="1:6" x14ac:dyDescent="0.25">
      <c r="A105" t="s">
        <v>4049</v>
      </c>
      <c r="B105" t="s">
        <v>4241</v>
      </c>
      <c r="C105" t="s">
        <v>4051</v>
      </c>
      <c r="D105" s="7">
        <v>1</v>
      </c>
      <c r="E105" s="2">
        <v>9941.22</v>
      </c>
      <c r="F105" s="2">
        <v>9941.22</v>
      </c>
    </row>
    <row r="106" spans="1:6" x14ac:dyDescent="0.25">
      <c r="A106" t="s">
        <v>4049</v>
      </c>
      <c r="B106" t="s">
        <v>4242</v>
      </c>
      <c r="C106" t="s">
        <v>4051</v>
      </c>
      <c r="D106" s="7">
        <v>1</v>
      </c>
      <c r="E106" s="2">
        <v>17069.53</v>
      </c>
      <c r="F106" s="2">
        <v>17069.53</v>
      </c>
    </row>
    <row r="107" spans="1:6" x14ac:dyDescent="0.25">
      <c r="A107" t="s">
        <v>4052</v>
      </c>
      <c r="B107" t="s">
        <v>4053</v>
      </c>
      <c r="C107" t="s">
        <v>4054</v>
      </c>
      <c r="D107" s="7">
        <v>5</v>
      </c>
      <c r="E107" s="2">
        <v>27010.75</v>
      </c>
      <c r="F107" s="2">
        <v>1350.54</v>
      </c>
    </row>
    <row r="108" spans="1:6" x14ac:dyDescent="0.25">
      <c r="A108" t="s">
        <v>4055</v>
      </c>
      <c r="D108" s="7"/>
      <c r="E108" s="2"/>
      <c r="F108" s="2">
        <f>SUBTOTAL(109,A_1_16_10[VALOR PARCIAL])</f>
      </c>
    </row>
    <row r="110" ht="30" customHeight="1" spans="1:6" x14ac:dyDescent="0.25">
      <c r="A110" s="5" t="s">
        <v>5760</v>
      </c>
      <c r="B110" s="5"/>
      <c r="C110" s="5"/>
      <c r="D110" s="5"/>
      <c r="E110" s="5"/>
      <c r="F110" s="5"/>
    </row>
    <row r="111" ht="42" customHeight="1" spans="1:6" x14ac:dyDescent="0.25">
      <c r="A111" s="6" t="s">
        <v>5761</v>
      </c>
      <c r="B111" s="6"/>
      <c r="C111" s="6"/>
      <c r="D111" s="6"/>
      <c r="E111" s="6"/>
      <c r="F111" s="6"/>
    </row>
    <row r="112" spans="1:6" x14ac:dyDescent="0.25">
      <c r="A112" t="s">
        <v>4044</v>
      </c>
      <c r="B112" t="s">
        <v>4045</v>
      </c>
      <c r="C112" t="s">
        <v>5</v>
      </c>
      <c r="D112" t="s">
        <v>4046</v>
      </c>
      <c r="E112" t="s">
        <v>4047</v>
      </c>
      <c r="F112" t="s">
        <v>4048</v>
      </c>
    </row>
    <row r="113" spans="1:6" x14ac:dyDescent="0.25">
      <c r="A113" t="s">
        <v>4062</v>
      </c>
      <c r="B113" t="s">
        <v>4690</v>
      </c>
      <c r="C113" t="s">
        <v>231</v>
      </c>
      <c r="D113" s="7">
        <v>1</v>
      </c>
      <c r="E113" s="2">
        <v>2025</v>
      </c>
      <c r="F113" s="2">
        <v>2025</v>
      </c>
    </row>
    <row r="114" spans="1:6" x14ac:dyDescent="0.25">
      <c r="A114" t="s">
        <v>4062</v>
      </c>
      <c r="B114" t="s">
        <v>5762</v>
      </c>
      <c r="C114" t="s">
        <v>63</v>
      </c>
      <c r="D114" s="7">
        <v>1</v>
      </c>
      <c r="E114" s="2">
        <v>263267</v>
      </c>
      <c r="F114" s="2">
        <v>263267</v>
      </c>
    </row>
    <row r="115" spans="1:6" x14ac:dyDescent="0.25">
      <c r="A115" t="s">
        <v>4049</v>
      </c>
      <c r="B115" t="s">
        <v>4241</v>
      </c>
      <c r="C115" t="s">
        <v>4051</v>
      </c>
      <c r="D115" s="7">
        <v>1</v>
      </c>
      <c r="E115" s="2">
        <v>9941.22</v>
      </c>
      <c r="F115" s="2">
        <v>9941.22</v>
      </c>
    </row>
    <row r="116" spans="1:6" x14ac:dyDescent="0.25">
      <c r="A116" t="s">
        <v>4049</v>
      </c>
      <c r="B116" t="s">
        <v>4242</v>
      </c>
      <c r="C116" t="s">
        <v>4051</v>
      </c>
      <c r="D116" s="7">
        <v>1</v>
      </c>
      <c r="E116" s="2">
        <v>17069.53</v>
      </c>
      <c r="F116" s="2">
        <v>17069.53</v>
      </c>
    </row>
    <row r="117" spans="1:6" x14ac:dyDescent="0.25">
      <c r="A117" t="s">
        <v>4052</v>
      </c>
      <c r="B117" t="s">
        <v>4053</v>
      </c>
      <c r="C117" t="s">
        <v>4054</v>
      </c>
      <c r="D117" s="7">
        <v>5</v>
      </c>
      <c r="E117" s="2">
        <v>27010.75</v>
      </c>
      <c r="F117" s="2">
        <v>1350.54</v>
      </c>
    </row>
    <row r="118" spans="1:6" x14ac:dyDescent="0.25">
      <c r="A118" t="s">
        <v>4055</v>
      </c>
      <c r="D118" s="7"/>
      <c r="E118" s="2"/>
      <c r="F118" s="2">
        <f>SUBTOTAL(109,A_1_16_11[VALOR PARCIAL])</f>
      </c>
    </row>
    <row r="120" ht="30" customHeight="1" spans="1:6" x14ac:dyDescent="0.25">
      <c r="A120" s="5" t="s">
        <v>5763</v>
      </c>
      <c r="B120" s="5"/>
      <c r="C120" s="5"/>
      <c r="D120" s="5"/>
      <c r="E120" s="5"/>
      <c r="F120" s="5"/>
    </row>
    <row r="121" ht="42" customHeight="1" spans="1:6" x14ac:dyDescent="0.25">
      <c r="A121" s="6" t="s">
        <v>5764</v>
      </c>
      <c r="B121" s="6"/>
      <c r="C121" s="6"/>
      <c r="D121" s="6"/>
      <c r="E121" s="6"/>
      <c r="F121" s="6"/>
    </row>
    <row r="122" spans="1:6" x14ac:dyDescent="0.25">
      <c r="A122" t="s">
        <v>4044</v>
      </c>
      <c r="B122" t="s">
        <v>4045</v>
      </c>
      <c r="C122" t="s">
        <v>5</v>
      </c>
      <c r="D122" t="s">
        <v>4046</v>
      </c>
      <c r="E122" t="s">
        <v>4047</v>
      </c>
      <c r="F122" t="s">
        <v>4048</v>
      </c>
    </row>
    <row r="123" spans="1:6" x14ac:dyDescent="0.25">
      <c r="A123" t="s">
        <v>4062</v>
      </c>
      <c r="B123" t="s">
        <v>4690</v>
      </c>
      <c r="C123" t="s">
        <v>231</v>
      </c>
      <c r="D123" s="7">
        <v>1</v>
      </c>
      <c r="E123" s="2">
        <v>2025</v>
      </c>
      <c r="F123" s="2">
        <v>2025</v>
      </c>
    </row>
    <row r="124" spans="1:6" x14ac:dyDescent="0.25">
      <c r="A124" t="s">
        <v>4062</v>
      </c>
      <c r="B124" t="s">
        <v>5765</v>
      </c>
      <c r="C124" t="s">
        <v>63</v>
      </c>
      <c r="D124" s="7">
        <v>1</v>
      </c>
      <c r="E124" s="2">
        <v>183832</v>
      </c>
      <c r="F124" s="2">
        <v>183832</v>
      </c>
    </row>
    <row r="125" spans="1:6" x14ac:dyDescent="0.25">
      <c r="A125" t="s">
        <v>4049</v>
      </c>
      <c r="B125" t="s">
        <v>4241</v>
      </c>
      <c r="C125" t="s">
        <v>4051</v>
      </c>
      <c r="D125" s="7">
        <v>1</v>
      </c>
      <c r="E125" s="2">
        <v>9941.22</v>
      </c>
      <c r="F125" s="2">
        <v>9941.22</v>
      </c>
    </row>
    <row r="126" spans="1:6" x14ac:dyDescent="0.25">
      <c r="A126" t="s">
        <v>4049</v>
      </c>
      <c r="B126" t="s">
        <v>4242</v>
      </c>
      <c r="C126" t="s">
        <v>4051</v>
      </c>
      <c r="D126" s="7">
        <v>1</v>
      </c>
      <c r="E126" s="2">
        <v>17069.53</v>
      </c>
      <c r="F126" s="2">
        <v>17069.53</v>
      </c>
    </row>
    <row r="127" spans="1:6" x14ac:dyDescent="0.25">
      <c r="A127" t="s">
        <v>4052</v>
      </c>
      <c r="B127" t="s">
        <v>4053</v>
      </c>
      <c r="C127" t="s">
        <v>4054</v>
      </c>
      <c r="D127" s="7">
        <v>5</v>
      </c>
      <c r="E127" s="2">
        <v>27010.75</v>
      </c>
      <c r="F127" s="2">
        <v>1350.54</v>
      </c>
    </row>
    <row r="128" spans="1:6" x14ac:dyDescent="0.25">
      <c r="A128" t="s">
        <v>4055</v>
      </c>
      <c r="D128" s="7"/>
      <c r="E128" s="2"/>
      <c r="F128" s="2">
        <f>SUBTOTAL(109,A_1_16_12[VALOR PARCIAL])</f>
      </c>
    </row>
    <row r="130" ht="30" customHeight="1" spans="1:6" x14ac:dyDescent="0.25">
      <c r="A130" s="5" t="s">
        <v>5766</v>
      </c>
      <c r="B130" s="5"/>
      <c r="C130" s="5"/>
      <c r="D130" s="5"/>
      <c r="E130" s="5"/>
      <c r="F130" s="5"/>
    </row>
    <row r="131" ht="42" customHeight="1" spans="1:6" x14ac:dyDescent="0.25">
      <c r="A131" s="6" t="s">
        <v>5767</v>
      </c>
      <c r="B131" s="6"/>
      <c r="C131" s="6"/>
      <c r="D131" s="6"/>
      <c r="E131" s="6"/>
      <c r="F131" s="6"/>
    </row>
    <row r="132" spans="1:6" x14ac:dyDescent="0.25">
      <c r="A132" t="s">
        <v>4044</v>
      </c>
      <c r="B132" t="s">
        <v>4045</v>
      </c>
      <c r="C132" t="s">
        <v>5</v>
      </c>
      <c r="D132" t="s">
        <v>4046</v>
      </c>
      <c r="E132" t="s">
        <v>4047</v>
      </c>
      <c r="F132" t="s">
        <v>4048</v>
      </c>
    </row>
    <row r="133" spans="1:6" x14ac:dyDescent="0.25">
      <c r="A133" t="s">
        <v>4062</v>
      </c>
      <c r="B133" t="s">
        <v>4690</v>
      </c>
      <c r="C133" t="s">
        <v>231</v>
      </c>
      <c r="D133" s="7">
        <v>1</v>
      </c>
      <c r="E133" s="2">
        <v>2025</v>
      </c>
      <c r="F133" s="2">
        <v>2025</v>
      </c>
    </row>
    <row r="134" spans="1:6" x14ac:dyDescent="0.25">
      <c r="A134" t="s">
        <v>4062</v>
      </c>
      <c r="B134" t="s">
        <v>5768</v>
      </c>
      <c r="C134" t="s">
        <v>63</v>
      </c>
      <c r="D134" s="7">
        <v>1</v>
      </c>
      <c r="E134" s="2">
        <v>194933</v>
      </c>
      <c r="F134" s="2">
        <v>194933</v>
      </c>
    </row>
    <row r="135" spans="1:6" x14ac:dyDescent="0.25">
      <c r="A135" t="s">
        <v>4049</v>
      </c>
      <c r="B135" t="s">
        <v>4050</v>
      </c>
      <c r="C135" t="s">
        <v>4051</v>
      </c>
      <c r="D135" s="7">
        <v>1.6</v>
      </c>
      <c r="E135" s="2">
        <v>9037.33</v>
      </c>
      <c r="F135" s="2">
        <v>14459.73</v>
      </c>
    </row>
    <row r="136" spans="1:6" x14ac:dyDescent="0.25">
      <c r="A136" t="s">
        <v>4049</v>
      </c>
      <c r="B136" t="s">
        <v>4242</v>
      </c>
      <c r="C136" t="s">
        <v>4051</v>
      </c>
      <c r="D136" s="7">
        <v>1.6</v>
      </c>
      <c r="E136" s="2">
        <v>17069.53</v>
      </c>
      <c r="F136" s="2">
        <v>27311.25</v>
      </c>
    </row>
    <row r="137" spans="1:6" x14ac:dyDescent="0.25">
      <c r="A137" t="s">
        <v>4052</v>
      </c>
      <c r="B137" t="s">
        <v>4053</v>
      </c>
      <c r="C137" t="s">
        <v>4054</v>
      </c>
      <c r="D137" s="7">
        <v>5</v>
      </c>
      <c r="E137" s="2">
        <v>41770.98</v>
      </c>
      <c r="F137" s="2">
        <v>2088.55</v>
      </c>
    </row>
    <row r="138" spans="1:6" x14ac:dyDescent="0.25">
      <c r="A138" t="s">
        <v>4055</v>
      </c>
      <c r="D138" s="7"/>
      <c r="E138" s="2"/>
      <c r="F138" s="2">
        <f>SUBTOTAL(109,A_1_16_13[VALOR PARCIAL])</f>
      </c>
    </row>
    <row r="140" ht="30" customHeight="1" spans="1:6" x14ac:dyDescent="0.25">
      <c r="A140" s="5" t="s">
        <v>5769</v>
      </c>
      <c r="B140" s="5"/>
      <c r="C140" s="5"/>
      <c r="D140" s="5"/>
      <c r="E140" s="5"/>
      <c r="F140" s="5"/>
    </row>
    <row r="141" ht="42" customHeight="1" spans="1:6" x14ac:dyDescent="0.25">
      <c r="A141" s="6" t="s">
        <v>5770</v>
      </c>
      <c r="B141" s="6"/>
      <c r="C141" s="6"/>
      <c r="D141" s="6"/>
      <c r="E141" s="6"/>
      <c r="F141" s="6"/>
    </row>
    <row r="142" spans="1:6" x14ac:dyDescent="0.25">
      <c r="A142" t="s">
        <v>4044</v>
      </c>
      <c r="B142" t="s">
        <v>4045</v>
      </c>
      <c r="C142" t="s">
        <v>5</v>
      </c>
      <c r="D142" t="s">
        <v>4046</v>
      </c>
      <c r="E142" t="s">
        <v>4047</v>
      </c>
      <c r="F142" t="s">
        <v>4048</v>
      </c>
    </row>
    <row r="143" spans="1:6" x14ac:dyDescent="0.25">
      <c r="A143" t="s">
        <v>4062</v>
      </c>
      <c r="B143" t="s">
        <v>4690</v>
      </c>
      <c r="C143" t="s">
        <v>231</v>
      </c>
      <c r="D143" s="7">
        <v>1</v>
      </c>
      <c r="E143" s="2">
        <v>2025</v>
      </c>
      <c r="F143" s="2">
        <v>2025</v>
      </c>
    </row>
    <row r="144" spans="1:6" x14ac:dyDescent="0.25">
      <c r="A144" t="s">
        <v>4062</v>
      </c>
      <c r="B144" t="s">
        <v>5771</v>
      </c>
      <c r="C144" t="s">
        <v>63</v>
      </c>
      <c r="D144" s="7">
        <v>1</v>
      </c>
      <c r="E144" s="2">
        <v>476433</v>
      </c>
      <c r="F144" s="2">
        <v>476433</v>
      </c>
    </row>
    <row r="145" spans="1:6" x14ac:dyDescent="0.25">
      <c r="A145" t="s">
        <v>4049</v>
      </c>
      <c r="B145" t="s">
        <v>4050</v>
      </c>
      <c r="C145" t="s">
        <v>4051</v>
      </c>
      <c r="D145" s="7">
        <v>1.6</v>
      </c>
      <c r="E145" s="2">
        <v>9037.33</v>
      </c>
      <c r="F145" s="2">
        <v>14459.73</v>
      </c>
    </row>
    <row r="146" spans="1:6" x14ac:dyDescent="0.25">
      <c r="A146" t="s">
        <v>4049</v>
      </c>
      <c r="B146" t="s">
        <v>4242</v>
      </c>
      <c r="C146" t="s">
        <v>4051</v>
      </c>
      <c r="D146" s="7">
        <v>1.6</v>
      </c>
      <c r="E146" s="2">
        <v>17069.53</v>
      </c>
      <c r="F146" s="2">
        <v>27311.25</v>
      </c>
    </row>
    <row r="147" spans="1:6" x14ac:dyDescent="0.25">
      <c r="A147" t="s">
        <v>4052</v>
      </c>
      <c r="B147" t="s">
        <v>4053</v>
      </c>
      <c r="C147" t="s">
        <v>4054</v>
      </c>
      <c r="D147" s="7">
        <v>5</v>
      </c>
      <c r="E147" s="2">
        <v>41770.98</v>
      </c>
      <c r="F147" s="2">
        <v>2088.55</v>
      </c>
    </row>
    <row r="148" spans="1:6" x14ac:dyDescent="0.25">
      <c r="A148" t="s">
        <v>4055</v>
      </c>
      <c r="D148" s="7"/>
      <c r="E148" s="2"/>
      <c r="F148" s="2">
        <f>SUBTOTAL(109,A_1_16_14[VALOR PARCIAL])</f>
      </c>
    </row>
    <row r="150" ht="30" customHeight="1" spans="1:6" x14ac:dyDescent="0.25">
      <c r="A150" s="5" t="s">
        <v>5772</v>
      </c>
      <c r="B150" s="5"/>
      <c r="C150" s="5"/>
      <c r="D150" s="5"/>
      <c r="E150" s="5"/>
      <c r="F150" s="5"/>
    </row>
    <row r="151" ht="42" customHeight="1" spans="1:6" x14ac:dyDescent="0.25">
      <c r="A151" s="6" t="s">
        <v>5773</v>
      </c>
      <c r="B151" s="6"/>
      <c r="C151" s="6"/>
      <c r="D151" s="6"/>
      <c r="E151" s="6"/>
      <c r="F151" s="6"/>
    </row>
    <row r="152" spans="1:6" x14ac:dyDescent="0.25">
      <c r="A152" t="s">
        <v>4044</v>
      </c>
      <c r="B152" t="s">
        <v>4045</v>
      </c>
      <c r="C152" t="s">
        <v>5</v>
      </c>
      <c r="D152" t="s">
        <v>4046</v>
      </c>
      <c r="E152" t="s">
        <v>4047</v>
      </c>
      <c r="F152" t="s">
        <v>4048</v>
      </c>
    </row>
    <row r="153" spans="1:6" x14ac:dyDescent="0.25">
      <c r="A153" t="s">
        <v>4062</v>
      </c>
      <c r="B153" t="s">
        <v>4690</v>
      </c>
      <c r="C153" t="s">
        <v>231</v>
      </c>
      <c r="D153" s="7">
        <v>1</v>
      </c>
      <c r="E153" s="2">
        <v>2025</v>
      </c>
      <c r="F153" s="2">
        <v>2025</v>
      </c>
    </row>
    <row r="154" spans="1:6" x14ac:dyDescent="0.25">
      <c r="A154" t="s">
        <v>4062</v>
      </c>
      <c r="B154" t="s">
        <v>5774</v>
      </c>
      <c r="C154" t="s">
        <v>63</v>
      </c>
      <c r="D154" s="7">
        <v>1</v>
      </c>
      <c r="E154" s="2">
        <v>581193</v>
      </c>
      <c r="F154" s="2">
        <v>581193</v>
      </c>
    </row>
    <row r="155" spans="1:6" x14ac:dyDescent="0.25">
      <c r="A155" t="s">
        <v>4049</v>
      </c>
      <c r="B155" t="s">
        <v>4050</v>
      </c>
      <c r="C155" t="s">
        <v>4051</v>
      </c>
      <c r="D155" s="7">
        <v>1.6</v>
      </c>
      <c r="E155" s="2">
        <v>9037.33</v>
      </c>
      <c r="F155" s="2">
        <v>14459.73</v>
      </c>
    </row>
    <row r="156" spans="1:6" x14ac:dyDescent="0.25">
      <c r="A156" t="s">
        <v>4049</v>
      </c>
      <c r="B156" t="s">
        <v>4242</v>
      </c>
      <c r="C156" t="s">
        <v>4051</v>
      </c>
      <c r="D156" s="7">
        <v>1.6</v>
      </c>
      <c r="E156" s="2">
        <v>17069.53</v>
      </c>
      <c r="F156" s="2">
        <v>27311.25</v>
      </c>
    </row>
    <row r="157" spans="1:6" x14ac:dyDescent="0.25">
      <c r="A157" t="s">
        <v>4052</v>
      </c>
      <c r="B157" t="s">
        <v>4053</v>
      </c>
      <c r="C157" t="s">
        <v>4054</v>
      </c>
      <c r="D157" s="7">
        <v>5</v>
      </c>
      <c r="E157" s="2">
        <v>41770.98</v>
      </c>
      <c r="F157" s="2">
        <v>2088.55</v>
      </c>
    </row>
    <row r="158" spans="1:6" x14ac:dyDescent="0.25">
      <c r="A158" t="s">
        <v>4055</v>
      </c>
      <c r="D158" s="7"/>
      <c r="E158" s="2"/>
      <c r="F158" s="2">
        <f>SUBTOTAL(109,A_1_16_15[VALOR PARCIAL])</f>
      </c>
    </row>
    <row r="160" ht="30" customHeight="1" spans="1:6" x14ac:dyDescent="0.25">
      <c r="A160" s="5" t="s">
        <v>5775</v>
      </c>
      <c r="B160" s="5"/>
      <c r="C160" s="5"/>
      <c r="D160" s="5"/>
      <c r="E160" s="5"/>
      <c r="F160" s="5"/>
    </row>
    <row r="161" ht="42" customHeight="1" spans="1:6" x14ac:dyDescent="0.25">
      <c r="A161" s="6" t="s">
        <v>5776</v>
      </c>
      <c r="B161" s="6"/>
      <c r="C161" s="6"/>
      <c r="D161" s="6"/>
      <c r="E161" s="6"/>
      <c r="F161" s="6"/>
    </row>
    <row r="162" spans="1:6" x14ac:dyDescent="0.25">
      <c r="A162" t="s">
        <v>4044</v>
      </c>
      <c r="B162" t="s">
        <v>4045</v>
      </c>
      <c r="C162" t="s">
        <v>5</v>
      </c>
      <c r="D162" t="s">
        <v>4046</v>
      </c>
      <c r="E162" t="s">
        <v>4047</v>
      </c>
      <c r="F162" t="s">
        <v>4048</v>
      </c>
    </row>
    <row r="163" spans="1:6" x14ac:dyDescent="0.25">
      <c r="A163" t="s">
        <v>4062</v>
      </c>
      <c r="B163" t="s">
        <v>5777</v>
      </c>
      <c r="C163" t="s">
        <v>63</v>
      </c>
      <c r="D163" s="7">
        <v>1</v>
      </c>
      <c r="E163" s="2">
        <v>46225.57</v>
      </c>
      <c r="F163" s="2">
        <v>46225.57</v>
      </c>
    </row>
    <row r="164" spans="1:6" x14ac:dyDescent="0.25">
      <c r="A164" t="s">
        <v>4049</v>
      </c>
      <c r="B164" t="s">
        <v>4050</v>
      </c>
      <c r="C164" t="s">
        <v>4051</v>
      </c>
      <c r="D164" s="7">
        <v>0.5</v>
      </c>
      <c r="E164" s="2">
        <v>9037.33</v>
      </c>
      <c r="F164" s="2">
        <v>4518.66</v>
      </c>
    </row>
    <row r="165" spans="1:6" x14ac:dyDescent="0.25">
      <c r="A165" t="s">
        <v>4049</v>
      </c>
      <c r="B165" t="s">
        <v>4073</v>
      </c>
      <c r="C165" t="s">
        <v>4051</v>
      </c>
      <c r="D165" s="7">
        <v>0.5</v>
      </c>
      <c r="E165" s="2">
        <v>15517.89</v>
      </c>
      <c r="F165" s="2">
        <v>7758.94</v>
      </c>
    </row>
    <row r="166" spans="1:6" x14ac:dyDescent="0.25">
      <c r="A166" t="s">
        <v>4052</v>
      </c>
      <c r="B166" t="s">
        <v>4053</v>
      </c>
      <c r="C166" t="s">
        <v>4054</v>
      </c>
      <c r="D166" s="7">
        <v>5</v>
      </c>
      <c r="E166" s="2">
        <v>12277.6</v>
      </c>
      <c r="F166" s="2">
        <v>613.88</v>
      </c>
    </row>
    <row r="167" spans="1:6" x14ac:dyDescent="0.25">
      <c r="A167" t="s">
        <v>4055</v>
      </c>
      <c r="D167" s="7"/>
      <c r="E167" s="2"/>
      <c r="F167" s="2">
        <f>SUBTOTAL(109,A_1_16_16[VALOR PARCIAL])</f>
      </c>
    </row>
    <row r="169" ht="30" customHeight="1" spans="1:6" x14ac:dyDescent="0.25">
      <c r="A169" s="5" t="s">
        <v>5778</v>
      </c>
      <c r="B169" s="5"/>
      <c r="C169" s="5"/>
      <c r="D169" s="5"/>
      <c r="E169" s="5"/>
      <c r="F169" s="5"/>
    </row>
    <row r="170" ht="42" customHeight="1" spans="1:6" x14ac:dyDescent="0.25">
      <c r="A170" s="6" t="s">
        <v>5779</v>
      </c>
      <c r="B170" s="6"/>
      <c r="C170" s="6"/>
      <c r="D170" s="6"/>
      <c r="E170" s="6"/>
      <c r="F170" s="6"/>
    </row>
    <row r="171" spans="1:6" x14ac:dyDescent="0.25">
      <c r="A171" t="s">
        <v>4044</v>
      </c>
      <c r="B171" t="s">
        <v>4045</v>
      </c>
      <c r="C171" t="s">
        <v>5</v>
      </c>
      <c r="D171" t="s">
        <v>4046</v>
      </c>
      <c r="E171" t="s">
        <v>4047</v>
      </c>
      <c r="F171" t="s">
        <v>4048</v>
      </c>
    </row>
    <row r="172" spans="1:6" x14ac:dyDescent="0.25">
      <c r="A172" t="s">
        <v>4062</v>
      </c>
      <c r="B172" t="s">
        <v>5780</v>
      </c>
      <c r="C172" t="s">
        <v>63</v>
      </c>
      <c r="D172" s="7">
        <v>1</v>
      </c>
      <c r="E172" s="2">
        <v>120100</v>
      </c>
      <c r="F172" s="2">
        <v>120100</v>
      </c>
    </row>
    <row r="173" spans="1:6" x14ac:dyDescent="0.25">
      <c r="A173" t="s">
        <v>4049</v>
      </c>
      <c r="B173" t="s">
        <v>4050</v>
      </c>
      <c r="C173" t="s">
        <v>4051</v>
      </c>
      <c r="D173" s="7">
        <v>0.2</v>
      </c>
      <c r="E173" s="2">
        <v>9037.33</v>
      </c>
      <c r="F173" s="2">
        <v>1807.47</v>
      </c>
    </row>
    <row r="174" spans="1:6" x14ac:dyDescent="0.25">
      <c r="A174" t="s">
        <v>4049</v>
      </c>
      <c r="B174" t="s">
        <v>4073</v>
      </c>
      <c r="C174" t="s">
        <v>4051</v>
      </c>
      <c r="D174" s="7">
        <v>0.2</v>
      </c>
      <c r="E174" s="2">
        <v>15517.89</v>
      </c>
      <c r="F174" s="2">
        <v>3103.58</v>
      </c>
    </row>
    <row r="175" spans="1:6" x14ac:dyDescent="0.25">
      <c r="A175" t="s">
        <v>4052</v>
      </c>
      <c r="B175" t="s">
        <v>5729</v>
      </c>
      <c r="C175" t="s">
        <v>287</v>
      </c>
      <c r="D175" s="7">
        <v>0.15</v>
      </c>
      <c r="E175" s="2">
        <v>3510.83</v>
      </c>
      <c r="F175" s="2">
        <v>526.62</v>
      </c>
    </row>
    <row r="176" spans="1:6" x14ac:dyDescent="0.25">
      <c r="A176" t="s">
        <v>4052</v>
      </c>
      <c r="B176" t="s">
        <v>4053</v>
      </c>
      <c r="C176" t="s">
        <v>4054</v>
      </c>
      <c r="D176" s="7">
        <v>5</v>
      </c>
      <c r="E176" s="2">
        <v>4911.05</v>
      </c>
      <c r="F176" s="2">
        <v>245.55</v>
      </c>
    </row>
    <row r="177" spans="1:6" x14ac:dyDescent="0.25">
      <c r="A177" t="s">
        <v>4055</v>
      </c>
      <c r="D177" s="7"/>
      <c r="E177" s="2"/>
      <c r="F177" s="2">
        <f>SUBTOTAL(109,A_1_16_17[VALOR PARCIAL])</f>
      </c>
    </row>
    <row r="179" ht="30" customHeight="1" spans="1:6" x14ac:dyDescent="0.25">
      <c r="A179" s="5" t="s">
        <v>5781</v>
      </c>
      <c r="B179" s="5"/>
      <c r="C179" s="5"/>
      <c r="D179" s="5"/>
      <c r="E179" s="5"/>
      <c r="F179" s="5"/>
    </row>
    <row r="180" ht="42" customHeight="1" spans="1:6" x14ac:dyDescent="0.25">
      <c r="A180" s="6" t="s">
        <v>5782</v>
      </c>
      <c r="B180" s="6"/>
      <c r="C180" s="6"/>
      <c r="D180" s="6"/>
      <c r="E180" s="6"/>
      <c r="F180" s="6"/>
    </row>
    <row r="181" spans="1:6" x14ac:dyDescent="0.25">
      <c r="A181" t="s">
        <v>4044</v>
      </c>
      <c r="B181" t="s">
        <v>4045</v>
      </c>
      <c r="C181" t="s">
        <v>5</v>
      </c>
      <c r="D181" t="s">
        <v>4046</v>
      </c>
      <c r="E181" t="s">
        <v>4047</v>
      </c>
      <c r="F181" t="s">
        <v>4048</v>
      </c>
    </row>
    <row r="182" spans="1:6" x14ac:dyDescent="0.25">
      <c r="A182" t="s">
        <v>4062</v>
      </c>
      <c r="B182" t="s">
        <v>5783</v>
      </c>
      <c r="C182" t="s">
        <v>63</v>
      </c>
      <c r="D182" s="7">
        <v>1</v>
      </c>
      <c r="E182" s="2">
        <v>163200</v>
      </c>
      <c r="F182" s="2">
        <v>163200</v>
      </c>
    </row>
    <row r="183" spans="1:6" x14ac:dyDescent="0.25">
      <c r="A183" t="s">
        <v>4049</v>
      </c>
      <c r="B183" t="s">
        <v>4050</v>
      </c>
      <c r="C183" t="s">
        <v>4051</v>
      </c>
      <c r="D183" s="7">
        <v>0.2</v>
      </c>
      <c r="E183" s="2">
        <v>9037.33</v>
      </c>
      <c r="F183" s="2">
        <v>1807.47</v>
      </c>
    </row>
    <row r="184" spans="1:6" x14ac:dyDescent="0.25">
      <c r="A184" t="s">
        <v>4049</v>
      </c>
      <c r="B184" t="s">
        <v>4073</v>
      </c>
      <c r="C184" t="s">
        <v>4051</v>
      </c>
      <c r="D184" s="7">
        <v>0.2</v>
      </c>
      <c r="E184" s="2">
        <v>15517.89</v>
      </c>
      <c r="F184" s="2">
        <v>3103.58</v>
      </c>
    </row>
    <row r="185" spans="1:6" x14ac:dyDescent="0.25">
      <c r="A185" t="s">
        <v>4052</v>
      </c>
      <c r="B185" t="s">
        <v>5729</v>
      </c>
      <c r="C185" t="s">
        <v>287</v>
      </c>
      <c r="D185" s="7">
        <v>0.15</v>
      </c>
      <c r="E185" s="2">
        <v>3510.83</v>
      </c>
      <c r="F185" s="2">
        <v>526.62</v>
      </c>
    </row>
    <row r="186" spans="1:6" x14ac:dyDescent="0.25">
      <c r="A186" t="s">
        <v>4052</v>
      </c>
      <c r="B186" t="s">
        <v>4053</v>
      </c>
      <c r="C186" t="s">
        <v>4054</v>
      </c>
      <c r="D186" s="7">
        <v>5</v>
      </c>
      <c r="E186" s="2">
        <v>4911.05</v>
      </c>
      <c r="F186" s="2">
        <v>245.55</v>
      </c>
    </row>
    <row r="187" spans="1:6" x14ac:dyDescent="0.25">
      <c r="A187" t="s">
        <v>4055</v>
      </c>
      <c r="D187" s="7"/>
      <c r="E187" s="2"/>
      <c r="F187" s="2">
        <f>SUBTOTAL(109,A_1_16_18[VALOR PARCIAL])</f>
      </c>
    </row>
    <row r="189" ht="30" customHeight="1" spans="1:6" x14ac:dyDescent="0.25">
      <c r="A189" s="5" t="s">
        <v>5784</v>
      </c>
      <c r="B189" s="5"/>
      <c r="C189" s="5"/>
      <c r="D189" s="5"/>
      <c r="E189" s="5"/>
      <c r="F189" s="5"/>
    </row>
    <row r="190" ht="42" customHeight="1" spans="1:6" x14ac:dyDescent="0.25">
      <c r="A190" s="6" t="s">
        <v>5785</v>
      </c>
      <c r="B190" s="6"/>
      <c r="C190" s="6"/>
      <c r="D190" s="6"/>
      <c r="E190" s="6"/>
      <c r="F190" s="6"/>
    </row>
    <row r="191" spans="1:6" x14ac:dyDescent="0.25">
      <c r="A191" t="s">
        <v>4044</v>
      </c>
      <c r="B191" t="s">
        <v>4045</v>
      </c>
      <c r="C191" t="s">
        <v>5</v>
      </c>
      <c r="D191" t="s">
        <v>4046</v>
      </c>
      <c r="E191" t="s">
        <v>4047</v>
      </c>
      <c r="F191" t="s">
        <v>4048</v>
      </c>
    </row>
    <row r="192" spans="1:6" x14ac:dyDescent="0.25">
      <c r="A192" t="s">
        <v>4062</v>
      </c>
      <c r="B192" t="s">
        <v>5786</v>
      </c>
      <c r="C192" t="s">
        <v>63</v>
      </c>
      <c r="D192" s="7">
        <v>1</v>
      </c>
      <c r="E192" s="2">
        <v>531850</v>
      </c>
      <c r="F192" s="2">
        <v>531850</v>
      </c>
    </row>
    <row r="193" spans="1:6" x14ac:dyDescent="0.25">
      <c r="A193" t="s">
        <v>4049</v>
      </c>
      <c r="B193" t="s">
        <v>4050</v>
      </c>
      <c r="C193" t="s">
        <v>4051</v>
      </c>
      <c r="D193" s="7">
        <v>0.25</v>
      </c>
      <c r="E193" s="2">
        <v>9037.33</v>
      </c>
      <c r="F193" s="2">
        <v>2259.33</v>
      </c>
    </row>
    <row r="194" spans="1:6" x14ac:dyDescent="0.25">
      <c r="A194" t="s">
        <v>4049</v>
      </c>
      <c r="B194" t="s">
        <v>4073</v>
      </c>
      <c r="C194" t="s">
        <v>4051</v>
      </c>
      <c r="D194" s="7">
        <v>0.25</v>
      </c>
      <c r="E194" s="2">
        <v>15517.89</v>
      </c>
      <c r="F194" s="2">
        <v>3879.47</v>
      </c>
    </row>
    <row r="195" spans="1:6" x14ac:dyDescent="0.25">
      <c r="A195" t="s">
        <v>4052</v>
      </c>
      <c r="B195" t="s">
        <v>5729</v>
      </c>
      <c r="C195" t="s">
        <v>287</v>
      </c>
      <c r="D195" s="7">
        <v>0.2</v>
      </c>
      <c r="E195" s="2">
        <v>3510.83</v>
      </c>
      <c r="F195" s="2">
        <v>702.17</v>
      </c>
    </row>
    <row r="196" spans="1:6" x14ac:dyDescent="0.25">
      <c r="A196" t="s">
        <v>4052</v>
      </c>
      <c r="B196" t="s">
        <v>4053</v>
      </c>
      <c r="C196" t="s">
        <v>4054</v>
      </c>
      <c r="D196" s="7">
        <v>5</v>
      </c>
      <c r="E196" s="2">
        <v>6138.8</v>
      </c>
      <c r="F196" s="2">
        <v>306.94</v>
      </c>
    </row>
    <row r="197" spans="1:6" x14ac:dyDescent="0.25">
      <c r="A197" t="s">
        <v>4055</v>
      </c>
      <c r="D197" s="7"/>
      <c r="E197" s="2"/>
      <c r="F197" s="2">
        <f>SUBTOTAL(109,A_1_16_19[VALOR PARCIAL])</f>
      </c>
    </row>
    <row r="199" ht="30" customHeight="1" spans="1:6" x14ac:dyDescent="0.25">
      <c r="A199" s="5" t="s">
        <v>5787</v>
      </c>
      <c r="B199" s="5"/>
      <c r="C199" s="5"/>
      <c r="D199" s="5"/>
      <c r="E199" s="5"/>
      <c r="F199" s="5"/>
    </row>
    <row r="200" ht="42" customHeight="1" spans="1:6" x14ac:dyDescent="0.25">
      <c r="A200" s="6" t="s">
        <v>5788</v>
      </c>
      <c r="B200" s="6"/>
      <c r="C200" s="6"/>
      <c r="D200" s="6"/>
      <c r="E200" s="6"/>
      <c r="F200" s="6"/>
    </row>
    <row r="201" spans="1:6" x14ac:dyDescent="0.25">
      <c r="A201" t="s">
        <v>4044</v>
      </c>
      <c r="B201" t="s">
        <v>4045</v>
      </c>
      <c r="C201" t="s">
        <v>5</v>
      </c>
      <c r="D201" t="s">
        <v>4046</v>
      </c>
      <c r="E201" t="s">
        <v>4047</v>
      </c>
      <c r="F201" t="s">
        <v>4048</v>
      </c>
    </row>
    <row r="202" spans="1:6" x14ac:dyDescent="0.25">
      <c r="A202" t="s">
        <v>4062</v>
      </c>
      <c r="B202" t="s">
        <v>5789</v>
      </c>
      <c r="C202" t="s">
        <v>63</v>
      </c>
      <c r="D202" s="7">
        <v>1</v>
      </c>
      <c r="E202" s="2">
        <v>753950</v>
      </c>
      <c r="F202" s="2">
        <v>753950</v>
      </c>
    </row>
    <row r="203" spans="1:6" x14ac:dyDescent="0.25">
      <c r="A203" t="s">
        <v>4049</v>
      </c>
      <c r="B203" t="s">
        <v>4050</v>
      </c>
      <c r="C203" t="s">
        <v>4051</v>
      </c>
      <c r="D203" s="7">
        <v>0.3</v>
      </c>
      <c r="E203" s="2">
        <v>9037.33</v>
      </c>
      <c r="F203" s="2">
        <v>2711.2</v>
      </c>
    </row>
    <row r="204" spans="1:6" x14ac:dyDescent="0.25">
      <c r="A204" t="s">
        <v>4049</v>
      </c>
      <c r="B204" t="s">
        <v>4073</v>
      </c>
      <c r="C204" t="s">
        <v>4051</v>
      </c>
      <c r="D204" s="7">
        <v>0.3</v>
      </c>
      <c r="E204" s="2">
        <v>15517.89</v>
      </c>
      <c r="F204" s="2">
        <v>4655.37</v>
      </c>
    </row>
    <row r="205" spans="1:6" x14ac:dyDescent="0.25">
      <c r="A205" t="s">
        <v>4052</v>
      </c>
      <c r="B205" t="s">
        <v>5729</v>
      </c>
      <c r="C205" t="s">
        <v>287</v>
      </c>
      <c r="D205" s="7">
        <v>0.25</v>
      </c>
      <c r="E205" s="2">
        <v>3510.83</v>
      </c>
      <c r="F205" s="2">
        <v>877.71</v>
      </c>
    </row>
    <row r="206" spans="1:6" x14ac:dyDescent="0.25">
      <c r="A206" t="s">
        <v>4052</v>
      </c>
      <c r="B206" t="s">
        <v>4053</v>
      </c>
      <c r="C206" t="s">
        <v>4054</v>
      </c>
      <c r="D206" s="7">
        <v>5</v>
      </c>
      <c r="E206" s="2">
        <v>7366.57</v>
      </c>
      <c r="F206" s="2">
        <v>368.33</v>
      </c>
    </row>
    <row r="207" spans="1:6" x14ac:dyDescent="0.25">
      <c r="A207" t="s">
        <v>4055</v>
      </c>
      <c r="D207" s="7"/>
      <c r="E207" s="2"/>
      <c r="F207" s="2">
        <f>SUBTOTAL(109,A_1_16_20[VALOR PARCIAL])</f>
      </c>
    </row>
    <row r="209" ht="30" customHeight="1" spans="1:6" x14ac:dyDescent="0.25">
      <c r="A209" s="5" t="s">
        <v>5790</v>
      </c>
      <c r="B209" s="5"/>
      <c r="C209" s="5"/>
      <c r="D209" s="5"/>
      <c r="E209" s="5"/>
      <c r="F209" s="5"/>
    </row>
    <row r="210" ht="42" customHeight="1" spans="1:6" x14ac:dyDescent="0.25">
      <c r="A210" s="6" t="s">
        <v>5791</v>
      </c>
      <c r="B210" s="6"/>
      <c r="C210" s="6"/>
      <c r="D210" s="6"/>
      <c r="E210" s="6"/>
      <c r="F210" s="6"/>
    </row>
    <row r="211" spans="1:6" x14ac:dyDescent="0.25">
      <c r="A211" t="s">
        <v>4044</v>
      </c>
      <c r="B211" t="s">
        <v>4045</v>
      </c>
      <c r="C211" t="s">
        <v>5</v>
      </c>
      <c r="D211" t="s">
        <v>4046</v>
      </c>
      <c r="E211" t="s">
        <v>4047</v>
      </c>
      <c r="F211" t="s">
        <v>4048</v>
      </c>
    </row>
    <row r="212" spans="1:6" x14ac:dyDescent="0.25">
      <c r="A212" t="s">
        <v>4062</v>
      </c>
      <c r="B212" t="s">
        <v>5792</v>
      </c>
      <c r="C212" t="s">
        <v>63</v>
      </c>
      <c r="D212" s="7">
        <v>1</v>
      </c>
      <c r="E212" s="2">
        <v>117900</v>
      </c>
      <c r="F212" s="2">
        <v>117900</v>
      </c>
    </row>
    <row r="213" spans="1:6" x14ac:dyDescent="0.25">
      <c r="A213" t="s">
        <v>4049</v>
      </c>
      <c r="B213" t="s">
        <v>4050</v>
      </c>
      <c r="C213" t="s">
        <v>4051</v>
      </c>
      <c r="D213" s="7">
        <v>0.2</v>
      </c>
      <c r="E213" s="2">
        <v>9037.33</v>
      </c>
      <c r="F213" s="2">
        <v>1807.47</v>
      </c>
    </row>
    <row r="214" spans="1:6" x14ac:dyDescent="0.25">
      <c r="A214" t="s">
        <v>4049</v>
      </c>
      <c r="B214" t="s">
        <v>4073</v>
      </c>
      <c r="C214" t="s">
        <v>4051</v>
      </c>
      <c r="D214" s="7">
        <v>0.2</v>
      </c>
      <c r="E214" s="2">
        <v>15517.89</v>
      </c>
      <c r="F214" s="2">
        <v>3103.58</v>
      </c>
    </row>
    <row r="215" spans="1:6" x14ac:dyDescent="0.25">
      <c r="A215" t="s">
        <v>4052</v>
      </c>
      <c r="B215" t="s">
        <v>5729</v>
      </c>
      <c r="C215" t="s">
        <v>287</v>
      </c>
      <c r="D215" s="7">
        <v>0.15</v>
      </c>
      <c r="E215" s="2">
        <v>3510.83</v>
      </c>
      <c r="F215" s="2">
        <v>526.62</v>
      </c>
    </row>
    <row r="216" spans="1:6" x14ac:dyDescent="0.25">
      <c r="A216" t="s">
        <v>4052</v>
      </c>
      <c r="B216" t="s">
        <v>4053</v>
      </c>
      <c r="C216" t="s">
        <v>4054</v>
      </c>
      <c r="D216" s="7">
        <v>5</v>
      </c>
      <c r="E216" s="2">
        <v>4911.05</v>
      </c>
      <c r="F216" s="2">
        <v>245.55</v>
      </c>
    </row>
    <row r="217" spans="1:6" x14ac:dyDescent="0.25">
      <c r="A217" t="s">
        <v>4055</v>
      </c>
      <c r="D217" s="7"/>
      <c r="E217" s="2"/>
      <c r="F217" s="2">
        <f>SUBTOTAL(109,A_1_16_21[VALOR PARCIAL])</f>
      </c>
    </row>
  </sheetData>
  <mergeCells count="42">
    <mergeCell ref="A4:F4"/>
    <mergeCell ref="A5:F5"/>
    <mergeCell ref="A15:F15"/>
    <mergeCell ref="A16:F16"/>
    <mergeCell ref="A24:F24"/>
    <mergeCell ref="A25:F25"/>
    <mergeCell ref="A35:F35"/>
    <mergeCell ref="A36:F36"/>
    <mergeCell ref="A46:F46"/>
    <mergeCell ref="A47:F47"/>
    <mergeCell ref="A57:F57"/>
    <mergeCell ref="A58:F58"/>
    <mergeCell ref="A67:F67"/>
    <mergeCell ref="A68:F68"/>
    <mergeCell ref="A77:F77"/>
    <mergeCell ref="A78:F78"/>
    <mergeCell ref="A88:F88"/>
    <mergeCell ref="A89:F89"/>
    <mergeCell ref="A100:F100"/>
    <mergeCell ref="A101:F101"/>
    <mergeCell ref="A110:F110"/>
    <mergeCell ref="A111:F111"/>
    <mergeCell ref="A120:F120"/>
    <mergeCell ref="A121:F121"/>
    <mergeCell ref="A130:F130"/>
    <mergeCell ref="A131:F131"/>
    <mergeCell ref="A140:F140"/>
    <mergeCell ref="A141:F141"/>
    <mergeCell ref="A150:F150"/>
    <mergeCell ref="A151:F151"/>
    <mergeCell ref="A160:F160"/>
    <mergeCell ref="A161:F161"/>
    <mergeCell ref="A169:F169"/>
    <mergeCell ref="A170:F170"/>
    <mergeCell ref="A179:F179"/>
    <mergeCell ref="A180:F180"/>
    <mergeCell ref="A189:F189"/>
    <mergeCell ref="A190:F190"/>
    <mergeCell ref="A199:F199"/>
    <mergeCell ref="A200:F200"/>
    <mergeCell ref="A209:F209"/>
    <mergeCell ref="A210:F210"/>
  </mergeCells>
  <pageMargins left="0.7" right="0.7" top="0.75" bottom="0.75" header="0.3" footer="0.3"/>
  <pageSetup orientation="portrait" horizontalDpi="4294967295" verticalDpi="4294967295" scale="100" fitToWidth="1" fitToHeight="1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5793</v>
      </c>
    </row>
    <row r="2" spans="1:1" x14ac:dyDescent="0.25">
      <c r="A2" s="4" t="s">
        <v>5794</v>
      </c>
    </row>
    <row r="4" ht="30" customHeight="1" spans="1:6" x14ac:dyDescent="0.25">
      <c r="A4" s="5" t="s">
        <v>5795</v>
      </c>
      <c r="B4" s="5"/>
      <c r="C4" s="5"/>
      <c r="D4" s="5"/>
      <c r="E4" s="5"/>
      <c r="F4" s="5"/>
    </row>
    <row r="5" ht="42" customHeight="1" spans="1:6" x14ac:dyDescent="0.25">
      <c r="A5" s="6" t="s">
        <v>5796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5797</v>
      </c>
      <c r="C7" t="s">
        <v>63</v>
      </c>
      <c r="D7" s="7">
        <v>1</v>
      </c>
      <c r="E7" s="2">
        <v>30567</v>
      </c>
      <c r="F7" s="2">
        <v>30567</v>
      </c>
    </row>
    <row r="8" spans="1:6" x14ac:dyDescent="0.25">
      <c r="A8" t="s">
        <v>4049</v>
      </c>
      <c r="B8" t="s">
        <v>4050</v>
      </c>
      <c r="C8" t="s">
        <v>4051</v>
      </c>
      <c r="D8" s="7">
        <v>0.75</v>
      </c>
      <c r="E8" s="2">
        <v>9037.33</v>
      </c>
      <c r="F8" s="2">
        <v>6778</v>
      </c>
    </row>
    <row r="9" spans="1:6" x14ac:dyDescent="0.25">
      <c r="A9" t="s">
        <v>4049</v>
      </c>
      <c r="B9" t="s">
        <v>4073</v>
      </c>
      <c r="C9" t="s">
        <v>4051</v>
      </c>
      <c r="D9" s="7">
        <v>0.75</v>
      </c>
      <c r="E9" s="2">
        <v>15517.89</v>
      </c>
      <c r="F9" s="2">
        <v>11638.42</v>
      </c>
    </row>
    <row r="10" spans="1:6" x14ac:dyDescent="0.25">
      <c r="A10" t="s">
        <v>4052</v>
      </c>
      <c r="B10" t="s">
        <v>4053</v>
      </c>
      <c r="C10" t="s">
        <v>4054</v>
      </c>
      <c r="D10" s="7">
        <v>1.1</v>
      </c>
      <c r="E10" s="2">
        <v>18416.42</v>
      </c>
      <c r="F10" s="2">
        <v>202.58</v>
      </c>
    </row>
    <row r="11" spans="1:6" x14ac:dyDescent="0.25">
      <c r="A11" t="s">
        <v>4055</v>
      </c>
      <c r="D11" s="7"/>
      <c r="E11" s="2"/>
      <c r="F11" s="2">
        <f>SUBTOTAL(109,A_1_17_01[VALOR PARCIAL])</f>
      </c>
    </row>
    <row r="13" ht="30" customHeight="1" spans="1:6" x14ac:dyDescent="0.25">
      <c r="A13" s="5" t="s">
        <v>5798</v>
      </c>
      <c r="B13" s="5"/>
      <c r="C13" s="5"/>
      <c r="D13" s="5"/>
      <c r="E13" s="5"/>
      <c r="F13" s="5"/>
    </row>
    <row r="14" ht="42" customHeight="1" spans="1:6" x14ac:dyDescent="0.25">
      <c r="A14" s="6" t="s">
        <v>5799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5800</v>
      </c>
      <c r="C16" t="s">
        <v>63</v>
      </c>
      <c r="D16" s="7">
        <v>1</v>
      </c>
      <c r="E16" s="2">
        <v>29701</v>
      </c>
      <c r="F16" s="2">
        <v>29701</v>
      </c>
    </row>
    <row r="17" spans="1:6" x14ac:dyDescent="0.25">
      <c r="A17" t="s">
        <v>4049</v>
      </c>
      <c r="B17" t="s">
        <v>4050</v>
      </c>
      <c r="C17" t="s">
        <v>4051</v>
      </c>
      <c r="D17" s="7">
        <v>0.75</v>
      </c>
      <c r="E17" s="2">
        <v>9037.33</v>
      </c>
      <c r="F17" s="2">
        <v>6778</v>
      </c>
    </row>
    <row r="18" spans="1:6" x14ac:dyDescent="0.25">
      <c r="A18" t="s">
        <v>4049</v>
      </c>
      <c r="B18" t="s">
        <v>4073</v>
      </c>
      <c r="C18" t="s">
        <v>4051</v>
      </c>
      <c r="D18" s="7">
        <v>0.75</v>
      </c>
      <c r="E18" s="2">
        <v>15517.89</v>
      </c>
      <c r="F18" s="2">
        <v>11638.42</v>
      </c>
    </row>
    <row r="19" spans="1:6" x14ac:dyDescent="0.25">
      <c r="A19" t="s">
        <v>4052</v>
      </c>
      <c r="B19" t="s">
        <v>4053</v>
      </c>
      <c r="C19" t="s">
        <v>4054</v>
      </c>
      <c r="D19" s="7">
        <v>1.1</v>
      </c>
      <c r="E19" s="2">
        <v>18416.42</v>
      </c>
      <c r="F19" s="2">
        <v>202.58</v>
      </c>
    </row>
    <row r="20" spans="1:6" x14ac:dyDescent="0.25">
      <c r="A20" t="s">
        <v>4055</v>
      </c>
      <c r="D20" s="7"/>
      <c r="E20" s="2"/>
      <c r="F20" s="2">
        <f>SUBTOTAL(109,A_1_17_02[VALOR PARCIAL])</f>
      </c>
    </row>
    <row r="22" ht="30" customHeight="1" spans="1:6" x14ac:dyDescent="0.25">
      <c r="A22" s="5" t="s">
        <v>5801</v>
      </c>
      <c r="B22" s="5"/>
      <c r="C22" s="5"/>
      <c r="D22" s="5"/>
      <c r="E22" s="5"/>
      <c r="F22" s="5"/>
    </row>
    <row r="23" ht="42" customHeight="1" spans="1:6" x14ac:dyDescent="0.25">
      <c r="A23" s="6" t="s">
        <v>5802</v>
      </c>
      <c r="B23" s="6"/>
      <c r="C23" s="6"/>
      <c r="D23" s="6"/>
      <c r="E23" s="6"/>
      <c r="F23" s="6"/>
    </row>
    <row r="24" spans="1:6" x14ac:dyDescent="0.25">
      <c r="A24" t="s">
        <v>4044</v>
      </c>
      <c r="B24" t="s">
        <v>4045</v>
      </c>
      <c r="C24" t="s">
        <v>5</v>
      </c>
      <c r="D24" t="s">
        <v>4046</v>
      </c>
      <c r="E24" t="s">
        <v>4047</v>
      </c>
      <c r="F24" t="s">
        <v>4048</v>
      </c>
    </row>
    <row r="25" spans="1:6" x14ac:dyDescent="0.25">
      <c r="A25" t="s">
        <v>4062</v>
      </c>
      <c r="B25" t="s">
        <v>5803</v>
      </c>
      <c r="C25" t="s">
        <v>63</v>
      </c>
      <c r="D25" s="7">
        <v>1</v>
      </c>
      <c r="E25" s="2">
        <v>86752</v>
      </c>
      <c r="F25" s="2">
        <v>86752</v>
      </c>
    </row>
    <row r="26" spans="1:6" x14ac:dyDescent="0.25">
      <c r="A26" t="s">
        <v>4049</v>
      </c>
      <c r="B26" t="s">
        <v>4182</v>
      </c>
      <c r="C26" t="s">
        <v>4051</v>
      </c>
      <c r="D26" s="7">
        <v>0.75</v>
      </c>
      <c r="E26" s="2">
        <v>10845.1</v>
      </c>
      <c r="F26" s="2">
        <v>8133.83</v>
      </c>
    </row>
    <row r="27" spans="1:6" x14ac:dyDescent="0.25">
      <c r="A27" t="s">
        <v>4049</v>
      </c>
      <c r="B27" t="s">
        <v>4183</v>
      </c>
      <c r="C27" t="s">
        <v>4051</v>
      </c>
      <c r="D27" s="7">
        <v>0.75</v>
      </c>
      <c r="E27" s="2">
        <v>18621.17</v>
      </c>
      <c r="F27" s="2">
        <v>13965.88</v>
      </c>
    </row>
    <row r="28" spans="1:6" x14ac:dyDescent="0.25">
      <c r="A28" t="s">
        <v>4052</v>
      </c>
      <c r="B28" t="s">
        <v>4053</v>
      </c>
      <c r="C28" t="s">
        <v>4054</v>
      </c>
      <c r="D28" s="7">
        <v>3</v>
      </c>
      <c r="E28" s="2">
        <v>22099.71</v>
      </c>
      <c r="F28" s="2">
        <v>662.99</v>
      </c>
    </row>
    <row r="29" spans="1:6" x14ac:dyDescent="0.25">
      <c r="A29" t="s">
        <v>4055</v>
      </c>
      <c r="D29" s="7"/>
      <c r="E29" s="2"/>
      <c r="F29" s="2">
        <f>SUBTOTAL(109,A_1_17_03[VALOR PARCIAL])</f>
      </c>
    </row>
    <row r="31" ht="30" customHeight="1" spans="1:6" x14ac:dyDescent="0.25">
      <c r="A31" s="5" t="s">
        <v>5804</v>
      </c>
      <c r="B31" s="5"/>
      <c r="C31" s="5"/>
      <c r="D31" s="5"/>
      <c r="E31" s="5"/>
      <c r="F31" s="5"/>
    </row>
    <row r="32" ht="42" customHeight="1" spans="1:6" x14ac:dyDescent="0.25">
      <c r="A32" s="6" t="s">
        <v>5805</v>
      </c>
      <c r="B32" s="6"/>
      <c r="C32" s="6"/>
      <c r="D32" s="6"/>
      <c r="E32" s="6"/>
      <c r="F32" s="6"/>
    </row>
    <row r="33" spans="1:6" x14ac:dyDescent="0.25">
      <c r="A33" t="s">
        <v>4044</v>
      </c>
      <c r="B33" t="s">
        <v>4045</v>
      </c>
      <c r="C33" t="s">
        <v>5</v>
      </c>
      <c r="D33" t="s">
        <v>4046</v>
      </c>
      <c r="E33" t="s">
        <v>4047</v>
      </c>
      <c r="F33" t="s">
        <v>4048</v>
      </c>
    </row>
    <row r="34" spans="1:6" x14ac:dyDescent="0.25">
      <c r="A34" t="s">
        <v>4062</v>
      </c>
      <c r="B34" t="s">
        <v>5806</v>
      </c>
      <c r="C34" t="s">
        <v>21</v>
      </c>
      <c r="D34" s="7">
        <v>1.1</v>
      </c>
      <c r="E34" s="2">
        <v>63500</v>
      </c>
      <c r="F34" s="2">
        <v>69850</v>
      </c>
    </row>
    <row r="35" spans="1:6" x14ac:dyDescent="0.25">
      <c r="A35" t="s">
        <v>4049</v>
      </c>
      <c r="B35" t="s">
        <v>4050</v>
      </c>
      <c r="C35" t="s">
        <v>4051</v>
      </c>
      <c r="D35" s="7">
        <v>0.25</v>
      </c>
      <c r="E35" s="2">
        <v>9037.33</v>
      </c>
      <c r="F35" s="2">
        <v>2259.33</v>
      </c>
    </row>
    <row r="36" spans="1:6" x14ac:dyDescent="0.25">
      <c r="A36" t="s">
        <v>4049</v>
      </c>
      <c r="B36" t="s">
        <v>4073</v>
      </c>
      <c r="C36" t="s">
        <v>4051</v>
      </c>
      <c r="D36" s="7">
        <v>0.25</v>
      </c>
      <c r="E36" s="2">
        <v>15517.89</v>
      </c>
      <c r="F36" s="2">
        <v>3879.47</v>
      </c>
    </row>
    <row r="37" spans="1:6" x14ac:dyDescent="0.25">
      <c r="A37" t="s">
        <v>4052</v>
      </c>
      <c r="B37" t="s">
        <v>4053</v>
      </c>
      <c r="C37" t="s">
        <v>4054</v>
      </c>
      <c r="D37" s="7">
        <v>0.9</v>
      </c>
      <c r="E37" s="2">
        <v>6138.8</v>
      </c>
      <c r="F37" s="2">
        <v>55.25</v>
      </c>
    </row>
    <row r="38" spans="1:6" x14ac:dyDescent="0.25">
      <c r="A38" t="s">
        <v>4055</v>
      </c>
      <c r="D38" s="7"/>
      <c r="E38" s="2"/>
      <c r="F38" s="2">
        <f>SUBTOTAL(109,A_1_17_04[VALOR PARCIAL])</f>
      </c>
    </row>
    <row r="40" ht="30" customHeight="1" spans="1:6" x14ac:dyDescent="0.25">
      <c r="A40" s="5" t="s">
        <v>5807</v>
      </c>
      <c r="B40" s="5"/>
      <c r="C40" s="5"/>
      <c r="D40" s="5"/>
      <c r="E40" s="5"/>
      <c r="F40" s="5"/>
    </row>
    <row r="41" ht="42" customHeight="1" spans="1:6" x14ac:dyDescent="0.25">
      <c r="A41" s="6" t="s">
        <v>5808</v>
      </c>
      <c r="B41" s="6"/>
      <c r="C41" s="6"/>
      <c r="D41" s="6"/>
      <c r="E41" s="6"/>
      <c r="F41" s="6"/>
    </row>
    <row r="42" spans="1:6" x14ac:dyDescent="0.25">
      <c r="A42" t="s">
        <v>4044</v>
      </c>
      <c r="B42" t="s">
        <v>4045</v>
      </c>
      <c r="C42" t="s">
        <v>5</v>
      </c>
      <c r="D42" t="s">
        <v>4046</v>
      </c>
      <c r="E42" t="s">
        <v>4047</v>
      </c>
      <c r="F42" t="s">
        <v>4048</v>
      </c>
    </row>
    <row r="43" spans="1:6" x14ac:dyDescent="0.25">
      <c r="A43" t="s">
        <v>4062</v>
      </c>
      <c r="B43" t="s">
        <v>5809</v>
      </c>
      <c r="C43" t="s">
        <v>21</v>
      </c>
      <c r="D43" s="7">
        <v>1.1</v>
      </c>
      <c r="E43" s="2">
        <v>31550.33</v>
      </c>
      <c r="F43" s="2">
        <v>34705.36</v>
      </c>
    </row>
    <row r="44" spans="1:6" x14ac:dyDescent="0.25">
      <c r="A44" t="s">
        <v>4049</v>
      </c>
      <c r="B44" t="s">
        <v>4050</v>
      </c>
      <c r="C44" t="s">
        <v>4051</v>
      </c>
      <c r="D44" s="7">
        <v>0.25</v>
      </c>
      <c r="E44" s="2">
        <v>9037.33</v>
      </c>
      <c r="F44" s="2">
        <v>2259.33</v>
      </c>
    </row>
    <row r="45" spans="1:6" x14ac:dyDescent="0.25">
      <c r="A45" t="s">
        <v>4049</v>
      </c>
      <c r="B45" t="s">
        <v>4073</v>
      </c>
      <c r="C45" t="s">
        <v>4051</v>
      </c>
      <c r="D45" s="7">
        <v>0.25</v>
      </c>
      <c r="E45" s="2">
        <v>15517.89</v>
      </c>
      <c r="F45" s="2">
        <v>3879.47</v>
      </c>
    </row>
    <row r="46" spans="1:6" x14ac:dyDescent="0.25">
      <c r="A46" t="s">
        <v>4052</v>
      </c>
      <c r="B46" t="s">
        <v>4053</v>
      </c>
      <c r="C46" t="s">
        <v>4054</v>
      </c>
      <c r="D46" s="7">
        <v>1.8</v>
      </c>
      <c r="E46" s="2">
        <v>6138.8</v>
      </c>
      <c r="F46" s="2">
        <v>110.5</v>
      </c>
    </row>
    <row r="47" spans="1:6" x14ac:dyDescent="0.25">
      <c r="A47" t="s">
        <v>4055</v>
      </c>
      <c r="D47" s="7"/>
      <c r="E47" s="2"/>
      <c r="F47" s="2">
        <f>SUBTOTAL(109,A_1_17_05[VALOR PARCIAL])</f>
      </c>
    </row>
    <row r="49" ht="30" customHeight="1" spans="1:6" x14ac:dyDescent="0.25">
      <c r="A49" s="5" t="s">
        <v>5810</v>
      </c>
      <c r="B49" s="5"/>
      <c r="C49" s="5"/>
      <c r="D49" s="5"/>
      <c r="E49" s="5"/>
      <c r="F49" s="5"/>
    </row>
    <row r="50" ht="42" customHeight="1" spans="1:6" x14ac:dyDescent="0.25">
      <c r="A50" s="6" t="s">
        <v>5811</v>
      </c>
      <c r="B50" s="6"/>
      <c r="C50" s="6"/>
      <c r="D50" s="6"/>
      <c r="E50" s="6"/>
      <c r="F50" s="6"/>
    </row>
    <row r="51" spans="1:6" x14ac:dyDescent="0.25">
      <c r="A51" t="s">
        <v>4044</v>
      </c>
      <c r="B51" t="s">
        <v>4045</v>
      </c>
      <c r="C51" t="s">
        <v>5</v>
      </c>
      <c r="D51" t="s">
        <v>4046</v>
      </c>
      <c r="E51" t="s">
        <v>4047</v>
      </c>
      <c r="F51" t="s">
        <v>4048</v>
      </c>
    </row>
    <row r="52" spans="1:6" x14ac:dyDescent="0.25">
      <c r="A52" t="s">
        <v>4062</v>
      </c>
      <c r="B52" t="s">
        <v>5699</v>
      </c>
      <c r="C52" t="s">
        <v>21</v>
      </c>
      <c r="D52" s="7">
        <v>1.1</v>
      </c>
      <c r="E52" s="2">
        <v>38108.33</v>
      </c>
      <c r="F52" s="2">
        <v>41919.16</v>
      </c>
    </row>
    <row r="53" spans="1:6" x14ac:dyDescent="0.25">
      <c r="A53" t="s">
        <v>4049</v>
      </c>
      <c r="B53" t="s">
        <v>4050</v>
      </c>
      <c r="C53" t="s">
        <v>4051</v>
      </c>
      <c r="D53" s="7">
        <v>0.25</v>
      </c>
      <c r="E53" s="2">
        <v>9037.33</v>
      </c>
      <c r="F53" s="2">
        <v>2259.33</v>
      </c>
    </row>
    <row r="54" spans="1:6" x14ac:dyDescent="0.25">
      <c r="A54" t="s">
        <v>4049</v>
      </c>
      <c r="B54" t="s">
        <v>4073</v>
      </c>
      <c r="C54" t="s">
        <v>4051</v>
      </c>
      <c r="D54" s="7">
        <v>0.25</v>
      </c>
      <c r="E54" s="2">
        <v>15517.89</v>
      </c>
      <c r="F54" s="2">
        <v>3879.47</v>
      </c>
    </row>
    <row r="55" spans="1:6" x14ac:dyDescent="0.25">
      <c r="A55" t="s">
        <v>4052</v>
      </c>
      <c r="B55" t="s">
        <v>4053</v>
      </c>
      <c r="C55" t="s">
        <v>4054</v>
      </c>
      <c r="D55" s="7">
        <v>1.8</v>
      </c>
      <c r="E55" s="2">
        <v>6138.8</v>
      </c>
      <c r="F55" s="2">
        <v>110.5</v>
      </c>
    </row>
    <row r="56" spans="1:6" x14ac:dyDescent="0.25">
      <c r="A56" t="s">
        <v>4055</v>
      </c>
      <c r="D56" s="7"/>
      <c r="E56" s="2"/>
      <c r="F56" s="2">
        <f>SUBTOTAL(109,A_1_17_06[VALOR PARCIAL])</f>
      </c>
    </row>
  </sheetData>
  <mergeCells count="12">
    <mergeCell ref="A4:F4"/>
    <mergeCell ref="A5:F5"/>
    <mergeCell ref="A13:F13"/>
    <mergeCell ref="A14:F14"/>
    <mergeCell ref="A22:F22"/>
    <mergeCell ref="A23:F23"/>
    <mergeCell ref="A31:F31"/>
    <mergeCell ref="A32:F32"/>
    <mergeCell ref="A40:F40"/>
    <mergeCell ref="A41:F41"/>
    <mergeCell ref="A49:F49"/>
    <mergeCell ref="A50:F50"/>
  </mergeCells>
  <pageMargins left="0.7" right="0.7" top="0.75" bottom="0.75" header="0.3" footer="0.3"/>
  <pageSetup orientation="portrait" horizontalDpi="4294967295" verticalDpi="4294967295" scale="100" fitToWidth="1" fitToHeight="1"/>
  <tableParts count="6">
    <tablePart r:id="rId1"/>
    <tablePart r:id="rId2"/>
    <tablePart r:id="rId3"/>
    <tablePart r:id="rId4"/>
    <tablePart r:id="rId5"/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5812</v>
      </c>
    </row>
    <row r="2" spans="1:1" x14ac:dyDescent="0.25">
      <c r="A2" s="4" t="s">
        <v>5813</v>
      </c>
    </row>
    <row r="4" ht="30" customHeight="1" spans="1:6" x14ac:dyDescent="0.25">
      <c r="A4" s="5" t="s">
        <v>5814</v>
      </c>
      <c r="B4" s="5"/>
      <c r="C4" s="5"/>
      <c r="D4" s="5"/>
      <c r="E4" s="5"/>
      <c r="F4" s="5"/>
    </row>
    <row r="5" ht="42" customHeight="1" spans="1:6" x14ac:dyDescent="0.25">
      <c r="A5" s="6" t="s">
        <v>5815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5816</v>
      </c>
      <c r="C7" t="s">
        <v>34</v>
      </c>
      <c r="D7" s="7">
        <v>0.07</v>
      </c>
      <c r="E7" s="2">
        <v>93966.67</v>
      </c>
      <c r="F7" s="2">
        <v>6577.67</v>
      </c>
    </row>
    <row r="8" spans="1:6" x14ac:dyDescent="0.25">
      <c r="A8" t="s">
        <v>4062</v>
      </c>
      <c r="B8" t="s">
        <v>5817</v>
      </c>
      <c r="C8" t="s">
        <v>63</v>
      </c>
      <c r="D8" s="7">
        <v>52</v>
      </c>
      <c r="E8" s="2">
        <v>732</v>
      </c>
      <c r="F8" s="2">
        <v>38064</v>
      </c>
    </row>
    <row r="9" spans="1:6" x14ac:dyDescent="0.25">
      <c r="A9" t="s">
        <v>4049</v>
      </c>
      <c r="B9" t="s">
        <v>5818</v>
      </c>
      <c r="C9" t="s">
        <v>4236</v>
      </c>
      <c r="D9" s="7">
        <v>0.7</v>
      </c>
      <c r="E9" s="2">
        <v>24555.22</v>
      </c>
      <c r="F9" s="2">
        <v>17188.65</v>
      </c>
    </row>
    <row r="10" spans="1:6" x14ac:dyDescent="0.25">
      <c r="A10" t="s">
        <v>4052</v>
      </c>
      <c r="B10" t="s">
        <v>4053</v>
      </c>
      <c r="C10" t="s">
        <v>4054</v>
      </c>
      <c r="D10" s="7">
        <v>5</v>
      </c>
      <c r="E10" s="2">
        <v>17188.65</v>
      </c>
      <c r="F10" s="2">
        <v>859.43</v>
      </c>
    </row>
    <row r="11" spans="1:6" x14ac:dyDescent="0.25">
      <c r="A11" t="s">
        <v>4055</v>
      </c>
      <c r="D11" s="7"/>
      <c r="E11" s="2"/>
      <c r="F11" s="2">
        <f>SUBTOTAL(109,A_1_18_01[VALOR PARCIAL])</f>
      </c>
    </row>
    <row r="13" ht="30" customHeight="1" spans="1:6" x14ac:dyDescent="0.25">
      <c r="A13" s="5" t="s">
        <v>5819</v>
      </c>
      <c r="B13" s="5"/>
      <c r="C13" s="5"/>
      <c r="D13" s="5"/>
      <c r="E13" s="5"/>
      <c r="F13" s="5"/>
    </row>
    <row r="14" ht="42" customHeight="1" spans="1:6" x14ac:dyDescent="0.25">
      <c r="A14" s="6" t="s">
        <v>5820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5821</v>
      </c>
      <c r="C16" t="s">
        <v>34</v>
      </c>
      <c r="D16" s="7">
        <v>0.06</v>
      </c>
      <c r="E16" s="2">
        <v>93966.67</v>
      </c>
      <c r="F16" s="2">
        <v>5638</v>
      </c>
    </row>
    <row r="17" spans="1:6" x14ac:dyDescent="0.25">
      <c r="A17" t="s">
        <v>4062</v>
      </c>
      <c r="B17" t="s">
        <v>5822</v>
      </c>
      <c r="C17" t="s">
        <v>34</v>
      </c>
      <c r="D17" s="7">
        <v>0.21</v>
      </c>
      <c r="E17" s="2">
        <v>66452</v>
      </c>
      <c r="F17" s="2">
        <v>13954.92</v>
      </c>
    </row>
    <row r="18" spans="1:6" x14ac:dyDescent="0.25">
      <c r="A18" t="s">
        <v>4062</v>
      </c>
      <c r="B18" t="s">
        <v>5823</v>
      </c>
      <c r="C18" t="s">
        <v>42</v>
      </c>
      <c r="D18" s="7">
        <v>1</v>
      </c>
      <c r="E18" s="2">
        <v>15765</v>
      </c>
      <c r="F18" s="2">
        <v>15765</v>
      </c>
    </row>
    <row r="19" spans="1:6" x14ac:dyDescent="0.25">
      <c r="A19" t="s">
        <v>4062</v>
      </c>
      <c r="B19" t="s">
        <v>5824</v>
      </c>
      <c r="C19" t="s">
        <v>21</v>
      </c>
      <c r="D19" s="7">
        <v>0.8</v>
      </c>
      <c r="E19" s="2">
        <v>30980.01</v>
      </c>
      <c r="F19" s="2">
        <v>24784.01</v>
      </c>
    </row>
    <row r="20" spans="1:6" x14ac:dyDescent="0.25">
      <c r="A20" t="s">
        <v>4062</v>
      </c>
      <c r="B20" t="s">
        <v>5825</v>
      </c>
      <c r="C20" t="s">
        <v>63</v>
      </c>
      <c r="D20" s="7">
        <v>52</v>
      </c>
      <c r="E20" s="2">
        <v>510</v>
      </c>
      <c r="F20" s="2">
        <v>26520</v>
      </c>
    </row>
    <row r="21" spans="1:6" x14ac:dyDescent="0.25">
      <c r="A21" t="s">
        <v>4062</v>
      </c>
      <c r="B21" t="s">
        <v>3978</v>
      </c>
      <c r="C21" t="s">
        <v>34</v>
      </c>
      <c r="D21" s="7">
        <v>0.02</v>
      </c>
      <c r="E21" s="2">
        <v>409741.65</v>
      </c>
      <c r="F21" s="2">
        <v>8194.83</v>
      </c>
    </row>
    <row r="22" spans="1:6" x14ac:dyDescent="0.25">
      <c r="A22" t="s">
        <v>4062</v>
      </c>
      <c r="B22" t="s">
        <v>5818</v>
      </c>
      <c r="C22" t="s">
        <v>4236</v>
      </c>
      <c r="D22" s="7">
        <v>1</v>
      </c>
      <c r="E22" s="2">
        <v>24555.22</v>
      </c>
      <c r="F22" s="2">
        <v>24555.22</v>
      </c>
    </row>
    <row r="23" spans="1:6" x14ac:dyDescent="0.25">
      <c r="A23" t="s">
        <v>4055</v>
      </c>
      <c r="D23" s="7"/>
      <c r="E23" s="2"/>
      <c r="F23" s="2">
        <f>SUBTOTAL(109,A_1_18_02[VALOR PARCIAL])</f>
      </c>
    </row>
    <row r="25" ht="30" customHeight="1" spans="1:6" x14ac:dyDescent="0.25">
      <c r="A25" s="5" t="s">
        <v>5826</v>
      </c>
      <c r="B25" s="5"/>
      <c r="C25" s="5"/>
      <c r="D25" s="5"/>
      <c r="E25" s="5"/>
      <c r="F25" s="5"/>
    </row>
    <row r="26" ht="42" customHeight="1" spans="1:6" x14ac:dyDescent="0.25">
      <c r="A26" s="6" t="s">
        <v>5827</v>
      </c>
      <c r="B26" s="6"/>
      <c r="C26" s="6"/>
      <c r="D26" s="6"/>
      <c r="E26" s="6"/>
      <c r="F26" s="6"/>
    </row>
    <row r="27" spans="1:6" x14ac:dyDescent="0.25">
      <c r="A27" t="s">
        <v>4044</v>
      </c>
      <c r="B27" t="s">
        <v>4045</v>
      </c>
      <c r="C27" t="s">
        <v>5</v>
      </c>
      <c r="D27" t="s">
        <v>4046</v>
      </c>
      <c r="E27" t="s">
        <v>4047</v>
      </c>
      <c r="F27" t="s">
        <v>4048</v>
      </c>
    </row>
    <row r="28" spans="1:6" x14ac:dyDescent="0.25">
      <c r="A28" t="s">
        <v>4049</v>
      </c>
      <c r="B28" t="s">
        <v>4050</v>
      </c>
      <c r="C28" t="s">
        <v>4051</v>
      </c>
      <c r="D28" s="7">
        <v>0.2</v>
      </c>
      <c r="E28" s="2">
        <v>9037.33</v>
      </c>
      <c r="F28" s="2">
        <v>1807.47</v>
      </c>
    </row>
    <row r="29" spans="1:6" x14ac:dyDescent="0.25">
      <c r="A29" t="s">
        <v>4049</v>
      </c>
      <c r="B29" t="s">
        <v>4073</v>
      </c>
      <c r="C29" t="s">
        <v>4051</v>
      </c>
      <c r="D29" s="7">
        <v>0.2</v>
      </c>
      <c r="E29" s="2">
        <v>15517.89</v>
      </c>
      <c r="F29" s="2">
        <v>3103.58</v>
      </c>
    </row>
    <row r="30" spans="1:6" x14ac:dyDescent="0.25">
      <c r="A30" t="s">
        <v>4052</v>
      </c>
      <c r="B30" t="s">
        <v>4053</v>
      </c>
      <c r="C30" t="s">
        <v>4054</v>
      </c>
      <c r="D30" s="7">
        <v>10</v>
      </c>
      <c r="E30" s="2">
        <v>4911.05</v>
      </c>
      <c r="F30" s="2">
        <v>491.11</v>
      </c>
    </row>
    <row r="31" spans="1:6" x14ac:dyDescent="0.25">
      <c r="A31" t="s">
        <v>4055</v>
      </c>
      <c r="D31" s="7"/>
      <c r="E31" s="2"/>
      <c r="F31" s="2">
        <f>SUBTOTAL(109,A_1_18_03[VALOR PARCIAL])</f>
      </c>
    </row>
    <row r="33" ht="30" customHeight="1" spans="1:6" x14ac:dyDescent="0.25">
      <c r="A33" s="5" t="s">
        <v>5828</v>
      </c>
      <c r="B33" s="5"/>
      <c r="C33" s="5"/>
      <c r="D33" s="5"/>
      <c r="E33" s="5"/>
      <c r="F33" s="5"/>
    </row>
    <row r="34" ht="42" customHeight="1" spans="1:6" x14ac:dyDescent="0.25">
      <c r="A34" s="6" t="s">
        <v>5829</v>
      </c>
      <c r="B34" s="6"/>
      <c r="C34" s="6"/>
      <c r="D34" s="6"/>
      <c r="E34" s="6"/>
      <c r="F34" s="6"/>
    </row>
    <row r="35" spans="1:6" x14ac:dyDescent="0.25">
      <c r="A35" t="s">
        <v>4044</v>
      </c>
      <c r="B35" t="s">
        <v>4045</v>
      </c>
      <c r="C35" t="s">
        <v>5</v>
      </c>
      <c r="D35" t="s">
        <v>4046</v>
      </c>
      <c r="E35" t="s">
        <v>4047</v>
      </c>
      <c r="F35" t="s">
        <v>4048</v>
      </c>
    </row>
    <row r="36" spans="1:6" x14ac:dyDescent="0.25">
      <c r="A36" t="s">
        <v>4062</v>
      </c>
      <c r="B36" t="s">
        <v>4001</v>
      </c>
      <c r="C36" t="s">
        <v>34</v>
      </c>
      <c r="D36" s="7">
        <v>0.16</v>
      </c>
      <c r="E36" s="2">
        <v>450245.66</v>
      </c>
      <c r="F36" s="2">
        <v>72039.31</v>
      </c>
    </row>
    <row r="37" spans="1:6" x14ac:dyDescent="0.25">
      <c r="A37" t="s">
        <v>4062</v>
      </c>
      <c r="B37" t="s">
        <v>4476</v>
      </c>
      <c r="C37" t="s">
        <v>42</v>
      </c>
      <c r="D37" s="7">
        <v>1.1</v>
      </c>
      <c r="E37" s="2">
        <v>3472</v>
      </c>
      <c r="F37" s="2">
        <v>3819.2</v>
      </c>
    </row>
    <row r="38" spans="1:6" x14ac:dyDescent="0.25">
      <c r="A38" t="s">
        <v>4049</v>
      </c>
      <c r="B38" t="s">
        <v>4050</v>
      </c>
      <c r="C38" t="s">
        <v>4051</v>
      </c>
      <c r="D38" s="7">
        <v>1.2</v>
      </c>
      <c r="E38" s="2">
        <v>9037.33</v>
      </c>
      <c r="F38" s="2">
        <v>10844.8</v>
      </c>
    </row>
    <row r="39" spans="1:6" x14ac:dyDescent="0.25">
      <c r="A39" t="s">
        <v>4049</v>
      </c>
      <c r="B39" t="s">
        <v>4073</v>
      </c>
      <c r="C39" t="s">
        <v>4051</v>
      </c>
      <c r="D39" s="7">
        <v>1.2</v>
      </c>
      <c r="E39" s="2">
        <v>15517.89</v>
      </c>
      <c r="F39" s="2">
        <v>18621.47</v>
      </c>
    </row>
    <row r="40" spans="1:6" x14ac:dyDescent="0.25">
      <c r="A40" t="s">
        <v>4052</v>
      </c>
      <c r="B40" t="s">
        <v>4053</v>
      </c>
      <c r="C40" t="s">
        <v>4054</v>
      </c>
      <c r="D40" s="7">
        <v>1</v>
      </c>
      <c r="E40" s="2">
        <v>29466.27</v>
      </c>
      <c r="F40" s="2">
        <v>294.66</v>
      </c>
    </row>
    <row r="41" spans="1:6" x14ac:dyDescent="0.25">
      <c r="A41" t="s">
        <v>4055</v>
      </c>
      <c r="D41" s="7"/>
      <c r="E41" s="2"/>
      <c r="F41" s="2">
        <f>SUBTOTAL(109,A_1_18_04[VALOR PARCIAL])</f>
      </c>
    </row>
    <row r="43" ht="30" customHeight="1" spans="1:6" x14ac:dyDescent="0.25">
      <c r="A43" s="5" t="s">
        <v>5830</v>
      </c>
      <c r="B43" s="5"/>
      <c r="C43" s="5"/>
      <c r="D43" s="5"/>
      <c r="E43" s="5"/>
      <c r="F43" s="5"/>
    </row>
    <row r="44" ht="42" customHeight="1" spans="1:6" x14ac:dyDescent="0.25">
      <c r="A44" s="6" t="s">
        <v>5831</v>
      </c>
      <c r="B44" s="6"/>
      <c r="C44" s="6"/>
      <c r="D44" s="6"/>
      <c r="E44" s="6"/>
      <c r="F44" s="6"/>
    </row>
    <row r="45" spans="1:6" x14ac:dyDescent="0.25">
      <c r="A45" t="s">
        <v>4044</v>
      </c>
      <c r="B45" t="s">
        <v>4045</v>
      </c>
      <c r="C45" t="s">
        <v>5</v>
      </c>
      <c r="D45" t="s">
        <v>4046</v>
      </c>
      <c r="E45" t="s">
        <v>4047</v>
      </c>
      <c r="F45" t="s">
        <v>4048</v>
      </c>
    </row>
    <row r="46" spans="1:6" x14ac:dyDescent="0.25">
      <c r="A46" t="s">
        <v>4062</v>
      </c>
      <c r="B46" t="s">
        <v>4289</v>
      </c>
      <c r="C46" t="s">
        <v>63</v>
      </c>
      <c r="D46" s="7">
        <v>0.1</v>
      </c>
      <c r="E46" s="2">
        <v>5028.78</v>
      </c>
      <c r="F46" s="2">
        <v>502.88</v>
      </c>
    </row>
    <row r="47" spans="1:6" x14ac:dyDescent="0.25">
      <c r="A47" t="s">
        <v>4062</v>
      </c>
      <c r="B47" t="s">
        <v>4001</v>
      </c>
      <c r="C47" t="s">
        <v>34</v>
      </c>
      <c r="D47" s="7">
        <v>0.1</v>
      </c>
      <c r="E47" s="2">
        <v>450245.66</v>
      </c>
      <c r="F47" s="2">
        <v>45024.57</v>
      </c>
    </row>
    <row r="48" spans="1:6" x14ac:dyDescent="0.25">
      <c r="A48" t="s">
        <v>4062</v>
      </c>
      <c r="B48" t="s">
        <v>5832</v>
      </c>
      <c r="C48" t="s">
        <v>42</v>
      </c>
      <c r="D48" s="7">
        <v>1</v>
      </c>
      <c r="E48" s="2">
        <v>9864.67</v>
      </c>
      <c r="F48" s="2">
        <v>9864.67</v>
      </c>
    </row>
    <row r="49" spans="1:6" x14ac:dyDescent="0.25">
      <c r="A49" t="s">
        <v>4062</v>
      </c>
      <c r="B49" t="s">
        <v>4065</v>
      </c>
      <c r="C49" t="s">
        <v>4066</v>
      </c>
      <c r="D49" s="7">
        <v>0.1</v>
      </c>
      <c r="E49" s="2">
        <v>3433</v>
      </c>
      <c r="F49" s="2">
        <v>343.3</v>
      </c>
    </row>
    <row r="50" spans="1:6" x14ac:dyDescent="0.25">
      <c r="A50" t="s">
        <v>4049</v>
      </c>
      <c r="B50" t="s">
        <v>4176</v>
      </c>
      <c r="C50" t="s">
        <v>4177</v>
      </c>
      <c r="D50" s="7">
        <v>0.02</v>
      </c>
      <c r="E50" s="2">
        <v>72300.17</v>
      </c>
      <c r="F50" s="2">
        <v>1084.5</v>
      </c>
    </row>
    <row r="51" spans="1:6" x14ac:dyDescent="0.25">
      <c r="A51" t="s">
        <v>4049</v>
      </c>
      <c r="B51" t="s">
        <v>4313</v>
      </c>
      <c r="C51" t="s">
        <v>4177</v>
      </c>
      <c r="D51" s="7">
        <v>0.02</v>
      </c>
      <c r="E51" s="2">
        <v>124137.15</v>
      </c>
      <c r="F51" s="2">
        <v>1862.06</v>
      </c>
    </row>
    <row r="52" spans="1:6" x14ac:dyDescent="0.25">
      <c r="A52" t="s">
        <v>4052</v>
      </c>
      <c r="B52" t="s">
        <v>4053</v>
      </c>
      <c r="C52" t="s">
        <v>4054</v>
      </c>
      <c r="D52" s="7">
        <v>2</v>
      </c>
      <c r="E52" s="2">
        <v>2946.56</v>
      </c>
      <c r="F52" s="2">
        <v>58.93</v>
      </c>
    </row>
    <row r="53" spans="1:6" x14ac:dyDescent="0.25">
      <c r="A53" t="s">
        <v>4055</v>
      </c>
      <c r="D53" s="7"/>
      <c r="E53" s="2"/>
      <c r="F53" s="2">
        <f>SUBTOTAL(109,A_1_18_05[VALOR PARCIAL])</f>
      </c>
    </row>
    <row r="55" ht="30" customHeight="1" spans="1:6" x14ac:dyDescent="0.25">
      <c r="A55" s="5" t="s">
        <v>5833</v>
      </c>
      <c r="B55" s="5"/>
      <c r="C55" s="5"/>
      <c r="D55" s="5"/>
      <c r="E55" s="5"/>
      <c r="F55" s="5"/>
    </row>
    <row r="56" ht="42" customHeight="1" spans="1:6" x14ac:dyDescent="0.25">
      <c r="A56" s="6" t="s">
        <v>5834</v>
      </c>
      <c r="B56" s="6"/>
      <c r="C56" s="6"/>
      <c r="D56" s="6"/>
      <c r="E56" s="6"/>
      <c r="F56" s="6"/>
    </row>
    <row r="57" spans="1:6" x14ac:dyDescent="0.25">
      <c r="A57" t="s">
        <v>4044</v>
      </c>
      <c r="B57" t="s">
        <v>4045</v>
      </c>
      <c r="C57" t="s">
        <v>5</v>
      </c>
      <c r="D57" t="s">
        <v>4046</v>
      </c>
      <c r="E57" t="s">
        <v>4047</v>
      </c>
      <c r="F57" t="s">
        <v>4048</v>
      </c>
    </row>
    <row r="58" spans="1:6" x14ac:dyDescent="0.25">
      <c r="A58" t="s">
        <v>4062</v>
      </c>
      <c r="B58" t="s">
        <v>5835</v>
      </c>
      <c r="C58" t="s">
        <v>5090</v>
      </c>
      <c r="D58" s="7">
        <v>0.01</v>
      </c>
      <c r="E58" s="2">
        <v>36000</v>
      </c>
      <c r="F58" s="2">
        <v>360</v>
      </c>
    </row>
    <row r="59" spans="1:6" x14ac:dyDescent="0.25">
      <c r="A59" t="s">
        <v>4062</v>
      </c>
      <c r="B59" t="s">
        <v>5091</v>
      </c>
      <c r="C59" t="s">
        <v>5090</v>
      </c>
      <c r="D59" s="7">
        <v>0.09</v>
      </c>
      <c r="E59" s="2">
        <v>20894.67</v>
      </c>
      <c r="F59" s="2">
        <v>1880.52</v>
      </c>
    </row>
    <row r="60" spans="1:6" x14ac:dyDescent="0.25">
      <c r="A60" t="s">
        <v>4062</v>
      </c>
      <c r="B60" t="s">
        <v>4475</v>
      </c>
      <c r="C60" t="s">
        <v>231</v>
      </c>
      <c r="D60" s="7">
        <v>0.26</v>
      </c>
      <c r="E60" s="2">
        <v>730</v>
      </c>
      <c r="F60" s="2">
        <v>189.8</v>
      </c>
    </row>
    <row r="61" spans="1:6" x14ac:dyDescent="0.25">
      <c r="A61" t="s">
        <v>4062</v>
      </c>
      <c r="B61" t="s">
        <v>4535</v>
      </c>
      <c r="C61" t="s">
        <v>63</v>
      </c>
      <c r="D61" s="7">
        <v>0.02</v>
      </c>
      <c r="E61" s="2">
        <v>1180</v>
      </c>
      <c r="F61" s="2">
        <v>23.6</v>
      </c>
    </row>
    <row r="62" spans="1:6" x14ac:dyDescent="0.25">
      <c r="A62" t="s">
        <v>4062</v>
      </c>
      <c r="B62" t="s">
        <v>4602</v>
      </c>
      <c r="C62" t="s">
        <v>4377</v>
      </c>
      <c r="D62" s="7">
        <v>0.02</v>
      </c>
      <c r="E62" s="2">
        <v>41112</v>
      </c>
      <c r="F62" s="2">
        <v>723.57</v>
      </c>
    </row>
    <row r="63" spans="1:6" x14ac:dyDescent="0.25">
      <c r="A63" t="s">
        <v>4062</v>
      </c>
      <c r="B63" t="s">
        <v>4076</v>
      </c>
      <c r="C63" t="s">
        <v>3963</v>
      </c>
      <c r="D63" s="7">
        <v>0.91</v>
      </c>
      <c r="E63" s="2">
        <v>21</v>
      </c>
      <c r="F63" s="2">
        <v>19.17</v>
      </c>
    </row>
    <row r="64" spans="1:6" x14ac:dyDescent="0.25">
      <c r="A64" t="s">
        <v>4049</v>
      </c>
      <c r="B64" t="s">
        <v>4050</v>
      </c>
      <c r="C64" t="s">
        <v>4051</v>
      </c>
      <c r="D64" s="7">
        <v>0.31</v>
      </c>
      <c r="E64" s="2">
        <v>9037.33</v>
      </c>
      <c r="F64" s="2">
        <v>2801.57</v>
      </c>
    </row>
    <row r="65" spans="1:6" x14ac:dyDescent="0.25">
      <c r="A65" t="s">
        <v>4049</v>
      </c>
      <c r="B65" t="s">
        <v>4073</v>
      </c>
      <c r="C65" t="s">
        <v>4051</v>
      </c>
      <c r="D65" s="7">
        <v>0.31</v>
      </c>
      <c r="E65" s="2">
        <v>15517.89</v>
      </c>
      <c r="F65" s="2">
        <v>4810.55</v>
      </c>
    </row>
    <row r="66" spans="1:6" x14ac:dyDescent="0.25">
      <c r="A66" t="s">
        <v>4052</v>
      </c>
      <c r="B66" t="s">
        <v>4053</v>
      </c>
      <c r="C66" t="s">
        <v>4054</v>
      </c>
      <c r="D66" s="7">
        <v>1</v>
      </c>
      <c r="E66" s="2">
        <v>7612.12</v>
      </c>
      <c r="F66" s="2">
        <v>76.12</v>
      </c>
    </row>
    <row r="67" spans="1:6" x14ac:dyDescent="0.25">
      <c r="A67" t="s">
        <v>4055</v>
      </c>
      <c r="D67" s="7"/>
      <c r="E67" s="2"/>
      <c r="F67" s="2">
        <f>SUBTOTAL(109,A_1_18_06[VALOR PARCIAL])</f>
      </c>
    </row>
    <row r="69" ht="30" customHeight="1" spans="1:6" x14ac:dyDescent="0.25">
      <c r="A69" s="5" t="s">
        <v>5836</v>
      </c>
      <c r="B69" s="5"/>
      <c r="C69" s="5"/>
      <c r="D69" s="5"/>
      <c r="E69" s="5"/>
      <c r="F69" s="5"/>
    </row>
    <row r="70" ht="42" customHeight="1" spans="1:6" x14ac:dyDescent="0.25">
      <c r="A70" s="6" t="s">
        <v>5837</v>
      </c>
      <c r="B70" s="6"/>
      <c r="C70" s="6"/>
      <c r="D70" s="6"/>
      <c r="E70" s="6"/>
      <c r="F70" s="6"/>
    </row>
    <row r="71" spans="1:6" x14ac:dyDescent="0.25">
      <c r="A71" t="s">
        <v>4044</v>
      </c>
      <c r="B71" t="s">
        <v>4045</v>
      </c>
      <c r="C71" t="s">
        <v>5</v>
      </c>
      <c r="D71" t="s">
        <v>4046</v>
      </c>
      <c r="E71" t="s">
        <v>4047</v>
      </c>
      <c r="F71" t="s">
        <v>4048</v>
      </c>
    </row>
    <row r="72" spans="1:6" x14ac:dyDescent="0.25">
      <c r="A72" t="s">
        <v>4062</v>
      </c>
      <c r="B72" t="s">
        <v>5835</v>
      </c>
      <c r="C72" t="s">
        <v>5090</v>
      </c>
      <c r="D72" s="7">
        <v>0.01</v>
      </c>
      <c r="E72" s="2">
        <v>36000</v>
      </c>
      <c r="F72" s="2">
        <v>360</v>
      </c>
    </row>
    <row r="73" spans="1:6" x14ac:dyDescent="0.25">
      <c r="A73" t="s">
        <v>4062</v>
      </c>
      <c r="B73" t="s">
        <v>5091</v>
      </c>
      <c r="C73" t="s">
        <v>5090</v>
      </c>
      <c r="D73" s="7">
        <v>0.09</v>
      </c>
      <c r="E73" s="2">
        <v>20894.67</v>
      </c>
      <c r="F73" s="2">
        <v>1880.52</v>
      </c>
    </row>
    <row r="74" spans="1:6" x14ac:dyDescent="0.25">
      <c r="A74" t="s">
        <v>4062</v>
      </c>
      <c r="B74" t="s">
        <v>4475</v>
      </c>
      <c r="C74" t="s">
        <v>231</v>
      </c>
      <c r="D74" s="7">
        <v>0.26</v>
      </c>
      <c r="E74" s="2">
        <v>730</v>
      </c>
      <c r="F74" s="2">
        <v>189.8</v>
      </c>
    </row>
    <row r="75" spans="1:6" x14ac:dyDescent="0.25">
      <c r="A75" t="s">
        <v>4062</v>
      </c>
      <c r="B75" t="s">
        <v>4535</v>
      </c>
      <c r="C75" t="s">
        <v>63</v>
      </c>
      <c r="D75" s="7">
        <v>0.02</v>
      </c>
      <c r="E75" s="2">
        <v>1180</v>
      </c>
      <c r="F75" s="2">
        <v>23.6</v>
      </c>
    </row>
    <row r="76" spans="1:6" x14ac:dyDescent="0.25">
      <c r="A76" t="s">
        <v>4062</v>
      </c>
      <c r="B76" t="s">
        <v>4602</v>
      </c>
      <c r="C76" t="s">
        <v>4377</v>
      </c>
      <c r="D76" s="7">
        <v>0.02</v>
      </c>
      <c r="E76" s="2">
        <v>41112</v>
      </c>
      <c r="F76" s="2">
        <v>723.57</v>
      </c>
    </row>
    <row r="77" spans="1:6" x14ac:dyDescent="0.25">
      <c r="A77" t="s">
        <v>4062</v>
      </c>
      <c r="B77" t="s">
        <v>4076</v>
      </c>
      <c r="C77" t="s">
        <v>3963</v>
      </c>
      <c r="D77" s="7">
        <v>0.91</v>
      </c>
      <c r="E77" s="2">
        <v>21</v>
      </c>
      <c r="F77" s="2">
        <v>19.17</v>
      </c>
    </row>
    <row r="78" spans="1:6" x14ac:dyDescent="0.25">
      <c r="A78" t="s">
        <v>4049</v>
      </c>
      <c r="B78" t="s">
        <v>4050</v>
      </c>
      <c r="C78" t="s">
        <v>4051</v>
      </c>
      <c r="D78" s="7">
        <v>0.31</v>
      </c>
      <c r="E78" s="2">
        <v>9037.33</v>
      </c>
      <c r="F78" s="2">
        <v>2801.57</v>
      </c>
    </row>
    <row r="79" spans="1:6" x14ac:dyDescent="0.25">
      <c r="A79" t="s">
        <v>4049</v>
      </c>
      <c r="B79" t="s">
        <v>4073</v>
      </c>
      <c r="C79" t="s">
        <v>4051</v>
      </c>
      <c r="D79" s="7">
        <v>0.31</v>
      </c>
      <c r="E79" s="2">
        <v>15517.89</v>
      </c>
      <c r="F79" s="2">
        <v>4810.55</v>
      </c>
    </row>
    <row r="80" spans="1:6" x14ac:dyDescent="0.25">
      <c r="A80" t="s">
        <v>4052</v>
      </c>
      <c r="B80" t="s">
        <v>4105</v>
      </c>
      <c r="C80" t="s">
        <v>4106</v>
      </c>
      <c r="D80" s="7">
        <v>0.2</v>
      </c>
      <c r="E80" s="2">
        <v>25125</v>
      </c>
      <c r="F80" s="2">
        <v>5025</v>
      </c>
    </row>
    <row r="81" spans="1:6" x14ac:dyDescent="0.25">
      <c r="A81" t="s">
        <v>4052</v>
      </c>
      <c r="B81" t="s">
        <v>4053</v>
      </c>
      <c r="C81" t="s">
        <v>4054</v>
      </c>
      <c r="D81" s="7">
        <v>1</v>
      </c>
      <c r="E81" s="2">
        <v>7612.12</v>
      </c>
      <c r="F81" s="2">
        <v>76.12</v>
      </c>
    </row>
    <row r="82" spans="1:6" x14ac:dyDescent="0.25">
      <c r="A82" t="s">
        <v>4055</v>
      </c>
      <c r="D82" s="7"/>
      <c r="E82" s="2"/>
      <c r="F82" s="2">
        <f>SUBTOTAL(109,A_1_18_07[VALOR PARCIAL])</f>
      </c>
    </row>
    <row r="84" ht="30" customHeight="1" spans="1:6" x14ac:dyDescent="0.25">
      <c r="A84" s="5" t="s">
        <v>5838</v>
      </c>
      <c r="B84" s="5"/>
      <c r="C84" s="5"/>
      <c r="D84" s="5"/>
      <c r="E84" s="5"/>
      <c r="F84" s="5"/>
    </row>
    <row r="85" ht="42" customHeight="1" spans="1:6" x14ac:dyDescent="0.25">
      <c r="A85" s="6" t="s">
        <v>5839</v>
      </c>
      <c r="B85" s="6"/>
      <c r="C85" s="6"/>
      <c r="D85" s="6"/>
      <c r="E85" s="6"/>
      <c r="F85" s="6"/>
    </row>
    <row r="86" spans="1:6" x14ac:dyDescent="0.25">
      <c r="A86" t="s">
        <v>4044</v>
      </c>
      <c r="B86" t="s">
        <v>4045</v>
      </c>
      <c r="C86" t="s">
        <v>5</v>
      </c>
      <c r="D86" t="s">
        <v>4046</v>
      </c>
      <c r="E86" t="s">
        <v>4047</v>
      </c>
      <c r="F86" t="s">
        <v>4048</v>
      </c>
    </row>
    <row r="87" spans="1:6" x14ac:dyDescent="0.25">
      <c r="A87" t="s">
        <v>4062</v>
      </c>
      <c r="B87" t="s">
        <v>5840</v>
      </c>
      <c r="C87" t="s">
        <v>4377</v>
      </c>
      <c r="D87" s="7">
        <v>0.7</v>
      </c>
      <c r="E87" s="2">
        <v>25031.03</v>
      </c>
      <c r="F87" s="2">
        <v>17521.72</v>
      </c>
    </row>
    <row r="88" spans="1:6" x14ac:dyDescent="0.25">
      <c r="A88" t="s">
        <v>4049</v>
      </c>
      <c r="B88" t="s">
        <v>4050</v>
      </c>
      <c r="C88" t="s">
        <v>4051</v>
      </c>
      <c r="D88" s="7">
        <v>0.32</v>
      </c>
      <c r="E88" s="2">
        <v>9037.33</v>
      </c>
      <c r="F88" s="2">
        <v>2891.95</v>
      </c>
    </row>
    <row r="89" spans="1:6" x14ac:dyDescent="0.25">
      <c r="A89" t="s">
        <v>4049</v>
      </c>
      <c r="B89" t="s">
        <v>4073</v>
      </c>
      <c r="C89" t="s">
        <v>4051</v>
      </c>
      <c r="D89" s="7">
        <v>0.32</v>
      </c>
      <c r="E89" s="2">
        <v>15517.89</v>
      </c>
      <c r="F89" s="2">
        <v>4965.72</v>
      </c>
    </row>
    <row r="90" spans="1:6" x14ac:dyDescent="0.25">
      <c r="A90" t="s">
        <v>4052</v>
      </c>
      <c r="B90" t="s">
        <v>4053</v>
      </c>
      <c r="C90" t="s">
        <v>4054</v>
      </c>
      <c r="D90" s="7">
        <v>4</v>
      </c>
      <c r="E90" s="2">
        <v>7857.67</v>
      </c>
      <c r="F90" s="2">
        <v>314.31</v>
      </c>
    </row>
    <row r="91" spans="1:6" x14ac:dyDescent="0.25">
      <c r="A91" t="s">
        <v>4055</v>
      </c>
      <c r="D91" s="7"/>
      <c r="E91" s="2"/>
      <c r="F91" s="2">
        <f>SUBTOTAL(109,A_1_18_08[VALOR PARCIAL])</f>
      </c>
    </row>
    <row r="93" ht="30" customHeight="1" spans="1:6" x14ac:dyDescent="0.25">
      <c r="A93" s="5" t="s">
        <v>5841</v>
      </c>
      <c r="B93" s="5"/>
      <c r="C93" s="5"/>
      <c r="D93" s="5"/>
      <c r="E93" s="5"/>
      <c r="F93" s="5"/>
    </row>
    <row r="94" ht="42" customHeight="1" spans="1:6" x14ac:dyDescent="0.25">
      <c r="A94" s="6" t="s">
        <v>5842</v>
      </c>
      <c r="B94" s="6"/>
      <c r="C94" s="6"/>
      <c r="D94" s="6"/>
      <c r="E94" s="6"/>
      <c r="F94" s="6"/>
    </row>
    <row r="95" spans="1:6" x14ac:dyDescent="0.25">
      <c r="A95" t="s">
        <v>4044</v>
      </c>
      <c r="B95" t="s">
        <v>4045</v>
      </c>
      <c r="C95" t="s">
        <v>5</v>
      </c>
      <c r="D95" t="s">
        <v>4046</v>
      </c>
      <c r="E95" t="s">
        <v>4047</v>
      </c>
      <c r="F95" t="s">
        <v>4048</v>
      </c>
    </row>
    <row r="96" spans="1:6" x14ac:dyDescent="0.25">
      <c r="A96" t="s">
        <v>4062</v>
      </c>
      <c r="B96" t="s">
        <v>4594</v>
      </c>
      <c r="C96" t="s">
        <v>63</v>
      </c>
      <c r="D96" s="7">
        <v>2</v>
      </c>
      <c r="E96" s="2">
        <v>336</v>
      </c>
      <c r="F96" s="2">
        <v>672</v>
      </c>
    </row>
    <row r="97" spans="1:6" x14ac:dyDescent="0.25">
      <c r="A97" t="s">
        <v>4062</v>
      </c>
      <c r="B97" t="s">
        <v>4595</v>
      </c>
      <c r="C97" t="s">
        <v>63</v>
      </c>
      <c r="D97" s="7">
        <v>50</v>
      </c>
      <c r="E97" s="2">
        <v>26</v>
      </c>
      <c r="F97" s="2">
        <v>1300</v>
      </c>
    </row>
    <row r="98" spans="1:6" x14ac:dyDescent="0.25">
      <c r="A98" t="s">
        <v>4062</v>
      </c>
      <c r="B98" t="s">
        <v>5843</v>
      </c>
      <c r="C98" t="s">
        <v>63</v>
      </c>
      <c r="D98" s="7">
        <v>60</v>
      </c>
      <c r="E98" s="2">
        <v>196</v>
      </c>
      <c r="F98" s="2">
        <v>11760</v>
      </c>
    </row>
    <row r="99" spans="1:6" x14ac:dyDescent="0.25">
      <c r="A99" t="s">
        <v>4062</v>
      </c>
      <c r="B99" t="s">
        <v>5844</v>
      </c>
      <c r="C99" t="s">
        <v>63</v>
      </c>
      <c r="D99" s="7">
        <v>0.23</v>
      </c>
      <c r="E99" s="2">
        <v>5274</v>
      </c>
      <c r="F99" s="2">
        <v>1192.45</v>
      </c>
    </row>
    <row r="100" spans="1:6" x14ac:dyDescent="0.25">
      <c r="A100" t="s">
        <v>4062</v>
      </c>
      <c r="B100" t="s">
        <v>4598</v>
      </c>
      <c r="C100" t="s">
        <v>42</v>
      </c>
      <c r="D100" s="7">
        <v>0.16</v>
      </c>
      <c r="E100" s="2">
        <v>164.11</v>
      </c>
      <c r="F100" s="2">
        <v>26.26</v>
      </c>
    </row>
    <row r="101" spans="1:6" x14ac:dyDescent="0.25">
      <c r="A101" t="s">
        <v>4062</v>
      </c>
      <c r="B101" t="s">
        <v>5845</v>
      </c>
      <c r="C101" t="s">
        <v>42</v>
      </c>
      <c r="D101" s="7">
        <v>0.2</v>
      </c>
      <c r="E101" s="2">
        <v>4050</v>
      </c>
      <c r="F101" s="2">
        <v>826.61</v>
      </c>
    </row>
    <row r="102" spans="1:6" x14ac:dyDescent="0.25">
      <c r="A102" t="s">
        <v>4062</v>
      </c>
      <c r="B102" t="s">
        <v>5846</v>
      </c>
      <c r="C102" t="s">
        <v>5704</v>
      </c>
      <c r="D102" s="7">
        <v>0.08</v>
      </c>
      <c r="E102" s="2">
        <v>119545</v>
      </c>
      <c r="F102" s="2">
        <v>9563.6</v>
      </c>
    </row>
    <row r="103" spans="1:6" x14ac:dyDescent="0.25">
      <c r="A103" t="s">
        <v>4062</v>
      </c>
      <c r="B103" t="s">
        <v>5847</v>
      </c>
      <c r="C103" t="s">
        <v>5704</v>
      </c>
      <c r="D103" s="7">
        <v>0.06</v>
      </c>
      <c r="E103" s="2">
        <v>107098</v>
      </c>
      <c r="F103" s="2">
        <v>6425.88</v>
      </c>
    </row>
    <row r="104" spans="1:6" x14ac:dyDescent="0.25">
      <c r="A104" t="s">
        <v>4062</v>
      </c>
      <c r="B104" t="s">
        <v>4599</v>
      </c>
      <c r="C104" t="s">
        <v>63</v>
      </c>
      <c r="D104" s="7">
        <v>0.69</v>
      </c>
      <c r="E104" s="2">
        <v>63949.67</v>
      </c>
      <c r="F104" s="2">
        <v>44125.27</v>
      </c>
    </row>
    <row r="105" spans="1:6" x14ac:dyDescent="0.25">
      <c r="A105" t="s">
        <v>4062</v>
      </c>
      <c r="B105" t="s">
        <v>4600</v>
      </c>
      <c r="C105" t="s">
        <v>63</v>
      </c>
      <c r="D105" s="7">
        <v>0.26</v>
      </c>
      <c r="E105" s="2">
        <v>1195</v>
      </c>
      <c r="F105" s="2">
        <v>310.7</v>
      </c>
    </row>
    <row r="106" spans="1:6" x14ac:dyDescent="0.25">
      <c r="A106" t="s">
        <v>4062</v>
      </c>
      <c r="B106" t="s">
        <v>4601</v>
      </c>
      <c r="C106" t="s">
        <v>63</v>
      </c>
      <c r="D106" s="7">
        <v>2</v>
      </c>
      <c r="E106" s="2">
        <v>199</v>
      </c>
      <c r="F106" s="2">
        <v>398</v>
      </c>
    </row>
    <row r="107" spans="1:6" x14ac:dyDescent="0.25">
      <c r="A107" t="s">
        <v>4062</v>
      </c>
      <c r="B107" t="s">
        <v>4602</v>
      </c>
      <c r="C107" t="s">
        <v>4377</v>
      </c>
      <c r="D107" s="7">
        <v>0.08</v>
      </c>
      <c r="E107" s="2">
        <v>41112</v>
      </c>
      <c r="F107" s="2">
        <v>3288.96</v>
      </c>
    </row>
    <row r="108" spans="1:6" x14ac:dyDescent="0.25">
      <c r="A108" t="s">
        <v>4049</v>
      </c>
      <c r="B108" t="s">
        <v>4603</v>
      </c>
      <c r="C108" t="s">
        <v>21</v>
      </c>
      <c r="D108" s="7">
        <v>1</v>
      </c>
      <c r="E108" s="2">
        <v>29781.96</v>
      </c>
      <c r="F108" s="2">
        <v>29781.96</v>
      </c>
    </row>
    <row r="109" spans="1:6" x14ac:dyDescent="0.25">
      <c r="A109" t="s">
        <v>4052</v>
      </c>
      <c r="B109" t="s">
        <v>5848</v>
      </c>
      <c r="C109" t="s">
        <v>42</v>
      </c>
      <c r="D109" s="7">
        <v>2</v>
      </c>
      <c r="E109" s="2">
        <v>6074</v>
      </c>
      <c r="F109" s="2">
        <v>12148</v>
      </c>
    </row>
    <row r="110" spans="1:6" x14ac:dyDescent="0.25">
      <c r="A110" t="s">
        <v>4052</v>
      </c>
      <c r="B110" t="s">
        <v>4105</v>
      </c>
      <c r="C110" t="s">
        <v>4106</v>
      </c>
      <c r="D110" s="7">
        <v>0.8</v>
      </c>
      <c r="E110" s="2">
        <v>25125</v>
      </c>
      <c r="F110" s="2">
        <v>20100</v>
      </c>
    </row>
    <row r="111" spans="1:6" x14ac:dyDescent="0.25">
      <c r="A111" t="s">
        <v>4052</v>
      </c>
      <c r="B111" t="s">
        <v>4053</v>
      </c>
      <c r="C111" t="s">
        <v>4054</v>
      </c>
      <c r="D111" s="7">
        <v>6.7</v>
      </c>
      <c r="E111" s="2">
        <v>29781.96</v>
      </c>
      <c r="F111" s="2">
        <v>1995.39</v>
      </c>
    </row>
    <row r="112" spans="1:6" x14ac:dyDescent="0.25">
      <c r="A112" t="s">
        <v>4055</v>
      </c>
      <c r="D112" s="7"/>
      <c r="E112" s="2"/>
      <c r="F112" s="2">
        <f>SUBTOTAL(109,A_1_18_09[VALOR PARCIAL])</f>
      </c>
    </row>
    <row r="114" ht="30" customHeight="1" spans="1:6" x14ac:dyDescent="0.25">
      <c r="A114" s="5" t="s">
        <v>5849</v>
      </c>
      <c r="B114" s="5"/>
      <c r="C114" s="5"/>
      <c r="D114" s="5"/>
      <c r="E114" s="5"/>
      <c r="F114" s="5"/>
    </row>
    <row r="115" ht="42" customHeight="1" spans="1:6" x14ac:dyDescent="0.25">
      <c r="A115" s="6" t="s">
        <v>5850</v>
      </c>
      <c r="B115" s="6"/>
      <c r="C115" s="6"/>
      <c r="D115" s="6"/>
      <c r="E115" s="6"/>
      <c r="F115" s="6"/>
    </row>
    <row r="116" spans="1:6" x14ac:dyDescent="0.25">
      <c r="A116" t="s">
        <v>4044</v>
      </c>
      <c r="B116" t="s">
        <v>4045</v>
      </c>
      <c r="C116" t="s">
        <v>5</v>
      </c>
      <c r="D116" t="s">
        <v>4046</v>
      </c>
      <c r="E116" t="s">
        <v>4047</v>
      </c>
      <c r="F116" t="s">
        <v>4048</v>
      </c>
    </row>
    <row r="117" spans="1:6" x14ac:dyDescent="0.25">
      <c r="A117" t="s">
        <v>4062</v>
      </c>
      <c r="B117" t="s">
        <v>4547</v>
      </c>
      <c r="C117" t="s">
        <v>34</v>
      </c>
      <c r="D117" s="7">
        <v>0.3</v>
      </c>
      <c r="E117" s="2">
        <v>57129.33</v>
      </c>
      <c r="F117" s="2">
        <v>17138.8</v>
      </c>
    </row>
    <row r="118" spans="1:6" x14ac:dyDescent="0.25">
      <c r="A118" t="s">
        <v>4062</v>
      </c>
      <c r="B118" t="s">
        <v>5851</v>
      </c>
      <c r="C118" t="s">
        <v>21</v>
      </c>
      <c r="D118" s="7">
        <v>1.1</v>
      </c>
      <c r="E118" s="2">
        <v>8033.33</v>
      </c>
      <c r="F118" s="2">
        <v>8836.66</v>
      </c>
    </row>
    <row r="119" spans="1:6" x14ac:dyDescent="0.25">
      <c r="A119" t="s">
        <v>4049</v>
      </c>
      <c r="B119" t="s">
        <v>4050</v>
      </c>
      <c r="C119" t="s">
        <v>4051</v>
      </c>
      <c r="D119" s="7">
        <v>0.1</v>
      </c>
      <c r="E119" s="2">
        <v>9037.33</v>
      </c>
      <c r="F119" s="2">
        <v>903.73</v>
      </c>
    </row>
    <row r="120" spans="1:6" x14ac:dyDescent="0.25">
      <c r="A120" t="s">
        <v>4049</v>
      </c>
      <c r="B120" t="s">
        <v>4073</v>
      </c>
      <c r="C120" t="s">
        <v>4051</v>
      </c>
      <c r="D120" s="7">
        <v>0.1</v>
      </c>
      <c r="E120" s="2">
        <v>15517.89</v>
      </c>
      <c r="F120" s="2">
        <v>1551.79</v>
      </c>
    </row>
    <row r="121" spans="1:6" x14ac:dyDescent="0.25">
      <c r="A121" t="s">
        <v>4052</v>
      </c>
      <c r="B121" t="s">
        <v>4053</v>
      </c>
      <c r="C121" t="s">
        <v>4054</v>
      </c>
      <c r="D121" s="7">
        <v>3.5</v>
      </c>
      <c r="E121" s="2">
        <v>2455.52</v>
      </c>
      <c r="F121" s="2">
        <v>85.94</v>
      </c>
    </row>
    <row r="122" spans="1:6" x14ac:dyDescent="0.25">
      <c r="A122" t="s">
        <v>4055</v>
      </c>
      <c r="D122" s="7"/>
      <c r="E122" s="2"/>
      <c r="F122" s="2">
        <f>SUBTOTAL(109,A_1_18_10[VALOR PARCIAL])</f>
      </c>
    </row>
    <row r="124" ht="30" customHeight="1" spans="1:6" x14ac:dyDescent="0.25">
      <c r="A124" s="5" t="s">
        <v>5852</v>
      </c>
      <c r="B124" s="5"/>
      <c r="C124" s="5"/>
      <c r="D124" s="5"/>
      <c r="E124" s="5"/>
      <c r="F124" s="5"/>
    </row>
    <row r="125" ht="42" customHeight="1" spans="1:6" x14ac:dyDescent="0.25">
      <c r="A125" s="6" t="s">
        <v>5853</v>
      </c>
      <c r="B125" s="6"/>
      <c r="C125" s="6"/>
      <c r="D125" s="6"/>
      <c r="E125" s="6"/>
      <c r="F125" s="6"/>
    </row>
    <row r="126" spans="1:6" x14ac:dyDescent="0.25">
      <c r="A126" t="s">
        <v>4044</v>
      </c>
      <c r="B126" t="s">
        <v>4045</v>
      </c>
      <c r="C126" t="s">
        <v>5</v>
      </c>
      <c r="D126" t="s">
        <v>4046</v>
      </c>
      <c r="E126" t="s">
        <v>4047</v>
      </c>
      <c r="F126" t="s">
        <v>4048</v>
      </c>
    </row>
    <row r="127" spans="1:6" x14ac:dyDescent="0.25">
      <c r="A127" t="s">
        <v>4062</v>
      </c>
      <c r="B127" t="s">
        <v>4547</v>
      </c>
      <c r="C127" t="s">
        <v>34</v>
      </c>
      <c r="D127" s="7">
        <v>0.3</v>
      </c>
      <c r="E127" s="2">
        <v>57129.33</v>
      </c>
      <c r="F127" s="2">
        <v>17138.8</v>
      </c>
    </row>
    <row r="128" spans="1:6" x14ac:dyDescent="0.25">
      <c r="A128" t="s">
        <v>4062</v>
      </c>
      <c r="B128" t="s">
        <v>5854</v>
      </c>
      <c r="C128" t="s">
        <v>21</v>
      </c>
      <c r="D128" s="7">
        <v>1</v>
      </c>
      <c r="E128" s="2">
        <v>4750</v>
      </c>
      <c r="F128" s="2">
        <v>4750</v>
      </c>
    </row>
    <row r="129" spans="1:6" x14ac:dyDescent="0.25">
      <c r="A129" t="s">
        <v>4049</v>
      </c>
      <c r="B129" t="s">
        <v>4050</v>
      </c>
      <c r="C129" t="s">
        <v>4051</v>
      </c>
      <c r="D129" s="7">
        <v>0.1</v>
      </c>
      <c r="E129" s="2">
        <v>9037.33</v>
      </c>
      <c r="F129" s="2">
        <v>903.73</v>
      </c>
    </row>
    <row r="130" spans="1:6" x14ac:dyDescent="0.25">
      <c r="A130" t="s">
        <v>4049</v>
      </c>
      <c r="B130" t="s">
        <v>4073</v>
      </c>
      <c r="C130" t="s">
        <v>4051</v>
      </c>
      <c r="D130" s="7">
        <v>0.1</v>
      </c>
      <c r="E130" s="2">
        <v>15517.89</v>
      </c>
      <c r="F130" s="2">
        <v>1551.79</v>
      </c>
    </row>
    <row r="131" spans="1:6" x14ac:dyDescent="0.25">
      <c r="A131" t="s">
        <v>4055</v>
      </c>
      <c r="D131" s="7"/>
      <c r="E131" s="2"/>
      <c r="F131" s="2">
        <f>SUBTOTAL(109,A_1_18_11[VALOR PARCIAL])</f>
      </c>
    </row>
    <row r="133" ht="30" customHeight="1" spans="1:6" x14ac:dyDescent="0.25">
      <c r="A133" s="5" t="s">
        <v>5855</v>
      </c>
      <c r="B133" s="5"/>
      <c r="C133" s="5"/>
      <c r="D133" s="5"/>
      <c r="E133" s="5"/>
      <c r="F133" s="5"/>
    </row>
    <row r="134" ht="42" customHeight="1" spans="1:6" x14ac:dyDescent="0.25">
      <c r="A134" s="6" t="s">
        <v>5856</v>
      </c>
      <c r="B134" s="6"/>
      <c r="C134" s="6"/>
      <c r="D134" s="6"/>
      <c r="E134" s="6"/>
      <c r="F134" s="6"/>
    </row>
    <row r="135" spans="1:6" x14ac:dyDescent="0.25">
      <c r="A135" t="s">
        <v>4044</v>
      </c>
      <c r="B135" t="s">
        <v>4045</v>
      </c>
      <c r="C135" t="s">
        <v>5</v>
      </c>
      <c r="D135" t="s">
        <v>4046</v>
      </c>
      <c r="E135" t="s">
        <v>4047</v>
      </c>
      <c r="F135" t="s">
        <v>4048</v>
      </c>
    </row>
    <row r="136" spans="1:6" x14ac:dyDescent="0.25">
      <c r="A136" t="s">
        <v>4062</v>
      </c>
      <c r="B136" t="s">
        <v>4001</v>
      </c>
      <c r="C136" t="s">
        <v>34</v>
      </c>
      <c r="D136" s="7">
        <v>0.08</v>
      </c>
      <c r="E136" s="2">
        <v>450245.66</v>
      </c>
      <c r="F136" s="2">
        <v>36019.65</v>
      </c>
    </row>
    <row r="137" spans="1:6" x14ac:dyDescent="0.25">
      <c r="A137" t="s">
        <v>4049</v>
      </c>
      <c r="B137" t="s">
        <v>5857</v>
      </c>
      <c r="C137" t="s">
        <v>4106</v>
      </c>
      <c r="D137" s="7">
        <v>0.82</v>
      </c>
      <c r="E137" s="2">
        <v>1250</v>
      </c>
      <c r="F137" s="2">
        <v>1025</v>
      </c>
    </row>
    <row r="138" spans="1:6" x14ac:dyDescent="0.25">
      <c r="A138" t="s">
        <v>4049</v>
      </c>
      <c r="B138" t="s">
        <v>5818</v>
      </c>
      <c r="C138" t="s">
        <v>4236</v>
      </c>
      <c r="D138" s="7">
        <v>0.46</v>
      </c>
      <c r="E138" s="2">
        <v>24555.22</v>
      </c>
      <c r="F138" s="2">
        <v>11295.4</v>
      </c>
    </row>
    <row r="139" spans="1:6" x14ac:dyDescent="0.25">
      <c r="A139" t="s">
        <v>4055</v>
      </c>
      <c r="D139" s="7"/>
      <c r="E139" s="2"/>
      <c r="F139" s="2">
        <f>SUBTOTAL(109,A_1_18_12[VALOR PARCIAL])</f>
      </c>
    </row>
  </sheetData>
  <mergeCells count="24">
    <mergeCell ref="A4:F4"/>
    <mergeCell ref="A5:F5"/>
    <mergeCell ref="A13:F13"/>
    <mergeCell ref="A14:F14"/>
    <mergeCell ref="A25:F25"/>
    <mergeCell ref="A26:F26"/>
    <mergeCell ref="A33:F33"/>
    <mergeCell ref="A34:F34"/>
    <mergeCell ref="A43:F43"/>
    <mergeCell ref="A44:F44"/>
    <mergeCell ref="A55:F55"/>
    <mergeCell ref="A56:F56"/>
    <mergeCell ref="A69:F69"/>
    <mergeCell ref="A70:F70"/>
    <mergeCell ref="A84:F84"/>
    <mergeCell ref="A85:F85"/>
    <mergeCell ref="A93:F93"/>
    <mergeCell ref="A94:F94"/>
    <mergeCell ref="A114:F114"/>
    <mergeCell ref="A115:F115"/>
    <mergeCell ref="A124:F124"/>
    <mergeCell ref="A125:F125"/>
    <mergeCell ref="A133:F133"/>
    <mergeCell ref="A134:F134"/>
  </mergeCells>
  <pageMargins left="0.7" right="0.7" top="0.75" bottom="0.75" header="0.3" footer="0.3"/>
  <pageSetup orientation="portrait" horizontalDpi="4294967295" verticalDpi="4294967295" scale="100" fitToWidth="1" fitToHeight="1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5858</v>
      </c>
    </row>
    <row r="2" spans="1:1" x14ac:dyDescent="0.25">
      <c r="A2" s="4" t="s">
        <v>5030</v>
      </c>
    </row>
    <row r="4" ht="30" customHeight="1" spans="1:6" x14ac:dyDescent="0.25">
      <c r="A4" s="5" t="s">
        <v>5859</v>
      </c>
      <c r="B4" s="5"/>
      <c r="C4" s="5"/>
      <c r="D4" s="5"/>
      <c r="E4" s="5"/>
      <c r="F4" s="5"/>
    </row>
    <row r="5" ht="42" customHeight="1" spans="1:6" x14ac:dyDescent="0.25">
      <c r="A5" s="6" t="s">
        <v>5860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5861</v>
      </c>
      <c r="C7" t="s">
        <v>1894</v>
      </c>
      <c r="D7" s="7">
        <v>1</v>
      </c>
      <c r="E7" s="2">
        <v>1731000.35</v>
      </c>
      <c r="F7" s="2">
        <v>1731000.35</v>
      </c>
    </row>
    <row r="8" spans="1:6" x14ac:dyDescent="0.25">
      <c r="A8" t="s">
        <v>4055</v>
      </c>
      <c r="D8" s="7"/>
      <c r="E8" s="2"/>
      <c r="F8" s="2">
        <f>SUBTOTAL(109,A_1_19_01[VALOR PARCIAL])</f>
      </c>
    </row>
    <row r="10" ht="30" customHeight="1" spans="1:6" x14ac:dyDescent="0.25">
      <c r="A10" s="5" t="s">
        <v>5862</v>
      </c>
      <c r="B10" s="5"/>
      <c r="C10" s="5"/>
      <c r="D10" s="5"/>
      <c r="E10" s="5"/>
      <c r="F10" s="5"/>
    </row>
    <row r="11" ht="42" customHeight="1" spans="1:6" x14ac:dyDescent="0.25">
      <c r="A11" s="6" t="s">
        <v>5863</v>
      </c>
      <c r="B11" s="6"/>
      <c r="C11" s="6"/>
      <c r="D11" s="6"/>
      <c r="E11" s="6"/>
      <c r="F11" s="6"/>
    </row>
    <row r="12" spans="1:6" x14ac:dyDescent="0.25">
      <c r="A12" t="s">
        <v>4044</v>
      </c>
      <c r="B12" t="s">
        <v>4045</v>
      </c>
      <c r="C12" t="s">
        <v>5</v>
      </c>
      <c r="D12" t="s">
        <v>4046</v>
      </c>
      <c r="E12" t="s">
        <v>4047</v>
      </c>
      <c r="F12" t="s">
        <v>4048</v>
      </c>
    </row>
    <row r="13" spans="1:6" x14ac:dyDescent="0.25">
      <c r="A13" t="s">
        <v>4062</v>
      </c>
      <c r="B13" t="s">
        <v>5864</v>
      </c>
      <c r="C13" t="s">
        <v>1894</v>
      </c>
      <c r="D13" s="7">
        <v>1</v>
      </c>
      <c r="E13" s="2">
        <v>4039614.1</v>
      </c>
      <c r="F13" s="2">
        <v>4039614.1</v>
      </c>
    </row>
    <row r="14" spans="1:6" x14ac:dyDescent="0.25">
      <c r="A14" t="s">
        <v>4055</v>
      </c>
      <c r="D14" s="7"/>
      <c r="E14" s="2"/>
      <c r="F14" s="2">
        <f>SUBTOTAL(109,A_1_19_02[VALOR PARCIAL])</f>
      </c>
    </row>
    <row r="16" ht="30" customHeight="1" spans="1:6" x14ac:dyDescent="0.25">
      <c r="A16" s="5" t="s">
        <v>5865</v>
      </c>
      <c r="B16" s="5"/>
      <c r="C16" s="5"/>
      <c r="D16" s="5"/>
      <c r="E16" s="5"/>
      <c r="F16" s="5"/>
    </row>
    <row r="17" ht="42" customHeight="1" spans="1:6" x14ac:dyDescent="0.25">
      <c r="A17" s="6" t="s">
        <v>5866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4062</v>
      </c>
      <c r="B19" t="s">
        <v>5867</v>
      </c>
      <c r="C19" t="s">
        <v>63</v>
      </c>
      <c r="D19" s="7">
        <v>1</v>
      </c>
      <c r="E19" s="2">
        <v>360100</v>
      </c>
      <c r="F19" s="2">
        <v>360100</v>
      </c>
    </row>
    <row r="20" spans="1:6" x14ac:dyDescent="0.25">
      <c r="A20" t="s">
        <v>4062</v>
      </c>
      <c r="B20" t="s">
        <v>5868</v>
      </c>
      <c r="C20" t="s">
        <v>1894</v>
      </c>
      <c r="D20" s="7">
        <v>1</v>
      </c>
      <c r="E20" s="2">
        <v>3649820.02</v>
      </c>
      <c r="F20" s="2">
        <v>3649820.02</v>
      </c>
    </row>
    <row r="21" spans="1:6" x14ac:dyDescent="0.25">
      <c r="A21" t="s">
        <v>4055</v>
      </c>
      <c r="D21" s="7"/>
      <c r="E21" s="2"/>
      <c r="F21" s="2">
        <f>SUBTOTAL(109,A_1_19_03[VALOR PARCIAL])</f>
      </c>
    </row>
    <row r="23" ht="30" customHeight="1" spans="1:6" x14ac:dyDescent="0.25">
      <c r="A23" s="5" t="s">
        <v>5869</v>
      </c>
      <c r="B23" s="5"/>
      <c r="C23" s="5"/>
      <c r="D23" s="5"/>
      <c r="E23" s="5"/>
      <c r="F23" s="5"/>
    </row>
    <row r="24" ht="42" customHeight="1" spans="1:6" x14ac:dyDescent="0.25">
      <c r="A24" s="6" t="s">
        <v>5870</v>
      </c>
      <c r="B24" s="6"/>
      <c r="C24" s="6"/>
      <c r="D24" s="6"/>
      <c r="E24" s="6"/>
      <c r="F24" s="6"/>
    </row>
    <row r="25" spans="1:6" x14ac:dyDescent="0.25">
      <c r="A25" t="s">
        <v>4044</v>
      </c>
      <c r="B25" t="s">
        <v>4045</v>
      </c>
      <c r="C25" t="s">
        <v>5</v>
      </c>
      <c r="D25" t="s">
        <v>4046</v>
      </c>
      <c r="E25" t="s">
        <v>4047</v>
      </c>
      <c r="F25" t="s">
        <v>4048</v>
      </c>
    </row>
    <row r="26" spans="1:6" x14ac:dyDescent="0.25">
      <c r="A26" t="s">
        <v>4062</v>
      </c>
      <c r="B26" t="s">
        <v>5871</v>
      </c>
      <c r="C26" t="s">
        <v>1894</v>
      </c>
      <c r="D26" s="7">
        <v>1</v>
      </c>
      <c r="E26" s="2">
        <v>1333666.67</v>
      </c>
      <c r="F26" s="2">
        <v>1333666.67</v>
      </c>
    </row>
    <row r="27" spans="1:6" x14ac:dyDescent="0.25">
      <c r="A27" t="s">
        <v>4055</v>
      </c>
      <c r="D27" s="7"/>
      <c r="E27" s="2"/>
      <c r="F27" s="2">
        <f>SUBTOTAL(109,A_1_19_04[VALOR PARCIAL])</f>
      </c>
    </row>
    <row r="29" ht="30" customHeight="1" spans="1:6" x14ac:dyDescent="0.25">
      <c r="A29" s="5" t="s">
        <v>5872</v>
      </c>
      <c r="B29" s="5"/>
      <c r="C29" s="5"/>
      <c r="D29" s="5"/>
      <c r="E29" s="5"/>
      <c r="F29" s="5"/>
    </row>
    <row r="30" ht="42" customHeight="1" spans="1:6" x14ac:dyDescent="0.25">
      <c r="A30" s="6" t="s">
        <v>5873</v>
      </c>
      <c r="B30" s="6"/>
      <c r="C30" s="6"/>
      <c r="D30" s="6"/>
      <c r="E30" s="6"/>
      <c r="F30" s="6"/>
    </row>
    <row r="31" spans="1:6" x14ac:dyDescent="0.25">
      <c r="A31" t="s">
        <v>4044</v>
      </c>
      <c r="B31" t="s">
        <v>4045</v>
      </c>
      <c r="C31" t="s">
        <v>5</v>
      </c>
      <c r="D31" t="s">
        <v>4046</v>
      </c>
      <c r="E31" t="s">
        <v>4047</v>
      </c>
      <c r="F31" t="s">
        <v>4048</v>
      </c>
    </row>
    <row r="32" spans="1:6" x14ac:dyDescent="0.25">
      <c r="A32" t="s">
        <v>4062</v>
      </c>
      <c r="B32" t="s">
        <v>5874</v>
      </c>
      <c r="C32" t="s">
        <v>1894</v>
      </c>
      <c r="D32" s="7">
        <v>1</v>
      </c>
      <c r="E32" s="2">
        <v>3847667</v>
      </c>
      <c r="F32" s="2">
        <v>3847667</v>
      </c>
    </row>
    <row r="33" spans="1:6" x14ac:dyDescent="0.25">
      <c r="A33" t="s">
        <v>4055</v>
      </c>
      <c r="D33" s="7"/>
      <c r="E33" s="2"/>
      <c r="F33" s="2">
        <f>SUBTOTAL(109,A_1_19_05[VALOR PARCIAL])</f>
      </c>
    </row>
    <row r="35" ht="30" customHeight="1" spans="1:6" x14ac:dyDescent="0.25">
      <c r="A35" s="5" t="s">
        <v>5875</v>
      </c>
      <c r="B35" s="5"/>
      <c r="C35" s="5"/>
      <c r="D35" s="5"/>
      <c r="E35" s="5"/>
      <c r="F35" s="5"/>
    </row>
    <row r="36" ht="42" customHeight="1" spans="1:6" x14ac:dyDescent="0.25">
      <c r="A36" s="6" t="s">
        <v>5876</v>
      </c>
      <c r="B36" s="6"/>
      <c r="C36" s="6"/>
      <c r="D36" s="6"/>
      <c r="E36" s="6"/>
      <c r="F36" s="6"/>
    </row>
    <row r="37" spans="1:6" x14ac:dyDescent="0.25">
      <c r="A37" t="s">
        <v>4044</v>
      </c>
      <c r="B37" t="s">
        <v>4045</v>
      </c>
      <c r="C37" t="s">
        <v>5</v>
      </c>
      <c r="D37" t="s">
        <v>4046</v>
      </c>
      <c r="E37" t="s">
        <v>4047</v>
      </c>
      <c r="F37" t="s">
        <v>4048</v>
      </c>
    </row>
    <row r="38" spans="1:6" x14ac:dyDescent="0.25">
      <c r="A38" t="s">
        <v>4062</v>
      </c>
      <c r="B38" t="s">
        <v>5877</v>
      </c>
      <c r="C38" t="s">
        <v>1894</v>
      </c>
      <c r="D38" s="7">
        <v>1</v>
      </c>
      <c r="E38" s="2">
        <v>3441083.33</v>
      </c>
      <c r="F38" s="2">
        <v>3441083.33</v>
      </c>
    </row>
    <row r="39" spans="1:6" x14ac:dyDescent="0.25">
      <c r="A39" t="s">
        <v>4055</v>
      </c>
      <c r="D39" s="7"/>
      <c r="E39" s="2"/>
      <c r="F39" s="2">
        <f>SUBTOTAL(109,A_1_19_06[VALOR PARCIAL])</f>
      </c>
    </row>
    <row r="41" ht="30" customHeight="1" spans="1:6" x14ac:dyDescent="0.25">
      <c r="A41" s="5" t="s">
        <v>5878</v>
      </c>
      <c r="B41" s="5"/>
      <c r="C41" s="5"/>
      <c r="D41" s="5"/>
      <c r="E41" s="5"/>
      <c r="F41" s="5"/>
    </row>
    <row r="42" ht="42" customHeight="1" spans="1:6" x14ac:dyDescent="0.25">
      <c r="A42" s="6" t="s">
        <v>5879</v>
      </c>
      <c r="B42" s="6"/>
      <c r="C42" s="6"/>
      <c r="D42" s="6"/>
      <c r="E42" s="6"/>
      <c r="F42" s="6"/>
    </row>
    <row r="43" spans="1:6" x14ac:dyDescent="0.25">
      <c r="A43" t="s">
        <v>4044</v>
      </c>
      <c r="B43" t="s">
        <v>4045</v>
      </c>
      <c r="C43" t="s">
        <v>5</v>
      </c>
      <c r="D43" t="s">
        <v>4046</v>
      </c>
      <c r="E43" t="s">
        <v>4047</v>
      </c>
      <c r="F43" t="s">
        <v>4048</v>
      </c>
    </row>
    <row r="44" spans="1:6" x14ac:dyDescent="0.25">
      <c r="A44" t="s">
        <v>4062</v>
      </c>
      <c r="B44" t="s">
        <v>5880</v>
      </c>
      <c r="C44" t="s">
        <v>4377</v>
      </c>
      <c r="D44" s="7">
        <v>0.02</v>
      </c>
      <c r="E44" s="2">
        <v>87340</v>
      </c>
      <c r="F44" s="2">
        <v>1746.8</v>
      </c>
    </row>
    <row r="45" spans="1:6" x14ac:dyDescent="0.25">
      <c r="A45" t="s">
        <v>4049</v>
      </c>
      <c r="B45" t="s">
        <v>4050</v>
      </c>
      <c r="C45" t="s">
        <v>4051</v>
      </c>
      <c r="D45" s="7">
        <v>0.15</v>
      </c>
      <c r="E45" s="2">
        <v>9037.33</v>
      </c>
      <c r="F45" s="2">
        <v>1355.6</v>
      </c>
    </row>
    <row r="46" spans="1:6" x14ac:dyDescent="0.25">
      <c r="A46" t="s">
        <v>4049</v>
      </c>
      <c r="B46" t="s">
        <v>4073</v>
      </c>
      <c r="C46" t="s">
        <v>4051</v>
      </c>
      <c r="D46" s="7">
        <v>0.15</v>
      </c>
      <c r="E46" s="2">
        <v>15517.89</v>
      </c>
      <c r="F46" s="2">
        <v>2327.68</v>
      </c>
    </row>
    <row r="47" spans="1:6" x14ac:dyDescent="0.25">
      <c r="A47" t="s">
        <v>4052</v>
      </c>
      <c r="B47" t="s">
        <v>4053</v>
      </c>
      <c r="C47" t="s">
        <v>4054</v>
      </c>
      <c r="D47" s="7">
        <v>5</v>
      </c>
      <c r="E47" s="2">
        <v>3683.28</v>
      </c>
      <c r="F47" s="2">
        <v>184.16</v>
      </c>
    </row>
    <row r="48" spans="1:6" x14ac:dyDescent="0.25">
      <c r="A48" t="s">
        <v>4055</v>
      </c>
      <c r="D48" s="7"/>
      <c r="E48" s="2"/>
      <c r="F48" s="2">
        <f>SUBTOTAL(109,A_1_19_07[VALOR PARCIAL])</f>
      </c>
    </row>
    <row r="50" ht="30" customHeight="1" spans="1:6" x14ac:dyDescent="0.25">
      <c r="A50" s="5" t="s">
        <v>5881</v>
      </c>
      <c r="B50" s="5"/>
      <c r="C50" s="5"/>
      <c r="D50" s="5"/>
      <c r="E50" s="5"/>
      <c r="F50" s="5"/>
    </row>
    <row r="51" ht="42" customHeight="1" spans="1:6" x14ac:dyDescent="0.25">
      <c r="A51" s="6" t="s">
        <v>5882</v>
      </c>
      <c r="B51" s="6"/>
      <c r="C51" s="6"/>
      <c r="D51" s="6"/>
      <c r="E51" s="6"/>
      <c r="F51" s="6"/>
    </row>
    <row r="52" spans="1:6" x14ac:dyDescent="0.25">
      <c r="A52" t="s">
        <v>4044</v>
      </c>
      <c r="B52" t="s">
        <v>4045</v>
      </c>
      <c r="C52" t="s">
        <v>5</v>
      </c>
      <c r="D52" t="s">
        <v>4046</v>
      </c>
      <c r="E52" t="s">
        <v>4047</v>
      </c>
      <c r="F52" t="s">
        <v>4048</v>
      </c>
    </row>
    <row r="53" spans="1:6" x14ac:dyDescent="0.25">
      <c r="A53" t="s">
        <v>4062</v>
      </c>
      <c r="B53" t="s">
        <v>3180</v>
      </c>
      <c r="C53" t="s">
        <v>34</v>
      </c>
      <c r="D53" s="7">
        <v>1.72</v>
      </c>
      <c r="E53" s="2">
        <v>48843.35</v>
      </c>
      <c r="F53" s="2">
        <v>84010.56</v>
      </c>
    </row>
    <row r="54" spans="1:6" x14ac:dyDescent="0.25">
      <c r="A54" t="s">
        <v>4062</v>
      </c>
      <c r="B54" t="s">
        <v>5883</v>
      </c>
      <c r="C54" t="s">
        <v>63</v>
      </c>
      <c r="D54" s="7">
        <v>2</v>
      </c>
      <c r="E54" s="2">
        <v>189000</v>
      </c>
      <c r="F54" s="2">
        <v>378000</v>
      </c>
    </row>
    <row r="55" spans="1:6" x14ac:dyDescent="0.25">
      <c r="A55" t="s">
        <v>4062</v>
      </c>
      <c r="B55" t="s">
        <v>5884</v>
      </c>
      <c r="C55" t="s">
        <v>63</v>
      </c>
      <c r="D55" s="7">
        <v>1</v>
      </c>
      <c r="E55" s="2">
        <v>6628300</v>
      </c>
      <c r="F55" s="2">
        <v>6628300</v>
      </c>
    </row>
    <row r="56" spans="1:6" x14ac:dyDescent="0.25">
      <c r="A56" t="s">
        <v>4055</v>
      </c>
      <c r="D56" s="7"/>
      <c r="E56" s="2"/>
      <c r="F56" s="2">
        <f>SUBTOTAL(109,A_1_19_08[VALOR PARCIAL])</f>
      </c>
    </row>
    <row r="58" ht="30" customHeight="1" spans="1:6" x14ac:dyDescent="0.25">
      <c r="A58" s="5" t="s">
        <v>5885</v>
      </c>
      <c r="B58" s="5"/>
      <c r="C58" s="5"/>
      <c r="D58" s="5"/>
      <c r="E58" s="5"/>
      <c r="F58" s="5"/>
    </row>
    <row r="59" ht="42" customHeight="1" spans="1:6" x14ac:dyDescent="0.25">
      <c r="A59" s="6" t="s">
        <v>5886</v>
      </c>
      <c r="B59" s="6"/>
      <c r="C59" s="6"/>
      <c r="D59" s="6"/>
      <c r="E59" s="6"/>
      <c r="F59" s="6"/>
    </row>
    <row r="60" spans="1:6" x14ac:dyDescent="0.25">
      <c r="A60" t="s">
        <v>4044</v>
      </c>
      <c r="B60" t="s">
        <v>4045</v>
      </c>
      <c r="C60" t="s">
        <v>5</v>
      </c>
      <c r="D60" t="s">
        <v>4046</v>
      </c>
      <c r="E60" t="s">
        <v>4047</v>
      </c>
      <c r="F60" t="s">
        <v>4048</v>
      </c>
    </row>
    <row r="61" spans="1:6" x14ac:dyDescent="0.25">
      <c r="A61" t="s">
        <v>4062</v>
      </c>
      <c r="B61" t="s">
        <v>5867</v>
      </c>
      <c r="C61" t="s">
        <v>63</v>
      </c>
      <c r="D61" s="7">
        <v>1</v>
      </c>
      <c r="E61" s="2">
        <v>360100</v>
      </c>
      <c r="F61" s="2">
        <v>360100</v>
      </c>
    </row>
    <row r="62" spans="1:6" x14ac:dyDescent="0.25">
      <c r="A62" t="s">
        <v>4062</v>
      </c>
      <c r="B62" t="s">
        <v>5887</v>
      </c>
      <c r="C62" t="s">
        <v>42</v>
      </c>
      <c r="D62" s="7">
        <v>3</v>
      </c>
      <c r="E62" s="2">
        <v>22370</v>
      </c>
      <c r="F62" s="2">
        <v>67110</v>
      </c>
    </row>
    <row r="63" spans="1:6" x14ac:dyDescent="0.25">
      <c r="A63" t="s">
        <v>4062</v>
      </c>
      <c r="B63" t="s">
        <v>4004</v>
      </c>
      <c r="C63" t="s">
        <v>34</v>
      </c>
      <c r="D63" s="7">
        <v>0.01</v>
      </c>
      <c r="E63" s="2">
        <v>426702.51</v>
      </c>
      <c r="F63" s="2">
        <v>4267.03</v>
      </c>
    </row>
    <row r="64" spans="1:6" x14ac:dyDescent="0.25">
      <c r="A64" t="s">
        <v>4062</v>
      </c>
      <c r="B64" t="s">
        <v>4487</v>
      </c>
      <c r="C64" t="s">
        <v>4236</v>
      </c>
      <c r="D64" s="7">
        <v>1</v>
      </c>
      <c r="E64" s="2">
        <v>24555.22</v>
      </c>
      <c r="F64" s="2">
        <v>24555.22</v>
      </c>
    </row>
    <row r="65" spans="1:6" x14ac:dyDescent="0.25">
      <c r="A65" t="s">
        <v>4055</v>
      </c>
      <c r="D65" s="7"/>
      <c r="E65" s="2"/>
      <c r="F65" s="2">
        <f>SUBTOTAL(109,A_1_19_09[VALOR PARCIAL])</f>
      </c>
    </row>
  </sheetData>
  <mergeCells count="18">
    <mergeCell ref="A4:F4"/>
    <mergeCell ref="A5:F5"/>
    <mergeCell ref="A10:F10"/>
    <mergeCell ref="A11:F11"/>
    <mergeCell ref="A16:F16"/>
    <mergeCell ref="A17:F17"/>
    <mergeCell ref="A23:F23"/>
    <mergeCell ref="A24:F24"/>
    <mergeCell ref="A29:F29"/>
    <mergeCell ref="A30:F30"/>
    <mergeCell ref="A35:F35"/>
    <mergeCell ref="A36:F36"/>
    <mergeCell ref="A41:F41"/>
    <mergeCell ref="A42:F42"/>
    <mergeCell ref="A50:F50"/>
    <mergeCell ref="A51:F51"/>
    <mergeCell ref="A58:F58"/>
    <mergeCell ref="A59:F59"/>
  </mergeCells>
  <pageMargins left="0.7" right="0.7" top="0.75" bottom="0.75" header="0.3" footer="0.3"/>
  <pageSetup orientation="portrait" horizontalDpi="4294967295" verticalDpi="4294967295" scale="100" fitToWidth="1" fitToHeight="1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5888</v>
      </c>
    </row>
    <row r="2" spans="1:1" x14ac:dyDescent="0.25">
      <c r="A2" s="4" t="s">
        <v>5813</v>
      </c>
    </row>
    <row r="4" ht="30" customHeight="1" spans="1:6" x14ac:dyDescent="0.25">
      <c r="A4" s="5" t="s">
        <v>5889</v>
      </c>
      <c r="B4" s="5"/>
      <c r="C4" s="5"/>
      <c r="D4" s="5"/>
      <c r="E4" s="5"/>
      <c r="F4" s="5"/>
    </row>
    <row r="5" ht="42" customHeight="1" spans="1:6" x14ac:dyDescent="0.25">
      <c r="A5" s="6" t="s">
        <v>5890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5471</v>
      </c>
      <c r="C7" t="s">
        <v>4377</v>
      </c>
      <c r="D7" s="7">
        <v>0.04</v>
      </c>
      <c r="E7" s="2">
        <v>37000</v>
      </c>
      <c r="F7" s="2">
        <v>1480</v>
      </c>
    </row>
    <row r="8" spans="1:6" x14ac:dyDescent="0.25">
      <c r="A8" t="s">
        <v>4062</v>
      </c>
      <c r="B8" t="s">
        <v>4600</v>
      </c>
      <c r="C8" t="s">
        <v>63</v>
      </c>
      <c r="D8" s="7">
        <v>1</v>
      </c>
      <c r="E8" s="2">
        <v>1195</v>
      </c>
      <c r="F8" s="2">
        <v>1195</v>
      </c>
    </row>
    <row r="9" spans="1:6" x14ac:dyDescent="0.25">
      <c r="A9" t="s">
        <v>4062</v>
      </c>
      <c r="B9" t="s">
        <v>5703</v>
      </c>
      <c r="C9" t="s">
        <v>5704</v>
      </c>
      <c r="D9" s="7">
        <v>0</v>
      </c>
      <c r="E9" s="2">
        <v>44800</v>
      </c>
      <c r="F9" s="2">
        <v>197.12</v>
      </c>
    </row>
    <row r="10" spans="1:6" x14ac:dyDescent="0.25">
      <c r="A10" t="s">
        <v>4062</v>
      </c>
      <c r="B10" t="s">
        <v>5891</v>
      </c>
      <c r="C10" t="s">
        <v>42</v>
      </c>
      <c r="D10" s="7">
        <v>1</v>
      </c>
      <c r="E10" s="2">
        <v>473067</v>
      </c>
      <c r="F10" s="2">
        <v>473067</v>
      </c>
    </row>
    <row r="11" spans="1:6" x14ac:dyDescent="0.25">
      <c r="A11" t="s">
        <v>4062</v>
      </c>
      <c r="B11" t="s">
        <v>5892</v>
      </c>
      <c r="C11" t="s">
        <v>231</v>
      </c>
      <c r="D11" s="7">
        <v>0.4</v>
      </c>
      <c r="E11" s="2">
        <v>10750</v>
      </c>
      <c r="F11" s="2">
        <v>4300</v>
      </c>
    </row>
    <row r="12" spans="1:6" x14ac:dyDescent="0.25">
      <c r="A12" t="s">
        <v>4049</v>
      </c>
      <c r="B12" t="s">
        <v>4050</v>
      </c>
      <c r="C12" t="s">
        <v>4051</v>
      </c>
      <c r="D12" s="7">
        <v>3.3</v>
      </c>
      <c r="E12" s="2">
        <v>9037.33</v>
      </c>
      <c r="F12" s="2">
        <v>29823.19</v>
      </c>
    </row>
    <row r="13" spans="1:6" x14ac:dyDescent="0.25">
      <c r="A13" t="s">
        <v>4049</v>
      </c>
      <c r="B13" t="s">
        <v>4073</v>
      </c>
      <c r="C13" t="s">
        <v>4051</v>
      </c>
      <c r="D13" s="7">
        <v>1.65</v>
      </c>
      <c r="E13" s="2">
        <v>15517.89</v>
      </c>
      <c r="F13" s="2">
        <v>25604.52</v>
      </c>
    </row>
    <row r="14" spans="1:6" x14ac:dyDescent="0.25">
      <c r="A14" t="s">
        <v>4052</v>
      </c>
      <c r="B14" t="s">
        <v>4206</v>
      </c>
      <c r="C14" t="s">
        <v>4106</v>
      </c>
      <c r="D14" s="7">
        <v>0.5</v>
      </c>
      <c r="E14" s="2">
        <v>34243</v>
      </c>
      <c r="F14" s="2">
        <v>17121.5</v>
      </c>
    </row>
    <row r="15" spans="1:6" x14ac:dyDescent="0.25">
      <c r="A15" t="s">
        <v>4052</v>
      </c>
      <c r="B15" t="s">
        <v>4113</v>
      </c>
      <c r="C15" t="s">
        <v>4106</v>
      </c>
      <c r="D15" s="7">
        <v>1</v>
      </c>
      <c r="E15" s="2">
        <v>43805.88</v>
      </c>
      <c r="F15" s="2">
        <v>43805.88</v>
      </c>
    </row>
    <row r="16" spans="1:6" x14ac:dyDescent="0.25">
      <c r="A16" t="s">
        <v>4052</v>
      </c>
      <c r="B16" t="s">
        <v>4053</v>
      </c>
      <c r="C16" t="s">
        <v>4054</v>
      </c>
      <c r="D16" s="7">
        <v>10</v>
      </c>
      <c r="E16" s="2">
        <v>55427.71</v>
      </c>
      <c r="F16" s="2">
        <v>5542.77</v>
      </c>
    </row>
    <row r="17" spans="1:6" x14ac:dyDescent="0.25">
      <c r="A17" t="s">
        <v>4055</v>
      </c>
      <c r="D17" s="7"/>
      <c r="E17" s="2"/>
      <c r="F17" s="2">
        <f>SUBTOTAL(109,A_1_20_01[VALOR PARCIAL])</f>
      </c>
    </row>
    <row r="19" ht="30" customHeight="1" spans="1:6" x14ac:dyDescent="0.25">
      <c r="A19" s="5" t="s">
        <v>5893</v>
      </c>
      <c r="B19" s="5"/>
      <c r="C19" s="5"/>
      <c r="D19" s="5"/>
      <c r="E19" s="5"/>
      <c r="F19" s="5"/>
    </row>
    <row r="20" ht="42" customHeight="1" spans="1:6" x14ac:dyDescent="0.25">
      <c r="A20" s="6" t="s">
        <v>5894</v>
      </c>
      <c r="B20" s="6"/>
      <c r="C20" s="6"/>
      <c r="D20" s="6"/>
      <c r="E20" s="6"/>
      <c r="F20" s="6"/>
    </row>
    <row r="21" spans="1:6" x14ac:dyDescent="0.25">
      <c r="A21" t="s">
        <v>4044</v>
      </c>
      <c r="B21" t="s">
        <v>4045</v>
      </c>
      <c r="C21" t="s">
        <v>5</v>
      </c>
      <c r="D21" t="s">
        <v>4046</v>
      </c>
      <c r="E21" t="s">
        <v>4047</v>
      </c>
      <c r="F21" t="s">
        <v>4048</v>
      </c>
    </row>
    <row r="22" spans="1:6" x14ac:dyDescent="0.25">
      <c r="A22" t="s">
        <v>4062</v>
      </c>
      <c r="B22" t="s">
        <v>5895</v>
      </c>
      <c r="C22" t="s">
        <v>42</v>
      </c>
      <c r="D22" s="7">
        <v>1</v>
      </c>
      <c r="E22" s="2">
        <v>261992</v>
      </c>
      <c r="F22" s="2">
        <v>261992</v>
      </c>
    </row>
    <row r="23" spans="1:6" x14ac:dyDescent="0.25">
      <c r="A23" t="s">
        <v>4049</v>
      </c>
      <c r="B23" t="s">
        <v>4050</v>
      </c>
      <c r="C23" t="s">
        <v>4051</v>
      </c>
      <c r="D23" s="7">
        <v>3.3</v>
      </c>
      <c r="E23" s="2">
        <v>9037.33</v>
      </c>
      <c r="F23" s="2">
        <v>29823.19</v>
      </c>
    </row>
    <row r="24" spans="1:6" x14ac:dyDescent="0.25">
      <c r="A24" t="s">
        <v>4049</v>
      </c>
      <c r="B24" t="s">
        <v>4073</v>
      </c>
      <c r="C24" t="s">
        <v>4051</v>
      </c>
      <c r="D24" s="7">
        <v>1.65</v>
      </c>
      <c r="E24" s="2">
        <v>15517.89</v>
      </c>
      <c r="F24" s="2">
        <v>25604.52</v>
      </c>
    </row>
    <row r="25" spans="1:6" x14ac:dyDescent="0.25">
      <c r="A25" t="s">
        <v>4052</v>
      </c>
      <c r="B25" t="s">
        <v>4113</v>
      </c>
      <c r="C25" t="s">
        <v>4106</v>
      </c>
      <c r="D25" s="7">
        <v>1</v>
      </c>
      <c r="E25" s="2">
        <v>43805.88</v>
      </c>
      <c r="F25" s="2">
        <v>43805.88</v>
      </c>
    </row>
    <row r="26" spans="1:6" x14ac:dyDescent="0.25">
      <c r="A26" t="s">
        <v>4052</v>
      </c>
      <c r="B26" t="s">
        <v>4053</v>
      </c>
      <c r="C26" t="s">
        <v>4054</v>
      </c>
      <c r="D26" s="7">
        <v>3</v>
      </c>
      <c r="E26" s="2">
        <v>55427.71</v>
      </c>
      <c r="F26" s="2">
        <v>1662.83</v>
      </c>
    </row>
    <row r="27" spans="1:6" x14ac:dyDescent="0.25">
      <c r="A27" t="s">
        <v>4055</v>
      </c>
      <c r="D27" s="7"/>
      <c r="E27" s="2"/>
      <c r="F27" s="2">
        <f>SUBTOTAL(109,A_1_20_02[VALOR PARCIAL])</f>
      </c>
    </row>
    <row r="29" ht="30" customHeight="1" spans="1:6" x14ac:dyDescent="0.25">
      <c r="A29" s="5" t="s">
        <v>5896</v>
      </c>
      <c r="B29" s="5"/>
      <c r="C29" s="5"/>
      <c r="D29" s="5"/>
      <c r="E29" s="5"/>
      <c r="F29" s="5"/>
    </row>
    <row r="30" ht="42" customHeight="1" spans="1:6" x14ac:dyDescent="0.25">
      <c r="A30" s="6" t="s">
        <v>5897</v>
      </c>
      <c r="B30" s="6"/>
      <c r="C30" s="6"/>
      <c r="D30" s="6"/>
      <c r="E30" s="6"/>
      <c r="F30" s="6"/>
    </row>
    <row r="31" spans="1:6" x14ac:dyDescent="0.25">
      <c r="A31" t="s">
        <v>4044</v>
      </c>
      <c r="B31" t="s">
        <v>4045</v>
      </c>
      <c r="C31" t="s">
        <v>5</v>
      </c>
      <c r="D31" t="s">
        <v>4046</v>
      </c>
      <c r="E31" t="s">
        <v>4047</v>
      </c>
      <c r="F31" t="s">
        <v>4048</v>
      </c>
    </row>
    <row r="32" spans="1:6" x14ac:dyDescent="0.25">
      <c r="A32" t="s">
        <v>4062</v>
      </c>
      <c r="B32" t="s">
        <v>4293</v>
      </c>
      <c r="C32" t="s">
        <v>63</v>
      </c>
      <c r="D32" s="7">
        <v>1.25</v>
      </c>
      <c r="E32" s="2">
        <v>4718.97</v>
      </c>
      <c r="F32" s="2">
        <v>5898.71</v>
      </c>
    </row>
    <row r="33" spans="1:6" x14ac:dyDescent="0.25">
      <c r="A33" t="s">
        <v>4062</v>
      </c>
      <c r="B33" t="s">
        <v>4690</v>
      </c>
      <c r="C33" t="s">
        <v>231</v>
      </c>
      <c r="D33" s="7">
        <v>12.31</v>
      </c>
      <c r="E33" s="2">
        <v>2025</v>
      </c>
      <c r="F33" s="2">
        <v>24937.47</v>
      </c>
    </row>
    <row r="34" spans="1:6" x14ac:dyDescent="0.25">
      <c r="A34" t="s">
        <v>4062</v>
      </c>
      <c r="B34" t="s">
        <v>5273</v>
      </c>
      <c r="C34" t="s">
        <v>4377</v>
      </c>
      <c r="D34" s="7">
        <v>0.08</v>
      </c>
      <c r="E34" s="2">
        <v>37750</v>
      </c>
      <c r="F34" s="2">
        <v>3020</v>
      </c>
    </row>
    <row r="35" spans="1:6" x14ac:dyDescent="0.25">
      <c r="A35" t="s">
        <v>4062</v>
      </c>
      <c r="B35" t="s">
        <v>5209</v>
      </c>
      <c r="C35" t="s">
        <v>5090</v>
      </c>
      <c r="D35" s="7">
        <v>1.04</v>
      </c>
      <c r="E35" s="2">
        <v>20230</v>
      </c>
      <c r="F35" s="2">
        <v>21039.2</v>
      </c>
    </row>
    <row r="36" spans="1:6" x14ac:dyDescent="0.25">
      <c r="A36" t="s">
        <v>4062</v>
      </c>
      <c r="B36" t="s">
        <v>5898</v>
      </c>
      <c r="C36" t="s">
        <v>4532</v>
      </c>
      <c r="D36" s="7">
        <v>0.02</v>
      </c>
      <c r="E36" s="2">
        <v>69569</v>
      </c>
      <c r="F36" s="2">
        <v>1391.38</v>
      </c>
    </row>
    <row r="37" spans="1:6" x14ac:dyDescent="0.25">
      <c r="A37" t="s">
        <v>4062</v>
      </c>
      <c r="B37" t="s">
        <v>5103</v>
      </c>
      <c r="C37" t="s">
        <v>5090</v>
      </c>
      <c r="D37" s="7">
        <v>0.2</v>
      </c>
      <c r="E37" s="2">
        <v>16597</v>
      </c>
      <c r="F37" s="2">
        <v>3319.4</v>
      </c>
    </row>
    <row r="38" spans="1:6" x14ac:dyDescent="0.25">
      <c r="A38" t="s">
        <v>4062</v>
      </c>
      <c r="B38" t="s">
        <v>5899</v>
      </c>
      <c r="C38" t="s">
        <v>42</v>
      </c>
      <c r="D38" s="7">
        <v>2</v>
      </c>
      <c r="E38" s="2">
        <v>25334</v>
      </c>
      <c r="F38" s="2">
        <v>50668</v>
      </c>
    </row>
    <row r="39" spans="1:6" x14ac:dyDescent="0.25">
      <c r="A39" t="s">
        <v>4049</v>
      </c>
      <c r="B39" t="s">
        <v>4050</v>
      </c>
      <c r="C39" t="s">
        <v>4051</v>
      </c>
      <c r="D39" s="7">
        <v>6</v>
      </c>
      <c r="E39" s="2">
        <v>9037.33</v>
      </c>
      <c r="F39" s="2">
        <v>54223.98</v>
      </c>
    </row>
    <row r="40" spans="1:6" x14ac:dyDescent="0.25">
      <c r="A40" t="s">
        <v>4049</v>
      </c>
      <c r="B40" t="s">
        <v>4073</v>
      </c>
      <c r="C40" t="s">
        <v>4051</v>
      </c>
      <c r="D40" s="7">
        <v>4.6</v>
      </c>
      <c r="E40" s="2">
        <v>15517.89</v>
      </c>
      <c r="F40" s="2">
        <v>71382.29</v>
      </c>
    </row>
    <row r="41" spans="1:6" x14ac:dyDescent="0.25">
      <c r="A41" t="s">
        <v>4052</v>
      </c>
      <c r="B41" t="s">
        <v>4113</v>
      </c>
      <c r="C41" t="s">
        <v>4106</v>
      </c>
      <c r="D41" s="7">
        <v>0.1</v>
      </c>
      <c r="E41" s="2">
        <v>43805.88</v>
      </c>
      <c r="F41" s="2">
        <v>4380.59</v>
      </c>
    </row>
    <row r="42" spans="1:6" x14ac:dyDescent="0.25">
      <c r="A42" t="s">
        <v>4052</v>
      </c>
      <c r="B42" t="s">
        <v>4053</v>
      </c>
      <c r="C42" t="s">
        <v>4054</v>
      </c>
      <c r="D42" s="7">
        <v>0.7</v>
      </c>
      <c r="E42" s="2">
        <v>125606.27</v>
      </c>
      <c r="F42" s="2">
        <v>879.24</v>
      </c>
    </row>
    <row r="43" spans="1:6" x14ac:dyDescent="0.25">
      <c r="A43" t="s">
        <v>4055</v>
      </c>
      <c r="D43" s="7"/>
      <c r="E43" s="2"/>
      <c r="F43" s="2">
        <f>SUBTOTAL(109,A_1_20_03[VALOR PARCIAL])</f>
      </c>
    </row>
    <row r="45" ht="30" customHeight="1" spans="1:6" x14ac:dyDescent="0.25">
      <c r="A45" s="5" t="s">
        <v>5900</v>
      </c>
      <c r="B45" s="5"/>
      <c r="C45" s="5"/>
      <c r="D45" s="5"/>
      <c r="E45" s="5"/>
      <c r="F45" s="5"/>
    </row>
    <row r="46" ht="42" customHeight="1" spans="1:6" x14ac:dyDescent="0.25">
      <c r="A46" s="6" t="s">
        <v>5901</v>
      </c>
      <c r="B46" s="6"/>
      <c r="C46" s="6"/>
      <c r="D46" s="6"/>
      <c r="E46" s="6"/>
      <c r="F46" s="6"/>
    </row>
    <row r="47" spans="1:6" x14ac:dyDescent="0.25">
      <c r="A47" t="s">
        <v>4044</v>
      </c>
      <c r="B47" t="s">
        <v>4045</v>
      </c>
      <c r="C47" t="s">
        <v>5</v>
      </c>
      <c r="D47" t="s">
        <v>4046</v>
      </c>
      <c r="E47" t="s">
        <v>4047</v>
      </c>
      <c r="F47" t="s">
        <v>4048</v>
      </c>
    </row>
    <row r="48" spans="1:6" x14ac:dyDescent="0.25">
      <c r="A48" t="s">
        <v>4062</v>
      </c>
      <c r="B48" t="s">
        <v>4690</v>
      </c>
      <c r="C48" t="s">
        <v>231</v>
      </c>
      <c r="D48" s="7">
        <v>12.31</v>
      </c>
      <c r="E48" s="2">
        <v>2025</v>
      </c>
      <c r="F48" s="2">
        <v>24937.47</v>
      </c>
    </row>
    <row r="49" spans="1:6" x14ac:dyDescent="0.25">
      <c r="A49" t="s">
        <v>4062</v>
      </c>
      <c r="B49" t="s">
        <v>5902</v>
      </c>
      <c r="C49" t="s">
        <v>5090</v>
      </c>
      <c r="D49" s="7">
        <v>0.8</v>
      </c>
      <c r="E49" s="2">
        <v>18362</v>
      </c>
      <c r="F49" s="2">
        <v>14689.6</v>
      </c>
    </row>
    <row r="50" spans="1:6" x14ac:dyDescent="0.25">
      <c r="A50" t="s">
        <v>4062</v>
      </c>
      <c r="B50" t="s">
        <v>5103</v>
      </c>
      <c r="C50" t="s">
        <v>5090</v>
      </c>
      <c r="D50" s="7">
        <v>0.2</v>
      </c>
      <c r="E50" s="2">
        <v>16597</v>
      </c>
      <c r="F50" s="2">
        <v>3319.4</v>
      </c>
    </row>
    <row r="51" spans="1:6" x14ac:dyDescent="0.25">
      <c r="A51" t="s">
        <v>4062</v>
      </c>
      <c r="B51" t="s">
        <v>5899</v>
      </c>
      <c r="C51" t="s">
        <v>42</v>
      </c>
      <c r="D51" s="7">
        <v>2</v>
      </c>
      <c r="E51" s="2">
        <v>25334</v>
      </c>
      <c r="F51" s="2">
        <v>50668</v>
      </c>
    </row>
    <row r="52" spans="1:6" x14ac:dyDescent="0.25">
      <c r="A52" t="s">
        <v>4049</v>
      </c>
      <c r="B52" t="s">
        <v>4050</v>
      </c>
      <c r="C52" t="s">
        <v>4051</v>
      </c>
      <c r="D52" s="7">
        <v>2.6</v>
      </c>
      <c r="E52" s="2">
        <v>9037.33</v>
      </c>
      <c r="F52" s="2">
        <v>23497.06</v>
      </c>
    </row>
    <row r="53" spans="1:6" x14ac:dyDescent="0.25">
      <c r="A53" t="s">
        <v>4049</v>
      </c>
      <c r="B53" t="s">
        <v>4073</v>
      </c>
      <c r="C53" t="s">
        <v>4051</v>
      </c>
      <c r="D53" s="7">
        <v>1.3</v>
      </c>
      <c r="E53" s="2">
        <v>15517.89</v>
      </c>
      <c r="F53" s="2">
        <v>20173.26</v>
      </c>
    </row>
    <row r="54" spans="1:6" x14ac:dyDescent="0.25">
      <c r="A54" t="s">
        <v>4052</v>
      </c>
      <c r="B54" t="s">
        <v>4113</v>
      </c>
      <c r="C54" t="s">
        <v>4106</v>
      </c>
      <c r="D54" s="7">
        <v>0.15</v>
      </c>
      <c r="E54" s="2">
        <v>43805.88</v>
      </c>
      <c r="F54" s="2">
        <v>6570.88</v>
      </c>
    </row>
    <row r="55" spans="1:6" x14ac:dyDescent="0.25">
      <c r="A55" t="s">
        <v>4052</v>
      </c>
      <c r="B55" t="s">
        <v>4053</v>
      </c>
      <c r="C55" t="s">
        <v>4054</v>
      </c>
      <c r="D55" s="7">
        <v>0.7</v>
      </c>
      <c r="E55" s="2">
        <v>43670.32</v>
      </c>
      <c r="F55" s="2">
        <v>305.69</v>
      </c>
    </row>
    <row r="56" spans="1:6" x14ac:dyDescent="0.25">
      <c r="A56" t="s">
        <v>4055</v>
      </c>
      <c r="D56" s="7"/>
      <c r="E56" s="2"/>
      <c r="F56" s="2">
        <f>SUBTOTAL(109,A_1_20_04[VALOR PARCIAL])</f>
      </c>
    </row>
    <row r="58" ht="30" customHeight="1" spans="1:6" x14ac:dyDescent="0.25">
      <c r="A58" s="5" t="s">
        <v>5903</v>
      </c>
      <c r="B58" s="5"/>
      <c r="C58" s="5"/>
      <c r="D58" s="5"/>
      <c r="E58" s="5"/>
      <c r="F58" s="5"/>
    </row>
    <row r="59" ht="42" customHeight="1" spans="1:6" x14ac:dyDescent="0.25">
      <c r="A59" s="6" t="s">
        <v>5904</v>
      </c>
      <c r="B59" s="6"/>
      <c r="C59" s="6"/>
      <c r="D59" s="6"/>
      <c r="E59" s="6"/>
      <c r="F59" s="6"/>
    </row>
    <row r="60" spans="1:6" x14ac:dyDescent="0.25">
      <c r="A60" t="s">
        <v>4044</v>
      </c>
      <c r="B60" t="s">
        <v>4045</v>
      </c>
      <c r="C60" t="s">
        <v>5</v>
      </c>
      <c r="D60" t="s">
        <v>4046</v>
      </c>
      <c r="E60" t="s">
        <v>4047</v>
      </c>
      <c r="F60" t="s">
        <v>4048</v>
      </c>
    </row>
    <row r="61" spans="1:6" x14ac:dyDescent="0.25">
      <c r="A61" t="s">
        <v>4062</v>
      </c>
      <c r="B61" t="s">
        <v>5905</v>
      </c>
      <c r="C61" t="s">
        <v>42</v>
      </c>
      <c r="D61" s="7">
        <v>1</v>
      </c>
      <c r="E61" s="2">
        <v>20466.67</v>
      </c>
      <c r="F61" s="2">
        <v>20466.67</v>
      </c>
    </row>
    <row r="62" spans="1:6" x14ac:dyDescent="0.25">
      <c r="A62" t="s">
        <v>4062</v>
      </c>
      <c r="B62" t="s">
        <v>3978</v>
      </c>
      <c r="C62" t="s">
        <v>34</v>
      </c>
      <c r="D62" s="7">
        <v>0.04</v>
      </c>
      <c r="E62" s="2">
        <v>409741.65</v>
      </c>
      <c r="F62" s="2">
        <v>16389.67</v>
      </c>
    </row>
    <row r="63" spans="1:6" x14ac:dyDescent="0.25">
      <c r="A63" t="s">
        <v>4062</v>
      </c>
      <c r="B63" t="s">
        <v>5818</v>
      </c>
      <c r="C63" t="s">
        <v>4236</v>
      </c>
      <c r="D63" s="7">
        <v>1</v>
      </c>
      <c r="E63" s="2">
        <v>24555.22</v>
      </c>
      <c r="F63" s="2">
        <v>24555.22</v>
      </c>
    </row>
    <row r="64" spans="1:6" x14ac:dyDescent="0.25">
      <c r="A64" t="s">
        <v>4055</v>
      </c>
      <c r="D64" s="7"/>
      <c r="E64" s="2"/>
      <c r="F64" s="2">
        <f>SUBTOTAL(109,A_1_20_05[VALOR PARCIAL])</f>
      </c>
    </row>
    <row r="66" ht="30" customHeight="1" spans="1:6" x14ac:dyDescent="0.25">
      <c r="A66" s="5" t="s">
        <v>5906</v>
      </c>
      <c r="B66" s="5"/>
      <c r="C66" s="5"/>
      <c r="D66" s="5"/>
      <c r="E66" s="5"/>
      <c r="F66" s="5"/>
    </row>
    <row r="67" ht="42" customHeight="1" spans="1:6" x14ac:dyDescent="0.25">
      <c r="A67" s="6" t="s">
        <v>5907</v>
      </c>
      <c r="B67" s="6"/>
      <c r="C67" s="6"/>
      <c r="D67" s="6"/>
      <c r="E67" s="6"/>
      <c r="F67" s="6"/>
    </row>
    <row r="68" spans="1:6" x14ac:dyDescent="0.25">
      <c r="A68" t="s">
        <v>4044</v>
      </c>
      <c r="B68" t="s">
        <v>4045</v>
      </c>
      <c r="C68" t="s">
        <v>5</v>
      </c>
      <c r="D68" t="s">
        <v>4046</v>
      </c>
      <c r="E68" t="s">
        <v>4047</v>
      </c>
      <c r="F68" t="s">
        <v>4048</v>
      </c>
    </row>
    <row r="69" spans="1:6" x14ac:dyDescent="0.25">
      <c r="A69" t="s">
        <v>4062</v>
      </c>
      <c r="B69" t="s">
        <v>5908</v>
      </c>
      <c r="C69" t="s">
        <v>34</v>
      </c>
      <c r="D69" s="7">
        <v>0</v>
      </c>
      <c r="E69" s="2">
        <v>441026.22</v>
      </c>
      <c r="F69" s="2">
        <v>1323.08</v>
      </c>
    </row>
    <row r="70" spans="1:6" x14ac:dyDescent="0.25">
      <c r="A70" t="s">
        <v>4062</v>
      </c>
      <c r="B70" t="s">
        <v>4261</v>
      </c>
      <c r="C70" t="s">
        <v>231</v>
      </c>
      <c r="D70" s="7">
        <v>0.6</v>
      </c>
      <c r="E70" s="2">
        <v>2982</v>
      </c>
      <c r="F70" s="2">
        <v>1789.2</v>
      </c>
    </row>
    <row r="71" spans="1:6" x14ac:dyDescent="0.25">
      <c r="A71" t="s">
        <v>4062</v>
      </c>
      <c r="B71" t="s">
        <v>5909</v>
      </c>
      <c r="C71" t="s">
        <v>231</v>
      </c>
      <c r="D71" s="7">
        <v>0.12</v>
      </c>
      <c r="E71" s="2">
        <v>3262</v>
      </c>
      <c r="F71" s="2">
        <v>391.44</v>
      </c>
    </row>
    <row r="72" spans="1:6" x14ac:dyDescent="0.25">
      <c r="A72" t="s">
        <v>4062</v>
      </c>
      <c r="B72" t="s">
        <v>5910</v>
      </c>
      <c r="C72" t="s">
        <v>34</v>
      </c>
      <c r="D72" s="7">
        <v>0</v>
      </c>
      <c r="E72" s="2">
        <v>448939.08</v>
      </c>
      <c r="F72" s="2">
        <v>1795.76</v>
      </c>
    </row>
    <row r="73" spans="1:6" x14ac:dyDescent="0.25">
      <c r="A73" t="s">
        <v>4062</v>
      </c>
      <c r="B73" t="s">
        <v>3978</v>
      </c>
      <c r="C73" t="s">
        <v>34</v>
      </c>
      <c r="D73" s="7">
        <v>0.01</v>
      </c>
      <c r="E73" s="2">
        <v>409741.65</v>
      </c>
      <c r="F73" s="2">
        <v>4916.9</v>
      </c>
    </row>
    <row r="74" spans="1:6" x14ac:dyDescent="0.25">
      <c r="A74" t="s">
        <v>4062</v>
      </c>
      <c r="B74" t="s">
        <v>5911</v>
      </c>
      <c r="C74" t="s">
        <v>63</v>
      </c>
      <c r="D74" s="7">
        <v>22</v>
      </c>
      <c r="E74" s="2">
        <v>985</v>
      </c>
      <c r="F74" s="2">
        <v>21670</v>
      </c>
    </row>
    <row r="75" spans="1:6" x14ac:dyDescent="0.25">
      <c r="A75" t="s">
        <v>4049</v>
      </c>
      <c r="B75" t="s">
        <v>4050</v>
      </c>
      <c r="C75" t="s">
        <v>4051</v>
      </c>
      <c r="D75" s="7">
        <v>2.5</v>
      </c>
      <c r="E75" s="2">
        <v>9037.33</v>
      </c>
      <c r="F75" s="2">
        <v>22593.33</v>
      </c>
    </row>
    <row r="76" spans="1:6" x14ac:dyDescent="0.25">
      <c r="A76" t="s">
        <v>4049</v>
      </c>
      <c r="B76" t="s">
        <v>4073</v>
      </c>
      <c r="C76" t="s">
        <v>4051</v>
      </c>
      <c r="D76" s="7">
        <v>1.6</v>
      </c>
      <c r="E76" s="2">
        <v>15517.89</v>
      </c>
      <c r="F76" s="2">
        <v>24828.62</v>
      </c>
    </row>
    <row r="77" spans="1:6" x14ac:dyDescent="0.25">
      <c r="A77" t="s">
        <v>4052</v>
      </c>
      <c r="B77" t="s">
        <v>4495</v>
      </c>
      <c r="C77" t="s">
        <v>4106</v>
      </c>
      <c r="D77" s="7">
        <v>0</v>
      </c>
      <c r="E77" s="2">
        <v>67900</v>
      </c>
      <c r="F77" s="2">
        <v>325.92</v>
      </c>
    </row>
    <row r="78" spans="1:6" x14ac:dyDescent="0.25">
      <c r="A78" t="s">
        <v>4052</v>
      </c>
      <c r="B78" t="s">
        <v>4053</v>
      </c>
      <c r="C78" t="s">
        <v>4054</v>
      </c>
      <c r="D78" s="7">
        <v>1</v>
      </c>
      <c r="E78" s="2">
        <v>47421.95</v>
      </c>
      <c r="F78" s="2">
        <v>474.22</v>
      </c>
    </row>
    <row r="79" spans="1:6" x14ac:dyDescent="0.25">
      <c r="A79" t="s">
        <v>4058</v>
      </c>
      <c r="B79" t="s">
        <v>4314</v>
      </c>
      <c r="C79" t="s">
        <v>34</v>
      </c>
      <c r="D79" s="7">
        <v>0.03</v>
      </c>
      <c r="E79" s="2">
        <v>63714</v>
      </c>
      <c r="F79" s="2">
        <v>1911.42</v>
      </c>
    </row>
    <row r="80" spans="1:6" x14ac:dyDescent="0.25">
      <c r="A80" t="s">
        <v>4055</v>
      </c>
      <c r="D80" s="7"/>
      <c r="E80" s="2"/>
      <c r="F80" s="2">
        <f>SUBTOTAL(109,A_1_20_06[VALOR PARCIAL])</f>
      </c>
    </row>
    <row r="82" ht="30" customHeight="1" spans="1:6" x14ac:dyDescent="0.25">
      <c r="A82" s="5" t="s">
        <v>5912</v>
      </c>
      <c r="B82" s="5"/>
      <c r="C82" s="5"/>
      <c r="D82" s="5"/>
      <c r="E82" s="5"/>
      <c r="F82" s="5"/>
    </row>
    <row r="83" ht="42" customHeight="1" spans="1:6" x14ac:dyDescent="0.25">
      <c r="A83" s="6" t="s">
        <v>5913</v>
      </c>
      <c r="B83" s="6"/>
      <c r="C83" s="6"/>
      <c r="D83" s="6"/>
      <c r="E83" s="6"/>
      <c r="F83" s="6"/>
    </row>
    <row r="84" spans="1:6" x14ac:dyDescent="0.25">
      <c r="A84" t="s">
        <v>4044</v>
      </c>
      <c r="B84" t="s">
        <v>4045</v>
      </c>
      <c r="C84" t="s">
        <v>5</v>
      </c>
      <c r="D84" t="s">
        <v>4046</v>
      </c>
      <c r="E84" t="s">
        <v>4047</v>
      </c>
      <c r="F84" t="s">
        <v>4048</v>
      </c>
    </row>
    <row r="85" spans="1:6" x14ac:dyDescent="0.25">
      <c r="A85" t="s">
        <v>4062</v>
      </c>
      <c r="B85" t="s">
        <v>4063</v>
      </c>
      <c r="C85" t="s">
        <v>231</v>
      </c>
      <c r="D85" s="7">
        <v>0.05</v>
      </c>
      <c r="E85" s="2">
        <v>7400</v>
      </c>
      <c r="F85" s="2">
        <v>370</v>
      </c>
    </row>
    <row r="86" spans="1:6" x14ac:dyDescent="0.25">
      <c r="A86" t="s">
        <v>4062</v>
      </c>
      <c r="B86" t="s">
        <v>4064</v>
      </c>
      <c r="C86" t="s">
        <v>63</v>
      </c>
      <c r="D86" s="7">
        <v>0.5</v>
      </c>
      <c r="E86" s="2">
        <v>17200</v>
      </c>
      <c r="F86" s="2">
        <v>8600</v>
      </c>
    </row>
    <row r="87" spans="1:6" x14ac:dyDescent="0.25">
      <c r="A87" t="s">
        <v>4062</v>
      </c>
      <c r="B87" t="s">
        <v>4067</v>
      </c>
      <c r="C87" t="s">
        <v>231</v>
      </c>
      <c r="D87" s="7">
        <v>0.6</v>
      </c>
      <c r="E87" s="2">
        <v>7080</v>
      </c>
      <c r="F87" s="2">
        <v>4248</v>
      </c>
    </row>
    <row r="88" spans="1:6" x14ac:dyDescent="0.25">
      <c r="A88" t="s">
        <v>4049</v>
      </c>
      <c r="B88" t="s">
        <v>4050</v>
      </c>
      <c r="C88" t="s">
        <v>4051</v>
      </c>
      <c r="D88" s="7">
        <v>0.7</v>
      </c>
      <c r="E88" s="2">
        <v>9037.33</v>
      </c>
      <c r="F88" s="2">
        <v>6326.13</v>
      </c>
    </row>
    <row r="89" spans="1:6" x14ac:dyDescent="0.25">
      <c r="A89" t="s">
        <v>4049</v>
      </c>
      <c r="B89" t="s">
        <v>4073</v>
      </c>
      <c r="C89" t="s">
        <v>4051</v>
      </c>
      <c r="D89" s="7">
        <v>0.7</v>
      </c>
      <c r="E89" s="2">
        <v>15517.89</v>
      </c>
      <c r="F89" s="2">
        <v>10862.52</v>
      </c>
    </row>
    <row r="90" spans="1:6" x14ac:dyDescent="0.25">
      <c r="A90" t="s">
        <v>4052</v>
      </c>
      <c r="B90" t="s">
        <v>4053</v>
      </c>
      <c r="C90" t="s">
        <v>4054</v>
      </c>
      <c r="D90" s="7">
        <v>5</v>
      </c>
      <c r="E90" s="2">
        <v>17188.65</v>
      </c>
      <c r="F90" s="2">
        <v>859.43</v>
      </c>
    </row>
    <row r="91" spans="1:6" x14ac:dyDescent="0.25">
      <c r="A91" t="s">
        <v>4055</v>
      </c>
      <c r="D91" s="7"/>
      <c r="E91" s="2"/>
      <c r="F91" s="2">
        <f>SUBTOTAL(109,A_1_20_07[VALOR PARCIAL])</f>
      </c>
    </row>
    <row r="93" ht="30" customHeight="1" spans="1:6" x14ac:dyDescent="0.25">
      <c r="A93" s="5" t="s">
        <v>5914</v>
      </c>
      <c r="B93" s="5"/>
      <c r="C93" s="5"/>
      <c r="D93" s="5"/>
      <c r="E93" s="5"/>
      <c r="F93" s="5"/>
    </row>
    <row r="94" ht="42" customHeight="1" spans="1:6" x14ac:dyDescent="0.25">
      <c r="A94" s="6" t="s">
        <v>5915</v>
      </c>
      <c r="B94" s="6"/>
      <c r="C94" s="6"/>
      <c r="D94" s="6"/>
      <c r="E94" s="6"/>
      <c r="F94" s="6"/>
    </row>
    <row r="95" spans="1:6" x14ac:dyDescent="0.25">
      <c r="A95" t="s">
        <v>4044</v>
      </c>
      <c r="B95" t="s">
        <v>4045</v>
      </c>
      <c r="C95" t="s">
        <v>5</v>
      </c>
      <c r="D95" t="s">
        <v>4046</v>
      </c>
      <c r="E95" t="s">
        <v>4047</v>
      </c>
      <c r="F95" t="s">
        <v>4048</v>
      </c>
    </row>
    <row r="96" spans="1:6" x14ac:dyDescent="0.25">
      <c r="A96" t="s">
        <v>4062</v>
      </c>
      <c r="B96" t="s">
        <v>5916</v>
      </c>
      <c r="C96" t="s">
        <v>42</v>
      </c>
      <c r="D96" s="7">
        <v>1.2</v>
      </c>
      <c r="E96" s="2">
        <v>18300</v>
      </c>
      <c r="F96" s="2">
        <v>21960</v>
      </c>
    </row>
    <row r="97" spans="1:6" x14ac:dyDescent="0.25">
      <c r="A97" t="s">
        <v>4062</v>
      </c>
      <c r="B97" t="s">
        <v>5917</v>
      </c>
      <c r="C97" t="s">
        <v>21</v>
      </c>
      <c r="D97" s="7">
        <v>1</v>
      </c>
      <c r="E97" s="2">
        <v>14954.33</v>
      </c>
      <c r="F97" s="2">
        <v>14954.33</v>
      </c>
    </row>
    <row r="98" spans="1:6" x14ac:dyDescent="0.25">
      <c r="A98" t="s">
        <v>4062</v>
      </c>
      <c r="B98" t="s">
        <v>5673</v>
      </c>
      <c r="C98" t="s">
        <v>4377</v>
      </c>
      <c r="D98" s="7">
        <v>0.16</v>
      </c>
      <c r="E98" s="2">
        <v>38633</v>
      </c>
      <c r="F98" s="2">
        <v>6181.28</v>
      </c>
    </row>
    <row r="99" spans="1:6" x14ac:dyDescent="0.25">
      <c r="A99" t="s">
        <v>4062</v>
      </c>
      <c r="B99" t="s">
        <v>5918</v>
      </c>
      <c r="C99" t="s">
        <v>4377</v>
      </c>
      <c r="D99" s="7">
        <v>0.31</v>
      </c>
      <c r="E99" s="2">
        <v>50093</v>
      </c>
      <c r="F99" s="2">
        <v>15528.83</v>
      </c>
    </row>
    <row r="100" spans="1:6" x14ac:dyDescent="0.25">
      <c r="A100" t="s">
        <v>4062</v>
      </c>
      <c r="B100" t="s">
        <v>4067</v>
      </c>
      <c r="C100" t="s">
        <v>231</v>
      </c>
      <c r="D100" s="7">
        <v>0.6</v>
      </c>
      <c r="E100" s="2">
        <v>7080</v>
      </c>
      <c r="F100" s="2">
        <v>4248</v>
      </c>
    </row>
    <row r="101" spans="1:6" x14ac:dyDescent="0.25">
      <c r="A101" t="s">
        <v>4062</v>
      </c>
      <c r="B101" t="s">
        <v>4301</v>
      </c>
      <c r="C101" t="s">
        <v>231</v>
      </c>
      <c r="D101" s="7">
        <v>0.13</v>
      </c>
      <c r="E101" s="2">
        <v>4850</v>
      </c>
      <c r="F101" s="2">
        <v>630.5</v>
      </c>
    </row>
    <row r="102" spans="1:6" x14ac:dyDescent="0.25">
      <c r="A102" t="s">
        <v>4062</v>
      </c>
      <c r="B102" t="s">
        <v>5919</v>
      </c>
      <c r="C102" t="s">
        <v>231</v>
      </c>
      <c r="D102" s="7">
        <v>0.35</v>
      </c>
      <c r="E102" s="2">
        <v>9075.86</v>
      </c>
      <c r="F102" s="2">
        <v>3176.55</v>
      </c>
    </row>
    <row r="103" spans="1:6" x14ac:dyDescent="0.25">
      <c r="A103" t="s">
        <v>4049</v>
      </c>
      <c r="B103" t="s">
        <v>4050</v>
      </c>
      <c r="C103" t="s">
        <v>4051</v>
      </c>
      <c r="D103" s="7">
        <v>1.5</v>
      </c>
      <c r="E103" s="2">
        <v>9037.33</v>
      </c>
      <c r="F103" s="2">
        <v>13555.99</v>
      </c>
    </row>
    <row r="104" spans="1:6" x14ac:dyDescent="0.25">
      <c r="A104" t="s">
        <v>4049</v>
      </c>
      <c r="B104" t="s">
        <v>4073</v>
      </c>
      <c r="C104" t="s">
        <v>4051</v>
      </c>
      <c r="D104" s="7">
        <v>1.5</v>
      </c>
      <c r="E104" s="2">
        <v>15517.89</v>
      </c>
      <c r="F104" s="2">
        <v>23276.83</v>
      </c>
    </row>
    <row r="105" spans="1:6" x14ac:dyDescent="0.25">
      <c r="A105" t="s">
        <v>4052</v>
      </c>
      <c r="B105" t="s">
        <v>4053</v>
      </c>
      <c r="C105" t="s">
        <v>4054</v>
      </c>
      <c r="D105" s="7">
        <v>6.7</v>
      </c>
      <c r="E105" s="2">
        <v>36832.82</v>
      </c>
      <c r="F105" s="2">
        <v>2467.8</v>
      </c>
    </row>
    <row r="106" spans="1:6" x14ac:dyDescent="0.25">
      <c r="A106" t="s">
        <v>4055</v>
      </c>
      <c r="D106" s="7"/>
      <c r="E106" s="2"/>
      <c r="F106" s="2">
        <f>SUBTOTAL(109,A_1_20_08[VALOR PARCIAL])</f>
      </c>
    </row>
    <row r="108" ht="30" customHeight="1" spans="1:6" x14ac:dyDescent="0.25">
      <c r="A108" s="5" t="s">
        <v>5920</v>
      </c>
      <c r="B108" s="5"/>
      <c r="C108" s="5"/>
      <c r="D108" s="5"/>
      <c r="E108" s="5"/>
      <c r="F108" s="5"/>
    </row>
    <row r="109" ht="42" customHeight="1" spans="1:6" x14ac:dyDescent="0.25">
      <c r="A109" s="6" t="s">
        <v>5921</v>
      </c>
      <c r="B109" s="6"/>
      <c r="C109" s="6"/>
      <c r="D109" s="6"/>
      <c r="E109" s="6"/>
      <c r="F109" s="6"/>
    </row>
    <row r="110" spans="1:6" x14ac:dyDescent="0.25">
      <c r="A110" t="s">
        <v>4044</v>
      </c>
      <c r="B110" t="s">
        <v>4045</v>
      </c>
      <c r="C110" t="s">
        <v>5</v>
      </c>
      <c r="D110" t="s">
        <v>4046</v>
      </c>
      <c r="E110" t="s">
        <v>4047</v>
      </c>
      <c r="F110" t="s">
        <v>4048</v>
      </c>
    </row>
    <row r="111" spans="1:6" x14ac:dyDescent="0.25">
      <c r="A111" t="s">
        <v>4062</v>
      </c>
      <c r="B111" t="s">
        <v>5686</v>
      </c>
      <c r="C111" t="s">
        <v>42</v>
      </c>
      <c r="D111" s="7">
        <v>2.3</v>
      </c>
      <c r="E111" s="2">
        <v>3517.99</v>
      </c>
      <c r="F111" s="2">
        <v>8091.38</v>
      </c>
    </row>
    <row r="112" spans="1:6" x14ac:dyDescent="0.25">
      <c r="A112" t="s">
        <v>4062</v>
      </c>
      <c r="B112" t="s">
        <v>5922</v>
      </c>
      <c r="C112" t="s">
        <v>42</v>
      </c>
      <c r="D112" s="7">
        <v>1.2</v>
      </c>
      <c r="E112" s="2">
        <v>18050</v>
      </c>
      <c r="F112" s="2">
        <v>21660</v>
      </c>
    </row>
    <row r="113" spans="1:6" x14ac:dyDescent="0.25">
      <c r="A113" t="s">
        <v>4062</v>
      </c>
      <c r="B113" t="s">
        <v>5923</v>
      </c>
      <c r="C113" t="s">
        <v>21</v>
      </c>
      <c r="D113" s="7">
        <v>1</v>
      </c>
      <c r="E113" s="2">
        <v>19693</v>
      </c>
      <c r="F113" s="2">
        <v>19693</v>
      </c>
    </row>
    <row r="114" spans="1:6" x14ac:dyDescent="0.25">
      <c r="A114" t="s">
        <v>4062</v>
      </c>
      <c r="B114" t="s">
        <v>5673</v>
      </c>
      <c r="C114" t="s">
        <v>4377</v>
      </c>
      <c r="D114" s="7">
        <v>0.16</v>
      </c>
      <c r="E114" s="2">
        <v>38633</v>
      </c>
      <c r="F114" s="2">
        <v>6181.28</v>
      </c>
    </row>
    <row r="115" spans="1:6" x14ac:dyDescent="0.25">
      <c r="A115" t="s">
        <v>4062</v>
      </c>
      <c r="B115" t="s">
        <v>5918</v>
      </c>
      <c r="C115" t="s">
        <v>4377</v>
      </c>
      <c r="D115" s="7">
        <v>0.31</v>
      </c>
      <c r="E115" s="2">
        <v>50093</v>
      </c>
      <c r="F115" s="2">
        <v>15528.83</v>
      </c>
    </row>
    <row r="116" spans="1:6" x14ac:dyDescent="0.25">
      <c r="A116" t="s">
        <v>4062</v>
      </c>
      <c r="B116" t="s">
        <v>5013</v>
      </c>
      <c r="C116" t="s">
        <v>231</v>
      </c>
      <c r="D116" s="7">
        <v>0.5</v>
      </c>
      <c r="E116" s="2">
        <v>11906</v>
      </c>
      <c r="F116" s="2">
        <v>5953</v>
      </c>
    </row>
    <row r="117" spans="1:6" x14ac:dyDescent="0.25">
      <c r="A117" t="s">
        <v>4049</v>
      </c>
      <c r="B117" t="s">
        <v>4050</v>
      </c>
      <c r="C117" t="s">
        <v>4051</v>
      </c>
      <c r="D117" s="7">
        <v>1</v>
      </c>
      <c r="E117" s="2">
        <v>9037.33</v>
      </c>
      <c r="F117" s="2">
        <v>9037.33</v>
      </c>
    </row>
    <row r="118" spans="1:6" x14ac:dyDescent="0.25">
      <c r="A118" t="s">
        <v>4049</v>
      </c>
      <c r="B118" t="s">
        <v>4073</v>
      </c>
      <c r="C118" t="s">
        <v>4051</v>
      </c>
      <c r="D118" s="7">
        <v>1</v>
      </c>
      <c r="E118" s="2">
        <v>15517.89</v>
      </c>
      <c r="F118" s="2">
        <v>15517.89</v>
      </c>
    </row>
    <row r="119" spans="1:6" x14ac:dyDescent="0.25">
      <c r="A119" t="s">
        <v>4052</v>
      </c>
      <c r="B119" t="s">
        <v>5674</v>
      </c>
      <c r="C119" t="s">
        <v>287</v>
      </c>
      <c r="D119" s="7">
        <v>0.5</v>
      </c>
      <c r="E119" s="2">
        <v>101823</v>
      </c>
      <c r="F119" s="2">
        <v>50911.5</v>
      </c>
    </row>
    <row r="120" spans="1:6" x14ac:dyDescent="0.25">
      <c r="A120" t="s">
        <v>4055</v>
      </c>
      <c r="D120" s="7"/>
      <c r="E120" s="2"/>
      <c r="F120" s="2">
        <f>SUBTOTAL(109,A_1_20_09[VALOR PARCIAL])</f>
      </c>
    </row>
    <row r="122" ht="30" customHeight="1" spans="1:6" x14ac:dyDescent="0.25">
      <c r="A122" s="5" t="s">
        <v>5924</v>
      </c>
      <c r="B122" s="5"/>
      <c r="C122" s="5"/>
      <c r="D122" s="5"/>
      <c r="E122" s="5"/>
      <c r="F122" s="5"/>
    </row>
    <row r="123" ht="42" customHeight="1" spans="1:6" x14ac:dyDescent="0.25">
      <c r="A123" s="6" t="s">
        <v>5925</v>
      </c>
      <c r="B123" s="6"/>
      <c r="C123" s="6"/>
      <c r="D123" s="6"/>
      <c r="E123" s="6"/>
      <c r="F123" s="6"/>
    </row>
    <row r="124" spans="1:6" x14ac:dyDescent="0.25">
      <c r="A124" t="s">
        <v>4044</v>
      </c>
      <c r="B124" t="s">
        <v>4045</v>
      </c>
      <c r="C124" t="s">
        <v>5</v>
      </c>
      <c r="D124" t="s">
        <v>4046</v>
      </c>
      <c r="E124" t="s">
        <v>4047</v>
      </c>
      <c r="F124" t="s">
        <v>4048</v>
      </c>
    </row>
    <row r="125" spans="1:6" x14ac:dyDescent="0.25">
      <c r="A125" t="s">
        <v>4062</v>
      </c>
      <c r="B125" t="s">
        <v>5926</v>
      </c>
      <c r="C125" t="s">
        <v>63</v>
      </c>
      <c r="D125" s="7">
        <v>1</v>
      </c>
      <c r="E125" s="2">
        <v>439416.67</v>
      </c>
      <c r="F125" s="2">
        <v>439416.67</v>
      </c>
    </row>
    <row r="126" spans="1:6" x14ac:dyDescent="0.25">
      <c r="A126" t="s">
        <v>4062</v>
      </c>
      <c r="B126" t="s">
        <v>3981</v>
      </c>
      <c r="C126" t="s">
        <v>34</v>
      </c>
      <c r="D126" s="7">
        <v>0.01</v>
      </c>
      <c r="E126" s="2">
        <v>365704.15</v>
      </c>
      <c r="F126" s="2">
        <v>3657.04</v>
      </c>
    </row>
    <row r="127" spans="1:6" x14ac:dyDescent="0.25">
      <c r="A127" t="s">
        <v>4049</v>
      </c>
      <c r="B127" t="s">
        <v>4050</v>
      </c>
      <c r="C127" t="s">
        <v>4051</v>
      </c>
      <c r="D127" s="7">
        <v>1.72</v>
      </c>
      <c r="E127" s="2">
        <v>9037.33</v>
      </c>
      <c r="F127" s="2">
        <v>15544.21</v>
      </c>
    </row>
    <row r="128" spans="1:6" x14ac:dyDescent="0.25">
      <c r="A128" t="s">
        <v>4049</v>
      </c>
      <c r="B128" t="s">
        <v>4073</v>
      </c>
      <c r="C128" t="s">
        <v>4051</v>
      </c>
      <c r="D128" s="7">
        <v>0.86</v>
      </c>
      <c r="E128" s="2">
        <v>15517.89</v>
      </c>
      <c r="F128" s="2">
        <v>13345.39</v>
      </c>
    </row>
    <row r="129" spans="1:6" x14ac:dyDescent="0.25">
      <c r="A129" t="s">
        <v>4055</v>
      </c>
      <c r="D129" s="7"/>
      <c r="E129" s="2"/>
      <c r="F129" s="2">
        <f>SUBTOTAL(109,A_1_20_10[VALOR PARCIAL])</f>
      </c>
    </row>
    <row r="131" ht="30" customHeight="1" spans="1:6" x14ac:dyDescent="0.25">
      <c r="A131" s="5" t="s">
        <v>5927</v>
      </c>
      <c r="B131" s="5"/>
      <c r="C131" s="5"/>
      <c r="D131" s="5"/>
      <c r="E131" s="5"/>
      <c r="F131" s="5"/>
    </row>
    <row r="132" ht="42" customHeight="1" spans="1:6" x14ac:dyDescent="0.25">
      <c r="A132" s="6" t="s">
        <v>5928</v>
      </c>
      <c r="B132" s="6"/>
      <c r="C132" s="6"/>
      <c r="D132" s="6"/>
      <c r="E132" s="6"/>
      <c r="F132" s="6"/>
    </row>
    <row r="133" spans="1:6" x14ac:dyDescent="0.25">
      <c r="A133" t="s">
        <v>4044</v>
      </c>
      <c r="B133" t="s">
        <v>4045</v>
      </c>
      <c r="C133" t="s">
        <v>5</v>
      </c>
      <c r="D133" t="s">
        <v>4046</v>
      </c>
      <c r="E133" t="s">
        <v>4047</v>
      </c>
      <c r="F133" t="s">
        <v>4048</v>
      </c>
    </row>
    <row r="134" spans="1:6" x14ac:dyDescent="0.25">
      <c r="A134" t="s">
        <v>4062</v>
      </c>
      <c r="B134" t="s">
        <v>5929</v>
      </c>
      <c r="C134" t="s">
        <v>42</v>
      </c>
      <c r="D134" s="7">
        <v>1.05</v>
      </c>
      <c r="E134" s="2">
        <v>9479</v>
      </c>
      <c r="F134" s="2">
        <v>9952.95</v>
      </c>
    </row>
    <row r="135" spans="1:6" x14ac:dyDescent="0.25">
      <c r="A135" t="s">
        <v>4062</v>
      </c>
      <c r="B135" t="s">
        <v>5471</v>
      </c>
      <c r="C135" t="s">
        <v>4377</v>
      </c>
      <c r="D135" s="7">
        <v>0.15</v>
      </c>
      <c r="E135" s="2">
        <v>37000</v>
      </c>
      <c r="F135" s="2">
        <v>5550</v>
      </c>
    </row>
    <row r="136" spans="1:6" x14ac:dyDescent="0.25">
      <c r="A136" t="s">
        <v>4062</v>
      </c>
      <c r="B136" t="s">
        <v>4391</v>
      </c>
      <c r="C136" t="s">
        <v>231</v>
      </c>
      <c r="D136" s="7">
        <v>0.6</v>
      </c>
      <c r="E136" s="2">
        <v>2930</v>
      </c>
      <c r="F136" s="2">
        <v>1758</v>
      </c>
    </row>
    <row r="137" spans="1:6" x14ac:dyDescent="0.25">
      <c r="A137" t="s">
        <v>4062</v>
      </c>
      <c r="B137" t="s">
        <v>5073</v>
      </c>
      <c r="C137" t="s">
        <v>4377</v>
      </c>
      <c r="D137" s="7">
        <v>0.01</v>
      </c>
      <c r="E137" s="2">
        <v>20966.67</v>
      </c>
      <c r="F137" s="2">
        <v>209.67</v>
      </c>
    </row>
    <row r="138" spans="1:6" x14ac:dyDescent="0.25">
      <c r="A138" t="s">
        <v>4062</v>
      </c>
      <c r="B138" t="s">
        <v>5918</v>
      </c>
      <c r="C138" t="s">
        <v>4377</v>
      </c>
      <c r="D138" s="7">
        <v>0.02</v>
      </c>
      <c r="E138" s="2">
        <v>50093</v>
      </c>
      <c r="F138" s="2">
        <v>751.39</v>
      </c>
    </row>
    <row r="139" spans="1:6" x14ac:dyDescent="0.25">
      <c r="A139" t="s">
        <v>4062</v>
      </c>
      <c r="B139" t="s">
        <v>5892</v>
      </c>
      <c r="C139" t="s">
        <v>231</v>
      </c>
      <c r="D139" s="7">
        <v>0.05</v>
      </c>
      <c r="E139" s="2">
        <v>10750</v>
      </c>
      <c r="F139" s="2">
        <v>537.5</v>
      </c>
    </row>
    <row r="140" spans="1:6" x14ac:dyDescent="0.25">
      <c r="A140" t="s">
        <v>4049</v>
      </c>
      <c r="B140" t="s">
        <v>4182</v>
      </c>
      <c r="C140" t="s">
        <v>4051</v>
      </c>
      <c r="D140" s="7">
        <v>0.2</v>
      </c>
      <c r="E140" s="2">
        <v>10845.1</v>
      </c>
      <c r="F140" s="2">
        <v>2169.02</v>
      </c>
    </row>
    <row r="141" spans="1:6" x14ac:dyDescent="0.25">
      <c r="A141" t="s">
        <v>4049</v>
      </c>
      <c r="B141" t="s">
        <v>4183</v>
      </c>
      <c r="C141" t="s">
        <v>4051</v>
      </c>
      <c r="D141" s="7">
        <v>0.2</v>
      </c>
      <c r="E141" s="2">
        <v>18621.17</v>
      </c>
      <c r="F141" s="2">
        <v>3724.23</v>
      </c>
    </row>
    <row r="142" spans="1:6" x14ac:dyDescent="0.25">
      <c r="A142" t="s">
        <v>4052</v>
      </c>
      <c r="B142" t="s">
        <v>4053</v>
      </c>
      <c r="C142" t="s">
        <v>4054</v>
      </c>
      <c r="D142" s="7">
        <v>10</v>
      </c>
      <c r="E142" s="2">
        <v>5893.25</v>
      </c>
      <c r="F142" s="2">
        <v>589.33</v>
      </c>
    </row>
    <row r="143" spans="1:6" x14ac:dyDescent="0.25">
      <c r="A143" t="s">
        <v>4055</v>
      </c>
      <c r="D143" s="7"/>
      <c r="E143" s="2"/>
      <c r="F143" s="2">
        <f>SUBTOTAL(109,A_1_20_11[VALOR PARCIAL])</f>
      </c>
    </row>
    <row r="145" ht="30" customHeight="1" spans="1:6" x14ac:dyDescent="0.25">
      <c r="A145" s="5" t="s">
        <v>5930</v>
      </c>
      <c r="B145" s="5"/>
      <c r="C145" s="5"/>
      <c r="D145" s="5"/>
      <c r="E145" s="5"/>
      <c r="F145" s="5"/>
    </row>
    <row r="146" ht="42" customHeight="1" spans="1:6" x14ac:dyDescent="0.25">
      <c r="A146" s="6" t="s">
        <v>5931</v>
      </c>
      <c r="B146" s="6"/>
      <c r="C146" s="6"/>
      <c r="D146" s="6"/>
      <c r="E146" s="6"/>
      <c r="F146" s="6"/>
    </row>
    <row r="147" spans="1:6" x14ac:dyDescent="0.25">
      <c r="A147" t="s">
        <v>4044</v>
      </c>
      <c r="B147" t="s">
        <v>4045</v>
      </c>
      <c r="C147" t="s">
        <v>5</v>
      </c>
      <c r="D147" t="s">
        <v>4046</v>
      </c>
      <c r="E147" t="s">
        <v>4047</v>
      </c>
      <c r="F147" t="s">
        <v>4048</v>
      </c>
    </row>
    <row r="148" spans="1:6" x14ac:dyDescent="0.25">
      <c r="A148" t="s">
        <v>4062</v>
      </c>
      <c r="B148" t="s">
        <v>5710</v>
      </c>
      <c r="C148" t="s">
        <v>42</v>
      </c>
      <c r="D148" s="7">
        <v>0.5</v>
      </c>
      <c r="E148" s="2">
        <v>3089.68</v>
      </c>
      <c r="F148" s="2">
        <v>1544.84</v>
      </c>
    </row>
    <row r="149" spans="1:6" x14ac:dyDescent="0.25">
      <c r="A149" t="s">
        <v>4062</v>
      </c>
      <c r="B149" t="s">
        <v>5932</v>
      </c>
      <c r="C149" t="s">
        <v>63</v>
      </c>
      <c r="D149" s="7">
        <v>1</v>
      </c>
      <c r="E149" s="2">
        <v>52360</v>
      </c>
      <c r="F149" s="2">
        <v>52360</v>
      </c>
    </row>
    <row r="150" spans="1:6" x14ac:dyDescent="0.25">
      <c r="A150" t="s">
        <v>4049</v>
      </c>
      <c r="B150" t="s">
        <v>4050</v>
      </c>
      <c r="C150" t="s">
        <v>4051</v>
      </c>
      <c r="D150" s="7">
        <v>0.5</v>
      </c>
      <c r="E150" s="2">
        <v>9037.33</v>
      </c>
      <c r="F150" s="2">
        <v>4518.66</v>
      </c>
    </row>
    <row r="151" spans="1:6" x14ac:dyDescent="0.25">
      <c r="A151" t="s">
        <v>4049</v>
      </c>
      <c r="B151" t="s">
        <v>4242</v>
      </c>
      <c r="C151" t="s">
        <v>4051</v>
      </c>
      <c r="D151" s="7">
        <v>0.5</v>
      </c>
      <c r="E151" s="2">
        <v>17069.53</v>
      </c>
      <c r="F151" s="2">
        <v>8534.76</v>
      </c>
    </row>
    <row r="152" spans="1:6" x14ac:dyDescent="0.25">
      <c r="A152" t="s">
        <v>4052</v>
      </c>
      <c r="B152" t="s">
        <v>5729</v>
      </c>
      <c r="C152" t="s">
        <v>287</v>
      </c>
      <c r="D152" s="7">
        <v>0.4</v>
      </c>
      <c r="E152" s="2">
        <v>3510.83</v>
      </c>
      <c r="F152" s="2">
        <v>1404.33</v>
      </c>
    </row>
    <row r="153" spans="1:6" x14ac:dyDescent="0.25">
      <c r="A153" t="s">
        <v>4052</v>
      </c>
      <c r="B153" t="s">
        <v>4053</v>
      </c>
      <c r="C153" t="s">
        <v>4054</v>
      </c>
      <c r="D153" s="7">
        <v>5</v>
      </c>
      <c r="E153" s="2">
        <v>13053.42</v>
      </c>
      <c r="F153" s="2">
        <v>652.67</v>
      </c>
    </row>
    <row r="154" spans="1:6" x14ac:dyDescent="0.25">
      <c r="A154" t="s">
        <v>4055</v>
      </c>
      <c r="D154" s="7"/>
      <c r="E154" s="2"/>
      <c r="F154" s="2">
        <f>SUBTOTAL(109,A_1_20_12[VALOR PARCIAL])</f>
      </c>
    </row>
  </sheetData>
  <mergeCells count="24">
    <mergeCell ref="A4:F4"/>
    <mergeCell ref="A5:F5"/>
    <mergeCell ref="A19:F19"/>
    <mergeCell ref="A20:F20"/>
    <mergeCell ref="A29:F29"/>
    <mergeCell ref="A30:F30"/>
    <mergeCell ref="A45:F45"/>
    <mergeCell ref="A46:F46"/>
    <mergeCell ref="A58:F58"/>
    <mergeCell ref="A59:F59"/>
    <mergeCell ref="A66:F66"/>
    <mergeCell ref="A67:F67"/>
    <mergeCell ref="A82:F82"/>
    <mergeCell ref="A83:F83"/>
    <mergeCell ref="A93:F93"/>
    <mergeCell ref="A94:F94"/>
    <mergeCell ref="A108:F108"/>
    <mergeCell ref="A109:F109"/>
    <mergeCell ref="A122:F122"/>
    <mergeCell ref="A123:F123"/>
    <mergeCell ref="A131:F131"/>
    <mergeCell ref="A132:F132"/>
    <mergeCell ref="A145:F145"/>
    <mergeCell ref="A146:F146"/>
  </mergeCells>
  <pageMargins left="0.7" right="0.7" top="0.75" bottom="0.75" header="0.3" footer="0.3"/>
  <pageSetup orientation="portrait" horizontalDpi="4294967295" verticalDpi="4294967295" scale="100" fitToWidth="1" fitToHeight="1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5933</v>
      </c>
    </row>
    <row r="2" spans="1:1" x14ac:dyDescent="0.25">
      <c r="A2" s="4" t="s">
        <v>4605</v>
      </c>
    </row>
    <row r="4" ht="30" customHeight="1" spans="1:6" x14ac:dyDescent="0.25">
      <c r="A4" s="5" t="s">
        <v>5934</v>
      </c>
      <c r="B4" s="5"/>
      <c r="C4" s="5"/>
      <c r="D4" s="5"/>
      <c r="E4" s="5"/>
      <c r="F4" s="5"/>
    </row>
    <row r="5" ht="42" customHeight="1" spans="1:6" x14ac:dyDescent="0.25">
      <c r="A5" s="6" t="s">
        <v>5935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5936</v>
      </c>
      <c r="C7" t="s">
        <v>42</v>
      </c>
      <c r="D7" s="7">
        <v>1</v>
      </c>
      <c r="E7" s="2">
        <v>34234</v>
      </c>
      <c r="F7" s="2">
        <v>34234</v>
      </c>
    </row>
    <row r="8" spans="1:6" x14ac:dyDescent="0.25">
      <c r="A8" t="s">
        <v>4062</v>
      </c>
      <c r="B8" t="s">
        <v>5937</v>
      </c>
      <c r="C8" t="s">
        <v>63</v>
      </c>
      <c r="D8" s="7">
        <v>1</v>
      </c>
      <c r="E8" s="2">
        <v>7845</v>
      </c>
      <c r="F8" s="2">
        <v>7845</v>
      </c>
    </row>
    <row r="9" spans="1:6" x14ac:dyDescent="0.25">
      <c r="A9" t="s">
        <v>4062</v>
      </c>
      <c r="B9" t="s">
        <v>5938</v>
      </c>
      <c r="C9" t="s">
        <v>63</v>
      </c>
      <c r="D9" s="7">
        <v>0.01</v>
      </c>
      <c r="E9" s="2">
        <v>34621.31</v>
      </c>
      <c r="F9" s="2">
        <v>173.11</v>
      </c>
    </row>
    <row r="10" spans="1:6" x14ac:dyDescent="0.25">
      <c r="A10" t="s">
        <v>4062</v>
      </c>
      <c r="B10" t="s">
        <v>4376</v>
      </c>
      <c r="C10" t="s">
        <v>4377</v>
      </c>
      <c r="D10" s="7">
        <v>0.01</v>
      </c>
      <c r="E10" s="2">
        <v>72237.67</v>
      </c>
      <c r="F10" s="2">
        <v>361.19</v>
      </c>
    </row>
    <row r="11" spans="1:6" x14ac:dyDescent="0.25">
      <c r="A11" t="s">
        <v>4062</v>
      </c>
      <c r="B11" t="s">
        <v>4884</v>
      </c>
      <c r="C11" t="s">
        <v>4236</v>
      </c>
      <c r="D11" s="7">
        <v>0.8</v>
      </c>
      <c r="E11" s="2">
        <v>27010</v>
      </c>
      <c r="F11" s="2">
        <v>21608</v>
      </c>
    </row>
    <row r="12" spans="1:6" x14ac:dyDescent="0.25">
      <c r="A12" t="s">
        <v>4055</v>
      </c>
      <c r="D12" s="7"/>
      <c r="E12" s="2"/>
      <c r="F12" s="2">
        <f>SUBTOTAL(109,A_1_21_01[VALOR PARCIAL])</f>
      </c>
    </row>
    <row r="14" ht="30" customHeight="1" spans="1:6" x14ac:dyDescent="0.25">
      <c r="A14" s="5" t="s">
        <v>5939</v>
      </c>
      <c r="B14" s="5"/>
      <c r="C14" s="5"/>
      <c r="D14" s="5"/>
      <c r="E14" s="5"/>
      <c r="F14" s="5"/>
    </row>
    <row r="15" ht="42" customHeight="1" spans="1:6" x14ac:dyDescent="0.25">
      <c r="A15" s="6" t="s">
        <v>5940</v>
      </c>
      <c r="B15" s="6"/>
      <c r="C15" s="6"/>
      <c r="D15" s="6"/>
      <c r="E15" s="6"/>
      <c r="F15" s="6"/>
    </row>
    <row r="16" spans="1:6" x14ac:dyDescent="0.25">
      <c r="A16" t="s">
        <v>4044</v>
      </c>
      <c r="B16" t="s">
        <v>4045</v>
      </c>
      <c r="C16" t="s">
        <v>5</v>
      </c>
      <c r="D16" t="s">
        <v>4046</v>
      </c>
      <c r="E16" t="s">
        <v>4047</v>
      </c>
      <c r="F16" t="s">
        <v>4048</v>
      </c>
    </row>
    <row r="17" spans="1:6" x14ac:dyDescent="0.25">
      <c r="A17" t="s">
        <v>4062</v>
      </c>
      <c r="B17" t="s">
        <v>5941</v>
      </c>
      <c r="C17" t="s">
        <v>42</v>
      </c>
      <c r="D17" s="7">
        <v>0.5</v>
      </c>
      <c r="E17" s="2">
        <v>54180</v>
      </c>
      <c r="F17" s="2">
        <v>27090</v>
      </c>
    </row>
    <row r="18" spans="1:6" x14ac:dyDescent="0.25">
      <c r="A18" t="s">
        <v>4062</v>
      </c>
      <c r="B18" t="s">
        <v>5936</v>
      </c>
      <c r="C18" t="s">
        <v>42</v>
      </c>
      <c r="D18" s="7">
        <v>1</v>
      </c>
      <c r="E18" s="2">
        <v>34234</v>
      </c>
      <c r="F18" s="2">
        <v>34234</v>
      </c>
    </row>
    <row r="19" spans="1:6" x14ac:dyDescent="0.25">
      <c r="A19" t="s">
        <v>4062</v>
      </c>
      <c r="B19" t="s">
        <v>5942</v>
      </c>
      <c r="C19" t="s">
        <v>63</v>
      </c>
      <c r="D19" s="7">
        <v>1</v>
      </c>
      <c r="E19" s="2">
        <v>200</v>
      </c>
      <c r="F19" s="2">
        <v>200</v>
      </c>
    </row>
    <row r="20" spans="1:6" x14ac:dyDescent="0.25">
      <c r="A20" t="s">
        <v>4062</v>
      </c>
      <c r="B20" t="s">
        <v>5943</v>
      </c>
      <c r="C20" t="s">
        <v>231</v>
      </c>
      <c r="D20" s="7">
        <v>0.6</v>
      </c>
      <c r="E20" s="2">
        <v>15437</v>
      </c>
      <c r="F20" s="2">
        <v>9262.2</v>
      </c>
    </row>
    <row r="21" spans="1:6" x14ac:dyDescent="0.25">
      <c r="A21" t="s">
        <v>4062</v>
      </c>
      <c r="B21" t="s">
        <v>5937</v>
      </c>
      <c r="C21" t="s">
        <v>63</v>
      </c>
      <c r="D21" s="7">
        <v>1</v>
      </c>
      <c r="E21" s="2">
        <v>7845</v>
      </c>
      <c r="F21" s="2">
        <v>7845</v>
      </c>
    </row>
    <row r="22" spans="1:6" x14ac:dyDescent="0.25">
      <c r="A22" t="s">
        <v>4062</v>
      </c>
      <c r="B22" t="s">
        <v>5938</v>
      </c>
      <c r="C22" t="s">
        <v>63</v>
      </c>
      <c r="D22" s="7">
        <v>0.01</v>
      </c>
      <c r="E22" s="2">
        <v>34621.31</v>
      </c>
      <c r="F22" s="2">
        <v>346.21</v>
      </c>
    </row>
    <row r="23" spans="1:6" x14ac:dyDescent="0.25">
      <c r="A23" t="s">
        <v>4062</v>
      </c>
      <c r="B23" t="s">
        <v>4376</v>
      </c>
      <c r="C23" t="s">
        <v>4377</v>
      </c>
      <c r="D23" s="7">
        <v>0.01</v>
      </c>
      <c r="E23" s="2">
        <v>72237.67</v>
      </c>
      <c r="F23" s="2">
        <v>722.38</v>
      </c>
    </row>
    <row r="24" spans="1:6" x14ac:dyDescent="0.25">
      <c r="A24" t="s">
        <v>4062</v>
      </c>
      <c r="B24" t="s">
        <v>4884</v>
      </c>
      <c r="C24" t="s">
        <v>4236</v>
      </c>
      <c r="D24" s="7">
        <v>0.5</v>
      </c>
      <c r="E24" s="2">
        <v>27010</v>
      </c>
      <c r="F24" s="2">
        <v>13505</v>
      </c>
    </row>
    <row r="25" spans="1:6" x14ac:dyDescent="0.25">
      <c r="A25" t="s">
        <v>4055</v>
      </c>
      <c r="D25" s="7"/>
      <c r="E25" s="2"/>
      <c r="F25" s="2">
        <f>SUBTOTAL(109,A_1_21_02[VALOR PARCIAL])</f>
      </c>
    </row>
    <row r="27" ht="30" customHeight="1" spans="1:6" x14ac:dyDescent="0.25">
      <c r="A27" s="5" t="s">
        <v>5944</v>
      </c>
      <c r="B27" s="5"/>
      <c r="C27" s="5"/>
      <c r="D27" s="5"/>
      <c r="E27" s="5"/>
      <c r="F27" s="5"/>
    </row>
    <row r="28" ht="42" customHeight="1" spans="1:6" x14ac:dyDescent="0.25">
      <c r="A28" s="6" t="s">
        <v>5945</v>
      </c>
      <c r="B28" s="6"/>
      <c r="C28" s="6"/>
      <c r="D28" s="6"/>
      <c r="E28" s="6"/>
      <c r="F28" s="6"/>
    </row>
    <row r="29" spans="1:6" x14ac:dyDescent="0.25">
      <c r="A29" t="s">
        <v>4044</v>
      </c>
      <c r="B29" t="s">
        <v>4045</v>
      </c>
      <c r="C29" t="s">
        <v>5</v>
      </c>
      <c r="D29" t="s">
        <v>4046</v>
      </c>
      <c r="E29" t="s">
        <v>4047</v>
      </c>
      <c r="F29" t="s">
        <v>4048</v>
      </c>
    </row>
    <row r="30" spans="1:6" x14ac:dyDescent="0.25">
      <c r="A30" t="s">
        <v>4062</v>
      </c>
      <c r="B30" t="s">
        <v>1948</v>
      </c>
      <c r="C30" t="s">
        <v>42</v>
      </c>
      <c r="D30" s="7">
        <v>1.05</v>
      </c>
      <c r="E30" s="2">
        <v>5101</v>
      </c>
      <c r="F30" s="2">
        <v>5356.05</v>
      </c>
    </row>
    <row r="31" spans="1:6" x14ac:dyDescent="0.25">
      <c r="A31" t="s">
        <v>4062</v>
      </c>
      <c r="B31" t="s">
        <v>4884</v>
      </c>
      <c r="C31" t="s">
        <v>4236</v>
      </c>
      <c r="D31" s="7">
        <v>0.15</v>
      </c>
      <c r="E31" s="2">
        <v>27010</v>
      </c>
      <c r="F31" s="2">
        <v>4051.5</v>
      </c>
    </row>
    <row r="32" spans="1:6" x14ac:dyDescent="0.25">
      <c r="A32" t="s">
        <v>4055</v>
      </c>
      <c r="D32" s="7"/>
      <c r="E32" s="2"/>
      <c r="F32" s="2">
        <f>SUBTOTAL(109,A_1_21_03[VALOR PARCIAL])</f>
      </c>
    </row>
    <row r="34" ht="30" customHeight="1" spans="1:6" x14ac:dyDescent="0.25">
      <c r="A34" s="5" t="s">
        <v>5946</v>
      </c>
      <c r="B34" s="5"/>
      <c r="C34" s="5"/>
      <c r="D34" s="5"/>
      <c r="E34" s="5"/>
      <c r="F34" s="5"/>
    </row>
    <row r="35" ht="42" customHeight="1" spans="1:6" x14ac:dyDescent="0.25">
      <c r="A35" s="6" t="s">
        <v>5947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1951</v>
      </c>
      <c r="C37" t="s">
        <v>42</v>
      </c>
      <c r="D37" s="7">
        <v>1.05</v>
      </c>
      <c r="E37" s="2">
        <v>878</v>
      </c>
      <c r="F37" s="2">
        <v>921.9</v>
      </c>
    </row>
    <row r="38" spans="1:6" x14ac:dyDescent="0.25">
      <c r="A38" t="s">
        <v>4062</v>
      </c>
      <c r="B38" t="s">
        <v>4884</v>
      </c>
      <c r="C38" t="s">
        <v>4236</v>
      </c>
      <c r="D38" s="7">
        <v>0.03</v>
      </c>
      <c r="E38" s="2">
        <v>27010</v>
      </c>
      <c r="F38" s="2">
        <v>810.3</v>
      </c>
    </row>
    <row r="39" spans="1:6" x14ac:dyDescent="0.25">
      <c r="A39" t="s">
        <v>4055</v>
      </c>
      <c r="D39" s="7"/>
      <c r="E39" s="2"/>
      <c r="F39" s="2">
        <f>SUBTOTAL(109,A_1_21_04[VALOR PARCIAL])</f>
      </c>
    </row>
    <row r="41" ht="30" customHeight="1" spans="1:6" x14ac:dyDescent="0.25">
      <c r="A41" s="5" t="s">
        <v>5948</v>
      </c>
      <c r="B41" s="5"/>
      <c r="C41" s="5"/>
      <c r="D41" s="5"/>
      <c r="E41" s="5"/>
      <c r="F41" s="5"/>
    </row>
    <row r="42" ht="42" customHeight="1" spans="1:6" x14ac:dyDescent="0.25">
      <c r="A42" s="6" t="s">
        <v>5949</v>
      </c>
      <c r="B42" s="6"/>
      <c r="C42" s="6"/>
      <c r="D42" s="6"/>
      <c r="E42" s="6"/>
      <c r="F42" s="6"/>
    </row>
    <row r="43" spans="1:6" x14ac:dyDescent="0.25">
      <c r="A43" t="s">
        <v>4044</v>
      </c>
      <c r="B43" t="s">
        <v>4045</v>
      </c>
      <c r="C43" t="s">
        <v>5</v>
      </c>
      <c r="D43" t="s">
        <v>4046</v>
      </c>
      <c r="E43" t="s">
        <v>4047</v>
      </c>
      <c r="F43" t="s">
        <v>4048</v>
      </c>
    </row>
    <row r="44" spans="1:6" x14ac:dyDescent="0.25">
      <c r="A44" t="s">
        <v>4062</v>
      </c>
      <c r="B44" t="s">
        <v>1954</v>
      </c>
      <c r="C44" t="s">
        <v>42</v>
      </c>
      <c r="D44" s="7">
        <v>1.05</v>
      </c>
      <c r="E44" s="2">
        <v>8650</v>
      </c>
      <c r="F44" s="2">
        <v>9082.5</v>
      </c>
    </row>
    <row r="45" spans="1:6" x14ac:dyDescent="0.25">
      <c r="A45" t="s">
        <v>4062</v>
      </c>
      <c r="B45" t="s">
        <v>4884</v>
      </c>
      <c r="C45" t="s">
        <v>4236</v>
      </c>
      <c r="D45" s="7">
        <v>0.15</v>
      </c>
      <c r="E45" s="2">
        <v>27010</v>
      </c>
      <c r="F45" s="2">
        <v>4051.5</v>
      </c>
    </row>
    <row r="46" spans="1:6" x14ac:dyDescent="0.25">
      <c r="A46" t="s">
        <v>4055</v>
      </c>
      <c r="D46" s="7"/>
      <c r="E46" s="2"/>
      <c r="F46" s="2">
        <f>SUBTOTAL(109,A_1_21_05[VALOR PARCIAL])</f>
      </c>
    </row>
    <row r="48" ht="30" customHeight="1" spans="1:6" x14ac:dyDescent="0.25">
      <c r="A48" s="5" t="s">
        <v>5950</v>
      </c>
      <c r="B48" s="5"/>
      <c r="C48" s="5"/>
      <c r="D48" s="5"/>
      <c r="E48" s="5"/>
      <c r="F48" s="5"/>
    </row>
    <row r="49" ht="42" customHeight="1" spans="1:6" x14ac:dyDescent="0.25">
      <c r="A49" s="6" t="s">
        <v>5951</v>
      </c>
      <c r="B49" s="6"/>
      <c r="C49" s="6"/>
      <c r="D49" s="6"/>
      <c r="E49" s="6"/>
      <c r="F49" s="6"/>
    </row>
    <row r="50" spans="1:6" x14ac:dyDescent="0.25">
      <c r="A50" t="s">
        <v>4044</v>
      </c>
      <c r="B50" t="s">
        <v>4045</v>
      </c>
      <c r="C50" t="s">
        <v>5</v>
      </c>
      <c r="D50" t="s">
        <v>4046</v>
      </c>
      <c r="E50" t="s">
        <v>4047</v>
      </c>
      <c r="F50" t="s">
        <v>4048</v>
      </c>
    </row>
    <row r="51" spans="1:6" x14ac:dyDescent="0.25">
      <c r="A51" t="s">
        <v>4062</v>
      </c>
      <c r="B51" t="s">
        <v>1957</v>
      </c>
      <c r="C51" t="s">
        <v>42</v>
      </c>
      <c r="D51" s="7">
        <v>1.05</v>
      </c>
      <c r="E51" s="2">
        <v>15304</v>
      </c>
      <c r="F51" s="2">
        <v>16069.2</v>
      </c>
    </row>
    <row r="52" spans="1:6" x14ac:dyDescent="0.25">
      <c r="A52" t="s">
        <v>4062</v>
      </c>
      <c r="B52" t="s">
        <v>4884</v>
      </c>
      <c r="C52" t="s">
        <v>4236</v>
      </c>
      <c r="D52" s="7">
        <v>0.18</v>
      </c>
      <c r="E52" s="2">
        <v>27010</v>
      </c>
      <c r="F52" s="2">
        <v>4861.8</v>
      </c>
    </row>
    <row r="53" spans="1:6" x14ac:dyDescent="0.25">
      <c r="A53" t="s">
        <v>4055</v>
      </c>
      <c r="D53" s="7"/>
      <c r="E53" s="2"/>
      <c r="F53" s="2">
        <f>SUBTOTAL(109,A_1_21_06[VALOR PARCIAL])</f>
      </c>
    </row>
    <row r="55" ht="30" customHeight="1" spans="1:6" x14ac:dyDescent="0.25">
      <c r="A55" s="5" t="s">
        <v>5952</v>
      </c>
      <c r="B55" s="5"/>
      <c r="C55" s="5"/>
      <c r="D55" s="5"/>
      <c r="E55" s="5"/>
      <c r="F55" s="5"/>
    </row>
    <row r="56" ht="42" customHeight="1" spans="1:6" x14ac:dyDescent="0.25">
      <c r="A56" s="6" t="s">
        <v>5953</v>
      </c>
      <c r="B56" s="6"/>
      <c r="C56" s="6"/>
      <c r="D56" s="6"/>
      <c r="E56" s="6"/>
      <c r="F56" s="6"/>
    </row>
    <row r="57" spans="1:6" x14ac:dyDescent="0.25">
      <c r="A57" t="s">
        <v>4044</v>
      </c>
      <c r="B57" t="s">
        <v>4045</v>
      </c>
      <c r="C57" t="s">
        <v>5</v>
      </c>
      <c r="D57" t="s">
        <v>4046</v>
      </c>
      <c r="E57" t="s">
        <v>4047</v>
      </c>
      <c r="F57" t="s">
        <v>4048</v>
      </c>
    </row>
    <row r="58" spans="1:6" x14ac:dyDescent="0.25">
      <c r="A58" t="s">
        <v>4062</v>
      </c>
      <c r="B58" t="s">
        <v>5954</v>
      </c>
      <c r="C58" t="s">
        <v>42</v>
      </c>
      <c r="D58" s="7">
        <v>1</v>
      </c>
      <c r="E58" s="2">
        <v>21533</v>
      </c>
      <c r="F58" s="2">
        <v>21533</v>
      </c>
    </row>
    <row r="59" spans="1:6" x14ac:dyDescent="0.25">
      <c r="A59" t="s">
        <v>4062</v>
      </c>
      <c r="B59" t="s">
        <v>5955</v>
      </c>
      <c r="C59" t="s">
        <v>63</v>
      </c>
      <c r="D59" s="7">
        <v>1</v>
      </c>
      <c r="E59" s="2">
        <v>1675</v>
      </c>
      <c r="F59" s="2">
        <v>1675</v>
      </c>
    </row>
    <row r="60" spans="1:6" x14ac:dyDescent="0.25">
      <c r="A60" t="s">
        <v>4062</v>
      </c>
      <c r="B60" t="s">
        <v>5956</v>
      </c>
      <c r="C60" t="s">
        <v>42</v>
      </c>
      <c r="D60" s="7">
        <v>1.05</v>
      </c>
      <c r="E60" s="2">
        <v>18334</v>
      </c>
      <c r="F60" s="2">
        <v>19250.7</v>
      </c>
    </row>
    <row r="61" spans="1:6" x14ac:dyDescent="0.25">
      <c r="A61" t="s">
        <v>4062</v>
      </c>
      <c r="B61" t="s">
        <v>5957</v>
      </c>
      <c r="C61" t="s">
        <v>63</v>
      </c>
      <c r="D61" s="7">
        <v>1</v>
      </c>
      <c r="E61" s="2">
        <v>1797</v>
      </c>
      <c r="F61" s="2">
        <v>1797</v>
      </c>
    </row>
    <row r="62" spans="1:6" x14ac:dyDescent="0.25">
      <c r="A62" t="s">
        <v>4062</v>
      </c>
      <c r="B62" t="s">
        <v>4884</v>
      </c>
      <c r="C62" t="s">
        <v>4236</v>
      </c>
      <c r="D62" s="7">
        <v>4</v>
      </c>
      <c r="E62" s="2">
        <v>27010</v>
      </c>
      <c r="F62" s="2">
        <v>108040</v>
      </c>
    </row>
    <row r="63" spans="1:6" x14ac:dyDescent="0.25">
      <c r="A63" t="s">
        <v>4055</v>
      </c>
      <c r="D63" s="7"/>
      <c r="E63" s="2"/>
      <c r="F63" s="2">
        <f>SUBTOTAL(109,A_1_21_07[VALOR PARCIAL])</f>
      </c>
    </row>
    <row r="65" ht="30" customHeight="1" spans="1:6" x14ac:dyDescent="0.25">
      <c r="A65" s="5" t="s">
        <v>5958</v>
      </c>
      <c r="B65" s="5"/>
      <c r="C65" s="5"/>
      <c r="D65" s="5"/>
      <c r="E65" s="5"/>
      <c r="F65" s="5"/>
    </row>
    <row r="66" ht="42" customHeight="1" spans="1:6" x14ac:dyDescent="0.25">
      <c r="A66" s="6" t="s">
        <v>5959</v>
      </c>
      <c r="B66" s="6"/>
      <c r="C66" s="6"/>
      <c r="D66" s="6"/>
      <c r="E66" s="6"/>
      <c r="F66" s="6"/>
    </row>
    <row r="67" spans="1:6" x14ac:dyDescent="0.25">
      <c r="A67" t="s">
        <v>4044</v>
      </c>
      <c r="B67" t="s">
        <v>4045</v>
      </c>
      <c r="C67" t="s">
        <v>5</v>
      </c>
      <c r="D67" t="s">
        <v>4046</v>
      </c>
      <c r="E67" t="s">
        <v>4047</v>
      </c>
      <c r="F67" t="s">
        <v>4048</v>
      </c>
    </row>
    <row r="68" spans="1:6" x14ac:dyDescent="0.25">
      <c r="A68" t="s">
        <v>4062</v>
      </c>
      <c r="B68" t="s">
        <v>4838</v>
      </c>
      <c r="C68" t="s">
        <v>63</v>
      </c>
      <c r="D68" s="7">
        <v>1</v>
      </c>
      <c r="E68" s="2">
        <v>1783</v>
      </c>
      <c r="F68" s="2">
        <v>1783</v>
      </c>
    </row>
    <row r="69" spans="1:6" x14ac:dyDescent="0.25">
      <c r="A69" t="s">
        <v>4062</v>
      </c>
      <c r="B69" t="s">
        <v>4840</v>
      </c>
      <c r="C69" t="s">
        <v>42</v>
      </c>
      <c r="D69" s="7">
        <v>10</v>
      </c>
      <c r="E69" s="2">
        <v>8451</v>
      </c>
      <c r="F69" s="2">
        <v>84510</v>
      </c>
    </row>
    <row r="70" spans="1:6" x14ac:dyDescent="0.25">
      <c r="A70" t="s">
        <v>4062</v>
      </c>
      <c r="B70" t="s">
        <v>4841</v>
      </c>
      <c r="C70" t="s">
        <v>63</v>
      </c>
      <c r="D70" s="7">
        <v>3</v>
      </c>
      <c r="E70" s="2">
        <v>1147</v>
      </c>
      <c r="F70" s="2">
        <v>3441</v>
      </c>
    </row>
    <row r="71" spans="1:6" x14ac:dyDescent="0.25">
      <c r="A71" t="s">
        <v>4062</v>
      </c>
      <c r="B71" t="s">
        <v>1951</v>
      </c>
      <c r="C71" t="s">
        <v>42</v>
      </c>
      <c r="D71" s="7">
        <v>6</v>
      </c>
      <c r="E71" s="2">
        <v>878</v>
      </c>
      <c r="F71" s="2">
        <v>5268</v>
      </c>
    </row>
    <row r="72" spans="1:6" x14ac:dyDescent="0.25">
      <c r="A72" t="s">
        <v>4062</v>
      </c>
      <c r="B72" t="s">
        <v>4842</v>
      </c>
      <c r="C72" t="s">
        <v>63</v>
      </c>
      <c r="D72" s="7">
        <v>1</v>
      </c>
      <c r="E72" s="2">
        <v>1951</v>
      </c>
      <c r="F72" s="2">
        <v>1951</v>
      </c>
    </row>
    <row r="73" spans="1:6" x14ac:dyDescent="0.25">
      <c r="A73" t="s">
        <v>4062</v>
      </c>
      <c r="B73" t="s">
        <v>5960</v>
      </c>
      <c r="C73" t="s">
        <v>63</v>
      </c>
      <c r="D73" s="7">
        <v>1</v>
      </c>
      <c r="E73" s="2">
        <v>25000</v>
      </c>
      <c r="F73" s="2">
        <v>25000</v>
      </c>
    </row>
    <row r="74" spans="1:6" x14ac:dyDescent="0.25">
      <c r="A74" t="s">
        <v>4062</v>
      </c>
      <c r="B74" t="s">
        <v>4844</v>
      </c>
      <c r="C74" t="s">
        <v>63</v>
      </c>
      <c r="D74" s="7">
        <v>2</v>
      </c>
      <c r="E74" s="2">
        <v>674</v>
      </c>
      <c r="F74" s="2">
        <v>1348</v>
      </c>
    </row>
    <row r="75" spans="1:6" x14ac:dyDescent="0.25">
      <c r="A75" t="s">
        <v>4062</v>
      </c>
      <c r="B75" t="s">
        <v>4884</v>
      </c>
      <c r="C75" t="s">
        <v>4236</v>
      </c>
      <c r="D75" s="7">
        <v>3.2</v>
      </c>
      <c r="E75" s="2">
        <v>27010</v>
      </c>
      <c r="F75" s="2">
        <v>86432</v>
      </c>
    </row>
    <row r="76" spans="1:6" x14ac:dyDescent="0.25">
      <c r="A76" t="s">
        <v>4055</v>
      </c>
      <c r="D76" s="7"/>
      <c r="E76" s="2"/>
      <c r="F76" s="2">
        <f>SUBTOTAL(109,A_1_21_08[VALOR PARCIAL])</f>
      </c>
    </row>
    <row r="78" ht="30" customHeight="1" spans="1:6" x14ac:dyDescent="0.25">
      <c r="A78" s="5" t="s">
        <v>5961</v>
      </c>
      <c r="B78" s="5"/>
      <c r="C78" s="5"/>
      <c r="D78" s="5"/>
      <c r="E78" s="5"/>
      <c r="F78" s="5"/>
    </row>
    <row r="79" ht="42" customHeight="1" spans="1:6" x14ac:dyDescent="0.25">
      <c r="A79" s="6" t="s">
        <v>5962</v>
      </c>
      <c r="B79" s="6"/>
      <c r="C79" s="6"/>
      <c r="D79" s="6"/>
      <c r="E79" s="6"/>
      <c r="F79" s="6"/>
    </row>
    <row r="80" spans="1:6" x14ac:dyDescent="0.25">
      <c r="A80" t="s">
        <v>4044</v>
      </c>
      <c r="B80" t="s">
        <v>4045</v>
      </c>
      <c r="C80" t="s">
        <v>5</v>
      </c>
      <c r="D80" t="s">
        <v>4046</v>
      </c>
      <c r="E80" t="s">
        <v>4047</v>
      </c>
      <c r="F80" t="s">
        <v>4048</v>
      </c>
    </row>
    <row r="81" spans="1:6" x14ac:dyDescent="0.25">
      <c r="A81" t="s">
        <v>4062</v>
      </c>
      <c r="B81" t="s">
        <v>4838</v>
      </c>
      <c r="C81" t="s">
        <v>63</v>
      </c>
      <c r="D81" s="7">
        <v>1</v>
      </c>
      <c r="E81" s="2">
        <v>1783</v>
      </c>
      <c r="F81" s="2">
        <v>1783</v>
      </c>
    </row>
    <row r="82" spans="1:6" x14ac:dyDescent="0.25">
      <c r="A82" t="s">
        <v>4062</v>
      </c>
      <c r="B82" t="s">
        <v>4893</v>
      </c>
      <c r="C82" t="s">
        <v>42</v>
      </c>
      <c r="D82" s="7">
        <v>10</v>
      </c>
      <c r="E82" s="2">
        <v>2293</v>
      </c>
      <c r="F82" s="2">
        <v>22930</v>
      </c>
    </row>
    <row r="83" spans="1:6" x14ac:dyDescent="0.25">
      <c r="A83" t="s">
        <v>4062</v>
      </c>
      <c r="B83" t="s">
        <v>1951</v>
      </c>
      <c r="C83" t="s">
        <v>42</v>
      </c>
      <c r="D83" s="7">
        <v>6</v>
      </c>
      <c r="E83" s="2">
        <v>878</v>
      </c>
      <c r="F83" s="2">
        <v>5268</v>
      </c>
    </row>
    <row r="84" spans="1:6" x14ac:dyDescent="0.25">
      <c r="A84" t="s">
        <v>4062</v>
      </c>
      <c r="B84" t="s">
        <v>4842</v>
      </c>
      <c r="C84" t="s">
        <v>63</v>
      </c>
      <c r="D84" s="7">
        <v>1</v>
      </c>
      <c r="E84" s="2">
        <v>1951</v>
      </c>
      <c r="F84" s="2">
        <v>1951</v>
      </c>
    </row>
    <row r="85" spans="1:6" x14ac:dyDescent="0.25">
      <c r="A85" t="s">
        <v>4062</v>
      </c>
      <c r="B85" t="s">
        <v>5960</v>
      </c>
      <c r="C85" t="s">
        <v>63</v>
      </c>
      <c r="D85" s="7">
        <v>1</v>
      </c>
      <c r="E85" s="2">
        <v>25000</v>
      </c>
      <c r="F85" s="2">
        <v>25000</v>
      </c>
    </row>
    <row r="86" spans="1:6" x14ac:dyDescent="0.25">
      <c r="A86" t="s">
        <v>4062</v>
      </c>
      <c r="B86" t="s">
        <v>4833</v>
      </c>
      <c r="C86" t="s">
        <v>63</v>
      </c>
      <c r="D86" s="7">
        <v>2</v>
      </c>
      <c r="E86" s="2">
        <v>404</v>
      </c>
      <c r="F86" s="2">
        <v>808</v>
      </c>
    </row>
    <row r="87" spans="1:6" x14ac:dyDescent="0.25">
      <c r="A87" t="s">
        <v>4062</v>
      </c>
      <c r="B87" t="s">
        <v>5938</v>
      </c>
      <c r="C87" t="s">
        <v>63</v>
      </c>
      <c r="D87" s="7">
        <v>0.01</v>
      </c>
      <c r="E87" s="2">
        <v>34621.31</v>
      </c>
      <c r="F87" s="2">
        <v>346.21</v>
      </c>
    </row>
    <row r="88" spans="1:6" x14ac:dyDescent="0.25">
      <c r="A88" t="s">
        <v>4062</v>
      </c>
      <c r="B88" t="s">
        <v>4376</v>
      </c>
      <c r="C88" t="s">
        <v>4377</v>
      </c>
      <c r="D88" s="7">
        <v>0.01</v>
      </c>
      <c r="E88" s="2">
        <v>72237.67</v>
      </c>
      <c r="F88" s="2">
        <v>722.38</v>
      </c>
    </row>
    <row r="89" spans="1:6" x14ac:dyDescent="0.25">
      <c r="A89" t="s">
        <v>4062</v>
      </c>
      <c r="B89" t="s">
        <v>4884</v>
      </c>
      <c r="C89" t="s">
        <v>4236</v>
      </c>
      <c r="D89" s="7">
        <v>3.2</v>
      </c>
      <c r="E89" s="2">
        <v>27010</v>
      </c>
      <c r="F89" s="2">
        <v>86432</v>
      </c>
    </row>
    <row r="90" spans="1:6" x14ac:dyDescent="0.25">
      <c r="A90" t="s">
        <v>4055</v>
      </c>
      <c r="D90" s="7"/>
      <c r="E90" s="2"/>
      <c r="F90" s="2">
        <f>SUBTOTAL(109,A_1_21_09[VALOR PARCIAL])</f>
      </c>
    </row>
    <row r="92" ht="30" customHeight="1" spans="1:6" x14ac:dyDescent="0.25">
      <c r="A92" s="5" t="s">
        <v>5963</v>
      </c>
      <c r="B92" s="5"/>
      <c r="C92" s="5"/>
      <c r="D92" s="5"/>
      <c r="E92" s="5"/>
      <c r="F92" s="5"/>
    </row>
    <row r="93" ht="42" customHeight="1" spans="1:6" x14ac:dyDescent="0.25">
      <c r="A93" s="6" t="s">
        <v>5964</v>
      </c>
      <c r="B93" s="6"/>
      <c r="C93" s="6"/>
      <c r="D93" s="6"/>
      <c r="E93" s="6"/>
      <c r="F93" s="6"/>
    </row>
    <row r="94" spans="1:6" x14ac:dyDescent="0.25">
      <c r="A94" t="s">
        <v>4044</v>
      </c>
      <c r="B94" t="s">
        <v>4045</v>
      </c>
      <c r="C94" t="s">
        <v>5</v>
      </c>
      <c r="D94" t="s">
        <v>4046</v>
      </c>
      <c r="E94" t="s">
        <v>4047</v>
      </c>
      <c r="F94" t="s">
        <v>4048</v>
      </c>
    </row>
    <row r="95" spans="1:6" x14ac:dyDescent="0.25">
      <c r="A95" t="s">
        <v>4062</v>
      </c>
      <c r="B95" t="s">
        <v>4864</v>
      </c>
      <c r="C95" t="s">
        <v>42</v>
      </c>
      <c r="D95" s="7">
        <v>6</v>
      </c>
      <c r="E95" s="2">
        <v>562</v>
      </c>
      <c r="F95" s="2">
        <v>3372</v>
      </c>
    </row>
    <row r="96" spans="1:6" x14ac:dyDescent="0.25">
      <c r="A96" t="s">
        <v>4062</v>
      </c>
      <c r="B96" t="s">
        <v>5965</v>
      </c>
      <c r="C96" t="s">
        <v>63</v>
      </c>
      <c r="D96" s="7">
        <v>1</v>
      </c>
      <c r="E96" s="2">
        <v>7657</v>
      </c>
      <c r="F96" s="2">
        <v>7657</v>
      </c>
    </row>
    <row r="97" spans="1:6" x14ac:dyDescent="0.25">
      <c r="A97" t="s">
        <v>4062</v>
      </c>
      <c r="B97" t="s">
        <v>4840</v>
      </c>
      <c r="C97" t="s">
        <v>42</v>
      </c>
      <c r="D97" s="7">
        <v>10</v>
      </c>
      <c r="E97" s="2">
        <v>8451</v>
      </c>
      <c r="F97" s="2">
        <v>84510</v>
      </c>
    </row>
    <row r="98" spans="1:6" x14ac:dyDescent="0.25">
      <c r="A98" t="s">
        <v>4062</v>
      </c>
      <c r="B98" t="s">
        <v>4841</v>
      </c>
      <c r="C98" t="s">
        <v>63</v>
      </c>
      <c r="D98" s="7">
        <v>3</v>
      </c>
      <c r="E98" s="2">
        <v>1147</v>
      </c>
      <c r="F98" s="2">
        <v>3441</v>
      </c>
    </row>
    <row r="99" spans="1:6" x14ac:dyDescent="0.25">
      <c r="A99" t="s">
        <v>4062</v>
      </c>
      <c r="B99" t="s">
        <v>5966</v>
      </c>
      <c r="C99" t="s">
        <v>63</v>
      </c>
      <c r="D99" s="7">
        <v>1</v>
      </c>
      <c r="E99" s="2">
        <v>1646.07</v>
      </c>
      <c r="F99" s="2">
        <v>1646.07</v>
      </c>
    </row>
    <row r="100" spans="1:6" x14ac:dyDescent="0.25">
      <c r="A100" t="s">
        <v>4062</v>
      </c>
      <c r="B100" t="s">
        <v>4844</v>
      </c>
      <c r="C100" t="s">
        <v>63</v>
      </c>
      <c r="D100" s="7">
        <v>2</v>
      </c>
      <c r="E100" s="2">
        <v>696</v>
      </c>
      <c r="F100" s="2">
        <v>1392</v>
      </c>
    </row>
    <row r="101" spans="1:6" x14ac:dyDescent="0.25">
      <c r="A101" t="s">
        <v>4062</v>
      </c>
      <c r="B101" t="s">
        <v>4884</v>
      </c>
      <c r="C101" t="s">
        <v>4236</v>
      </c>
      <c r="D101" s="7">
        <v>3</v>
      </c>
      <c r="E101" s="2">
        <v>27010</v>
      </c>
      <c r="F101" s="2">
        <v>81030</v>
      </c>
    </row>
    <row r="102" spans="1:6" x14ac:dyDescent="0.25">
      <c r="A102" t="s">
        <v>4055</v>
      </c>
      <c r="D102" s="7"/>
      <c r="E102" s="2"/>
      <c r="F102" s="2">
        <f>SUBTOTAL(109,A_1_21_10[VALOR PARCIAL])</f>
      </c>
    </row>
    <row r="104" ht="30" customHeight="1" spans="1:6" x14ac:dyDescent="0.25">
      <c r="A104" s="5" t="s">
        <v>5967</v>
      </c>
      <c r="B104" s="5"/>
      <c r="C104" s="5"/>
      <c r="D104" s="5"/>
      <c r="E104" s="5"/>
      <c r="F104" s="5"/>
    </row>
    <row r="105" ht="42" customHeight="1" spans="1:6" x14ac:dyDescent="0.25">
      <c r="A105" s="6" t="s">
        <v>5968</v>
      </c>
      <c r="B105" s="6"/>
      <c r="C105" s="6"/>
      <c r="D105" s="6"/>
      <c r="E105" s="6"/>
      <c r="F105" s="6"/>
    </row>
    <row r="106" spans="1:6" x14ac:dyDescent="0.25">
      <c r="A106" t="s">
        <v>4044</v>
      </c>
      <c r="B106" t="s">
        <v>4045</v>
      </c>
      <c r="C106" t="s">
        <v>5</v>
      </c>
      <c r="D106" t="s">
        <v>4046</v>
      </c>
      <c r="E106" t="s">
        <v>4047</v>
      </c>
      <c r="F106" t="s">
        <v>4048</v>
      </c>
    </row>
    <row r="107" spans="1:6" x14ac:dyDescent="0.25">
      <c r="A107" t="s">
        <v>4062</v>
      </c>
      <c r="B107" t="s">
        <v>4864</v>
      </c>
      <c r="C107" t="s">
        <v>42</v>
      </c>
      <c r="D107" s="7">
        <v>8</v>
      </c>
      <c r="E107" s="2">
        <v>562</v>
      </c>
      <c r="F107" s="2">
        <v>4496</v>
      </c>
    </row>
    <row r="108" spans="1:6" x14ac:dyDescent="0.25">
      <c r="A108" t="s">
        <v>4062</v>
      </c>
      <c r="B108" t="s">
        <v>4865</v>
      </c>
      <c r="C108" t="s">
        <v>42</v>
      </c>
      <c r="D108" s="7">
        <v>8</v>
      </c>
      <c r="E108" s="2">
        <v>660</v>
      </c>
      <c r="F108" s="2">
        <v>5280</v>
      </c>
    </row>
    <row r="109" spans="1:6" x14ac:dyDescent="0.25">
      <c r="A109" t="s">
        <v>4062</v>
      </c>
      <c r="B109" t="s">
        <v>4893</v>
      </c>
      <c r="C109" t="s">
        <v>42</v>
      </c>
      <c r="D109" s="7">
        <v>10</v>
      </c>
      <c r="E109" s="2">
        <v>2293</v>
      </c>
      <c r="F109" s="2">
        <v>22930</v>
      </c>
    </row>
    <row r="110" spans="1:6" x14ac:dyDescent="0.25">
      <c r="A110" t="s">
        <v>4062</v>
      </c>
      <c r="B110" t="s">
        <v>5966</v>
      </c>
      <c r="C110" t="s">
        <v>63</v>
      </c>
      <c r="D110" s="7">
        <v>1</v>
      </c>
      <c r="E110" s="2">
        <v>1646.07</v>
      </c>
      <c r="F110" s="2">
        <v>1646.07</v>
      </c>
    </row>
    <row r="111" spans="1:6" x14ac:dyDescent="0.25">
      <c r="A111" t="s">
        <v>4062</v>
      </c>
      <c r="B111" t="s">
        <v>4844</v>
      </c>
      <c r="C111" t="s">
        <v>63</v>
      </c>
      <c r="D111" s="7">
        <v>2</v>
      </c>
      <c r="E111" s="2">
        <v>674</v>
      </c>
      <c r="F111" s="2">
        <v>1348</v>
      </c>
    </row>
    <row r="112" spans="1:6" x14ac:dyDescent="0.25">
      <c r="A112" t="s">
        <v>4062</v>
      </c>
      <c r="B112" t="s">
        <v>4884</v>
      </c>
      <c r="C112" t="s">
        <v>4236</v>
      </c>
      <c r="D112" s="7">
        <v>3.2</v>
      </c>
      <c r="E112" s="2">
        <v>27010</v>
      </c>
      <c r="F112" s="2">
        <v>86432</v>
      </c>
    </row>
    <row r="113" spans="1:6" x14ac:dyDescent="0.25">
      <c r="A113" t="s">
        <v>4055</v>
      </c>
      <c r="D113" s="7"/>
      <c r="E113" s="2"/>
      <c r="F113" s="2">
        <f>SUBTOTAL(109,A_1_21_11[VALOR PARCIAL])</f>
      </c>
    </row>
    <row r="115" ht="30" customHeight="1" spans="1:6" x14ac:dyDescent="0.25">
      <c r="A115" s="5" t="s">
        <v>5969</v>
      </c>
      <c r="B115" s="5"/>
      <c r="C115" s="5"/>
      <c r="D115" s="5"/>
      <c r="E115" s="5"/>
      <c r="F115" s="5"/>
    </row>
    <row r="116" ht="42" customHeight="1" spans="1:6" x14ac:dyDescent="0.25">
      <c r="A116" s="6" t="s">
        <v>5970</v>
      </c>
      <c r="B116" s="6"/>
      <c r="C116" s="6"/>
      <c r="D116" s="6"/>
      <c r="E116" s="6"/>
      <c r="F116" s="6"/>
    </row>
    <row r="117" spans="1:6" x14ac:dyDescent="0.25">
      <c r="A117" t="s">
        <v>4044</v>
      </c>
      <c r="B117" t="s">
        <v>4045</v>
      </c>
      <c r="C117" t="s">
        <v>5</v>
      </c>
      <c r="D117" t="s">
        <v>4046</v>
      </c>
      <c r="E117" t="s">
        <v>4047</v>
      </c>
      <c r="F117" t="s">
        <v>4048</v>
      </c>
    </row>
    <row r="118" spans="1:6" x14ac:dyDescent="0.25">
      <c r="A118" t="s">
        <v>4062</v>
      </c>
      <c r="B118" t="s">
        <v>5971</v>
      </c>
      <c r="C118" t="s">
        <v>63</v>
      </c>
      <c r="D118" s="7">
        <v>1</v>
      </c>
      <c r="E118" s="2">
        <v>40997</v>
      </c>
      <c r="F118" s="2">
        <v>40997</v>
      </c>
    </row>
    <row r="119" spans="1:6" x14ac:dyDescent="0.25">
      <c r="A119" t="s">
        <v>4062</v>
      </c>
      <c r="B119" t="s">
        <v>4849</v>
      </c>
      <c r="C119" t="s">
        <v>63</v>
      </c>
      <c r="D119" s="7">
        <v>10</v>
      </c>
      <c r="E119" s="2">
        <v>2298</v>
      </c>
      <c r="F119" s="2">
        <v>22980</v>
      </c>
    </row>
    <row r="120" spans="1:6" x14ac:dyDescent="0.25">
      <c r="A120" t="s">
        <v>4062</v>
      </c>
      <c r="B120" t="s">
        <v>5012</v>
      </c>
      <c r="C120" t="s">
        <v>63</v>
      </c>
      <c r="D120" s="7">
        <v>1</v>
      </c>
      <c r="E120" s="2">
        <v>106379</v>
      </c>
      <c r="F120" s="2">
        <v>106379</v>
      </c>
    </row>
    <row r="121" spans="1:6" x14ac:dyDescent="0.25">
      <c r="A121" t="s">
        <v>4062</v>
      </c>
      <c r="B121" t="s">
        <v>5374</v>
      </c>
      <c r="C121" t="s">
        <v>231</v>
      </c>
      <c r="D121" s="7">
        <v>0.22</v>
      </c>
      <c r="E121" s="2">
        <v>11737.67</v>
      </c>
      <c r="F121" s="2">
        <v>2582.29</v>
      </c>
    </row>
    <row r="122" spans="1:6" x14ac:dyDescent="0.25">
      <c r="A122" t="s">
        <v>4062</v>
      </c>
      <c r="B122" t="s">
        <v>4884</v>
      </c>
      <c r="C122" t="s">
        <v>4236</v>
      </c>
      <c r="D122" s="7">
        <v>4</v>
      </c>
      <c r="E122" s="2">
        <v>27010</v>
      </c>
      <c r="F122" s="2">
        <v>108040</v>
      </c>
    </row>
    <row r="123" spans="1:6" x14ac:dyDescent="0.25">
      <c r="A123" t="s">
        <v>4055</v>
      </c>
      <c r="D123" s="7"/>
      <c r="E123" s="2"/>
      <c r="F123" s="2">
        <f>SUBTOTAL(109,A_1_21_12[VALOR PARCIAL])</f>
      </c>
    </row>
    <row r="125" ht="30" customHeight="1" spans="1:6" x14ac:dyDescent="0.25">
      <c r="A125" s="5" t="s">
        <v>5972</v>
      </c>
      <c r="B125" s="5"/>
      <c r="C125" s="5"/>
      <c r="D125" s="5"/>
      <c r="E125" s="5"/>
      <c r="F125" s="5"/>
    </row>
    <row r="126" ht="42" customHeight="1" spans="1:6" x14ac:dyDescent="0.25">
      <c r="A126" s="6" t="s">
        <v>5973</v>
      </c>
      <c r="B126" s="6"/>
      <c r="C126" s="6"/>
      <c r="D126" s="6"/>
      <c r="E126" s="6"/>
      <c r="F126" s="6"/>
    </row>
    <row r="127" spans="1:6" x14ac:dyDescent="0.25">
      <c r="A127" t="s">
        <v>4044</v>
      </c>
      <c r="B127" t="s">
        <v>4045</v>
      </c>
      <c r="C127" t="s">
        <v>5</v>
      </c>
      <c r="D127" t="s">
        <v>4046</v>
      </c>
      <c r="E127" t="s">
        <v>4047</v>
      </c>
      <c r="F127" t="s">
        <v>4048</v>
      </c>
    </row>
    <row r="128" spans="1:6" x14ac:dyDescent="0.25">
      <c r="A128" t="s">
        <v>4062</v>
      </c>
      <c r="B128" t="s">
        <v>5974</v>
      </c>
      <c r="C128" t="s">
        <v>63</v>
      </c>
      <c r="D128" s="7">
        <v>1</v>
      </c>
      <c r="E128" s="2">
        <v>11050</v>
      </c>
      <c r="F128" s="2">
        <v>11050</v>
      </c>
    </row>
    <row r="129" spans="1:6" x14ac:dyDescent="0.25">
      <c r="A129" t="s">
        <v>4062</v>
      </c>
      <c r="B129" t="s">
        <v>4849</v>
      </c>
      <c r="C129" t="s">
        <v>63</v>
      </c>
      <c r="D129" s="7">
        <v>20</v>
      </c>
      <c r="E129" s="2">
        <v>2298</v>
      </c>
      <c r="F129" s="2">
        <v>45960</v>
      </c>
    </row>
    <row r="130" spans="1:6" x14ac:dyDescent="0.25">
      <c r="A130" t="s">
        <v>4062</v>
      </c>
      <c r="B130" t="s">
        <v>5975</v>
      </c>
      <c r="C130" t="s">
        <v>63</v>
      </c>
      <c r="D130" s="7">
        <v>1</v>
      </c>
      <c r="E130" s="2">
        <v>56513</v>
      </c>
      <c r="F130" s="2">
        <v>56513</v>
      </c>
    </row>
    <row r="131" spans="1:6" x14ac:dyDescent="0.25">
      <c r="A131" t="s">
        <v>4062</v>
      </c>
      <c r="B131" t="s">
        <v>5374</v>
      </c>
      <c r="C131" t="s">
        <v>231</v>
      </c>
      <c r="D131" s="7">
        <v>0.22</v>
      </c>
      <c r="E131" s="2">
        <v>11737.67</v>
      </c>
      <c r="F131" s="2">
        <v>2582.29</v>
      </c>
    </row>
    <row r="132" spans="1:6" x14ac:dyDescent="0.25">
      <c r="A132" t="s">
        <v>4062</v>
      </c>
      <c r="B132" t="s">
        <v>4884</v>
      </c>
      <c r="C132" t="s">
        <v>4236</v>
      </c>
      <c r="D132" s="7">
        <v>8</v>
      </c>
      <c r="E132" s="2">
        <v>27010</v>
      </c>
      <c r="F132" s="2">
        <v>216080</v>
      </c>
    </row>
    <row r="133" spans="1:6" x14ac:dyDescent="0.25">
      <c r="A133" t="s">
        <v>4055</v>
      </c>
      <c r="D133" s="7"/>
      <c r="E133" s="2"/>
      <c r="F133" s="2">
        <f>SUBTOTAL(109,A_1_21_13[VALOR PARCIAL])</f>
      </c>
    </row>
    <row r="135" ht="30" customHeight="1" spans="1:6" x14ac:dyDescent="0.25">
      <c r="A135" s="5" t="s">
        <v>5976</v>
      </c>
      <c r="B135" s="5"/>
      <c r="C135" s="5"/>
      <c r="D135" s="5"/>
      <c r="E135" s="5"/>
      <c r="F135" s="5"/>
    </row>
    <row r="136" ht="42" customHeight="1" spans="1:6" x14ac:dyDescent="0.25">
      <c r="A136" s="6" t="s">
        <v>5977</v>
      </c>
      <c r="B136" s="6"/>
      <c r="C136" s="6"/>
      <c r="D136" s="6"/>
      <c r="E136" s="6"/>
      <c r="F136" s="6"/>
    </row>
    <row r="137" spans="1:6" x14ac:dyDescent="0.25">
      <c r="A137" t="s">
        <v>4044</v>
      </c>
      <c r="B137" t="s">
        <v>4045</v>
      </c>
      <c r="C137" t="s">
        <v>5</v>
      </c>
      <c r="D137" t="s">
        <v>4046</v>
      </c>
      <c r="E137" t="s">
        <v>4047</v>
      </c>
      <c r="F137" t="s">
        <v>4048</v>
      </c>
    </row>
    <row r="138" spans="1:6" x14ac:dyDescent="0.25">
      <c r="A138" t="s">
        <v>4062</v>
      </c>
      <c r="B138" t="s">
        <v>4864</v>
      </c>
      <c r="C138" t="s">
        <v>42</v>
      </c>
      <c r="D138" s="7">
        <v>4</v>
      </c>
      <c r="E138" s="2">
        <v>562</v>
      </c>
      <c r="F138" s="2">
        <v>2248</v>
      </c>
    </row>
    <row r="139" spans="1:6" x14ac:dyDescent="0.25">
      <c r="A139" t="s">
        <v>4062</v>
      </c>
      <c r="B139" t="s">
        <v>5978</v>
      </c>
      <c r="C139" t="s">
        <v>63</v>
      </c>
      <c r="D139" s="7">
        <v>1</v>
      </c>
      <c r="E139" s="2">
        <v>6300</v>
      </c>
      <c r="F139" s="2">
        <v>6300</v>
      </c>
    </row>
    <row r="140" spans="1:6" x14ac:dyDescent="0.25">
      <c r="A140" t="s">
        <v>4062</v>
      </c>
      <c r="B140" t="s">
        <v>4893</v>
      </c>
      <c r="C140" t="s">
        <v>42</v>
      </c>
      <c r="D140" s="7">
        <v>6</v>
      </c>
      <c r="E140" s="2">
        <v>2293</v>
      </c>
      <c r="F140" s="2">
        <v>13758</v>
      </c>
    </row>
    <row r="141" spans="1:6" x14ac:dyDescent="0.25">
      <c r="A141" t="s">
        <v>4062</v>
      </c>
      <c r="B141" t="s">
        <v>4852</v>
      </c>
      <c r="C141" t="s">
        <v>63</v>
      </c>
      <c r="D141" s="7">
        <v>1</v>
      </c>
      <c r="E141" s="2">
        <v>1980</v>
      </c>
      <c r="F141" s="2">
        <v>1980</v>
      </c>
    </row>
    <row r="142" spans="1:6" x14ac:dyDescent="0.25">
      <c r="A142" t="s">
        <v>4062</v>
      </c>
      <c r="B142" t="s">
        <v>4833</v>
      </c>
      <c r="C142" t="s">
        <v>63</v>
      </c>
      <c r="D142" s="7">
        <v>2</v>
      </c>
      <c r="E142" s="2">
        <v>404</v>
      </c>
      <c r="F142" s="2">
        <v>808</v>
      </c>
    </row>
    <row r="143" spans="1:6" x14ac:dyDescent="0.25">
      <c r="A143" t="s">
        <v>4062</v>
      </c>
      <c r="B143" t="s">
        <v>4235</v>
      </c>
      <c r="C143" t="s">
        <v>4236</v>
      </c>
      <c r="D143" s="7">
        <v>2.47</v>
      </c>
      <c r="E143" s="2">
        <v>27010.74</v>
      </c>
      <c r="F143" s="2">
        <v>66716.53</v>
      </c>
    </row>
    <row r="144" spans="1:6" x14ac:dyDescent="0.25">
      <c r="A144" t="s">
        <v>4055</v>
      </c>
      <c r="D144" s="7"/>
      <c r="E144" s="2"/>
      <c r="F144" s="2">
        <f>SUBTOTAL(109,A_1_21_14[VALOR PARCIAL])</f>
      </c>
    </row>
    <row r="146" ht="30" customHeight="1" spans="1:6" x14ac:dyDescent="0.25">
      <c r="A146" s="5" t="s">
        <v>5979</v>
      </c>
      <c r="B146" s="5"/>
      <c r="C146" s="5"/>
      <c r="D146" s="5"/>
      <c r="E146" s="5"/>
      <c r="F146" s="5"/>
    </row>
    <row r="147" ht="42" customHeight="1" spans="1:6" x14ac:dyDescent="0.25">
      <c r="A147" s="6" t="s">
        <v>5980</v>
      </c>
      <c r="B147" s="6"/>
      <c r="C147" s="6"/>
      <c r="D147" s="6"/>
      <c r="E147" s="6"/>
      <c r="F147" s="6"/>
    </row>
    <row r="148" spans="1:6" x14ac:dyDescent="0.25">
      <c r="A148" t="s">
        <v>4044</v>
      </c>
      <c r="B148" t="s">
        <v>4045</v>
      </c>
      <c r="C148" t="s">
        <v>5</v>
      </c>
      <c r="D148" t="s">
        <v>4046</v>
      </c>
      <c r="E148" t="s">
        <v>4047</v>
      </c>
      <c r="F148" t="s">
        <v>4048</v>
      </c>
    </row>
    <row r="149" spans="1:6" x14ac:dyDescent="0.25">
      <c r="A149" t="s">
        <v>4062</v>
      </c>
      <c r="B149" t="s">
        <v>5965</v>
      </c>
      <c r="C149" t="s">
        <v>63</v>
      </c>
      <c r="D149" s="7">
        <v>1</v>
      </c>
      <c r="E149" s="2">
        <v>7657</v>
      </c>
      <c r="F149" s="2">
        <v>7657</v>
      </c>
    </row>
    <row r="150" spans="1:6" x14ac:dyDescent="0.25">
      <c r="A150" t="s">
        <v>4062</v>
      </c>
      <c r="B150" t="s">
        <v>4884</v>
      </c>
      <c r="C150" t="s">
        <v>4236</v>
      </c>
      <c r="D150" s="7">
        <v>0.12</v>
      </c>
      <c r="E150" s="2">
        <v>27010</v>
      </c>
      <c r="F150" s="2">
        <v>3241.2</v>
      </c>
    </row>
    <row r="151" spans="1:6" x14ac:dyDescent="0.25">
      <c r="A151" t="s">
        <v>4055</v>
      </c>
      <c r="D151" s="7"/>
      <c r="E151" s="2"/>
      <c r="F151" s="2">
        <f>SUBTOTAL(109,A_1_21_15[VALOR PARCIAL])</f>
      </c>
    </row>
    <row r="153" ht="30" customHeight="1" spans="1:6" x14ac:dyDescent="0.25">
      <c r="A153" s="5" t="s">
        <v>5981</v>
      </c>
      <c r="B153" s="5"/>
      <c r="C153" s="5"/>
      <c r="D153" s="5"/>
      <c r="E153" s="5"/>
      <c r="F153" s="5"/>
    </row>
    <row r="154" ht="42" customHeight="1" spans="1:6" x14ac:dyDescent="0.25">
      <c r="A154" s="6" t="s">
        <v>5982</v>
      </c>
      <c r="B154" s="6"/>
      <c r="C154" s="6"/>
      <c r="D154" s="6"/>
      <c r="E154" s="6"/>
      <c r="F154" s="6"/>
    </row>
    <row r="155" spans="1:6" x14ac:dyDescent="0.25">
      <c r="A155" t="s">
        <v>4044</v>
      </c>
      <c r="B155" t="s">
        <v>4045</v>
      </c>
      <c r="C155" t="s">
        <v>5</v>
      </c>
      <c r="D155" t="s">
        <v>4046</v>
      </c>
      <c r="E155" t="s">
        <v>4047</v>
      </c>
      <c r="F155" t="s">
        <v>4048</v>
      </c>
    </row>
    <row r="156" spans="1:6" x14ac:dyDescent="0.25">
      <c r="A156" t="s">
        <v>4062</v>
      </c>
      <c r="B156" t="s">
        <v>5965</v>
      </c>
      <c r="C156" t="s">
        <v>63</v>
      </c>
      <c r="D156" s="7">
        <v>1</v>
      </c>
      <c r="E156" s="2">
        <v>7657</v>
      </c>
      <c r="F156" s="2">
        <v>7657</v>
      </c>
    </row>
    <row r="157" spans="1:6" x14ac:dyDescent="0.25">
      <c r="A157" t="s">
        <v>4062</v>
      </c>
      <c r="B157" t="s">
        <v>4884</v>
      </c>
      <c r="C157" t="s">
        <v>4236</v>
      </c>
      <c r="D157" s="7">
        <v>0.1</v>
      </c>
      <c r="E157" s="2">
        <v>27010</v>
      </c>
      <c r="F157" s="2">
        <v>2701</v>
      </c>
    </row>
    <row r="158" spans="1:6" x14ac:dyDescent="0.25">
      <c r="A158" t="s">
        <v>4055</v>
      </c>
      <c r="D158" s="7"/>
      <c r="E158" s="2"/>
      <c r="F158" s="2">
        <f>SUBTOTAL(109,A_1_21_16[VALOR PARCIAL])</f>
      </c>
    </row>
  </sheetData>
  <mergeCells count="32">
    <mergeCell ref="A4:F4"/>
    <mergeCell ref="A5:F5"/>
    <mergeCell ref="A14:F14"/>
    <mergeCell ref="A15:F15"/>
    <mergeCell ref="A27:F27"/>
    <mergeCell ref="A28:F28"/>
    <mergeCell ref="A34:F34"/>
    <mergeCell ref="A35:F35"/>
    <mergeCell ref="A41:F41"/>
    <mergeCell ref="A42:F42"/>
    <mergeCell ref="A48:F48"/>
    <mergeCell ref="A49:F49"/>
    <mergeCell ref="A55:F55"/>
    <mergeCell ref="A56:F56"/>
    <mergeCell ref="A65:F65"/>
    <mergeCell ref="A66:F66"/>
    <mergeCell ref="A78:F78"/>
    <mergeCell ref="A79:F79"/>
    <mergeCell ref="A92:F92"/>
    <mergeCell ref="A93:F93"/>
    <mergeCell ref="A104:F104"/>
    <mergeCell ref="A105:F105"/>
    <mergeCell ref="A115:F115"/>
    <mergeCell ref="A116:F116"/>
    <mergeCell ref="A125:F125"/>
    <mergeCell ref="A126:F126"/>
    <mergeCell ref="A135:F135"/>
    <mergeCell ref="A136:F136"/>
    <mergeCell ref="A146:F146"/>
    <mergeCell ref="A147:F147"/>
    <mergeCell ref="A153:F153"/>
    <mergeCell ref="A154:F154"/>
  </mergeCells>
  <pageMargins left="0.7" right="0.7" top="0.75" bottom="0.75" header="0.3" footer="0.3"/>
  <pageSetup orientation="portrait" horizontalDpi="4294967295" verticalDpi="4294967295" scale="100" fitToWidth="1" fitToHeight="1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5983</v>
      </c>
    </row>
    <row r="2" spans="1:1" x14ac:dyDescent="0.25">
      <c r="A2" s="4" t="s">
        <v>5984</v>
      </c>
    </row>
    <row r="4" ht="30" customHeight="1" spans="1:6" x14ac:dyDescent="0.25">
      <c r="A4" s="5" t="s">
        <v>5985</v>
      </c>
      <c r="B4" s="5"/>
      <c r="C4" s="5"/>
      <c r="D4" s="5"/>
      <c r="E4" s="5"/>
      <c r="F4" s="5"/>
    </row>
    <row r="5" ht="42" customHeight="1" spans="1:6" x14ac:dyDescent="0.25">
      <c r="A5" s="6" t="s">
        <v>5986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5987</v>
      </c>
      <c r="C7" t="s">
        <v>63</v>
      </c>
      <c r="D7" s="7">
        <v>1</v>
      </c>
      <c r="E7" s="2">
        <v>33171</v>
      </c>
      <c r="F7" s="2">
        <v>33171</v>
      </c>
    </row>
    <row r="8" spans="1:6" x14ac:dyDescent="0.25">
      <c r="A8" t="s">
        <v>4062</v>
      </c>
      <c r="B8" t="s">
        <v>5988</v>
      </c>
      <c r="C8" t="s">
        <v>63</v>
      </c>
      <c r="D8" s="7">
        <v>2</v>
      </c>
      <c r="E8" s="2">
        <v>5033.33</v>
      </c>
      <c r="F8" s="2">
        <v>10066.66</v>
      </c>
    </row>
    <row r="9" spans="1:6" x14ac:dyDescent="0.25">
      <c r="A9" t="s">
        <v>4062</v>
      </c>
      <c r="B9" t="s">
        <v>5989</v>
      </c>
      <c r="C9" t="s">
        <v>63</v>
      </c>
      <c r="D9" s="7">
        <v>1.32</v>
      </c>
      <c r="E9" s="2">
        <v>38855.33</v>
      </c>
      <c r="F9" s="2">
        <v>51289.04</v>
      </c>
    </row>
    <row r="10" spans="1:6" x14ac:dyDescent="0.25">
      <c r="A10" t="s">
        <v>4062</v>
      </c>
      <c r="B10" t="s">
        <v>5990</v>
      </c>
      <c r="C10" t="s">
        <v>63</v>
      </c>
      <c r="D10" s="7">
        <v>0.5</v>
      </c>
      <c r="E10" s="2">
        <v>48254</v>
      </c>
      <c r="F10" s="2">
        <v>24127</v>
      </c>
    </row>
    <row r="11" spans="1:6" x14ac:dyDescent="0.25">
      <c r="A11" t="s">
        <v>4062</v>
      </c>
      <c r="B11" t="s">
        <v>4884</v>
      </c>
      <c r="C11" t="s">
        <v>4236</v>
      </c>
      <c r="D11" s="7">
        <v>0.53</v>
      </c>
      <c r="E11" s="2">
        <v>27010</v>
      </c>
      <c r="F11" s="2">
        <v>14315.3</v>
      </c>
    </row>
    <row r="12" spans="1:6" x14ac:dyDescent="0.25">
      <c r="A12" t="s">
        <v>4055</v>
      </c>
      <c r="D12" s="7"/>
      <c r="E12" s="2"/>
      <c r="F12" s="2">
        <f>SUBTOTAL(109,A_1_22_01[VALOR PARCIAL])</f>
      </c>
    </row>
    <row r="14" ht="30" customHeight="1" spans="1:6" x14ac:dyDescent="0.25">
      <c r="A14" s="5" t="s">
        <v>5991</v>
      </c>
      <c r="B14" s="5"/>
      <c r="C14" s="5"/>
      <c r="D14" s="5"/>
      <c r="E14" s="5"/>
      <c r="F14" s="5"/>
    </row>
    <row r="15" ht="42" customHeight="1" spans="1:6" x14ac:dyDescent="0.25">
      <c r="A15" s="6" t="s">
        <v>5992</v>
      </c>
      <c r="B15" s="6"/>
      <c r="C15" s="6"/>
      <c r="D15" s="6"/>
      <c r="E15" s="6"/>
      <c r="F15" s="6"/>
    </row>
    <row r="16" spans="1:6" x14ac:dyDescent="0.25">
      <c r="A16" t="s">
        <v>4044</v>
      </c>
      <c r="B16" t="s">
        <v>4045</v>
      </c>
      <c r="C16" t="s">
        <v>5</v>
      </c>
      <c r="D16" t="s">
        <v>4046</v>
      </c>
      <c r="E16" t="s">
        <v>4047</v>
      </c>
      <c r="F16" t="s">
        <v>4048</v>
      </c>
    </row>
    <row r="17" spans="1:6" x14ac:dyDescent="0.25">
      <c r="A17" t="s">
        <v>4062</v>
      </c>
      <c r="B17" t="s">
        <v>5993</v>
      </c>
      <c r="C17" t="s">
        <v>63</v>
      </c>
      <c r="D17" s="7">
        <v>1</v>
      </c>
      <c r="E17" s="2">
        <v>365</v>
      </c>
      <c r="F17" s="2">
        <v>365</v>
      </c>
    </row>
    <row r="18" spans="1:6" x14ac:dyDescent="0.25">
      <c r="A18" t="s">
        <v>4062</v>
      </c>
      <c r="B18" t="s">
        <v>5994</v>
      </c>
      <c r="C18" t="s">
        <v>42</v>
      </c>
      <c r="D18" s="7">
        <v>1.15</v>
      </c>
      <c r="E18" s="2">
        <v>2133</v>
      </c>
      <c r="F18" s="2">
        <v>2452.95</v>
      </c>
    </row>
    <row r="19" spans="1:6" x14ac:dyDescent="0.25">
      <c r="A19" t="s">
        <v>4062</v>
      </c>
      <c r="B19" t="s">
        <v>5995</v>
      </c>
      <c r="C19" t="s">
        <v>42</v>
      </c>
      <c r="D19" s="7">
        <v>1.15</v>
      </c>
      <c r="E19" s="2">
        <v>1504</v>
      </c>
      <c r="F19" s="2">
        <v>1729.6</v>
      </c>
    </row>
    <row r="20" spans="1:6" x14ac:dyDescent="0.25">
      <c r="A20" t="s">
        <v>4062</v>
      </c>
      <c r="B20" t="s">
        <v>5996</v>
      </c>
      <c r="C20" t="s">
        <v>42</v>
      </c>
      <c r="D20" s="7">
        <v>1.15</v>
      </c>
      <c r="E20" s="2">
        <v>4263</v>
      </c>
      <c r="F20" s="2">
        <v>4902.45</v>
      </c>
    </row>
    <row r="21" spans="1:6" x14ac:dyDescent="0.25">
      <c r="A21" t="s">
        <v>4062</v>
      </c>
      <c r="B21" t="s">
        <v>4884</v>
      </c>
      <c r="C21" t="s">
        <v>4236</v>
      </c>
      <c r="D21" s="7">
        <v>0.1</v>
      </c>
      <c r="E21" s="2">
        <v>27010</v>
      </c>
      <c r="F21" s="2">
        <v>2701</v>
      </c>
    </row>
    <row r="22" spans="1:6" x14ac:dyDescent="0.25">
      <c r="A22" t="s">
        <v>4055</v>
      </c>
      <c r="D22" s="7"/>
      <c r="E22" s="2"/>
      <c r="F22" s="2">
        <f>SUBTOTAL(109,A_1_22_02[VALOR PARCIAL])</f>
      </c>
    </row>
    <row r="24" ht="30" customHeight="1" spans="1:6" x14ac:dyDescent="0.25">
      <c r="A24" s="5" t="s">
        <v>5997</v>
      </c>
      <c r="B24" s="5"/>
      <c r="C24" s="5"/>
      <c r="D24" s="5"/>
      <c r="E24" s="5"/>
      <c r="F24" s="5"/>
    </row>
    <row r="25" ht="42" customHeight="1" spans="1:6" x14ac:dyDescent="0.25">
      <c r="A25" s="6" t="s">
        <v>5998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5993</v>
      </c>
      <c r="C27" t="s">
        <v>63</v>
      </c>
      <c r="D27" s="7">
        <v>1</v>
      </c>
      <c r="E27" s="2">
        <v>365</v>
      </c>
      <c r="F27" s="2">
        <v>365</v>
      </c>
    </row>
    <row r="28" spans="1:6" x14ac:dyDescent="0.25">
      <c r="A28" t="s">
        <v>4062</v>
      </c>
      <c r="B28" t="s">
        <v>5999</v>
      </c>
      <c r="C28" t="s">
        <v>42</v>
      </c>
      <c r="D28" s="7">
        <v>1</v>
      </c>
      <c r="E28" s="2">
        <v>1569</v>
      </c>
      <c r="F28" s="2">
        <v>1569</v>
      </c>
    </row>
    <row r="29" spans="1:6" x14ac:dyDescent="0.25">
      <c r="A29" t="s">
        <v>4062</v>
      </c>
      <c r="B29" t="s">
        <v>4884</v>
      </c>
      <c r="C29" t="s">
        <v>4236</v>
      </c>
      <c r="D29" s="7">
        <v>0.06</v>
      </c>
      <c r="E29" s="2">
        <v>27010</v>
      </c>
      <c r="F29" s="2">
        <v>1620.6</v>
      </c>
    </row>
    <row r="30" spans="1:6" x14ac:dyDescent="0.25">
      <c r="A30" t="s">
        <v>4055</v>
      </c>
      <c r="D30" s="7"/>
      <c r="E30" s="2"/>
      <c r="F30" s="2">
        <f>SUBTOTAL(109,A_1_22_03[VALOR PARCIAL])</f>
      </c>
    </row>
    <row r="32" ht="30" customHeight="1" spans="1:6" x14ac:dyDescent="0.25">
      <c r="A32" s="5" t="s">
        <v>6000</v>
      </c>
      <c r="B32" s="5"/>
      <c r="C32" s="5"/>
      <c r="D32" s="5"/>
      <c r="E32" s="5"/>
      <c r="F32" s="5"/>
    </row>
    <row r="33" ht="42" customHeight="1" spans="1:6" x14ac:dyDescent="0.25">
      <c r="A33" s="6" t="s">
        <v>6001</v>
      </c>
      <c r="B33" s="6"/>
      <c r="C33" s="6"/>
      <c r="D33" s="6"/>
      <c r="E33" s="6"/>
      <c r="F33" s="6"/>
    </row>
    <row r="34" spans="1:6" x14ac:dyDescent="0.25">
      <c r="A34" t="s">
        <v>4044</v>
      </c>
      <c r="B34" t="s">
        <v>4045</v>
      </c>
      <c r="C34" t="s">
        <v>5</v>
      </c>
      <c r="D34" t="s">
        <v>4046</v>
      </c>
      <c r="E34" t="s">
        <v>4047</v>
      </c>
      <c r="F34" t="s">
        <v>4048</v>
      </c>
    </row>
    <row r="35" spans="1:6" x14ac:dyDescent="0.25">
      <c r="A35" t="s">
        <v>4062</v>
      </c>
      <c r="B35" t="s">
        <v>6002</v>
      </c>
      <c r="C35" t="s">
        <v>42</v>
      </c>
      <c r="D35" s="7">
        <v>4.4</v>
      </c>
      <c r="E35" s="2">
        <v>16133.33</v>
      </c>
      <c r="F35" s="2">
        <v>70986.65</v>
      </c>
    </row>
    <row r="36" spans="1:6" x14ac:dyDescent="0.25">
      <c r="A36" t="s">
        <v>4062</v>
      </c>
      <c r="B36" t="s">
        <v>4004</v>
      </c>
      <c r="C36" t="s">
        <v>34</v>
      </c>
      <c r="D36" s="7">
        <v>0.05</v>
      </c>
      <c r="E36" s="2">
        <v>426702.51</v>
      </c>
      <c r="F36" s="2">
        <v>19201.61</v>
      </c>
    </row>
    <row r="37" spans="1:6" x14ac:dyDescent="0.25">
      <c r="A37" t="s">
        <v>4062</v>
      </c>
      <c r="B37" t="s">
        <v>4001</v>
      </c>
      <c r="C37" t="s">
        <v>34</v>
      </c>
      <c r="D37" s="7">
        <v>0.16</v>
      </c>
      <c r="E37" s="2">
        <v>450245.66</v>
      </c>
      <c r="F37" s="2">
        <v>72039.31</v>
      </c>
    </row>
    <row r="38" spans="1:6" x14ac:dyDescent="0.25">
      <c r="A38" t="s">
        <v>4062</v>
      </c>
      <c r="B38" t="s">
        <v>6003</v>
      </c>
      <c r="C38" t="s">
        <v>42</v>
      </c>
      <c r="D38" s="7">
        <v>0.24</v>
      </c>
      <c r="E38" s="2">
        <v>50000</v>
      </c>
      <c r="F38" s="2">
        <v>12000</v>
      </c>
    </row>
    <row r="39" spans="1:6" x14ac:dyDescent="0.25">
      <c r="A39" t="s">
        <v>4062</v>
      </c>
      <c r="B39" t="s">
        <v>6004</v>
      </c>
      <c r="C39" t="s">
        <v>63</v>
      </c>
      <c r="D39" s="7">
        <v>2</v>
      </c>
      <c r="E39" s="2">
        <v>14378</v>
      </c>
      <c r="F39" s="2">
        <v>28756</v>
      </c>
    </row>
    <row r="40" spans="1:6" x14ac:dyDescent="0.25">
      <c r="A40" t="s">
        <v>4062</v>
      </c>
      <c r="B40" t="s">
        <v>4481</v>
      </c>
      <c r="C40" t="s">
        <v>63</v>
      </c>
      <c r="D40" s="7">
        <v>93</v>
      </c>
      <c r="E40" s="2">
        <v>708</v>
      </c>
      <c r="F40" s="2">
        <v>65844</v>
      </c>
    </row>
    <row r="41" spans="1:6" x14ac:dyDescent="0.25">
      <c r="A41" t="s">
        <v>4062</v>
      </c>
      <c r="B41" t="s">
        <v>4265</v>
      </c>
      <c r="C41" t="s">
        <v>34</v>
      </c>
      <c r="D41" s="7">
        <v>0.11</v>
      </c>
      <c r="E41" s="2">
        <v>35700</v>
      </c>
      <c r="F41" s="2">
        <v>3927</v>
      </c>
    </row>
    <row r="42" spans="1:6" x14ac:dyDescent="0.25">
      <c r="A42" t="s">
        <v>4049</v>
      </c>
      <c r="B42" t="s">
        <v>4241</v>
      </c>
      <c r="C42" t="s">
        <v>4051</v>
      </c>
      <c r="D42" s="7">
        <v>4.8</v>
      </c>
      <c r="E42" s="2">
        <v>9941.22</v>
      </c>
      <c r="F42" s="2">
        <v>47717.86</v>
      </c>
    </row>
    <row r="43" spans="1:6" x14ac:dyDescent="0.25">
      <c r="A43" t="s">
        <v>4049</v>
      </c>
      <c r="B43" t="s">
        <v>4242</v>
      </c>
      <c r="C43" t="s">
        <v>4051</v>
      </c>
      <c r="D43" s="7">
        <v>4.8</v>
      </c>
      <c r="E43" s="2">
        <v>17069.53</v>
      </c>
      <c r="F43" s="2">
        <v>81933.74</v>
      </c>
    </row>
    <row r="44" spans="1:6" x14ac:dyDescent="0.25">
      <c r="A44" t="s">
        <v>4058</v>
      </c>
      <c r="B44" t="s">
        <v>4314</v>
      </c>
      <c r="C44" t="s">
        <v>34</v>
      </c>
      <c r="D44" s="7">
        <v>0.91</v>
      </c>
      <c r="E44" s="2">
        <v>63714</v>
      </c>
      <c r="F44" s="2">
        <v>57979.74</v>
      </c>
    </row>
    <row r="45" spans="1:6" x14ac:dyDescent="0.25">
      <c r="A45" t="s">
        <v>4055</v>
      </c>
      <c r="D45" s="7"/>
      <c r="E45" s="2"/>
      <c r="F45" s="2">
        <f>SUBTOTAL(109,A_1_22_04[VALOR PARCIAL])</f>
      </c>
    </row>
    <row r="47" ht="30" customHeight="1" spans="1:6" x14ac:dyDescent="0.25">
      <c r="A47" s="5" t="s">
        <v>6005</v>
      </c>
      <c r="B47" s="5"/>
      <c r="C47" s="5"/>
      <c r="D47" s="5"/>
      <c r="E47" s="5"/>
      <c r="F47" s="5"/>
    </row>
    <row r="48" ht="42" customHeight="1" spans="1:6" x14ac:dyDescent="0.25">
      <c r="A48" s="6" t="s">
        <v>6006</v>
      </c>
      <c r="B48" s="6"/>
      <c r="C48" s="6"/>
      <c r="D48" s="6"/>
      <c r="E48" s="6"/>
      <c r="F48" s="6"/>
    </row>
    <row r="49" spans="1:6" x14ac:dyDescent="0.25">
      <c r="A49" t="s">
        <v>4044</v>
      </c>
      <c r="B49" t="s">
        <v>4045</v>
      </c>
      <c r="C49" t="s">
        <v>5</v>
      </c>
      <c r="D49" t="s">
        <v>4046</v>
      </c>
      <c r="E49" t="s">
        <v>4047</v>
      </c>
      <c r="F49" t="s">
        <v>4048</v>
      </c>
    </row>
    <row r="50" spans="1:6" x14ac:dyDescent="0.25">
      <c r="A50" t="s">
        <v>4062</v>
      </c>
      <c r="B50" t="s">
        <v>6007</v>
      </c>
      <c r="C50" t="s">
        <v>63</v>
      </c>
      <c r="D50" s="7">
        <v>1</v>
      </c>
      <c r="E50" s="2">
        <v>2057</v>
      </c>
      <c r="F50" s="2">
        <v>2057</v>
      </c>
    </row>
    <row r="51" spans="1:6" x14ac:dyDescent="0.25">
      <c r="A51" t="s">
        <v>4062</v>
      </c>
      <c r="B51" t="s">
        <v>6008</v>
      </c>
      <c r="C51" t="s">
        <v>63</v>
      </c>
      <c r="D51" s="7">
        <v>0.2</v>
      </c>
      <c r="E51" s="2">
        <v>8215</v>
      </c>
      <c r="F51" s="2">
        <v>1643</v>
      </c>
    </row>
    <row r="52" spans="1:6" x14ac:dyDescent="0.25">
      <c r="A52" t="s">
        <v>4062</v>
      </c>
      <c r="B52" t="s">
        <v>6009</v>
      </c>
      <c r="C52" t="s">
        <v>63</v>
      </c>
      <c r="D52" s="7">
        <v>1</v>
      </c>
      <c r="E52" s="2">
        <v>6434.17</v>
      </c>
      <c r="F52" s="2">
        <v>6434.17</v>
      </c>
    </row>
    <row r="53" spans="1:6" x14ac:dyDescent="0.25">
      <c r="A53" t="s">
        <v>4062</v>
      </c>
      <c r="B53" t="s">
        <v>6010</v>
      </c>
      <c r="C53" t="s">
        <v>63</v>
      </c>
      <c r="D53" s="7">
        <v>1</v>
      </c>
      <c r="E53" s="2">
        <v>1130.03</v>
      </c>
      <c r="F53" s="2">
        <v>1130.03</v>
      </c>
    </row>
    <row r="54" spans="1:6" x14ac:dyDescent="0.25">
      <c r="A54" t="s">
        <v>4062</v>
      </c>
      <c r="B54" t="s">
        <v>6011</v>
      </c>
      <c r="C54" t="s">
        <v>63</v>
      </c>
      <c r="D54" s="7">
        <v>0.1</v>
      </c>
      <c r="E54" s="2">
        <v>10133.33</v>
      </c>
      <c r="F54" s="2">
        <v>1013.33</v>
      </c>
    </row>
    <row r="55" spans="1:6" x14ac:dyDescent="0.25">
      <c r="A55" t="s">
        <v>4062</v>
      </c>
      <c r="B55" t="s">
        <v>6012</v>
      </c>
      <c r="C55" t="s">
        <v>63</v>
      </c>
      <c r="D55" s="7">
        <v>1</v>
      </c>
      <c r="E55" s="2">
        <v>2276.5</v>
      </c>
      <c r="F55" s="2">
        <v>2276.5</v>
      </c>
    </row>
    <row r="56" spans="1:6" x14ac:dyDescent="0.25">
      <c r="A56" t="s">
        <v>4062</v>
      </c>
      <c r="B56" t="s">
        <v>6013</v>
      </c>
      <c r="C56" t="s">
        <v>63</v>
      </c>
      <c r="D56" s="7">
        <v>1</v>
      </c>
      <c r="E56" s="2">
        <v>33450</v>
      </c>
      <c r="F56" s="2">
        <v>33450</v>
      </c>
    </row>
    <row r="57" spans="1:6" x14ac:dyDescent="0.25">
      <c r="A57" t="s">
        <v>4062</v>
      </c>
      <c r="B57" t="s">
        <v>6014</v>
      </c>
      <c r="C57" t="s">
        <v>63</v>
      </c>
      <c r="D57" s="7">
        <v>2</v>
      </c>
      <c r="E57" s="2">
        <v>60</v>
      </c>
      <c r="F57" s="2">
        <v>120</v>
      </c>
    </row>
    <row r="58" spans="1:6" x14ac:dyDescent="0.25">
      <c r="A58" t="s">
        <v>4049</v>
      </c>
      <c r="B58" t="s">
        <v>4884</v>
      </c>
      <c r="C58" t="s">
        <v>4236</v>
      </c>
      <c r="D58" s="7">
        <v>0.3</v>
      </c>
      <c r="E58" s="2">
        <v>27010</v>
      </c>
      <c r="F58" s="2">
        <v>8103</v>
      </c>
    </row>
    <row r="59" spans="1:6" x14ac:dyDescent="0.25">
      <c r="A59" t="s">
        <v>4052</v>
      </c>
      <c r="B59" t="s">
        <v>6015</v>
      </c>
      <c r="C59" t="s">
        <v>4106</v>
      </c>
      <c r="D59" s="7">
        <v>0.38</v>
      </c>
      <c r="E59" s="2">
        <v>28512</v>
      </c>
      <c r="F59" s="2">
        <v>10692</v>
      </c>
    </row>
    <row r="60" spans="1:6" x14ac:dyDescent="0.25">
      <c r="A60" t="s">
        <v>4055</v>
      </c>
      <c r="D60" s="7"/>
      <c r="E60" s="2"/>
      <c r="F60" s="2">
        <f>SUBTOTAL(109,A_1_22_05[VALOR PARCIAL])</f>
      </c>
    </row>
    <row r="62" ht="30" customHeight="1" spans="1:6" x14ac:dyDescent="0.25">
      <c r="A62" s="5" t="s">
        <v>6016</v>
      </c>
      <c r="B62" s="5"/>
      <c r="C62" s="5"/>
      <c r="D62" s="5"/>
      <c r="E62" s="5"/>
      <c r="F62" s="5"/>
    </row>
    <row r="63" ht="42" customHeight="1" spans="1:6" x14ac:dyDescent="0.25">
      <c r="A63" s="6" t="s">
        <v>6017</v>
      </c>
      <c r="B63" s="6"/>
      <c r="C63" s="6"/>
      <c r="D63" s="6"/>
      <c r="E63" s="6"/>
      <c r="F63" s="6"/>
    </row>
    <row r="64" spans="1:6" x14ac:dyDescent="0.25">
      <c r="A64" t="s">
        <v>4044</v>
      </c>
      <c r="B64" t="s">
        <v>4045</v>
      </c>
      <c r="C64" t="s">
        <v>5</v>
      </c>
      <c r="D64" t="s">
        <v>4046</v>
      </c>
      <c r="E64" t="s">
        <v>4047</v>
      </c>
      <c r="F64" t="s">
        <v>4048</v>
      </c>
    </row>
    <row r="65" spans="1:6" x14ac:dyDescent="0.25">
      <c r="A65" t="s">
        <v>4062</v>
      </c>
      <c r="B65" t="s">
        <v>6007</v>
      </c>
      <c r="C65" t="s">
        <v>63</v>
      </c>
      <c r="D65" s="7">
        <v>1</v>
      </c>
      <c r="E65" s="2">
        <v>2057</v>
      </c>
      <c r="F65" s="2">
        <v>2057</v>
      </c>
    </row>
    <row r="66" spans="1:6" x14ac:dyDescent="0.25">
      <c r="A66" t="s">
        <v>4062</v>
      </c>
      <c r="B66" t="s">
        <v>6018</v>
      </c>
      <c r="C66" t="s">
        <v>63</v>
      </c>
      <c r="D66" s="7">
        <v>0.1</v>
      </c>
      <c r="E66" s="2">
        <v>26581.5</v>
      </c>
      <c r="F66" s="2">
        <v>2658.15</v>
      </c>
    </row>
    <row r="67" spans="1:6" x14ac:dyDescent="0.25">
      <c r="A67" t="s">
        <v>4062</v>
      </c>
      <c r="B67" t="s">
        <v>6019</v>
      </c>
      <c r="C67" t="s">
        <v>63</v>
      </c>
      <c r="D67" s="7">
        <v>0.2</v>
      </c>
      <c r="E67" s="2">
        <v>25992.5</v>
      </c>
      <c r="F67" s="2">
        <v>5198.5</v>
      </c>
    </row>
    <row r="68" spans="1:6" x14ac:dyDescent="0.25">
      <c r="A68" t="s">
        <v>4062</v>
      </c>
      <c r="B68" t="s">
        <v>6020</v>
      </c>
      <c r="C68" t="s">
        <v>63</v>
      </c>
      <c r="D68" s="7">
        <v>1</v>
      </c>
      <c r="E68" s="2">
        <v>7213.78</v>
      </c>
      <c r="F68" s="2">
        <v>7213.78</v>
      </c>
    </row>
    <row r="69" spans="1:6" x14ac:dyDescent="0.25">
      <c r="A69" t="s">
        <v>4062</v>
      </c>
      <c r="B69" t="s">
        <v>6021</v>
      </c>
      <c r="C69" t="s">
        <v>63</v>
      </c>
      <c r="D69" s="7">
        <v>1</v>
      </c>
      <c r="E69" s="2">
        <v>7340.79</v>
      </c>
      <c r="F69" s="2">
        <v>7340.79</v>
      </c>
    </row>
    <row r="70" spans="1:6" x14ac:dyDescent="0.25">
      <c r="A70" t="s">
        <v>4062</v>
      </c>
      <c r="B70" t="s">
        <v>6022</v>
      </c>
      <c r="C70" t="s">
        <v>63</v>
      </c>
      <c r="D70" s="7">
        <v>0.5</v>
      </c>
      <c r="E70" s="2">
        <v>17749</v>
      </c>
      <c r="F70" s="2">
        <v>8874.5</v>
      </c>
    </row>
    <row r="71" spans="1:6" x14ac:dyDescent="0.25">
      <c r="A71" t="s">
        <v>4062</v>
      </c>
      <c r="B71" t="s">
        <v>6023</v>
      </c>
      <c r="C71" t="s">
        <v>63</v>
      </c>
      <c r="D71" s="7">
        <v>1</v>
      </c>
      <c r="E71" s="2">
        <v>42750</v>
      </c>
      <c r="F71" s="2">
        <v>42750</v>
      </c>
    </row>
    <row r="72" spans="1:6" x14ac:dyDescent="0.25">
      <c r="A72" t="s">
        <v>4062</v>
      </c>
      <c r="B72" t="s">
        <v>6014</v>
      </c>
      <c r="C72" t="s">
        <v>63</v>
      </c>
      <c r="D72" s="7">
        <v>2</v>
      </c>
      <c r="E72" s="2">
        <v>60</v>
      </c>
      <c r="F72" s="2">
        <v>120</v>
      </c>
    </row>
    <row r="73" spans="1:6" x14ac:dyDescent="0.25">
      <c r="A73" t="s">
        <v>4049</v>
      </c>
      <c r="B73" t="s">
        <v>4884</v>
      </c>
      <c r="C73" t="s">
        <v>4236</v>
      </c>
      <c r="D73" s="7">
        <v>0.3</v>
      </c>
      <c r="E73" s="2">
        <v>27010</v>
      </c>
      <c r="F73" s="2">
        <v>8103</v>
      </c>
    </row>
    <row r="74" spans="1:6" x14ac:dyDescent="0.25">
      <c r="A74" t="s">
        <v>4052</v>
      </c>
      <c r="B74" t="s">
        <v>6015</v>
      </c>
      <c r="C74" t="s">
        <v>4106</v>
      </c>
      <c r="D74" s="7">
        <v>0.38</v>
      </c>
      <c r="E74" s="2">
        <v>28512</v>
      </c>
      <c r="F74" s="2">
        <v>10692</v>
      </c>
    </row>
    <row r="75" spans="1:6" x14ac:dyDescent="0.25">
      <c r="A75" t="s">
        <v>4055</v>
      </c>
      <c r="D75" s="7"/>
      <c r="E75" s="2"/>
      <c r="F75" s="2">
        <f>SUBTOTAL(109,A_1_22_06[VALOR PARCIAL])</f>
      </c>
    </row>
    <row r="77" ht="30" customHeight="1" spans="1:6" x14ac:dyDescent="0.25">
      <c r="A77" s="5" t="s">
        <v>6024</v>
      </c>
      <c r="B77" s="5"/>
      <c r="C77" s="5"/>
      <c r="D77" s="5"/>
      <c r="E77" s="5"/>
      <c r="F77" s="5"/>
    </row>
    <row r="78" ht="42" customHeight="1" spans="1:6" x14ac:dyDescent="0.25">
      <c r="A78" s="6" t="s">
        <v>6025</v>
      </c>
      <c r="B78" s="6"/>
      <c r="C78" s="6"/>
      <c r="D78" s="6"/>
      <c r="E78" s="6"/>
      <c r="F78" s="6"/>
    </row>
    <row r="79" spans="1:6" x14ac:dyDescent="0.25">
      <c r="A79" t="s">
        <v>4044</v>
      </c>
      <c r="B79" t="s">
        <v>4045</v>
      </c>
      <c r="C79" t="s">
        <v>5</v>
      </c>
      <c r="D79" t="s">
        <v>4046</v>
      </c>
      <c r="E79" t="s">
        <v>4047</v>
      </c>
      <c r="F79" t="s">
        <v>4048</v>
      </c>
    </row>
    <row r="80" spans="1:6" x14ac:dyDescent="0.25">
      <c r="A80" t="s">
        <v>4062</v>
      </c>
      <c r="B80" t="s">
        <v>6026</v>
      </c>
      <c r="C80" t="s">
        <v>63</v>
      </c>
      <c r="D80" s="7">
        <v>1</v>
      </c>
      <c r="E80" s="2">
        <v>5486.67</v>
      </c>
      <c r="F80" s="2">
        <v>5486.67</v>
      </c>
    </row>
    <row r="81" spans="1:6" x14ac:dyDescent="0.25">
      <c r="A81" t="s">
        <v>4062</v>
      </c>
      <c r="B81" t="s">
        <v>6027</v>
      </c>
      <c r="C81" t="s">
        <v>63</v>
      </c>
      <c r="D81" s="7">
        <v>6</v>
      </c>
      <c r="E81" s="2">
        <v>79.5</v>
      </c>
      <c r="F81" s="2">
        <v>477</v>
      </c>
    </row>
    <row r="82" spans="1:6" x14ac:dyDescent="0.25">
      <c r="A82" t="s">
        <v>4062</v>
      </c>
      <c r="B82" t="s">
        <v>6028</v>
      </c>
      <c r="C82" t="s">
        <v>63</v>
      </c>
      <c r="D82" s="7">
        <v>1</v>
      </c>
      <c r="E82" s="2">
        <v>28403.05</v>
      </c>
      <c r="F82" s="2">
        <v>28403.05</v>
      </c>
    </row>
    <row r="83" spans="1:6" x14ac:dyDescent="0.25">
      <c r="A83" t="s">
        <v>4062</v>
      </c>
      <c r="B83" t="s">
        <v>6029</v>
      </c>
      <c r="C83" t="s">
        <v>63</v>
      </c>
      <c r="D83" s="7">
        <v>6</v>
      </c>
      <c r="E83" s="2">
        <v>946.67</v>
      </c>
      <c r="F83" s="2">
        <v>5680.02</v>
      </c>
    </row>
    <row r="84" spans="1:6" x14ac:dyDescent="0.25">
      <c r="A84" t="s">
        <v>4049</v>
      </c>
      <c r="B84" t="s">
        <v>6015</v>
      </c>
      <c r="C84" t="s">
        <v>4106</v>
      </c>
      <c r="D84" s="7">
        <v>0.07</v>
      </c>
      <c r="E84" s="2">
        <v>28512</v>
      </c>
      <c r="F84" s="2">
        <v>1995.84</v>
      </c>
    </row>
    <row r="85" spans="1:6" x14ac:dyDescent="0.25">
      <c r="A85" t="s">
        <v>4049</v>
      </c>
      <c r="B85" t="s">
        <v>4884</v>
      </c>
      <c r="C85" t="s">
        <v>4236</v>
      </c>
      <c r="D85" s="7">
        <v>1</v>
      </c>
      <c r="E85" s="2">
        <v>27010</v>
      </c>
      <c r="F85" s="2">
        <v>27010</v>
      </c>
    </row>
    <row r="86" spans="1:6" x14ac:dyDescent="0.25">
      <c r="A86" t="s">
        <v>4055</v>
      </c>
      <c r="D86" s="7"/>
      <c r="E86" s="2"/>
      <c r="F86" s="2">
        <f>SUBTOTAL(109,A_1_22_07[VALOR PARCIAL])</f>
      </c>
    </row>
    <row r="88" ht="30" customHeight="1" spans="1:6" x14ac:dyDescent="0.25">
      <c r="A88" s="5" t="s">
        <v>6030</v>
      </c>
      <c r="B88" s="5"/>
      <c r="C88" s="5"/>
      <c r="D88" s="5"/>
      <c r="E88" s="5"/>
      <c r="F88" s="5"/>
    </row>
    <row r="89" ht="42" customHeight="1" spans="1:6" x14ac:dyDescent="0.25">
      <c r="A89" s="6" t="s">
        <v>6031</v>
      </c>
      <c r="B89" s="6"/>
      <c r="C89" s="6"/>
      <c r="D89" s="6"/>
      <c r="E89" s="6"/>
      <c r="F89" s="6"/>
    </row>
    <row r="90" spans="1:6" x14ac:dyDescent="0.25">
      <c r="A90" t="s">
        <v>4044</v>
      </c>
      <c r="B90" t="s">
        <v>4045</v>
      </c>
      <c r="C90" t="s">
        <v>5</v>
      </c>
      <c r="D90" t="s">
        <v>4046</v>
      </c>
      <c r="E90" t="s">
        <v>4047</v>
      </c>
      <c r="F90" t="s">
        <v>4048</v>
      </c>
    </row>
    <row r="91" spans="1:6" x14ac:dyDescent="0.25">
      <c r="A91" t="s">
        <v>4062</v>
      </c>
      <c r="B91" t="s">
        <v>6032</v>
      </c>
      <c r="C91" t="s">
        <v>63</v>
      </c>
      <c r="D91" s="7">
        <v>0.15</v>
      </c>
      <c r="E91" s="2">
        <v>148560</v>
      </c>
      <c r="F91" s="2">
        <v>22284</v>
      </c>
    </row>
    <row r="92" spans="1:6" x14ac:dyDescent="0.25">
      <c r="A92" t="s">
        <v>4062</v>
      </c>
      <c r="B92" t="s">
        <v>6033</v>
      </c>
      <c r="C92" t="s">
        <v>63</v>
      </c>
      <c r="D92" s="7">
        <v>1</v>
      </c>
      <c r="E92" s="2">
        <v>93367</v>
      </c>
      <c r="F92" s="2">
        <v>93367</v>
      </c>
    </row>
    <row r="93" spans="1:6" x14ac:dyDescent="0.25">
      <c r="A93" t="s">
        <v>4062</v>
      </c>
      <c r="B93" t="s">
        <v>6034</v>
      </c>
      <c r="C93" t="s">
        <v>63</v>
      </c>
      <c r="D93" s="7">
        <v>3</v>
      </c>
      <c r="E93" s="2">
        <v>600</v>
      </c>
      <c r="F93" s="2">
        <v>1800</v>
      </c>
    </row>
    <row r="94" spans="1:6" x14ac:dyDescent="0.25">
      <c r="A94" t="s">
        <v>4049</v>
      </c>
      <c r="B94" t="s">
        <v>4241</v>
      </c>
      <c r="C94" t="s">
        <v>4051</v>
      </c>
      <c r="D94" s="7">
        <v>0.54</v>
      </c>
      <c r="E94" s="2">
        <v>9941.22</v>
      </c>
      <c r="F94" s="2">
        <v>5368.26</v>
      </c>
    </row>
    <row r="95" spans="1:6" x14ac:dyDescent="0.25">
      <c r="A95" t="s">
        <v>4049</v>
      </c>
      <c r="B95" t="s">
        <v>4242</v>
      </c>
      <c r="C95" t="s">
        <v>4051</v>
      </c>
      <c r="D95" s="7">
        <v>0.54</v>
      </c>
      <c r="E95" s="2">
        <v>17069.53</v>
      </c>
      <c r="F95" s="2">
        <v>9217.55</v>
      </c>
    </row>
    <row r="96" spans="1:6" x14ac:dyDescent="0.25">
      <c r="A96" t="s">
        <v>4055</v>
      </c>
      <c r="D96" s="7"/>
      <c r="E96" s="2"/>
      <c r="F96" s="2">
        <f>SUBTOTAL(109,A_1_22_08[VALOR PARCIAL])</f>
      </c>
    </row>
    <row r="98" ht="30" customHeight="1" spans="1:6" x14ac:dyDescent="0.25">
      <c r="A98" s="5" t="s">
        <v>6035</v>
      </c>
      <c r="B98" s="5"/>
      <c r="C98" s="5"/>
      <c r="D98" s="5"/>
      <c r="E98" s="5"/>
      <c r="F98" s="5"/>
    </row>
    <row r="99" ht="42" customHeight="1" spans="1:6" x14ac:dyDescent="0.25">
      <c r="A99" s="6" t="s">
        <v>6036</v>
      </c>
      <c r="B99" s="6"/>
      <c r="C99" s="6"/>
      <c r="D99" s="6"/>
      <c r="E99" s="6"/>
      <c r="F99" s="6"/>
    </row>
    <row r="100" spans="1:6" x14ac:dyDescent="0.25">
      <c r="A100" t="s">
        <v>4044</v>
      </c>
      <c r="B100" t="s">
        <v>4045</v>
      </c>
      <c r="C100" t="s">
        <v>5</v>
      </c>
      <c r="D100" t="s">
        <v>4046</v>
      </c>
      <c r="E100" t="s">
        <v>4047</v>
      </c>
      <c r="F100" t="s">
        <v>4048</v>
      </c>
    </row>
    <row r="101" spans="1:6" x14ac:dyDescent="0.25">
      <c r="A101" t="s">
        <v>4062</v>
      </c>
      <c r="B101" t="s">
        <v>2016</v>
      </c>
      <c r="C101" t="s">
        <v>42</v>
      </c>
      <c r="D101" s="7">
        <v>1.2</v>
      </c>
      <c r="E101" s="2">
        <v>40361</v>
      </c>
      <c r="F101" s="2">
        <v>48433.2</v>
      </c>
    </row>
    <row r="102" spans="1:6" x14ac:dyDescent="0.25">
      <c r="A102" t="s">
        <v>4062</v>
      </c>
      <c r="B102" t="s">
        <v>6037</v>
      </c>
      <c r="C102" t="s">
        <v>63</v>
      </c>
      <c r="D102" s="7">
        <v>1</v>
      </c>
      <c r="E102" s="2">
        <v>32043.33</v>
      </c>
      <c r="F102" s="2">
        <v>32043.33</v>
      </c>
    </row>
    <row r="103" spans="1:6" x14ac:dyDescent="0.25">
      <c r="A103" t="s">
        <v>4062</v>
      </c>
      <c r="B103" t="s">
        <v>4884</v>
      </c>
      <c r="C103" t="s">
        <v>4236</v>
      </c>
      <c r="D103" s="7">
        <v>0.56</v>
      </c>
      <c r="E103" s="2">
        <v>27010</v>
      </c>
      <c r="F103" s="2">
        <v>15125.6</v>
      </c>
    </row>
    <row r="104" spans="1:6" x14ac:dyDescent="0.25">
      <c r="A104" t="s">
        <v>4055</v>
      </c>
      <c r="D104" s="7"/>
      <c r="E104" s="2"/>
      <c r="F104" s="2">
        <f>SUBTOTAL(109,A_1_22_09[VALOR PARCIAL])</f>
      </c>
    </row>
    <row r="106" ht="30" customHeight="1" spans="1:6" x14ac:dyDescent="0.25">
      <c r="A106" s="5" t="s">
        <v>6038</v>
      </c>
      <c r="B106" s="5"/>
      <c r="C106" s="5"/>
      <c r="D106" s="5"/>
      <c r="E106" s="5"/>
      <c r="F106" s="5"/>
    </row>
    <row r="107" ht="42" customHeight="1" spans="1:6" x14ac:dyDescent="0.25">
      <c r="A107" s="6" t="s">
        <v>6039</v>
      </c>
      <c r="B107" s="6"/>
      <c r="C107" s="6"/>
      <c r="D107" s="6"/>
      <c r="E107" s="6"/>
      <c r="F107" s="6"/>
    </row>
    <row r="108" spans="1:6" x14ac:dyDescent="0.25">
      <c r="A108" t="s">
        <v>4044</v>
      </c>
      <c r="B108" t="s">
        <v>4045</v>
      </c>
      <c r="C108" t="s">
        <v>5</v>
      </c>
      <c r="D108" t="s">
        <v>4046</v>
      </c>
      <c r="E108" t="s">
        <v>4047</v>
      </c>
      <c r="F108" t="s">
        <v>4048</v>
      </c>
    </row>
    <row r="109" spans="1:6" x14ac:dyDescent="0.25">
      <c r="A109" t="s">
        <v>4062</v>
      </c>
      <c r="B109" t="s">
        <v>6040</v>
      </c>
      <c r="C109" t="s">
        <v>63</v>
      </c>
      <c r="D109" s="7">
        <v>1</v>
      </c>
      <c r="E109" s="2">
        <v>117360.33</v>
      </c>
      <c r="F109" s="2">
        <v>117360.33</v>
      </c>
    </row>
    <row r="110" spans="1:6" x14ac:dyDescent="0.25">
      <c r="A110" t="s">
        <v>4049</v>
      </c>
      <c r="B110" t="s">
        <v>6041</v>
      </c>
      <c r="C110" t="s">
        <v>4051</v>
      </c>
      <c r="D110" s="7">
        <v>0.25</v>
      </c>
      <c r="E110" s="2">
        <v>10340.86</v>
      </c>
      <c r="F110" s="2">
        <v>2585.22</v>
      </c>
    </row>
    <row r="111" spans="1:6" x14ac:dyDescent="0.25">
      <c r="A111" t="s">
        <v>4055</v>
      </c>
      <c r="D111" s="7"/>
      <c r="E111" s="2"/>
      <c r="F111" s="2">
        <f>SUBTOTAL(109,A_1_22_10[VALOR PARCIAL])</f>
      </c>
    </row>
    <row r="113" ht="30" customHeight="1" spans="1:6" x14ac:dyDescent="0.25">
      <c r="A113" s="5" t="s">
        <v>6042</v>
      </c>
      <c r="B113" s="5"/>
      <c r="C113" s="5"/>
      <c r="D113" s="5"/>
      <c r="E113" s="5"/>
      <c r="F113" s="5"/>
    </row>
    <row r="114" ht="42" customHeight="1" spans="1:6" x14ac:dyDescent="0.25">
      <c r="A114" s="6" t="s">
        <v>6043</v>
      </c>
      <c r="B114" s="6"/>
      <c r="C114" s="6"/>
      <c r="D114" s="6"/>
      <c r="E114" s="6"/>
      <c r="F114" s="6"/>
    </row>
    <row r="115" spans="1:6" x14ac:dyDescent="0.25">
      <c r="A115" t="s">
        <v>4044</v>
      </c>
      <c r="B115" t="s">
        <v>4045</v>
      </c>
      <c r="C115" t="s">
        <v>5</v>
      </c>
      <c r="D115" t="s">
        <v>4046</v>
      </c>
      <c r="E115" t="s">
        <v>4047</v>
      </c>
      <c r="F115" t="s">
        <v>4048</v>
      </c>
    </row>
    <row r="116" spans="1:6" x14ac:dyDescent="0.25">
      <c r="A116" t="s">
        <v>4062</v>
      </c>
      <c r="B116" t="s">
        <v>6044</v>
      </c>
      <c r="C116" t="s">
        <v>63</v>
      </c>
      <c r="D116" s="7">
        <v>1</v>
      </c>
      <c r="E116" s="2">
        <v>511697.5</v>
      </c>
      <c r="F116" s="2">
        <v>511697.5</v>
      </c>
    </row>
    <row r="117" spans="1:6" x14ac:dyDescent="0.25">
      <c r="A117" t="s">
        <v>4062</v>
      </c>
      <c r="B117" t="s">
        <v>6045</v>
      </c>
      <c r="C117" t="s">
        <v>63</v>
      </c>
      <c r="D117" s="7">
        <v>1</v>
      </c>
      <c r="E117" s="2">
        <v>83059</v>
      </c>
      <c r="F117" s="2">
        <v>83059</v>
      </c>
    </row>
    <row r="118" spans="1:6" x14ac:dyDescent="0.25">
      <c r="A118" t="s">
        <v>4062</v>
      </c>
      <c r="B118" t="s">
        <v>4884</v>
      </c>
      <c r="C118" t="s">
        <v>4236</v>
      </c>
      <c r="D118" s="7">
        <v>5</v>
      </c>
      <c r="E118" s="2">
        <v>27010</v>
      </c>
      <c r="F118" s="2">
        <v>135050</v>
      </c>
    </row>
    <row r="119" spans="1:6" x14ac:dyDescent="0.25">
      <c r="A119" t="s">
        <v>4055</v>
      </c>
      <c r="D119" s="7"/>
      <c r="E119" s="2"/>
      <c r="F119" s="2">
        <f>SUBTOTAL(109,A_1_22_11[VALOR PARCIAL])</f>
      </c>
    </row>
    <row r="121" ht="30" customHeight="1" spans="1:6" x14ac:dyDescent="0.25">
      <c r="A121" s="5" t="s">
        <v>6046</v>
      </c>
      <c r="B121" s="5"/>
      <c r="C121" s="5"/>
      <c r="D121" s="5"/>
      <c r="E121" s="5"/>
      <c r="F121" s="5"/>
    </row>
    <row r="122" ht="42" customHeight="1" spans="1:6" x14ac:dyDescent="0.25">
      <c r="A122" s="6" t="s">
        <v>6047</v>
      </c>
      <c r="B122" s="6"/>
      <c r="C122" s="6"/>
      <c r="D122" s="6"/>
      <c r="E122" s="6"/>
      <c r="F122" s="6"/>
    </row>
    <row r="123" spans="1:6" x14ac:dyDescent="0.25">
      <c r="A123" t="s">
        <v>4044</v>
      </c>
      <c r="B123" t="s">
        <v>4045</v>
      </c>
      <c r="C123" t="s">
        <v>5</v>
      </c>
      <c r="D123" t="s">
        <v>4046</v>
      </c>
      <c r="E123" t="s">
        <v>4047</v>
      </c>
      <c r="F123" t="s">
        <v>4048</v>
      </c>
    </row>
    <row r="124" spans="1:6" x14ac:dyDescent="0.25">
      <c r="A124" t="s">
        <v>4062</v>
      </c>
      <c r="B124" t="s">
        <v>6007</v>
      </c>
      <c r="C124" t="s">
        <v>63</v>
      </c>
      <c r="D124" s="7">
        <v>2</v>
      </c>
      <c r="E124" s="2">
        <v>2057</v>
      </c>
      <c r="F124" s="2">
        <v>4114</v>
      </c>
    </row>
    <row r="125" spans="1:6" x14ac:dyDescent="0.25">
      <c r="A125" t="s">
        <v>4062</v>
      </c>
      <c r="B125" t="s">
        <v>6048</v>
      </c>
      <c r="C125" t="s">
        <v>63</v>
      </c>
      <c r="D125" s="7">
        <v>2</v>
      </c>
      <c r="E125" s="2">
        <v>5800.11</v>
      </c>
      <c r="F125" s="2">
        <v>11600.22</v>
      </c>
    </row>
    <row r="126" spans="1:6" x14ac:dyDescent="0.25">
      <c r="A126" t="s">
        <v>4062</v>
      </c>
      <c r="B126" t="s">
        <v>6049</v>
      </c>
      <c r="C126" t="s">
        <v>63</v>
      </c>
      <c r="D126" s="7">
        <v>1</v>
      </c>
      <c r="E126" s="2">
        <v>28552</v>
      </c>
      <c r="F126" s="2">
        <v>28552</v>
      </c>
    </row>
    <row r="127" spans="1:6" x14ac:dyDescent="0.25">
      <c r="A127" t="s">
        <v>4062</v>
      </c>
      <c r="B127" t="s">
        <v>6050</v>
      </c>
      <c r="C127" t="s">
        <v>63</v>
      </c>
      <c r="D127" s="7">
        <v>1</v>
      </c>
      <c r="E127" s="2">
        <v>26381.33</v>
      </c>
      <c r="F127" s="2">
        <v>26381.33</v>
      </c>
    </row>
    <row r="128" spans="1:6" x14ac:dyDescent="0.25">
      <c r="A128" t="s">
        <v>4062</v>
      </c>
      <c r="B128" t="s">
        <v>6051</v>
      </c>
      <c r="C128" t="s">
        <v>63</v>
      </c>
      <c r="D128" s="7">
        <v>0.1</v>
      </c>
      <c r="E128" s="2">
        <v>27668.67</v>
      </c>
      <c r="F128" s="2">
        <v>2766.87</v>
      </c>
    </row>
    <row r="129" spans="1:6" x14ac:dyDescent="0.25">
      <c r="A129" t="s">
        <v>4062</v>
      </c>
      <c r="B129" t="s">
        <v>6052</v>
      </c>
      <c r="C129" t="s">
        <v>63</v>
      </c>
      <c r="D129" s="7">
        <v>0.5</v>
      </c>
      <c r="E129" s="2">
        <v>7108.67</v>
      </c>
      <c r="F129" s="2">
        <v>3554.34</v>
      </c>
    </row>
    <row r="130" spans="1:6" x14ac:dyDescent="0.25">
      <c r="A130" t="s">
        <v>4062</v>
      </c>
      <c r="B130" t="s">
        <v>6014</v>
      </c>
      <c r="C130" t="s">
        <v>63</v>
      </c>
      <c r="D130" s="7">
        <v>2</v>
      </c>
      <c r="E130" s="2">
        <v>60</v>
      </c>
      <c r="F130" s="2">
        <v>120</v>
      </c>
    </row>
    <row r="131" spans="1:6" x14ac:dyDescent="0.25">
      <c r="A131" t="s">
        <v>4062</v>
      </c>
      <c r="B131" t="s">
        <v>6053</v>
      </c>
      <c r="C131" t="s">
        <v>63</v>
      </c>
      <c r="D131" s="7">
        <v>1</v>
      </c>
      <c r="E131" s="2">
        <v>35300</v>
      </c>
      <c r="F131" s="2">
        <v>35300</v>
      </c>
    </row>
    <row r="132" spans="1:6" x14ac:dyDescent="0.25">
      <c r="A132" t="s">
        <v>4049</v>
      </c>
      <c r="B132" t="s">
        <v>6015</v>
      </c>
      <c r="C132" t="s">
        <v>4106</v>
      </c>
      <c r="D132" s="7">
        <v>0.04</v>
      </c>
      <c r="E132" s="2">
        <v>28512</v>
      </c>
      <c r="F132" s="2">
        <v>1226.02</v>
      </c>
    </row>
    <row r="133" spans="1:6" x14ac:dyDescent="0.25">
      <c r="A133" t="s">
        <v>4049</v>
      </c>
      <c r="B133" t="s">
        <v>4884</v>
      </c>
      <c r="C133" t="s">
        <v>4236</v>
      </c>
      <c r="D133" s="7">
        <v>0.35</v>
      </c>
      <c r="E133" s="2">
        <v>27010</v>
      </c>
      <c r="F133" s="2">
        <v>9453.5</v>
      </c>
    </row>
    <row r="134" spans="1:6" x14ac:dyDescent="0.25">
      <c r="A134" t="s">
        <v>4055</v>
      </c>
      <c r="D134" s="7"/>
      <c r="E134" s="2"/>
      <c r="F134" s="2">
        <f>SUBTOTAL(109,A_1_22_12[VALOR PARCIAL])</f>
      </c>
    </row>
    <row r="136" ht="30" customHeight="1" spans="1:6" x14ac:dyDescent="0.25">
      <c r="A136" s="5" t="s">
        <v>6054</v>
      </c>
      <c r="B136" s="5"/>
      <c r="C136" s="5"/>
      <c r="D136" s="5"/>
      <c r="E136" s="5"/>
      <c r="F136" s="5"/>
    </row>
    <row r="137" ht="42" customHeight="1" spans="1:6" x14ac:dyDescent="0.25">
      <c r="A137" s="6" t="s">
        <v>6055</v>
      </c>
      <c r="B137" s="6"/>
      <c r="C137" s="6"/>
      <c r="D137" s="6"/>
      <c r="E137" s="6"/>
      <c r="F137" s="6"/>
    </row>
    <row r="138" spans="1:6" x14ac:dyDescent="0.25">
      <c r="A138" t="s">
        <v>4044</v>
      </c>
      <c r="B138" t="s">
        <v>4045</v>
      </c>
      <c r="C138" t="s">
        <v>5</v>
      </c>
      <c r="D138" t="s">
        <v>4046</v>
      </c>
      <c r="E138" t="s">
        <v>4047</v>
      </c>
      <c r="F138" t="s">
        <v>4048</v>
      </c>
    </row>
    <row r="139" spans="1:6" x14ac:dyDescent="0.25">
      <c r="A139" t="s">
        <v>4062</v>
      </c>
      <c r="B139" t="s">
        <v>6007</v>
      </c>
      <c r="C139" t="s">
        <v>63</v>
      </c>
      <c r="D139" s="7">
        <v>1</v>
      </c>
      <c r="E139" s="2">
        <v>2057</v>
      </c>
      <c r="F139" s="2">
        <v>2057</v>
      </c>
    </row>
    <row r="140" spans="1:6" x14ac:dyDescent="0.25">
      <c r="A140" t="s">
        <v>4062</v>
      </c>
      <c r="B140" t="s">
        <v>6048</v>
      </c>
      <c r="C140" t="s">
        <v>63</v>
      </c>
      <c r="D140" s="7">
        <v>1</v>
      </c>
      <c r="E140" s="2">
        <v>5800.11</v>
      </c>
      <c r="F140" s="2">
        <v>5800.11</v>
      </c>
    </row>
    <row r="141" spans="1:6" x14ac:dyDescent="0.25">
      <c r="A141" t="s">
        <v>4062</v>
      </c>
      <c r="B141" t="s">
        <v>6056</v>
      </c>
      <c r="C141" t="s">
        <v>63</v>
      </c>
      <c r="D141" s="7">
        <v>1</v>
      </c>
      <c r="E141" s="2">
        <v>1616.33</v>
      </c>
      <c r="F141" s="2">
        <v>1616.33</v>
      </c>
    </row>
    <row r="142" spans="1:6" x14ac:dyDescent="0.25">
      <c r="A142" t="s">
        <v>4062</v>
      </c>
      <c r="B142" t="s">
        <v>6057</v>
      </c>
      <c r="C142" t="s">
        <v>63</v>
      </c>
      <c r="D142" s="7">
        <v>1</v>
      </c>
      <c r="E142" s="2">
        <v>6875</v>
      </c>
      <c r="F142" s="2">
        <v>6875</v>
      </c>
    </row>
    <row r="143" spans="1:6" x14ac:dyDescent="0.25">
      <c r="A143" t="s">
        <v>4062</v>
      </c>
      <c r="B143" t="s">
        <v>6058</v>
      </c>
      <c r="C143" t="s">
        <v>63</v>
      </c>
      <c r="D143" s="7">
        <v>1</v>
      </c>
      <c r="E143" s="2">
        <v>5137</v>
      </c>
      <c r="F143" s="2">
        <v>5137</v>
      </c>
    </row>
    <row r="144" spans="1:6" x14ac:dyDescent="0.25">
      <c r="A144" t="s">
        <v>4062</v>
      </c>
      <c r="B144" t="s">
        <v>6059</v>
      </c>
      <c r="C144" t="s">
        <v>63</v>
      </c>
      <c r="D144" s="7">
        <v>1</v>
      </c>
      <c r="E144" s="2">
        <v>5102</v>
      </c>
      <c r="F144" s="2">
        <v>5102</v>
      </c>
    </row>
    <row r="145" spans="1:6" x14ac:dyDescent="0.25">
      <c r="A145" t="s">
        <v>4062</v>
      </c>
      <c r="B145" t="s">
        <v>6060</v>
      </c>
      <c r="C145" t="s">
        <v>63</v>
      </c>
      <c r="D145" s="7">
        <v>1</v>
      </c>
      <c r="E145" s="2">
        <v>1852</v>
      </c>
      <c r="F145" s="2">
        <v>1852</v>
      </c>
    </row>
    <row r="146" spans="1:6" x14ac:dyDescent="0.25">
      <c r="A146" t="s">
        <v>4062</v>
      </c>
      <c r="B146" t="s">
        <v>6014</v>
      </c>
      <c r="C146" t="s">
        <v>63</v>
      </c>
      <c r="D146" s="7">
        <v>2</v>
      </c>
      <c r="E146" s="2">
        <v>60</v>
      </c>
      <c r="F146" s="2">
        <v>120</v>
      </c>
    </row>
    <row r="147" spans="1:6" x14ac:dyDescent="0.25">
      <c r="A147" t="s">
        <v>4062</v>
      </c>
      <c r="B147" t="s">
        <v>6061</v>
      </c>
      <c r="C147" t="s">
        <v>63</v>
      </c>
      <c r="D147" s="7">
        <v>1</v>
      </c>
      <c r="E147" s="2">
        <v>28648</v>
      </c>
      <c r="F147" s="2">
        <v>28648</v>
      </c>
    </row>
    <row r="148" spans="1:6" x14ac:dyDescent="0.25">
      <c r="A148" t="s">
        <v>4049</v>
      </c>
      <c r="B148" t="s">
        <v>4884</v>
      </c>
      <c r="C148" t="s">
        <v>4236</v>
      </c>
      <c r="D148" s="7">
        <v>0.35</v>
      </c>
      <c r="E148" s="2">
        <v>27010</v>
      </c>
      <c r="F148" s="2">
        <v>9453.5</v>
      </c>
    </row>
    <row r="149" spans="1:6" x14ac:dyDescent="0.25">
      <c r="A149" t="s">
        <v>4052</v>
      </c>
      <c r="B149" t="s">
        <v>6015</v>
      </c>
      <c r="C149" t="s">
        <v>4106</v>
      </c>
      <c r="D149" s="7">
        <v>0.04</v>
      </c>
      <c r="E149" s="2">
        <v>28512</v>
      </c>
      <c r="F149" s="2">
        <v>1226.02</v>
      </c>
    </row>
    <row r="150" spans="1:6" x14ac:dyDescent="0.25">
      <c r="A150" t="s">
        <v>4055</v>
      </c>
      <c r="D150" s="7"/>
      <c r="E150" s="2"/>
      <c r="F150" s="2">
        <f>SUBTOTAL(109,A_1_22_13[VALOR PARCIAL])</f>
      </c>
    </row>
    <row r="152" ht="30" customHeight="1" spans="1:6" x14ac:dyDescent="0.25">
      <c r="A152" s="5" t="s">
        <v>6062</v>
      </c>
      <c r="B152" s="5"/>
      <c r="C152" s="5"/>
      <c r="D152" s="5"/>
      <c r="E152" s="5"/>
      <c r="F152" s="5"/>
    </row>
    <row r="153" ht="42" customHeight="1" spans="1:6" x14ac:dyDescent="0.25">
      <c r="A153" s="6" t="s">
        <v>6063</v>
      </c>
      <c r="B153" s="6"/>
      <c r="C153" s="6"/>
      <c r="D153" s="6"/>
      <c r="E153" s="6"/>
      <c r="F153" s="6"/>
    </row>
    <row r="154" spans="1:6" x14ac:dyDescent="0.25">
      <c r="A154" t="s">
        <v>4044</v>
      </c>
      <c r="B154" t="s">
        <v>4045</v>
      </c>
      <c r="C154" t="s">
        <v>5</v>
      </c>
      <c r="D154" t="s">
        <v>4046</v>
      </c>
      <c r="E154" t="s">
        <v>4047</v>
      </c>
      <c r="F154" t="s">
        <v>4048</v>
      </c>
    </row>
    <row r="155" spans="1:6" x14ac:dyDescent="0.25">
      <c r="A155" t="s">
        <v>4062</v>
      </c>
      <c r="B155" t="s">
        <v>5987</v>
      </c>
      <c r="C155" t="s">
        <v>63</v>
      </c>
      <c r="D155" s="7">
        <v>1</v>
      </c>
      <c r="E155" s="2">
        <v>33171</v>
      </c>
      <c r="F155" s="2">
        <v>33171</v>
      </c>
    </row>
    <row r="156" spans="1:6" x14ac:dyDescent="0.25">
      <c r="A156" t="s">
        <v>4062</v>
      </c>
      <c r="B156" t="s">
        <v>5988</v>
      </c>
      <c r="C156" t="s">
        <v>63</v>
      </c>
      <c r="D156" s="7">
        <v>4</v>
      </c>
      <c r="E156" s="2">
        <v>5033.33</v>
      </c>
      <c r="F156" s="2">
        <v>20133.32</v>
      </c>
    </row>
    <row r="157" spans="1:6" x14ac:dyDescent="0.25">
      <c r="A157" t="s">
        <v>4062</v>
      </c>
      <c r="B157" t="s">
        <v>6064</v>
      </c>
      <c r="C157" t="s">
        <v>63</v>
      </c>
      <c r="D157" s="7">
        <v>1</v>
      </c>
      <c r="E157" s="2">
        <v>61100</v>
      </c>
      <c r="F157" s="2">
        <v>61100</v>
      </c>
    </row>
    <row r="158" spans="1:6" x14ac:dyDescent="0.25">
      <c r="A158" t="s">
        <v>4049</v>
      </c>
      <c r="B158" t="s">
        <v>6015</v>
      </c>
      <c r="C158" t="s">
        <v>4106</v>
      </c>
      <c r="D158" s="7">
        <v>0.07</v>
      </c>
      <c r="E158" s="2">
        <v>28512</v>
      </c>
      <c r="F158" s="2">
        <v>1995.84</v>
      </c>
    </row>
    <row r="159" spans="1:6" x14ac:dyDescent="0.25">
      <c r="A159" t="s">
        <v>4049</v>
      </c>
      <c r="B159" t="s">
        <v>4884</v>
      </c>
      <c r="C159" t="s">
        <v>4236</v>
      </c>
      <c r="D159" s="7">
        <v>0.56</v>
      </c>
      <c r="E159" s="2">
        <v>27010</v>
      </c>
      <c r="F159" s="2">
        <v>15125.6</v>
      </c>
    </row>
    <row r="160" spans="1:6" x14ac:dyDescent="0.25">
      <c r="A160" t="s">
        <v>4055</v>
      </c>
      <c r="D160" s="7"/>
      <c r="E160" s="2"/>
      <c r="F160" s="2">
        <f>SUBTOTAL(109,A_1_22_14[VALOR PARCIAL])</f>
      </c>
    </row>
    <row r="162" ht="30" customHeight="1" spans="1:6" x14ac:dyDescent="0.25">
      <c r="A162" s="5" t="s">
        <v>6065</v>
      </c>
      <c r="B162" s="5"/>
      <c r="C162" s="5"/>
      <c r="D162" s="5"/>
      <c r="E162" s="5"/>
      <c r="F162" s="5"/>
    </row>
    <row r="163" ht="42" customHeight="1" spans="1:6" x14ac:dyDescent="0.25">
      <c r="A163" s="6" t="s">
        <v>6066</v>
      </c>
      <c r="B163" s="6"/>
      <c r="C163" s="6"/>
      <c r="D163" s="6"/>
      <c r="E163" s="6"/>
      <c r="F163" s="6"/>
    </row>
    <row r="164" spans="1:6" x14ac:dyDescent="0.25">
      <c r="A164" t="s">
        <v>4044</v>
      </c>
      <c r="B164" t="s">
        <v>4045</v>
      </c>
      <c r="C164" t="s">
        <v>5</v>
      </c>
      <c r="D164" t="s">
        <v>4046</v>
      </c>
      <c r="E164" t="s">
        <v>4047</v>
      </c>
      <c r="F164" t="s">
        <v>4048</v>
      </c>
    </row>
    <row r="165" spans="1:6" x14ac:dyDescent="0.25">
      <c r="A165" t="s">
        <v>4062</v>
      </c>
      <c r="B165" t="s">
        <v>6067</v>
      </c>
      <c r="C165" t="s">
        <v>63</v>
      </c>
      <c r="D165" s="7">
        <v>4</v>
      </c>
      <c r="E165" s="2">
        <v>6599.37</v>
      </c>
      <c r="F165" s="2">
        <v>26397.48</v>
      </c>
    </row>
    <row r="166" spans="1:6" x14ac:dyDescent="0.25">
      <c r="A166" t="s">
        <v>4062</v>
      </c>
      <c r="B166" t="s">
        <v>6044</v>
      </c>
      <c r="C166" t="s">
        <v>63</v>
      </c>
      <c r="D166" s="7">
        <v>1</v>
      </c>
      <c r="E166" s="2">
        <v>511697.5</v>
      </c>
      <c r="F166" s="2">
        <v>511697.5</v>
      </c>
    </row>
    <row r="167" spans="1:6" x14ac:dyDescent="0.25">
      <c r="A167" t="s">
        <v>4062</v>
      </c>
      <c r="B167" t="s">
        <v>6045</v>
      </c>
      <c r="C167" t="s">
        <v>63</v>
      </c>
      <c r="D167" s="7">
        <v>1</v>
      </c>
      <c r="E167" s="2">
        <v>83059</v>
      </c>
      <c r="F167" s="2">
        <v>83059</v>
      </c>
    </row>
    <row r="168" spans="1:6" x14ac:dyDescent="0.25">
      <c r="A168" t="s">
        <v>4062</v>
      </c>
      <c r="B168" t="s">
        <v>6068</v>
      </c>
      <c r="C168" t="s">
        <v>63</v>
      </c>
      <c r="D168" s="7">
        <v>1</v>
      </c>
      <c r="E168" s="2">
        <v>194622.33</v>
      </c>
      <c r="F168" s="2">
        <v>194622.33</v>
      </c>
    </row>
    <row r="169" spans="1:6" x14ac:dyDescent="0.25">
      <c r="A169" t="s">
        <v>4062</v>
      </c>
      <c r="B169" t="s">
        <v>4884</v>
      </c>
      <c r="C169" t="s">
        <v>4236</v>
      </c>
      <c r="D169" s="7">
        <v>5</v>
      </c>
      <c r="E169" s="2">
        <v>27010</v>
      </c>
      <c r="F169" s="2">
        <v>135050</v>
      </c>
    </row>
    <row r="170" spans="1:6" x14ac:dyDescent="0.25">
      <c r="A170" t="s">
        <v>4055</v>
      </c>
      <c r="D170" s="7"/>
      <c r="E170" s="2"/>
      <c r="F170" s="2">
        <f>SUBTOTAL(109,A_1_22_15[VALOR PARCIAL])</f>
      </c>
    </row>
    <row r="172" ht="30" customHeight="1" spans="1:6" x14ac:dyDescent="0.25">
      <c r="A172" s="5" t="s">
        <v>6069</v>
      </c>
      <c r="B172" s="5"/>
      <c r="C172" s="5"/>
      <c r="D172" s="5"/>
      <c r="E172" s="5"/>
      <c r="F172" s="5"/>
    </row>
    <row r="173" ht="42" customHeight="1" spans="1:6" x14ac:dyDescent="0.25">
      <c r="A173" s="6" t="s">
        <v>6070</v>
      </c>
      <c r="B173" s="6"/>
      <c r="C173" s="6"/>
      <c r="D173" s="6"/>
      <c r="E173" s="6"/>
      <c r="F173" s="6"/>
    </row>
    <row r="174" spans="1:6" x14ac:dyDescent="0.25">
      <c r="A174" t="s">
        <v>4044</v>
      </c>
      <c r="B174" t="s">
        <v>4045</v>
      </c>
      <c r="C174" t="s">
        <v>5</v>
      </c>
      <c r="D174" t="s">
        <v>4046</v>
      </c>
      <c r="E174" t="s">
        <v>4047</v>
      </c>
      <c r="F174" t="s">
        <v>4048</v>
      </c>
    </row>
    <row r="175" spans="1:6" x14ac:dyDescent="0.25">
      <c r="A175" t="s">
        <v>4062</v>
      </c>
      <c r="B175" t="s">
        <v>6071</v>
      </c>
      <c r="C175" t="s">
        <v>63</v>
      </c>
      <c r="D175" s="7">
        <v>1.05</v>
      </c>
      <c r="E175" s="2">
        <v>17338</v>
      </c>
      <c r="F175" s="2">
        <v>18204.9</v>
      </c>
    </row>
    <row r="176" spans="1:6" x14ac:dyDescent="0.25">
      <c r="A176" t="s">
        <v>4062</v>
      </c>
      <c r="B176" t="s">
        <v>4884</v>
      </c>
      <c r="C176" t="s">
        <v>4236</v>
      </c>
      <c r="D176" s="7">
        <v>0.03</v>
      </c>
      <c r="E176" s="2">
        <v>27010</v>
      </c>
      <c r="F176" s="2">
        <v>810.3</v>
      </c>
    </row>
    <row r="177" spans="1:6" x14ac:dyDescent="0.25">
      <c r="A177" t="s">
        <v>4055</v>
      </c>
      <c r="D177" s="7"/>
      <c r="E177" s="2"/>
      <c r="F177" s="2">
        <f>SUBTOTAL(109,A_1_22_16[VALOR PARCIAL])</f>
      </c>
    </row>
    <row r="179" ht="30" customHeight="1" spans="1:6" x14ac:dyDescent="0.25">
      <c r="A179" s="5" t="s">
        <v>6072</v>
      </c>
      <c r="B179" s="5"/>
      <c r="C179" s="5"/>
      <c r="D179" s="5"/>
      <c r="E179" s="5"/>
      <c r="F179" s="5"/>
    </row>
    <row r="180" ht="42" customHeight="1" spans="1:6" x14ac:dyDescent="0.25">
      <c r="A180" s="6" t="s">
        <v>6073</v>
      </c>
      <c r="B180" s="6"/>
      <c r="C180" s="6"/>
      <c r="D180" s="6"/>
      <c r="E180" s="6"/>
      <c r="F180" s="6"/>
    </row>
    <row r="181" spans="1:6" x14ac:dyDescent="0.25">
      <c r="A181" t="s">
        <v>4044</v>
      </c>
      <c r="B181" t="s">
        <v>4045</v>
      </c>
      <c r="C181" t="s">
        <v>5</v>
      </c>
      <c r="D181" t="s">
        <v>4046</v>
      </c>
      <c r="E181" t="s">
        <v>4047</v>
      </c>
      <c r="F181" t="s">
        <v>4048</v>
      </c>
    </row>
    <row r="182" spans="1:6" x14ac:dyDescent="0.25">
      <c r="A182" t="s">
        <v>4062</v>
      </c>
      <c r="B182" t="s">
        <v>6074</v>
      </c>
      <c r="C182" t="s">
        <v>63</v>
      </c>
      <c r="D182" s="7">
        <v>1</v>
      </c>
      <c r="E182" s="2">
        <v>243956</v>
      </c>
      <c r="F182" s="2">
        <v>243956</v>
      </c>
    </row>
    <row r="183" spans="1:6" x14ac:dyDescent="0.25">
      <c r="A183" t="s">
        <v>4062</v>
      </c>
      <c r="B183" t="s">
        <v>4884</v>
      </c>
      <c r="C183" t="s">
        <v>4236</v>
      </c>
      <c r="D183" s="7">
        <v>0.3</v>
      </c>
      <c r="E183" s="2">
        <v>27010</v>
      </c>
      <c r="F183" s="2">
        <v>8103</v>
      </c>
    </row>
    <row r="184" spans="1:6" x14ac:dyDescent="0.25">
      <c r="A184" t="s">
        <v>4055</v>
      </c>
      <c r="D184" s="7"/>
      <c r="E184" s="2"/>
      <c r="F184" s="2">
        <f>SUBTOTAL(109,A_1_22_17[VALOR PARCIAL])</f>
      </c>
    </row>
    <row r="186" ht="30" customHeight="1" spans="1:6" x14ac:dyDescent="0.25">
      <c r="A186" s="5" t="s">
        <v>6075</v>
      </c>
      <c r="B186" s="5"/>
      <c r="C186" s="5"/>
      <c r="D186" s="5"/>
      <c r="E186" s="5"/>
      <c r="F186" s="5"/>
    </row>
    <row r="187" ht="42" customHeight="1" spans="1:6" x14ac:dyDescent="0.25">
      <c r="A187" s="6" t="s">
        <v>6076</v>
      </c>
      <c r="B187" s="6"/>
      <c r="C187" s="6"/>
      <c r="D187" s="6"/>
      <c r="E187" s="6"/>
      <c r="F187" s="6"/>
    </row>
    <row r="188" spans="1:6" x14ac:dyDescent="0.25">
      <c r="A188" t="s">
        <v>4044</v>
      </c>
      <c r="B188" t="s">
        <v>4045</v>
      </c>
      <c r="C188" t="s">
        <v>5</v>
      </c>
      <c r="D188" t="s">
        <v>4046</v>
      </c>
      <c r="E188" t="s">
        <v>4047</v>
      </c>
      <c r="F188" t="s">
        <v>4048</v>
      </c>
    </row>
    <row r="189" spans="1:6" x14ac:dyDescent="0.25">
      <c r="A189" t="s">
        <v>4062</v>
      </c>
      <c r="B189" t="s">
        <v>6077</v>
      </c>
      <c r="C189" t="s">
        <v>63</v>
      </c>
      <c r="D189" s="7">
        <v>1</v>
      </c>
      <c r="E189" s="2">
        <v>189711</v>
      </c>
      <c r="F189" s="2">
        <v>189711</v>
      </c>
    </row>
    <row r="190" spans="1:6" x14ac:dyDescent="0.25">
      <c r="A190" t="s">
        <v>4062</v>
      </c>
      <c r="B190" t="s">
        <v>6078</v>
      </c>
      <c r="C190" t="s">
        <v>63</v>
      </c>
      <c r="D190" s="7">
        <v>1</v>
      </c>
      <c r="E190" s="2">
        <v>263152</v>
      </c>
      <c r="F190" s="2">
        <v>263152</v>
      </c>
    </row>
    <row r="191" spans="1:6" x14ac:dyDescent="0.25">
      <c r="A191" t="s">
        <v>4062</v>
      </c>
      <c r="B191" t="s">
        <v>4884</v>
      </c>
      <c r="C191" t="s">
        <v>4236</v>
      </c>
      <c r="D191" s="7">
        <v>0.3</v>
      </c>
      <c r="E191" s="2">
        <v>27010</v>
      </c>
      <c r="F191" s="2">
        <v>8103</v>
      </c>
    </row>
    <row r="192" spans="1:6" x14ac:dyDescent="0.25">
      <c r="A192" t="s">
        <v>4055</v>
      </c>
      <c r="D192" s="7"/>
      <c r="E192" s="2"/>
      <c r="F192" s="2">
        <f>SUBTOTAL(109,A_1_22_18[VALOR PARCIAL])</f>
      </c>
    </row>
    <row r="194" ht="30" customHeight="1" spans="1:6" x14ac:dyDescent="0.25">
      <c r="A194" s="5" t="s">
        <v>6079</v>
      </c>
      <c r="B194" s="5"/>
      <c r="C194" s="5"/>
      <c r="D194" s="5"/>
      <c r="E194" s="5"/>
      <c r="F194" s="5"/>
    </row>
    <row r="195" ht="42" customHeight="1" spans="1:6" x14ac:dyDescent="0.25">
      <c r="A195" s="6" t="s">
        <v>6080</v>
      </c>
      <c r="B195" s="6"/>
      <c r="C195" s="6"/>
      <c r="D195" s="6"/>
      <c r="E195" s="6"/>
      <c r="F195" s="6"/>
    </row>
    <row r="196" spans="1:6" x14ac:dyDescent="0.25">
      <c r="A196" t="s">
        <v>4044</v>
      </c>
      <c r="B196" t="s">
        <v>4045</v>
      </c>
      <c r="C196" t="s">
        <v>5</v>
      </c>
      <c r="D196" t="s">
        <v>4046</v>
      </c>
      <c r="E196" t="s">
        <v>4047</v>
      </c>
      <c r="F196" t="s">
        <v>4048</v>
      </c>
    </row>
    <row r="197" spans="1:6" x14ac:dyDescent="0.25">
      <c r="A197" t="s">
        <v>4062</v>
      </c>
      <c r="B197" t="s">
        <v>6081</v>
      </c>
      <c r="C197" t="s">
        <v>63</v>
      </c>
      <c r="D197" s="7">
        <v>1</v>
      </c>
      <c r="E197" s="2">
        <v>2113</v>
      </c>
      <c r="F197" s="2">
        <v>2113</v>
      </c>
    </row>
    <row r="198" spans="1:6" x14ac:dyDescent="0.25">
      <c r="A198" t="s">
        <v>4062</v>
      </c>
      <c r="B198" t="s">
        <v>4884</v>
      </c>
      <c r="C198" t="s">
        <v>4236</v>
      </c>
      <c r="D198" s="7">
        <v>0.1</v>
      </c>
      <c r="E198" s="2">
        <v>27010</v>
      </c>
      <c r="F198" s="2">
        <v>2701</v>
      </c>
    </row>
    <row r="199" spans="1:6" x14ac:dyDescent="0.25">
      <c r="A199" t="s">
        <v>4055</v>
      </c>
      <c r="D199" s="7"/>
      <c r="E199" s="2"/>
      <c r="F199" s="2">
        <f>SUBTOTAL(109,A_1_22_19[VALOR PARCIAL])</f>
      </c>
    </row>
    <row r="201" ht="30" customHeight="1" spans="1:6" x14ac:dyDescent="0.25">
      <c r="A201" s="5" t="s">
        <v>6082</v>
      </c>
      <c r="B201" s="5"/>
      <c r="C201" s="5"/>
      <c r="D201" s="5"/>
      <c r="E201" s="5"/>
      <c r="F201" s="5"/>
    </row>
    <row r="202" ht="42" customHeight="1" spans="1:6" x14ac:dyDescent="0.25">
      <c r="A202" s="6" t="s">
        <v>6083</v>
      </c>
      <c r="B202" s="6"/>
      <c r="C202" s="6"/>
      <c r="D202" s="6"/>
      <c r="E202" s="6"/>
      <c r="F202" s="6"/>
    </row>
    <row r="203" spans="1:6" x14ac:dyDescent="0.25">
      <c r="A203" t="s">
        <v>4044</v>
      </c>
      <c r="B203" t="s">
        <v>4045</v>
      </c>
      <c r="C203" t="s">
        <v>5</v>
      </c>
      <c r="D203" t="s">
        <v>4046</v>
      </c>
      <c r="E203" t="s">
        <v>4047</v>
      </c>
      <c r="F203" t="s">
        <v>4048</v>
      </c>
    </row>
    <row r="204" spans="1:6" x14ac:dyDescent="0.25">
      <c r="A204" t="s">
        <v>4062</v>
      </c>
      <c r="B204" t="s">
        <v>6084</v>
      </c>
      <c r="C204" t="s">
        <v>63</v>
      </c>
      <c r="D204" s="7">
        <v>1</v>
      </c>
      <c r="E204" s="2">
        <v>21074.33</v>
      </c>
      <c r="F204" s="2">
        <v>21074.33</v>
      </c>
    </row>
    <row r="205" spans="1:6" x14ac:dyDescent="0.25">
      <c r="A205" t="s">
        <v>4062</v>
      </c>
      <c r="B205" t="s">
        <v>4884</v>
      </c>
      <c r="C205" t="s">
        <v>4236</v>
      </c>
      <c r="D205" s="7">
        <v>0.1</v>
      </c>
      <c r="E205" s="2">
        <v>27010</v>
      </c>
      <c r="F205" s="2">
        <v>2701</v>
      </c>
    </row>
    <row r="206" spans="1:6" x14ac:dyDescent="0.25">
      <c r="A206" t="s">
        <v>4055</v>
      </c>
      <c r="D206" s="7"/>
      <c r="E206" s="2"/>
      <c r="F206" s="2">
        <f>SUBTOTAL(109,A_1_22_20[VALOR PARCIAL])</f>
      </c>
    </row>
    <row r="208" ht="30" customHeight="1" spans="1:6" x14ac:dyDescent="0.25">
      <c r="A208" s="5" t="s">
        <v>6085</v>
      </c>
      <c r="B208" s="5"/>
      <c r="C208" s="5"/>
      <c r="D208" s="5"/>
      <c r="E208" s="5"/>
      <c r="F208" s="5"/>
    </row>
    <row r="209" ht="42" customHeight="1" spans="1:6" x14ac:dyDescent="0.25">
      <c r="A209" s="6" t="s">
        <v>6086</v>
      </c>
      <c r="B209" s="6"/>
      <c r="C209" s="6"/>
      <c r="D209" s="6"/>
      <c r="E209" s="6"/>
      <c r="F209" s="6"/>
    </row>
    <row r="210" spans="1:6" x14ac:dyDescent="0.25">
      <c r="A210" t="s">
        <v>4044</v>
      </c>
      <c r="B210" t="s">
        <v>4045</v>
      </c>
      <c r="C210" t="s">
        <v>5</v>
      </c>
      <c r="D210" t="s">
        <v>4046</v>
      </c>
      <c r="E210" t="s">
        <v>4047</v>
      </c>
      <c r="F210" t="s">
        <v>4048</v>
      </c>
    </row>
    <row r="211" spans="1:6" x14ac:dyDescent="0.25">
      <c r="A211" t="s">
        <v>4062</v>
      </c>
      <c r="B211" t="s">
        <v>4869</v>
      </c>
      <c r="C211" t="s">
        <v>63</v>
      </c>
      <c r="D211" s="7">
        <v>1</v>
      </c>
      <c r="E211" s="2">
        <v>4646</v>
      </c>
      <c r="F211" s="2">
        <v>4646</v>
      </c>
    </row>
    <row r="212" spans="1:6" x14ac:dyDescent="0.25">
      <c r="A212" t="s">
        <v>4062</v>
      </c>
      <c r="B212" t="s">
        <v>4884</v>
      </c>
      <c r="C212" t="s">
        <v>4236</v>
      </c>
      <c r="D212" s="7">
        <v>0.1</v>
      </c>
      <c r="E212" s="2">
        <v>27010</v>
      </c>
      <c r="F212" s="2">
        <v>2701</v>
      </c>
    </row>
    <row r="213" spans="1:6" x14ac:dyDescent="0.25">
      <c r="A213" t="s">
        <v>4055</v>
      </c>
      <c r="D213" s="7"/>
      <c r="E213" s="2"/>
      <c r="F213" s="2">
        <f>SUBTOTAL(109,A_1_22_21[VALOR PARCIAL])</f>
      </c>
    </row>
    <row r="215" ht="30" customHeight="1" spans="1:6" x14ac:dyDescent="0.25">
      <c r="A215" s="5" t="s">
        <v>6087</v>
      </c>
      <c r="B215" s="5"/>
      <c r="C215" s="5"/>
      <c r="D215" s="5"/>
      <c r="E215" s="5"/>
      <c r="F215" s="5"/>
    </row>
    <row r="216" ht="42" customHeight="1" spans="1:6" x14ac:dyDescent="0.25">
      <c r="A216" s="6" t="s">
        <v>6088</v>
      </c>
      <c r="B216" s="6"/>
      <c r="C216" s="6"/>
      <c r="D216" s="6"/>
      <c r="E216" s="6"/>
      <c r="F216" s="6"/>
    </row>
    <row r="217" spans="1:6" x14ac:dyDescent="0.25">
      <c r="A217" t="s">
        <v>4044</v>
      </c>
      <c r="B217" t="s">
        <v>4045</v>
      </c>
      <c r="C217" t="s">
        <v>5</v>
      </c>
      <c r="D217" t="s">
        <v>4046</v>
      </c>
      <c r="E217" t="s">
        <v>4047</v>
      </c>
      <c r="F217" t="s">
        <v>4048</v>
      </c>
    </row>
    <row r="218" spans="1:6" x14ac:dyDescent="0.25">
      <c r="A218" t="s">
        <v>4062</v>
      </c>
      <c r="B218" t="s">
        <v>6089</v>
      </c>
      <c r="C218" t="s">
        <v>63</v>
      </c>
      <c r="D218" s="7">
        <v>1</v>
      </c>
      <c r="E218" s="2">
        <v>10823</v>
      </c>
      <c r="F218" s="2">
        <v>10823</v>
      </c>
    </row>
    <row r="219" spans="1:6" x14ac:dyDescent="0.25">
      <c r="A219" t="s">
        <v>4062</v>
      </c>
      <c r="B219" t="s">
        <v>4884</v>
      </c>
      <c r="C219" t="s">
        <v>4236</v>
      </c>
      <c r="D219" s="7">
        <v>0.1</v>
      </c>
      <c r="E219" s="2">
        <v>27010</v>
      </c>
      <c r="F219" s="2">
        <v>2701</v>
      </c>
    </row>
    <row r="220" spans="1:6" x14ac:dyDescent="0.25">
      <c r="A220" t="s">
        <v>4055</v>
      </c>
      <c r="D220" s="7"/>
      <c r="E220" s="2"/>
      <c r="F220" s="2">
        <f>SUBTOTAL(109,A_1_22_22[VALOR PARCIAL])</f>
      </c>
    </row>
    <row r="222" ht="30" customHeight="1" spans="1:6" x14ac:dyDescent="0.25">
      <c r="A222" s="5" t="s">
        <v>6090</v>
      </c>
      <c r="B222" s="5"/>
      <c r="C222" s="5"/>
      <c r="D222" s="5"/>
      <c r="E222" s="5"/>
      <c r="F222" s="5"/>
    </row>
    <row r="223" ht="42" customHeight="1" spans="1:6" x14ac:dyDescent="0.25">
      <c r="A223" s="6" t="s">
        <v>6091</v>
      </c>
      <c r="B223" s="6"/>
      <c r="C223" s="6"/>
      <c r="D223" s="6"/>
      <c r="E223" s="6"/>
      <c r="F223" s="6"/>
    </row>
    <row r="224" spans="1:6" x14ac:dyDescent="0.25">
      <c r="A224" t="s">
        <v>4044</v>
      </c>
      <c r="B224" t="s">
        <v>4045</v>
      </c>
      <c r="C224" t="s">
        <v>5</v>
      </c>
      <c r="D224" t="s">
        <v>4046</v>
      </c>
      <c r="E224" t="s">
        <v>4047</v>
      </c>
      <c r="F224" t="s">
        <v>4048</v>
      </c>
    </row>
    <row r="225" spans="1:6" x14ac:dyDescent="0.25">
      <c r="A225" t="s">
        <v>4062</v>
      </c>
      <c r="B225" t="s">
        <v>2059</v>
      </c>
      <c r="C225" t="s">
        <v>63</v>
      </c>
      <c r="D225" s="7">
        <v>1</v>
      </c>
      <c r="E225" s="2">
        <v>6827</v>
      </c>
      <c r="F225" s="2">
        <v>6827</v>
      </c>
    </row>
    <row r="226" spans="1:6" x14ac:dyDescent="0.25">
      <c r="A226" t="s">
        <v>4062</v>
      </c>
      <c r="B226" t="s">
        <v>4884</v>
      </c>
      <c r="C226" t="s">
        <v>4236</v>
      </c>
      <c r="D226" s="7">
        <v>0.1</v>
      </c>
      <c r="E226" s="2">
        <v>27010</v>
      </c>
      <c r="F226" s="2">
        <v>2701</v>
      </c>
    </row>
    <row r="227" spans="1:6" x14ac:dyDescent="0.25">
      <c r="A227" t="s">
        <v>4055</v>
      </c>
      <c r="D227" s="7"/>
      <c r="E227" s="2"/>
      <c r="F227" s="2">
        <f>SUBTOTAL(109,A_1_22_23[VALOR PARCIAL])</f>
      </c>
    </row>
    <row r="229" ht="30" customHeight="1" spans="1:6" x14ac:dyDescent="0.25">
      <c r="A229" s="5" t="s">
        <v>6092</v>
      </c>
      <c r="B229" s="5"/>
      <c r="C229" s="5"/>
      <c r="D229" s="5"/>
      <c r="E229" s="5"/>
      <c r="F229" s="5"/>
    </row>
    <row r="230" ht="42" customHeight="1" spans="1:6" x14ac:dyDescent="0.25">
      <c r="A230" s="6" t="s">
        <v>6093</v>
      </c>
      <c r="B230" s="6"/>
      <c r="C230" s="6"/>
      <c r="D230" s="6"/>
      <c r="E230" s="6"/>
      <c r="F230" s="6"/>
    </row>
    <row r="231" spans="1:6" x14ac:dyDescent="0.25">
      <c r="A231" t="s">
        <v>4044</v>
      </c>
      <c r="B231" t="s">
        <v>4045</v>
      </c>
      <c r="C231" t="s">
        <v>5</v>
      </c>
      <c r="D231" t="s">
        <v>4046</v>
      </c>
      <c r="E231" t="s">
        <v>4047</v>
      </c>
      <c r="F231" t="s">
        <v>4048</v>
      </c>
    </row>
    <row r="232" spans="1:6" x14ac:dyDescent="0.25">
      <c r="A232" t="s">
        <v>4062</v>
      </c>
      <c r="B232" t="s">
        <v>6094</v>
      </c>
      <c r="C232" t="s">
        <v>63</v>
      </c>
      <c r="D232" s="7">
        <v>1</v>
      </c>
      <c r="E232" s="2">
        <v>17082.67</v>
      </c>
      <c r="F232" s="2">
        <v>17082.67</v>
      </c>
    </row>
    <row r="233" spans="1:6" x14ac:dyDescent="0.25">
      <c r="A233" t="s">
        <v>4062</v>
      </c>
      <c r="B233" t="s">
        <v>4884</v>
      </c>
      <c r="C233" t="s">
        <v>4236</v>
      </c>
      <c r="D233" s="7">
        <v>0.1</v>
      </c>
      <c r="E233" s="2">
        <v>27010</v>
      </c>
      <c r="F233" s="2">
        <v>2701</v>
      </c>
    </row>
    <row r="234" spans="1:6" x14ac:dyDescent="0.25">
      <c r="A234" t="s">
        <v>4055</v>
      </c>
      <c r="D234" s="7"/>
      <c r="E234" s="2"/>
      <c r="F234" s="2">
        <f>SUBTOTAL(109,A_1_22_24[VALOR PARCIAL])</f>
      </c>
    </row>
    <row r="236" ht="30" customHeight="1" spans="1:6" x14ac:dyDescent="0.25">
      <c r="A236" s="5" t="s">
        <v>6095</v>
      </c>
      <c r="B236" s="5"/>
      <c r="C236" s="5"/>
      <c r="D236" s="5"/>
      <c r="E236" s="5"/>
      <c r="F236" s="5"/>
    </row>
    <row r="237" ht="42" customHeight="1" spans="1:6" x14ac:dyDescent="0.25">
      <c r="A237" s="6" t="s">
        <v>6096</v>
      </c>
      <c r="B237" s="6"/>
      <c r="C237" s="6"/>
      <c r="D237" s="6"/>
      <c r="E237" s="6"/>
      <c r="F237" s="6"/>
    </row>
    <row r="238" spans="1:6" x14ac:dyDescent="0.25">
      <c r="A238" t="s">
        <v>4044</v>
      </c>
      <c r="B238" t="s">
        <v>4045</v>
      </c>
      <c r="C238" t="s">
        <v>5</v>
      </c>
      <c r="D238" t="s">
        <v>4046</v>
      </c>
      <c r="E238" t="s">
        <v>4047</v>
      </c>
      <c r="F238" t="s">
        <v>4048</v>
      </c>
    </row>
    <row r="239" spans="1:6" x14ac:dyDescent="0.25">
      <c r="A239" t="s">
        <v>4062</v>
      </c>
      <c r="B239" t="s">
        <v>6097</v>
      </c>
      <c r="C239" t="s">
        <v>63</v>
      </c>
      <c r="D239" s="7">
        <v>1</v>
      </c>
      <c r="E239" s="2">
        <v>17084.33</v>
      </c>
      <c r="F239" s="2">
        <v>17084.33</v>
      </c>
    </row>
    <row r="240" spans="1:6" x14ac:dyDescent="0.25">
      <c r="A240" t="s">
        <v>4062</v>
      </c>
      <c r="B240" t="s">
        <v>4884</v>
      </c>
      <c r="C240" t="s">
        <v>4236</v>
      </c>
      <c r="D240" s="7">
        <v>0.1</v>
      </c>
      <c r="E240" s="2">
        <v>27010</v>
      </c>
      <c r="F240" s="2">
        <v>2701</v>
      </c>
    </row>
    <row r="241" spans="1:6" x14ac:dyDescent="0.25">
      <c r="A241" t="s">
        <v>4055</v>
      </c>
      <c r="D241" s="7"/>
      <c r="E241" s="2"/>
      <c r="F241" s="2">
        <f>SUBTOTAL(109,A_1_22_25[VALOR PARCIAL])</f>
      </c>
    </row>
    <row r="243" ht="30" customHeight="1" spans="1:6" x14ac:dyDescent="0.25">
      <c r="A243" s="5" t="s">
        <v>6098</v>
      </c>
      <c r="B243" s="5"/>
      <c r="C243" s="5"/>
      <c r="D243" s="5"/>
      <c r="E243" s="5"/>
      <c r="F243" s="5"/>
    </row>
    <row r="244" ht="42" customHeight="1" spans="1:6" x14ac:dyDescent="0.25">
      <c r="A244" s="6" t="s">
        <v>6099</v>
      </c>
      <c r="B244" s="6"/>
      <c r="C244" s="6"/>
      <c r="D244" s="6"/>
      <c r="E244" s="6"/>
      <c r="F244" s="6"/>
    </row>
    <row r="245" spans="1:6" x14ac:dyDescent="0.25">
      <c r="A245" t="s">
        <v>4044</v>
      </c>
      <c r="B245" t="s">
        <v>4045</v>
      </c>
      <c r="C245" t="s">
        <v>5</v>
      </c>
      <c r="D245" t="s">
        <v>4046</v>
      </c>
      <c r="E245" t="s">
        <v>4047</v>
      </c>
      <c r="F245" t="s">
        <v>4048</v>
      </c>
    </row>
    <row r="246" spans="1:6" x14ac:dyDescent="0.25">
      <c r="A246" t="s">
        <v>4062</v>
      </c>
      <c r="B246" t="s">
        <v>6100</v>
      </c>
      <c r="C246" t="s">
        <v>63</v>
      </c>
      <c r="D246" s="7">
        <v>1</v>
      </c>
      <c r="E246" s="2">
        <v>12220</v>
      </c>
      <c r="F246" s="2">
        <v>12220</v>
      </c>
    </row>
    <row r="247" spans="1:6" x14ac:dyDescent="0.25">
      <c r="A247" t="s">
        <v>4062</v>
      </c>
      <c r="B247" t="s">
        <v>4884</v>
      </c>
      <c r="C247" t="s">
        <v>4236</v>
      </c>
      <c r="D247" s="7">
        <v>0.1</v>
      </c>
      <c r="E247" s="2">
        <v>27010</v>
      </c>
      <c r="F247" s="2">
        <v>2701</v>
      </c>
    </row>
    <row r="248" spans="1:6" x14ac:dyDescent="0.25">
      <c r="A248" t="s">
        <v>4055</v>
      </c>
      <c r="D248" s="7"/>
      <c r="E248" s="2"/>
      <c r="F248" s="2">
        <f>SUBTOTAL(109,A_1_22_26[VALOR PARCIAL])</f>
      </c>
    </row>
    <row r="250" ht="30" customHeight="1" spans="1:6" x14ac:dyDescent="0.25">
      <c r="A250" s="5" t="s">
        <v>6101</v>
      </c>
      <c r="B250" s="5"/>
      <c r="C250" s="5"/>
      <c r="D250" s="5"/>
      <c r="E250" s="5"/>
      <c r="F250" s="5"/>
    </row>
    <row r="251" ht="42" customHeight="1" spans="1:6" x14ac:dyDescent="0.25">
      <c r="A251" s="6" t="s">
        <v>6102</v>
      </c>
      <c r="B251" s="6"/>
      <c r="C251" s="6"/>
      <c r="D251" s="6"/>
      <c r="E251" s="6"/>
      <c r="F251" s="6"/>
    </row>
    <row r="252" spans="1:6" x14ac:dyDescent="0.25">
      <c r="A252" t="s">
        <v>4044</v>
      </c>
      <c r="B252" t="s">
        <v>4045</v>
      </c>
      <c r="C252" t="s">
        <v>5</v>
      </c>
      <c r="D252" t="s">
        <v>4046</v>
      </c>
      <c r="E252" t="s">
        <v>4047</v>
      </c>
      <c r="F252" t="s">
        <v>4048</v>
      </c>
    </row>
    <row r="253" spans="1:6" x14ac:dyDescent="0.25">
      <c r="A253" t="s">
        <v>4062</v>
      </c>
      <c r="B253" t="s">
        <v>6103</v>
      </c>
      <c r="C253" t="s">
        <v>63</v>
      </c>
      <c r="D253" s="7">
        <v>1.3</v>
      </c>
      <c r="E253" s="2">
        <v>13629</v>
      </c>
      <c r="F253" s="2">
        <v>17717.7</v>
      </c>
    </row>
    <row r="254" spans="1:6" x14ac:dyDescent="0.25">
      <c r="A254" t="s">
        <v>4062</v>
      </c>
      <c r="B254" t="s">
        <v>4884</v>
      </c>
      <c r="C254" t="s">
        <v>4236</v>
      </c>
      <c r="D254" s="7">
        <v>0.03</v>
      </c>
      <c r="E254" s="2">
        <v>27010</v>
      </c>
      <c r="F254" s="2">
        <v>810.3</v>
      </c>
    </row>
    <row r="255" spans="1:6" x14ac:dyDescent="0.25">
      <c r="A255" t="s">
        <v>4055</v>
      </c>
      <c r="D255" s="7"/>
      <c r="E255" s="2"/>
      <c r="F255" s="2">
        <f>SUBTOTAL(109,A_1_22_27[VALOR PARCIAL])</f>
      </c>
    </row>
    <row r="257" ht="30" customHeight="1" spans="1:6" x14ac:dyDescent="0.25">
      <c r="A257" s="5" t="s">
        <v>6104</v>
      </c>
      <c r="B257" s="5"/>
      <c r="C257" s="5"/>
      <c r="D257" s="5"/>
      <c r="E257" s="5"/>
      <c r="F257" s="5"/>
    </row>
    <row r="258" ht="42" customHeight="1" spans="1:6" x14ac:dyDescent="0.25">
      <c r="A258" s="6" t="s">
        <v>6105</v>
      </c>
      <c r="B258" s="6"/>
      <c r="C258" s="6"/>
      <c r="D258" s="6"/>
      <c r="E258" s="6"/>
      <c r="F258" s="6"/>
    </row>
    <row r="259" spans="1:6" x14ac:dyDescent="0.25">
      <c r="A259" t="s">
        <v>4044</v>
      </c>
      <c r="B259" t="s">
        <v>4045</v>
      </c>
      <c r="C259" t="s">
        <v>5</v>
      </c>
      <c r="D259" t="s">
        <v>4046</v>
      </c>
      <c r="E259" t="s">
        <v>4047</v>
      </c>
      <c r="F259" t="s">
        <v>4048</v>
      </c>
    </row>
    <row r="260" spans="1:6" x14ac:dyDescent="0.25">
      <c r="A260" t="s">
        <v>4062</v>
      </c>
      <c r="B260" t="s">
        <v>6106</v>
      </c>
      <c r="C260" t="s">
        <v>63</v>
      </c>
      <c r="D260" s="7">
        <v>1</v>
      </c>
      <c r="E260" s="2">
        <v>381236</v>
      </c>
      <c r="F260" s="2">
        <v>381236</v>
      </c>
    </row>
    <row r="261" spans="1:6" x14ac:dyDescent="0.25">
      <c r="A261" t="s">
        <v>4062</v>
      </c>
      <c r="B261" t="s">
        <v>4884</v>
      </c>
      <c r="C261" t="s">
        <v>4236</v>
      </c>
      <c r="D261" s="7">
        <v>6</v>
      </c>
      <c r="E261" s="2">
        <v>27010</v>
      </c>
      <c r="F261" s="2">
        <v>162060</v>
      </c>
    </row>
    <row r="262" spans="1:6" x14ac:dyDescent="0.25">
      <c r="A262" t="s">
        <v>4055</v>
      </c>
      <c r="D262" s="7"/>
      <c r="E262" s="2"/>
      <c r="F262" s="2">
        <f>SUBTOTAL(109,A_1_22_28[VALOR PARCIAL])</f>
      </c>
    </row>
    <row r="264" ht="30" customHeight="1" spans="1:6" x14ac:dyDescent="0.25">
      <c r="A264" s="5" t="s">
        <v>6107</v>
      </c>
      <c r="B264" s="5"/>
      <c r="C264" s="5"/>
      <c r="D264" s="5"/>
      <c r="E264" s="5"/>
      <c r="F264" s="5"/>
    </row>
    <row r="265" ht="42" customHeight="1" spans="1:6" x14ac:dyDescent="0.25">
      <c r="A265" s="6" t="s">
        <v>6108</v>
      </c>
      <c r="B265" s="6"/>
      <c r="C265" s="6"/>
      <c r="D265" s="6"/>
      <c r="E265" s="6"/>
      <c r="F265" s="6"/>
    </row>
    <row r="266" spans="1:6" x14ac:dyDescent="0.25">
      <c r="A266" t="s">
        <v>4044</v>
      </c>
      <c r="B266" t="s">
        <v>4045</v>
      </c>
      <c r="C266" t="s">
        <v>5</v>
      </c>
      <c r="D266" t="s">
        <v>4046</v>
      </c>
      <c r="E266" t="s">
        <v>4047</v>
      </c>
      <c r="F266" t="s">
        <v>4048</v>
      </c>
    </row>
    <row r="267" spans="1:6" x14ac:dyDescent="0.25">
      <c r="A267" t="s">
        <v>4062</v>
      </c>
      <c r="B267" t="s">
        <v>6109</v>
      </c>
      <c r="C267" t="s">
        <v>63</v>
      </c>
      <c r="D267" s="7">
        <v>1</v>
      </c>
      <c r="E267" s="2">
        <v>22065</v>
      </c>
      <c r="F267" s="2">
        <v>22065</v>
      </c>
    </row>
    <row r="268" spans="1:6" x14ac:dyDescent="0.25">
      <c r="A268" t="s">
        <v>4062</v>
      </c>
      <c r="B268" t="s">
        <v>4884</v>
      </c>
      <c r="C268" t="s">
        <v>4236</v>
      </c>
      <c r="D268" s="7">
        <v>0.03</v>
      </c>
      <c r="E268" s="2">
        <v>27010</v>
      </c>
      <c r="F268" s="2">
        <v>810.3</v>
      </c>
    </row>
    <row r="269" spans="1:6" x14ac:dyDescent="0.25">
      <c r="A269" t="s">
        <v>4055</v>
      </c>
      <c r="D269" s="7"/>
      <c r="E269" s="2"/>
      <c r="F269" s="2">
        <f>SUBTOTAL(109,A_1_22_29[VALOR PARCIAL])</f>
      </c>
    </row>
    <row r="271" ht="30" customHeight="1" spans="1:6" x14ac:dyDescent="0.25">
      <c r="A271" s="5" t="s">
        <v>6110</v>
      </c>
      <c r="B271" s="5"/>
      <c r="C271" s="5"/>
      <c r="D271" s="5"/>
      <c r="E271" s="5"/>
      <c r="F271" s="5"/>
    </row>
    <row r="272" ht="42" customHeight="1" spans="1:6" x14ac:dyDescent="0.25">
      <c r="A272" s="6" t="s">
        <v>6111</v>
      </c>
      <c r="B272" s="6"/>
      <c r="C272" s="6"/>
      <c r="D272" s="6"/>
      <c r="E272" s="6"/>
      <c r="F272" s="6"/>
    </row>
    <row r="273" spans="1:6" x14ac:dyDescent="0.25">
      <c r="A273" t="s">
        <v>4044</v>
      </c>
      <c r="B273" t="s">
        <v>4045</v>
      </c>
      <c r="C273" t="s">
        <v>5</v>
      </c>
      <c r="D273" t="s">
        <v>4046</v>
      </c>
      <c r="E273" t="s">
        <v>4047</v>
      </c>
      <c r="F273" t="s">
        <v>4048</v>
      </c>
    </row>
    <row r="274" spans="1:6" x14ac:dyDescent="0.25">
      <c r="A274" t="s">
        <v>4062</v>
      </c>
      <c r="B274" t="s">
        <v>6067</v>
      </c>
      <c r="C274" t="s">
        <v>63</v>
      </c>
      <c r="D274" s="7">
        <v>4</v>
      </c>
      <c r="E274" s="2">
        <v>6599.37</v>
      </c>
      <c r="F274" s="2">
        <v>26397.48</v>
      </c>
    </row>
    <row r="275" spans="1:6" x14ac:dyDescent="0.25">
      <c r="A275" t="s">
        <v>4062</v>
      </c>
      <c r="B275" t="s">
        <v>6044</v>
      </c>
      <c r="C275" t="s">
        <v>63</v>
      </c>
      <c r="D275" s="7">
        <v>1</v>
      </c>
      <c r="E275" s="2">
        <v>511697.5</v>
      </c>
      <c r="F275" s="2">
        <v>511697.5</v>
      </c>
    </row>
    <row r="276" spans="1:6" x14ac:dyDescent="0.25">
      <c r="A276" t="s">
        <v>4062</v>
      </c>
      <c r="B276" t="s">
        <v>6045</v>
      </c>
      <c r="C276" t="s">
        <v>63</v>
      </c>
      <c r="D276" s="7">
        <v>1</v>
      </c>
      <c r="E276" s="2">
        <v>83059</v>
      </c>
      <c r="F276" s="2">
        <v>83059</v>
      </c>
    </row>
    <row r="277" spans="1:6" x14ac:dyDescent="0.25">
      <c r="A277" t="s">
        <v>4062</v>
      </c>
      <c r="B277" t="s">
        <v>6112</v>
      </c>
      <c r="C277" t="s">
        <v>63</v>
      </c>
      <c r="D277" s="7">
        <v>1</v>
      </c>
      <c r="E277" s="2">
        <v>312166.67</v>
      </c>
      <c r="F277" s="2">
        <v>312166.67</v>
      </c>
    </row>
    <row r="278" spans="1:6" x14ac:dyDescent="0.25">
      <c r="A278" t="s">
        <v>4062</v>
      </c>
      <c r="B278" t="s">
        <v>4884</v>
      </c>
      <c r="C278" t="s">
        <v>4236</v>
      </c>
      <c r="D278" s="7">
        <v>6</v>
      </c>
      <c r="E278" s="2">
        <v>27010</v>
      </c>
      <c r="F278" s="2">
        <v>162060</v>
      </c>
    </row>
    <row r="279" spans="1:6" x14ac:dyDescent="0.25">
      <c r="A279" t="s">
        <v>4055</v>
      </c>
      <c r="D279" s="7"/>
      <c r="E279" s="2"/>
      <c r="F279" s="2">
        <f>SUBTOTAL(109,A_1_22_30[VALOR PARCIAL])</f>
      </c>
    </row>
    <row r="281" ht="30" customHeight="1" spans="1:6" x14ac:dyDescent="0.25">
      <c r="A281" s="5" t="s">
        <v>6113</v>
      </c>
      <c r="B281" s="5"/>
      <c r="C281" s="5"/>
      <c r="D281" s="5"/>
      <c r="E281" s="5"/>
      <c r="F281" s="5"/>
    </row>
    <row r="282" ht="42" customHeight="1" spans="1:6" x14ac:dyDescent="0.25">
      <c r="A282" s="6" t="s">
        <v>6114</v>
      </c>
      <c r="B282" s="6"/>
      <c r="C282" s="6"/>
      <c r="D282" s="6"/>
      <c r="E282" s="6"/>
      <c r="F282" s="6"/>
    </row>
    <row r="283" spans="1:6" x14ac:dyDescent="0.25">
      <c r="A283" t="s">
        <v>4044</v>
      </c>
      <c r="B283" t="s">
        <v>4045</v>
      </c>
      <c r="C283" t="s">
        <v>5</v>
      </c>
      <c r="D283" t="s">
        <v>4046</v>
      </c>
      <c r="E283" t="s">
        <v>4047</v>
      </c>
      <c r="F283" t="s">
        <v>4048</v>
      </c>
    </row>
    <row r="284" spans="1:6" x14ac:dyDescent="0.25">
      <c r="A284" t="s">
        <v>4062</v>
      </c>
      <c r="B284" t="s">
        <v>4847</v>
      </c>
      <c r="C284" t="s">
        <v>63</v>
      </c>
      <c r="D284" s="7">
        <v>1</v>
      </c>
      <c r="E284" s="2">
        <v>17700</v>
      </c>
      <c r="F284" s="2">
        <v>17700</v>
      </c>
    </row>
    <row r="285" spans="1:6" x14ac:dyDescent="0.25">
      <c r="A285" t="s">
        <v>4062</v>
      </c>
      <c r="B285" t="s">
        <v>4848</v>
      </c>
      <c r="C285" t="s">
        <v>63</v>
      </c>
      <c r="D285" s="7">
        <v>1</v>
      </c>
      <c r="E285" s="2">
        <v>6561.5</v>
      </c>
      <c r="F285" s="2">
        <v>6561.5</v>
      </c>
    </row>
    <row r="286" spans="1:6" x14ac:dyDescent="0.25">
      <c r="A286" t="s">
        <v>4062</v>
      </c>
      <c r="B286" t="s">
        <v>4849</v>
      </c>
      <c r="C286" t="s">
        <v>63</v>
      </c>
      <c r="D286" s="7">
        <v>1</v>
      </c>
      <c r="E286" s="2">
        <v>2298</v>
      </c>
      <c r="F286" s="2">
        <v>2298</v>
      </c>
    </row>
    <row r="287" spans="1:6" x14ac:dyDescent="0.25">
      <c r="A287" t="s">
        <v>4062</v>
      </c>
      <c r="B287" t="s">
        <v>4884</v>
      </c>
      <c r="C287" t="s">
        <v>4236</v>
      </c>
      <c r="D287" s="7">
        <v>0.53</v>
      </c>
      <c r="E287" s="2">
        <v>27010</v>
      </c>
      <c r="F287" s="2">
        <v>14315.3</v>
      </c>
    </row>
    <row r="288" spans="1:6" x14ac:dyDescent="0.25">
      <c r="A288" t="s">
        <v>4055</v>
      </c>
      <c r="D288" s="7"/>
      <c r="E288" s="2"/>
      <c r="F288" s="2">
        <f>SUBTOTAL(109,A_1_22_31[VALOR PARCIAL])</f>
      </c>
    </row>
    <row r="290" ht="30" customHeight="1" spans="1:6" x14ac:dyDescent="0.25">
      <c r="A290" s="5" t="s">
        <v>6115</v>
      </c>
      <c r="B290" s="5"/>
      <c r="C290" s="5"/>
      <c r="D290" s="5"/>
      <c r="E290" s="5"/>
      <c r="F290" s="5"/>
    </row>
    <row r="291" ht="42" customHeight="1" spans="1:6" x14ac:dyDescent="0.25">
      <c r="A291" s="6" t="s">
        <v>6116</v>
      </c>
      <c r="B291" s="6"/>
      <c r="C291" s="6"/>
      <c r="D291" s="6"/>
      <c r="E291" s="6"/>
      <c r="F291" s="6"/>
    </row>
    <row r="292" spans="1:6" x14ac:dyDescent="0.25">
      <c r="A292" t="s">
        <v>4044</v>
      </c>
      <c r="B292" t="s">
        <v>4045</v>
      </c>
      <c r="C292" t="s">
        <v>5</v>
      </c>
      <c r="D292" t="s">
        <v>4046</v>
      </c>
      <c r="E292" t="s">
        <v>4047</v>
      </c>
      <c r="F292" t="s">
        <v>4048</v>
      </c>
    </row>
    <row r="293" spans="1:6" x14ac:dyDescent="0.25">
      <c r="A293" t="s">
        <v>4062</v>
      </c>
      <c r="B293" t="s">
        <v>4897</v>
      </c>
      <c r="C293" t="s">
        <v>63</v>
      </c>
      <c r="D293" s="7">
        <v>1</v>
      </c>
      <c r="E293" s="2">
        <v>10200</v>
      </c>
      <c r="F293" s="2">
        <v>10200</v>
      </c>
    </row>
    <row r="294" spans="1:6" x14ac:dyDescent="0.25">
      <c r="A294" t="s">
        <v>4062</v>
      </c>
      <c r="B294" t="s">
        <v>4849</v>
      </c>
      <c r="C294" t="s">
        <v>63</v>
      </c>
      <c r="D294" s="7">
        <v>1</v>
      </c>
      <c r="E294" s="2">
        <v>2298</v>
      </c>
      <c r="F294" s="2">
        <v>2298</v>
      </c>
    </row>
    <row r="295" spans="1:6" x14ac:dyDescent="0.25">
      <c r="A295" t="s">
        <v>4049</v>
      </c>
      <c r="B295" t="s">
        <v>4241</v>
      </c>
      <c r="C295" t="s">
        <v>4051</v>
      </c>
      <c r="D295" s="7">
        <v>0.63</v>
      </c>
      <c r="E295" s="2">
        <v>9941.22</v>
      </c>
      <c r="F295" s="2">
        <v>6262.97</v>
      </c>
    </row>
    <row r="296" spans="1:6" x14ac:dyDescent="0.25">
      <c r="A296" t="s">
        <v>4049</v>
      </c>
      <c r="B296" t="s">
        <v>4242</v>
      </c>
      <c r="C296" t="s">
        <v>4051</v>
      </c>
      <c r="D296" s="7">
        <v>0.63</v>
      </c>
      <c r="E296" s="2">
        <v>17069.53</v>
      </c>
      <c r="F296" s="2">
        <v>10753.8</v>
      </c>
    </row>
    <row r="297" spans="1:6" x14ac:dyDescent="0.25">
      <c r="A297" t="s">
        <v>4055</v>
      </c>
      <c r="D297" s="7"/>
      <c r="E297" s="2"/>
      <c r="F297" s="2">
        <f>SUBTOTAL(109,A_1_22_32[VALOR PARCIAL])</f>
      </c>
    </row>
    <row r="299" ht="30" customHeight="1" spans="1:6" x14ac:dyDescent="0.25">
      <c r="A299" s="5" t="s">
        <v>6117</v>
      </c>
      <c r="B299" s="5"/>
      <c r="C299" s="5"/>
      <c r="D299" s="5"/>
      <c r="E299" s="5"/>
      <c r="F299" s="5"/>
    </row>
    <row r="300" ht="42" customHeight="1" spans="1:6" x14ac:dyDescent="0.25">
      <c r="A300" s="6" t="s">
        <v>6118</v>
      </c>
      <c r="B300" s="6"/>
      <c r="C300" s="6"/>
      <c r="D300" s="6"/>
      <c r="E300" s="6"/>
      <c r="F300" s="6"/>
    </row>
    <row r="301" spans="1:6" x14ac:dyDescent="0.25">
      <c r="A301" t="s">
        <v>4044</v>
      </c>
      <c r="B301" t="s">
        <v>4045</v>
      </c>
      <c r="C301" t="s">
        <v>5</v>
      </c>
      <c r="D301" t="s">
        <v>4046</v>
      </c>
      <c r="E301" t="s">
        <v>4047</v>
      </c>
      <c r="F301" t="s">
        <v>4048</v>
      </c>
    </row>
    <row r="302" spans="1:6" x14ac:dyDescent="0.25">
      <c r="A302" t="s">
        <v>4062</v>
      </c>
      <c r="B302" t="s">
        <v>6119</v>
      </c>
      <c r="C302" t="s">
        <v>63</v>
      </c>
      <c r="D302" s="7">
        <v>1.25</v>
      </c>
      <c r="E302" s="2">
        <v>70241.33</v>
      </c>
      <c r="F302" s="2">
        <v>87801.66</v>
      </c>
    </row>
    <row r="303" spans="1:6" x14ac:dyDescent="0.25">
      <c r="A303" t="s">
        <v>4062</v>
      </c>
      <c r="B303" t="s">
        <v>4884</v>
      </c>
      <c r="C303" t="s">
        <v>4236</v>
      </c>
      <c r="D303" s="7">
        <v>0.03</v>
      </c>
      <c r="E303" s="2">
        <v>27010</v>
      </c>
      <c r="F303" s="2">
        <v>810.3</v>
      </c>
    </row>
    <row r="304" spans="1:6" x14ac:dyDescent="0.25">
      <c r="A304" t="s">
        <v>4055</v>
      </c>
      <c r="D304" s="7"/>
      <c r="E304" s="2"/>
      <c r="F304" s="2">
        <f>SUBTOTAL(109,A_1_22_33[VALOR PARCIAL])</f>
      </c>
    </row>
    <row r="306" ht="30" customHeight="1" spans="1:6" x14ac:dyDescent="0.25">
      <c r="A306" s="5" t="s">
        <v>6120</v>
      </c>
      <c r="B306" s="5"/>
      <c r="C306" s="5"/>
      <c r="D306" s="5"/>
      <c r="E306" s="5"/>
      <c r="F306" s="5"/>
    </row>
    <row r="307" ht="42" customHeight="1" spans="1:6" x14ac:dyDescent="0.25">
      <c r="A307" s="6" t="s">
        <v>6121</v>
      </c>
      <c r="B307" s="6"/>
      <c r="C307" s="6"/>
      <c r="D307" s="6"/>
      <c r="E307" s="6"/>
      <c r="F307" s="6"/>
    </row>
    <row r="308" spans="1:6" x14ac:dyDescent="0.25">
      <c r="A308" t="s">
        <v>4044</v>
      </c>
      <c r="B308" t="s">
        <v>4045</v>
      </c>
      <c r="C308" t="s">
        <v>5</v>
      </c>
      <c r="D308" t="s">
        <v>4046</v>
      </c>
      <c r="E308" t="s">
        <v>4047</v>
      </c>
      <c r="F308" t="s">
        <v>4048</v>
      </c>
    </row>
    <row r="309" spans="1:6" x14ac:dyDescent="0.25">
      <c r="A309" t="s">
        <v>4062</v>
      </c>
      <c r="B309" t="s">
        <v>5993</v>
      </c>
      <c r="C309" t="s">
        <v>63</v>
      </c>
      <c r="D309" s="7">
        <v>1</v>
      </c>
      <c r="E309" s="2">
        <v>365</v>
      </c>
      <c r="F309" s="2">
        <v>365</v>
      </c>
    </row>
    <row r="310" spans="1:6" x14ac:dyDescent="0.25">
      <c r="A310" t="s">
        <v>4062</v>
      </c>
      <c r="B310" t="s">
        <v>6122</v>
      </c>
      <c r="C310" t="s">
        <v>42</v>
      </c>
      <c r="D310" s="7">
        <v>1</v>
      </c>
      <c r="E310" s="2">
        <v>2337.87</v>
      </c>
      <c r="F310" s="2">
        <v>2337.87</v>
      </c>
    </row>
    <row r="311" spans="1:6" x14ac:dyDescent="0.25">
      <c r="A311" t="s">
        <v>4062</v>
      </c>
      <c r="B311" t="s">
        <v>4884</v>
      </c>
      <c r="C311" t="s">
        <v>4236</v>
      </c>
      <c r="D311" s="7">
        <v>0.06</v>
      </c>
      <c r="E311" s="2">
        <v>27010</v>
      </c>
      <c r="F311" s="2">
        <v>1620.6</v>
      </c>
    </row>
    <row r="312" spans="1:6" x14ac:dyDescent="0.25">
      <c r="A312" t="s">
        <v>4055</v>
      </c>
      <c r="D312" s="7"/>
      <c r="E312" s="2"/>
      <c r="F312" s="2">
        <f>SUBTOTAL(109,A_1_22_34[VALOR PARCIAL])</f>
      </c>
    </row>
    <row r="314" ht="30" customHeight="1" spans="1:6" x14ac:dyDescent="0.25">
      <c r="A314" s="5" t="s">
        <v>6123</v>
      </c>
      <c r="B314" s="5"/>
      <c r="C314" s="5"/>
      <c r="D314" s="5"/>
      <c r="E314" s="5"/>
      <c r="F314" s="5"/>
    </row>
    <row r="315" ht="42" customHeight="1" spans="1:6" x14ac:dyDescent="0.25">
      <c r="A315" s="6" t="s">
        <v>6124</v>
      </c>
      <c r="B315" s="6"/>
      <c r="C315" s="6"/>
      <c r="D315" s="6"/>
      <c r="E315" s="6"/>
      <c r="F315" s="6"/>
    </row>
    <row r="316" spans="1:6" x14ac:dyDescent="0.25">
      <c r="A316" t="s">
        <v>4044</v>
      </c>
      <c r="B316" t="s">
        <v>4045</v>
      </c>
      <c r="C316" t="s">
        <v>5</v>
      </c>
      <c r="D316" t="s">
        <v>4046</v>
      </c>
      <c r="E316" t="s">
        <v>4047</v>
      </c>
      <c r="F316" t="s">
        <v>4048</v>
      </c>
    </row>
    <row r="317" spans="1:6" x14ac:dyDescent="0.25">
      <c r="A317" t="s">
        <v>4062</v>
      </c>
      <c r="B317" t="s">
        <v>6125</v>
      </c>
      <c r="C317" t="s">
        <v>63</v>
      </c>
      <c r="D317" s="7">
        <v>1</v>
      </c>
      <c r="E317" s="2">
        <v>1125928.67</v>
      </c>
      <c r="F317" s="2">
        <v>1125928.67</v>
      </c>
    </row>
    <row r="318" spans="1:6" x14ac:dyDescent="0.25">
      <c r="A318" t="s">
        <v>4062</v>
      </c>
      <c r="B318" t="s">
        <v>4884</v>
      </c>
      <c r="C318" t="s">
        <v>4236</v>
      </c>
      <c r="D318" s="7">
        <v>6</v>
      </c>
      <c r="E318" s="2">
        <v>27010</v>
      </c>
      <c r="F318" s="2">
        <v>162060</v>
      </c>
    </row>
    <row r="319" spans="1:6" x14ac:dyDescent="0.25">
      <c r="A319" t="s">
        <v>4055</v>
      </c>
      <c r="D319" s="7"/>
      <c r="E319" s="2"/>
      <c r="F319" s="2">
        <f>SUBTOTAL(109,A_1_22_35[VALOR PARCIAL])</f>
      </c>
    </row>
  </sheetData>
  <mergeCells count="70">
    <mergeCell ref="A4:F4"/>
    <mergeCell ref="A5:F5"/>
    <mergeCell ref="A14:F14"/>
    <mergeCell ref="A15:F15"/>
    <mergeCell ref="A24:F24"/>
    <mergeCell ref="A25:F25"/>
    <mergeCell ref="A32:F32"/>
    <mergeCell ref="A33:F33"/>
    <mergeCell ref="A47:F47"/>
    <mergeCell ref="A48:F48"/>
    <mergeCell ref="A62:F62"/>
    <mergeCell ref="A63:F63"/>
    <mergeCell ref="A77:F77"/>
    <mergeCell ref="A78:F78"/>
    <mergeCell ref="A88:F88"/>
    <mergeCell ref="A89:F89"/>
    <mergeCell ref="A98:F98"/>
    <mergeCell ref="A99:F99"/>
    <mergeCell ref="A106:F106"/>
    <mergeCell ref="A107:F107"/>
    <mergeCell ref="A113:F113"/>
    <mergeCell ref="A114:F114"/>
    <mergeCell ref="A121:F121"/>
    <mergeCell ref="A122:F122"/>
    <mergeCell ref="A136:F136"/>
    <mergeCell ref="A137:F137"/>
    <mergeCell ref="A152:F152"/>
    <mergeCell ref="A153:F153"/>
    <mergeCell ref="A162:F162"/>
    <mergeCell ref="A163:F163"/>
    <mergeCell ref="A172:F172"/>
    <mergeCell ref="A173:F173"/>
    <mergeCell ref="A179:F179"/>
    <mergeCell ref="A180:F180"/>
    <mergeCell ref="A186:F186"/>
    <mergeCell ref="A187:F187"/>
    <mergeCell ref="A194:F194"/>
    <mergeCell ref="A195:F195"/>
    <mergeCell ref="A201:F201"/>
    <mergeCell ref="A202:F202"/>
    <mergeCell ref="A208:F208"/>
    <mergeCell ref="A209:F209"/>
    <mergeCell ref="A215:F215"/>
    <mergeCell ref="A216:F216"/>
    <mergeCell ref="A222:F222"/>
    <mergeCell ref="A223:F223"/>
    <mergeCell ref="A229:F229"/>
    <mergeCell ref="A230:F230"/>
    <mergeCell ref="A236:F236"/>
    <mergeCell ref="A237:F237"/>
    <mergeCell ref="A243:F243"/>
    <mergeCell ref="A244:F244"/>
    <mergeCell ref="A250:F250"/>
    <mergeCell ref="A251:F251"/>
    <mergeCell ref="A257:F257"/>
    <mergeCell ref="A258:F258"/>
    <mergeCell ref="A264:F264"/>
    <mergeCell ref="A265:F265"/>
    <mergeCell ref="A271:F271"/>
    <mergeCell ref="A272:F272"/>
    <mergeCell ref="A281:F281"/>
    <mergeCell ref="A282:F282"/>
    <mergeCell ref="A290:F290"/>
    <mergeCell ref="A291:F291"/>
    <mergeCell ref="A299:F299"/>
    <mergeCell ref="A300:F300"/>
    <mergeCell ref="A306:F306"/>
    <mergeCell ref="A307:F307"/>
    <mergeCell ref="A314:F314"/>
    <mergeCell ref="A315:F315"/>
  </mergeCells>
  <pageMargins left="0.7" right="0.7" top="0.75" bottom="0.75" header="0.3" footer="0.3"/>
  <pageSetup orientation="portrait" horizontalDpi="4294967295" verticalDpi="4294967295" scale="100" fitToWidth="1" fitToHeight="1"/>
  <tableParts count="3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6126</v>
      </c>
    </row>
    <row r="2" spans="1:1" x14ac:dyDescent="0.25">
      <c r="A2" s="4" t="s">
        <v>6127</v>
      </c>
    </row>
    <row r="4" ht="30" customHeight="1" spans="1:6" x14ac:dyDescent="0.25">
      <c r="A4" s="5" t="s">
        <v>6128</v>
      </c>
      <c r="B4" s="5"/>
      <c r="C4" s="5"/>
      <c r="D4" s="5"/>
      <c r="E4" s="5"/>
      <c r="F4" s="5"/>
    </row>
    <row r="5" ht="42" customHeight="1" spans="1:6" x14ac:dyDescent="0.25">
      <c r="A5" s="6" t="s">
        <v>6129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4527</v>
      </c>
      <c r="C7" t="s">
        <v>63</v>
      </c>
      <c r="D7" s="7">
        <v>6</v>
      </c>
      <c r="E7" s="2">
        <v>573</v>
      </c>
      <c r="F7" s="2">
        <v>3438</v>
      </c>
    </row>
    <row r="8" spans="1:6" x14ac:dyDescent="0.25">
      <c r="A8" t="s">
        <v>4062</v>
      </c>
      <c r="B8" t="s">
        <v>6130</v>
      </c>
      <c r="C8" t="s">
        <v>42</v>
      </c>
      <c r="D8" s="7">
        <v>1</v>
      </c>
      <c r="E8" s="2">
        <v>29446</v>
      </c>
      <c r="F8" s="2">
        <v>29446</v>
      </c>
    </row>
    <row r="9" spans="1:6" x14ac:dyDescent="0.25">
      <c r="A9" t="s">
        <v>4062</v>
      </c>
      <c r="B9" t="s">
        <v>6131</v>
      </c>
      <c r="C9" t="s">
        <v>42</v>
      </c>
      <c r="D9" s="7">
        <v>0.4</v>
      </c>
      <c r="E9" s="2">
        <v>152015.12</v>
      </c>
      <c r="F9" s="2">
        <v>60806.05</v>
      </c>
    </row>
    <row r="10" spans="1:6" x14ac:dyDescent="0.25">
      <c r="A10" t="s">
        <v>4062</v>
      </c>
      <c r="B10" t="s">
        <v>4235</v>
      </c>
      <c r="C10" t="s">
        <v>4236</v>
      </c>
      <c r="D10" s="7">
        <v>0.3</v>
      </c>
      <c r="E10" s="2">
        <v>27010.74</v>
      </c>
      <c r="F10" s="2">
        <v>8103.22</v>
      </c>
    </row>
    <row r="11" spans="1:6" x14ac:dyDescent="0.25">
      <c r="A11" t="s">
        <v>4055</v>
      </c>
      <c r="D11" s="7"/>
      <c r="E11" s="2"/>
      <c r="F11" s="2">
        <f>SUBTOTAL(109,A_1_23_01[VALOR PARCIAL])</f>
      </c>
    </row>
  </sheetData>
  <mergeCells count="2">
    <mergeCell ref="A4:F4"/>
    <mergeCell ref="A5:F5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6132</v>
      </c>
    </row>
    <row r="2" spans="1:1" x14ac:dyDescent="0.25">
      <c r="A2" s="4" t="s">
        <v>6133</v>
      </c>
    </row>
    <row r="4" ht="30" customHeight="1" spans="1:6" x14ac:dyDescent="0.25">
      <c r="A4" s="5" t="s">
        <v>6134</v>
      </c>
      <c r="B4" s="5"/>
      <c r="C4" s="5"/>
      <c r="D4" s="5"/>
      <c r="E4" s="5"/>
      <c r="F4" s="5"/>
    </row>
    <row r="5" ht="42" customHeight="1" spans="1:6" x14ac:dyDescent="0.25">
      <c r="A5" s="6" t="s">
        <v>6135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4049</v>
      </c>
      <c r="B7" t="s">
        <v>4050</v>
      </c>
      <c r="C7" t="s">
        <v>4051</v>
      </c>
      <c r="D7" s="7">
        <v>0.02</v>
      </c>
      <c r="E7" s="2">
        <v>9037.33</v>
      </c>
      <c r="F7" s="2">
        <v>150.92</v>
      </c>
    </row>
    <row r="8" spans="1:6" x14ac:dyDescent="0.25">
      <c r="A8" t="s">
        <v>4052</v>
      </c>
      <c r="B8" t="s">
        <v>6136</v>
      </c>
      <c r="C8" t="s">
        <v>287</v>
      </c>
      <c r="D8" s="7">
        <v>1</v>
      </c>
      <c r="E8" s="2">
        <v>9625.67</v>
      </c>
      <c r="F8" s="2">
        <v>9625.67</v>
      </c>
    </row>
    <row r="9" spans="1:6" x14ac:dyDescent="0.25">
      <c r="A9" t="s">
        <v>4055</v>
      </c>
      <c r="D9" s="7"/>
      <c r="E9" s="2"/>
      <c r="F9" s="2">
        <f>SUBTOTAL(109,A_2_01_01[VALOR PARCIAL])</f>
      </c>
    </row>
    <row r="11" ht="30" customHeight="1" spans="1:6" x14ac:dyDescent="0.25">
      <c r="A11" s="5" t="s">
        <v>6137</v>
      </c>
      <c r="B11" s="5"/>
      <c r="C11" s="5"/>
      <c r="D11" s="5"/>
      <c r="E11" s="5"/>
      <c r="F11" s="5"/>
    </row>
    <row r="12" ht="42" customHeight="1" spans="1:6" x14ac:dyDescent="0.25">
      <c r="A12" s="6" t="s">
        <v>6138</v>
      </c>
      <c r="B12" s="6"/>
      <c r="C12" s="6"/>
      <c r="D12" s="6"/>
      <c r="E12" s="6"/>
      <c r="F12" s="6"/>
    </row>
    <row r="13" spans="1:6" x14ac:dyDescent="0.25">
      <c r="A13" t="s">
        <v>4044</v>
      </c>
      <c r="B13" t="s">
        <v>4045</v>
      </c>
      <c r="C13" t="s">
        <v>5</v>
      </c>
      <c r="D13" t="s">
        <v>4046</v>
      </c>
      <c r="E13" t="s">
        <v>4047</v>
      </c>
      <c r="F13" t="s">
        <v>4048</v>
      </c>
    </row>
    <row r="14" spans="1:6" x14ac:dyDescent="0.25">
      <c r="A14" t="s">
        <v>4062</v>
      </c>
      <c r="B14" t="s">
        <v>6139</v>
      </c>
      <c r="C14" t="s">
        <v>63</v>
      </c>
      <c r="D14" s="7">
        <v>0.14</v>
      </c>
      <c r="E14" s="2">
        <v>27446</v>
      </c>
      <c r="F14" s="2">
        <v>3842.44</v>
      </c>
    </row>
    <row r="15" spans="1:6" x14ac:dyDescent="0.25">
      <c r="A15" t="s">
        <v>4062</v>
      </c>
      <c r="B15" t="s">
        <v>6140</v>
      </c>
      <c r="C15" t="s">
        <v>42</v>
      </c>
      <c r="D15" s="7">
        <v>0.04</v>
      </c>
      <c r="E15" s="2">
        <v>13966.67</v>
      </c>
      <c r="F15" s="2">
        <v>558.67</v>
      </c>
    </row>
    <row r="16" spans="1:6" x14ac:dyDescent="0.25">
      <c r="A16" t="s">
        <v>4062</v>
      </c>
      <c r="B16" t="s">
        <v>5369</v>
      </c>
      <c r="C16" t="s">
        <v>42</v>
      </c>
      <c r="D16" s="7">
        <v>1</v>
      </c>
      <c r="E16" s="2">
        <v>20969</v>
      </c>
      <c r="F16" s="2">
        <v>20969</v>
      </c>
    </row>
    <row r="17" spans="1:6" x14ac:dyDescent="0.25">
      <c r="A17" t="s">
        <v>4062</v>
      </c>
      <c r="B17" t="s">
        <v>4065</v>
      </c>
      <c r="C17" t="s">
        <v>4066</v>
      </c>
      <c r="D17" s="7">
        <v>0.04</v>
      </c>
      <c r="E17" s="2">
        <v>3433</v>
      </c>
      <c r="F17" s="2">
        <v>137.32</v>
      </c>
    </row>
    <row r="18" spans="1:6" x14ac:dyDescent="0.25">
      <c r="A18" t="s">
        <v>4049</v>
      </c>
      <c r="B18" t="s">
        <v>4050</v>
      </c>
      <c r="C18" t="s">
        <v>4051</v>
      </c>
      <c r="D18" s="7">
        <v>0.3</v>
      </c>
      <c r="E18" s="2">
        <v>9037.33</v>
      </c>
      <c r="F18" s="2">
        <v>2711.2</v>
      </c>
    </row>
    <row r="19" spans="1:6" x14ac:dyDescent="0.25">
      <c r="A19" t="s">
        <v>4049</v>
      </c>
      <c r="B19" t="s">
        <v>4073</v>
      </c>
      <c r="C19" t="s">
        <v>4051</v>
      </c>
      <c r="D19" s="7">
        <v>0.3</v>
      </c>
      <c r="E19" s="2">
        <v>15517.89</v>
      </c>
      <c r="F19" s="2">
        <v>4655.37</v>
      </c>
    </row>
    <row r="20" spans="1:6" x14ac:dyDescent="0.25">
      <c r="A20" t="s">
        <v>4052</v>
      </c>
      <c r="B20" t="s">
        <v>4053</v>
      </c>
      <c r="C20" t="s">
        <v>4054</v>
      </c>
      <c r="D20" s="7">
        <v>5</v>
      </c>
      <c r="E20" s="2">
        <v>7366.57</v>
      </c>
      <c r="F20" s="2">
        <v>368.33</v>
      </c>
    </row>
    <row r="21" spans="1:6" x14ac:dyDescent="0.25">
      <c r="A21" t="s">
        <v>4055</v>
      </c>
      <c r="D21" s="7"/>
      <c r="E21" s="2"/>
      <c r="F21" s="2">
        <f>SUBTOTAL(109,A_2_01_02[VALOR PARCIAL])</f>
      </c>
    </row>
    <row r="23" ht="30" customHeight="1" spans="1:6" x14ac:dyDescent="0.25">
      <c r="A23" s="5" t="s">
        <v>6141</v>
      </c>
      <c r="B23" s="5"/>
      <c r="C23" s="5"/>
      <c r="D23" s="5"/>
      <c r="E23" s="5"/>
      <c r="F23" s="5"/>
    </row>
    <row r="24" ht="42" customHeight="1" spans="1:6" x14ac:dyDescent="0.25">
      <c r="A24" s="6" t="s">
        <v>6142</v>
      </c>
      <c r="B24" s="6"/>
      <c r="C24" s="6"/>
      <c r="D24" s="6"/>
      <c r="E24" s="6"/>
      <c r="F24" s="6"/>
    </row>
    <row r="25" spans="1:6" x14ac:dyDescent="0.25">
      <c r="A25" t="s">
        <v>4044</v>
      </c>
      <c r="B25" t="s">
        <v>4045</v>
      </c>
      <c r="C25" t="s">
        <v>5</v>
      </c>
      <c r="D25" t="s">
        <v>4046</v>
      </c>
      <c r="E25" t="s">
        <v>4047</v>
      </c>
      <c r="F25" t="s">
        <v>4048</v>
      </c>
    </row>
    <row r="26" spans="1:6" x14ac:dyDescent="0.25">
      <c r="A26" t="s">
        <v>4062</v>
      </c>
      <c r="B26" t="s">
        <v>6139</v>
      </c>
      <c r="C26" t="s">
        <v>63</v>
      </c>
      <c r="D26" s="7">
        <v>0.14</v>
      </c>
      <c r="E26" s="2">
        <v>27446</v>
      </c>
      <c r="F26" s="2">
        <v>3842.44</v>
      </c>
    </row>
    <row r="27" spans="1:6" x14ac:dyDescent="0.25">
      <c r="A27" t="s">
        <v>4062</v>
      </c>
      <c r="B27" t="s">
        <v>6140</v>
      </c>
      <c r="C27" t="s">
        <v>42</v>
      </c>
      <c r="D27" s="7">
        <v>0.09</v>
      </c>
      <c r="E27" s="2">
        <v>13966.67</v>
      </c>
      <c r="F27" s="2">
        <v>1257</v>
      </c>
    </row>
    <row r="28" spans="1:6" x14ac:dyDescent="0.25">
      <c r="A28" t="s">
        <v>4062</v>
      </c>
      <c r="B28" t="s">
        <v>5369</v>
      </c>
      <c r="C28" t="s">
        <v>42</v>
      </c>
      <c r="D28" s="7">
        <v>1.65</v>
      </c>
      <c r="E28" s="2">
        <v>20969</v>
      </c>
      <c r="F28" s="2">
        <v>34598.85</v>
      </c>
    </row>
    <row r="29" spans="1:6" x14ac:dyDescent="0.25">
      <c r="A29" t="s">
        <v>4062</v>
      </c>
      <c r="B29" t="s">
        <v>4065</v>
      </c>
      <c r="C29" t="s">
        <v>4066</v>
      </c>
      <c r="D29" s="7">
        <v>0.09</v>
      </c>
      <c r="E29" s="2">
        <v>3433</v>
      </c>
      <c r="F29" s="2">
        <v>308.97</v>
      </c>
    </row>
    <row r="30" spans="1:6" x14ac:dyDescent="0.25">
      <c r="A30" t="s">
        <v>4049</v>
      </c>
      <c r="B30" t="s">
        <v>4050</v>
      </c>
      <c r="C30" t="s">
        <v>4051</v>
      </c>
      <c r="D30" s="7">
        <v>0.73</v>
      </c>
      <c r="E30" s="2">
        <v>9037.33</v>
      </c>
      <c r="F30" s="2">
        <v>6597.25</v>
      </c>
    </row>
    <row r="31" spans="1:6" x14ac:dyDescent="0.25">
      <c r="A31" t="s">
        <v>4049</v>
      </c>
      <c r="B31" t="s">
        <v>4073</v>
      </c>
      <c r="C31" t="s">
        <v>4051</v>
      </c>
      <c r="D31" s="7">
        <v>0.73</v>
      </c>
      <c r="E31" s="2">
        <v>15517.89</v>
      </c>
      <c r="F31" s="2">
        <v>11328.06</v>
      </c>
    </row>
    <row r="32" spans="1:6" x14ac:dyDescent="0.25">
      <c r="A32" t="s">
        <v>4052</v>
      </c>
      <c r="B32" t="s">
        <v>4053</v>
      </c>
      <c r="C32" t="s">
        <v>4054</v>
      </c>
      <c r="D32" s="7">
        <v>5</v>
      </c>
      <c r="E32" s="2">
        <v>17925.31</v>
      </c>
      <c r="F32" s="2">
        <v>896.27</v>
      </c>
    </row>
    <row r="33" spans="1:6" x14ac:dyDescent="0.25">
      <c r="A33" t="s">
        <v>4055</v>
      </c>
      <c r="D33" s="7"/>
      <c r="E33" s="2"/>
      <c r="F33" s="2">
        <f>SUBTOTAL(109,A_2_01_03[VALOR PARCIAL])</f>
      </c>
    </row>
    <row r="35" ht="30" customHeight="1" spans="1:6" x14ac:dyDescent="0.25">
      <c r="A35" s="5" t="s">
        <v>6143</v>
      </c>
      <c r="B35" s="5"/>
      <c r="C35" s="5"/>
      <c r="D35" s="5"/>
      <c r="E35" s="5"/>
      <c r="F35" s="5"/>
    </row>
    <row r="36" ht="42" customHeight="1" spans="1:6" x14ac:dyDescent="0.25">
      <c r="A36" s="6" t="s">
        <v>6144</v>
      </c>
      <c r="B36" s="6"/>
      <c r="C36" s="6"/>
      <c r="D36" s="6"/>
      <c r="E36" s="6"/>
      <c r="F36" s="6"/>
    </row>
    <row r="37" spans="1:6" x14ac:dyDescent="0.25">
      <c r="A37" t="s">
        <v>4044</v>
      </c>
      <c r="B37" t="s">
        <v>4045</v>
      </c>
      <c r="C37" t="s">
        <v>5</v>
      </c>
      <c r="D37" t="s">
        <v>4046</v>
      </c>
      <c r="E37" t="s">
        <v>4047</v>
      </c>
      <c r="F37" t="s">
        <v>4048</v>
      </c>
    </row>
    <row r="38" spans="1:6" x14ac:dyDescent="0.25">
      <c r="A38" t="s">
        <v>4062</v>
      </c>
      <c r="B38" t="s">
        <v>4222</v>
      </c>
      <c r="C38" t="s">
        <v>42</v>
      </c>
      <c r="D38" s="7">
        <v>0.26</v>
      </c>
      <c r="E38" s="2">
        <v>1803.55</v>
      </c>
      <c r="F38" s="2">
        <v>468.92</v>
      </c>
    </row>
    <row r="39" spans="1:6" x14ac:dyDescent="0.25">
      <c r="A39" t="s">
        <v>4062</v>
      </c>
      <c r="B39" t="s">
        <v>4072</v>
      </c>
      <c r="C39" t="s">
        <v>4066</v>
      </c>
      <c r="D39" s="7">
        <v>0.04</v>
      </c>
      <c r="E39" s="2">
        <v>3150</v>
      </c>
      <c r="F39" s="2">
        <v>126</v>
      </c>
    </row>
    <row r="40" spans="1:6" x14ac:dyDescent="0.25">
      <c r="A40" t="s">
        <v>4049</v>
      </c>
      <c r="B40" t="s">
        <v>4050</v>
      </c>
      <c r="C40" t="s">
        <v>4051</v>
      </c>
      <c r="D40" s="7">
        <v>0.1</v>
      </c>
      <c r="E40" s="2">
        <v>9037.33</v>
      </c>
      <c r="F40" s="2">
        <v>903.73</v>
      </c>
    </row>
    <row r="41" spans="1:6" x14ac:dyDescent="0.25">
      <c r="A41" t="s">
        <v>4049</v>
      </c>
      <c r="B41" t="s">
        <v>4223</v>
      </c>
      <c r="C41" t="s">
        <v>4051</v>
      </c>
      <c r="D41" s="7">
        <v>0.06</v>
      </c>
      <c r="E41" s="2">
        <v>52807.59</v>
      </c>
      <c r="F41" s="2">
        <v>3168.46</v>
      </c>
    </row>
    <row r="42" spans="1:6" x14ac:dyDescent="0.25">
      <c r="A42" t="s">
        <v>4049</v>
      </c>
      <c r="B42" t="s">
        <v>4073</v>
      </c>
      <c r="C42" t="s">
        <v>4051</v>
      </c>
      <c r="D42" s="7">
        <v>0.1</v>
      </c>
      <c r="E42" s="2">
        <v>15517.89</v>
      </c>
      <c r="F42" s="2">
        <v>1551.79</v>
      </c>
    </row>
    <row r="43" spans="1:6" x14ac:dyDescent="0.25">
      <c r="A43" t="s">
        <v>4052</v>
      </c>
      <c r="B43" t="s">
        <v>4053</v>
      </c>
      <c r="C43" t="s">
        <v>4054</v>
      </c>
      <c r="D43" s="7">
        <v>1.6</v>
      </c>
      <c r="E43" s="2">
        <v>5623.98</v>
      </c>
      <c r="F43" s="2">
        <v>89.98</v>
      </c>
    </row>
    <row r="44" spans="1:6" x14ac:dyDescent="0.25">
      <c r="A44" t="s">
        <v>4055</v>
      </c>
      <c r="D44" s="7"/>
      <c r="E44" s="2"/>
      <c r="F44" s="2">
        <f>SUBTOTAL(109,A_2_01_04[VALOR PARCIAL])</f>
      </c>
    </row>
    <row r="46" ht="30" customHeight="1" spans="1:6" x14ac:dyDescent="0.25">
      <c r="A46" s="5" t="s">
        <v>6145</v>
      </c>
      <c r="B46" s="5"/>
      <c r="C46" s="5"/>
      <c r="D46" s="5"/>
      <c r="E46" s="5"/>
      <c r="F46" s="5"/>
    </row>
    <row r="47" ht="42" customHeight="1" spans="1:6" x14ac:dyDescent="0.25">
      <c r="A47" s="6" t="s">
        <v>6146</v>
      </c>
      <c r="B47" s="6"/>
      <c r="C47" s="6"/>
      <c r="D47" s="6"/>
      <c r="E47" s="6"/>
      <c r="F47" s="6"/>
    </row>
    <row r="48" spans="1:6" x14ac:dyDescent="0.25">
      <c r="A48" t="s">
        <v>4044</v>
      </c>
      <c r="B48" t="s">
        <v>4045</v>
      </c>
      <c r="C48" t="s">
        <v>5</v>
      </c>
      <c r="D48" t="s">
        <v>4046</v>
      </c>
      <c r="E48" t="s">
        <v>4047</v>
      </c>
      <c r="F48" t="s">
        <v>4048</v>
      </c>
    </row>
    <row r="49" spans="1:6" x14ac:dyDescent="0.25">
      <c r="A49" t="s">
        <v>4062</v>
      </c>
      <c r="B49" t="s">
        <v>4222</v>
      </c>
      <c r="C49" t="s">
        <v>42</v>
      </c>
      <c r="D49" s="7">
        <v>0.15</v>
      </c>
      <c r="E49" s="2">
        <v>1803.55</v>
      </c>
      <c r="F49" s="2">
        <v>270.53</v>
      </c>
    </row>
    <row r="50" spans="1:6" x14ac:dyDescent="0.25">
      <c r="A50" t="s">
        <v>4062</v>
      </c>
      <c r="B50" t="s">
        <v>5918</v>
      </c>
      <c r="C50" t="s">
        <v>4377</v>
      </c>
      <c r="D50" s="7">
        <v>0.01</v>
      </c>
      <c r="E50" s="2">
        <v>50093</v>
      </c>
      <c r="F50" s="2">
        <v>250.47</v>
      </c>
    </row>
    <row r="51" spans="1:6" x14ac:dyDescent="0.25">
      <c r="A51" t="s">
        <v>4062</v>
      </c>
      <c r="B51" t="s">
        <v>4072</v>
      </c>
      <c r="C51" t="s">
        <v>4066</v>
      </c>
      <c r="D51" s="7">
        <v>0.02</v>
      </c>
      <c r="E51" s="2">
        <v>3150</v>
      </c>
      <c r="F51" s="2">
        <v>47.25</v>
      </c>
    </row>
    <row r="52" spans="1:6" x14ac:dyDescent="0.25">
      <c r="A52" t="s">
        <v>4049</v>
      </c>
      <c r="B52" t="s">
        <v>4223</v>
      </c>
      <c r="C52" t="s">
        <v>4051</v>
      </c>
      <c r="D52" s="7">
        <v>0</v>
      </c>
      <c r="E52" s="2">
        <v>52807.59</v>
      </c>
      <c r="F52" s="2">
        <v>211.23</v>
      </c>
    </row>
    <row r="53" spans="1:6" x14ac:dyDescent="0.25">
      <c r="A53" t="s">
        <v>4052</v>
      </c>
      <c r="B53" t="s">
        <v>4053</v>
      </c>
      <c r="C53" t="s">
        <v>4054</v>
      </c>
      <c r="D53" s="7">
        <v>10</v>
      </c>
      <c r="E53" s="2">
        <v>211.23</v>
      </c>
      <c r="F53" s="2">
        <v>21.12</v>
      </c>
    </row>
    <row r="54" spans="1:6" x14ac:dyDescent="0.25">
      <c r="A54" t="s">
        <v>4055</v>
      </c>
      <c r="D54" s="7"/>
      <c r="E54" s="2"/>
      <c r="F54" s="2">
        <f>SUBTOTAL(109,A_2_01_05[VALOR PARCIAL])</f>
      </c>
    </row>
    <row r="56" ht="30" customHeight="1" spans="1:6" x14ac:dyDescent="0.25">
      <c r="A56" s="5" t="s">
        <v>6147</v>
      </c>
      <c r="B56" s="5"/>
      <c r="C56" s="5"/>
      <c r="D56" s="5"/>
      <c r="E56" s="5"/>
      <c r="F56" s="5"/>
    </row>
    <row r="57" ht="42" customHeight="1" spans="1:6" x14ac:dyDescent="0.25">
      <c r="A57" s="6" t="s">
        <v>6148</v>
      </c>
      <c r="B57" s="6"/>
      <c r="C57" s="6"/>
      <c r="D57" s="6"/>
      <c r="E57" s="6"/>
      <c r="F57" s="6"/>
    </row>
    <row r="58" spans="1:6" x14ac:dyDescent="0.25">
      <c r="A58" t="s">
        <v>4044</v>
      </c>
      <c r="B58" t="s">
        <v>4045</v>
      </c>
      <c r="C58" t="s">
        <v>5</v>
      </c>
      <c r="D58" t="s">
        <v>4046</v>
      </c>
      <c r="E58" t="s">
        <v>4047</v>
      </c>
      <c r="F58" t="s">
        <v>4048</v>
      </c>
    </row>
    <row r="59" spans="1:6" x14ac:dyDescent="0.25">
      <c r="A59" t="s">
        <v>4062</v>
      </c>
      <c r="B59" t="s">
        <v>4492</v>
      </c>
      <c r="C59" t="s">
        <v>34</v>
      </c>
      <c r="D59" s="7">
        <v>1.3</v>
      </c>
      <c r="E59" s="2">
        <v>68425</v>
      </c>
      <c r="F59" s="2">
        <v>88952.5</v>
      </c>
    </row>
    <row r="60" spans="1:6" x14ac:dyDescent="0.25">
      <c r="A60" t="s">
        <v>4049</v>
      </c>
      <c r="B60" t="s">
        <v>4050</v>
      </c>
      <c r="C60" t="s">
        <v>4051</v>
      </c>
      <c r="D60" s="7">
        <v>0.7</v>
      </c>
      <c r="E60" s="2">
        <v>9037.33</v>
      </c>
      <c r="F60" s="2">
        <v>6326.13</v>
      </c>
    </row>
    <row r="61" spans="1:6" x14ac:dyDescent="0.25">
      <c r="A61" t="s">
        <v>4049</v>
      </c>
      <c r="B61" t="s">
        <v>4073</v>
      </c>
      <c r="C61" t="s">
        <v>4051</v>
      </c>
      <c r="D61" s="7">
        <v>0.35</v>
      </c>
      <c r="E61" s="2">
        <v>15517.89</v>
      </c>
      <c r="F61" s="2">
        <v>5431.26</v>
      </c>
    </row>
    <row r="62" spans="1:6" x14ac:dyDescent="0.25">
      <c r="A62" t="s">
        <v>4052</v>
      </c>
      <c r="B62" t="s">
        <v>6149</v>
      </c>
      <c r="C62" t="s">
        <v>287</v>
      </c>
      <c r="D62" s="7">
        <v>0.05</v>
      </c>
      <c r="E62" s="2">
        <v>90261</v>
      </c>
      <c r="F62" s="2">
        <v>4513.05</v>
      </c>
    </row>
    <row r="63" spans="1:6" x14ac:dyDescent="0.25">
      <c r="A63" t="s">
        <v>4052</v>
      </c>
      <c r="B63" t="s">
        <v>4342</v>
      </c>
      <c r="C63" t="s">
        <v>4106</v>
      </c>
      <c r="D63" s="7">
        <v>0.13</v>
      </c>
      <c r="E63" s="2">
        <v>66666.67</v>
      </c>
      <c r="F63" s="2">
        <v>8333.33</v>
      </c>
    </row>
    <row r="64" spans="1:6" x14ac:dyDescent="0.25">
      <c r="A64" t="s">
        <v>4052</v>
      </c>
      <c r="B64" t="s">
        <v>4053</v>
      </c>
      <c r="C64" t="s">
        <v>4054</v>
      </c>
      <c r="D64" s="7">
        <v>5</v>
      </c>
      <c r="E64" s="2">
        <v>11757.39</v>
      </c>
      <c r="F64" s="2">
        <v>587.87</v>
      </c>
    </row>
    <row r="65" spans="1:6" x14ac:dyDescent="0.25">
      <c r="A65" t="s">
        <v>4055</v>
      </c>
      <c r="D65" s="7"/>
      <c r="E65" s="2"/>
      <c r="F65" s="2">
        <f>SUBTOTAL(109,A_2_01_06[VALOR PARCIAL])</f>
      </c>
    </row>
    <row r="67" ht="30" customHeight="1" spans="1:6" x14ac:dyDescent="0.25">
      <c r="A67" s="5" t="s">
        <v>6150</v>
      </c>
      <c r="B67" s="5"/>
      <c r="C67" s="5"/>
      <c r="D67" s="5"/>
      <c r="E67" s="5"/>
      <c r="F67" s="5"/>
    </row>
    <row r="68" ht="42" customHeight="1" spans="1:6" x14ac:dyDescent="0.25">
      <c r="A68" s="6" t="s">
        <v>6151</v>
      </c>
      <c r="B68" s="6"/>
      <c r="C68" s="6"/>
      <c r="D68" s="6"/>
      <c r="E68" s="6"/>
      <c r="F68" s="6"/>
    </row>
    <row r="69" spans="1:6" x14ac:dyDescent="0.25">
      <c r="A69" t="s">
        <v>4044</v>
      </c>
      <c r="B69" t="s">
        <v>4045</v>
      </c>
      <c r="C69" t="s">
        <v>5</v>
      </c>
      <c r="D69" t="s">
        <v>4046</v>
      </c>
      <c r="E69" t="s">
        <v>4047</v>
      </c>
      <c r="F69" t="s">
        <v>4048</v>
      </c>
    </row>
    <row r="70" spans="1:6" x14ac:dyDescent="0.25">
      <c r="A70" t="s">
        <v>4062</v>
      </c>
      <c r="B70" t="s">
        <v>4474</v>
      </c>
      <c r="C70" t="s">
        <v>34</v>
      </c>
      <c r="D70" s="7">
        <v>1.1</v>
      </c>
      <c r="E70" s="2">
        <v>114500</v>
      </c>
      <c r="F70" s="2">
        <v>125950</v>
      </c>
    </row>
    <row r="71" spans="1:6" x14ac:dyDescent="0.25">
      <c r="A71" t="s">
        <v>4049</v>
      </c>
      <c r="B71" t="s">
        <v>4050</v>
      </c>
      <c r="C71" t="s">
        <v>4051</v>
      </c>
      <c r="D71" s="7">
        <v>0.7</v>
      </c>
      <c r="E71" s="2">
        <v>9037.33</v>
      </c>
      <c r="F71" s="2">
        <v>6326.13</v>
      </c>
    </row>
    <row r="72" spans="1:6" x14ac:dyDescent="0.25">
      <c r="A72" t="s">
        <v>4049</v>
      </c>
      <c r="B72" t="s">
        <v>4073</v>
      </c>
      <c r="C72" t="s">
        <v>4051</v>
      </c>
      <c r="D72" s="7">
        <v>0.35</v>
      </c>
      <c r="E72" s="2">
        <v>15517.89</v>
      </c>
      <c r="F72" s="2">
        <v>5431.26</v>
      </c>
    </row>
    <row r="73" spans="1:6" x14ac:dyDescent="0.25">
      <c r="A73" t="s">
        <v>4052</v>
      </c>
      <c r="B73" t="s">
        <v>4342</v>
      </c>
      <c r="C73" t="s">
        <v>4106</v>
      </c>
      <c r="D73" s="7">
        <v>0.04</v>
      </c>
      <c r="E73" s="2">
        <v>66666.67</v>
      </c>
      <c r="F73" s="2">
        <v>2666.67</v>
      </c>
    </row>
    <row r="74" spans="1:6" x14ac:dyDescent="0.25">
      <c r="A74" t="s">
        <v>4052</v>
      </c>
      <c r="B74" t="s">
        <v>4053</v>
      </c>
      <c r="C74" t="s">
        <v>4054</v>
      </c>
      <c r="D74" s="7">
        <v>5</v>
      </c>
      <c r="E74" s="2">
        <v>11757.39</v>
      </c>
      <c r="F74" s="2">
        <v>587.87</v>
      </c>
    </row>
    <row r="75" spans="1:6" x14ac:dyDescent="0.25">
      <c r="A75" t="s">
        <v>4055</v>
      </c>
      <c r="D75" s="7"/>
      <c r="E75" s="2"/>
      <c r="F75" s="2">
        <f>SUBTOTAL(109,A_2_01_07[VALOR PARCIAL])</f>
      </c>
    </row>
    <row r="77" ht="30" customHeight="1" spans="1:6" x14ac:dyDescent="0.25">
      <c r="A77" s="5" t="s">
        <v>6152</v>
      </c>
      <c r="B77" s="5"/>
      <c r="C77" s="5"/>
      <c r="D77" s="5"/>
      <c r="E77" s="5"/>
      <c r="F77" s="5"/>
    </row>
    <row r="78" ht="42" customHeight="1" spans="1:6" x14ac:dyDescent="0.25">
      <c r="A78" s="6" t="s">
        <v>6153</v>
      </c>
      <c r="B78" s="6"/>
      <c r="C78" s="6"/>
      <c r="D78" s="6"/>
      <c r="E78" s="6"/>
      <c r="F78" s="6"/>
    </row>
    <row r="79" spans="1:6" x14ac:dyDescent="0.25">
      <c r="A79" t="s">
        <v>4044</v>
      </c>
      <c r="B79" t="s">
        <v>4045</v>
      </c>
      <c r="C79" t="s">
        <v>5</v>
      </c>
      <c r="D79" t="s">
        <v>4046</v>
      </c>
      <c r="E79" t="s">
        <v>4047</v>
      </c>
      <c r="F79" t="s">
        <v>4048</v>
      </c>
    </row>
    <row r="80" spans="1:6" x14ac:dyDescent="0.25">
      <c r="A80" t="s">
        <v>4062</v>
      </c>
      <c r="B80" t="s">
        <v>6154</v>
      </c>
      <c r="C80" t="s">
        <v>34</v>
      </c>
      <c r="D80" s="7">
        <v>1.3</v>
      </c>
      <c r="E80" s="2">
        <v>58706.67</v>
      </c>
      <c r="F80" s="2">
        <v>76318.67</v>
      </c>
    </row>
    <row r="81" spans="1:6" x14ac:dyDescent="0.25">
      <c r="A81" t="s">
        <v>4049</v>
      </c>
      <c r="B81" t="s">
        <v>4050</v>
      </c>
      <c r="C81" t="s">
        <v>4051</v>
      </c>
      <c r="D81" s="7">
        <v>0.5</v>
      </c>
      <c r="E81" s="2">
        <v>9037.33</v>
      </c>
      <c r="F81" s="2">
        <v>4518.66</v>
      </c>
    </row>
    <row r="82" spans="1:6" x14ac:dyDescent="0.25">
      <c r="A82" t="s">
        <v>4049</v>
      </c>
      <c r="B82" t="s">
        <v>4073</v>
      </c>
      <c r="C82" t="s">
        <v>4051</v>
      </c>
      <c r="D82" s="7">
        <v>0.5</v>
      </c>
      <c r="E82" s="2">
        <v>15517.89</v>
      </c>
      <c r="F82" s="2">
        <v>7758.94</v>
      </c>
    </row>
    <row r="83" spans="1:6" x14ac:dyDescent="0.25">
      <c r="A83" t="s">
        <v>4052</v>
      </c>
      <c r="B83" t="s">
        <v>4077</v>
      </c>
      <c r="C83" t="s">
        <v>287</v>
      </c>
      <c r="D83" s="7">
        <v>0.07</v>
      </c>
      <c r="E83" s="2">
        <v>74712.95</v>
      </c>
      <c r="F83" s="2">
        <v>5229.91</v>
      </c>
    </row>
    <row r="84" spans="1:6" x14ac:dyDescent="0.25">
      <c r="A84" t="s">
        <v>4052</v>
      </c>
      <c r="B84" t="s">
        <v>4342</v>
      </c>
      <c r="C84" t="s">
        <v>287</v>
      </c>
      <c r="D84" s="7">
        <v>0.5</v>
      </c>
      <c r="E84" s="2">
        <v>8333.33</v>
      </c>
      <c r="F84" s="2">
        <v>4166.66</v>
      </c>
    </row>
    <row r="85" spans="1:6" x14ac:dyDescent="0.25">
      <c r="A85" t="s">
        <v>4052</v>
      </c>
      <c r="B85" t="s">
        <v>4053</v>
      </c>
      <c r="C85" t="s">
        <v>4054</v>
      </c>
      <c r="D85" s="7">
        <v>5</v>
      </c>
      <c r="E85" s="2">
        <v>12277.6</v>
      </c>
      <c r="F85" s="2">
        <v>613.88</v>
      </c>
    </row>
    <row r="86" spans="1:6" x14ac:dyDescent="0.25">
      <c r="A86" t="s">
        <v>4055</v>
      </c>
      <c r="D86" s="7"/>
      <c r="E86" s="2"/>
      <c r="F86" s="2">
        <f>SUBTOTAL(109,A_2_01_08[VALOR PARCIAL])</f>
      </c>
    </row>
    <row r="88" ht="30" customHeight="1" spans="1:6" x14ac:dyDescent="0.25">
      <c r="A88" s="5" t="s">
        <v>6155</v>
      </c>
      <c r="B88" s="5"/>
      <c r="C88" s="5"/>
      <c r="D88" s="5"/>
      <c r="E88" s="5"/>
      <c r="F88" s="5"/>
    </row>
    <row r="89" ht="42" customHeight="1" spans="1:6" x14ac:dyDescent="0.25">
      <c r="A89" s="6" t="s">
        <v>6156</v>
      </c>
      <c r="B89" s="6"/>
      <c r="C89" s="6"/>
      <c r="D89" s="6"/>
      <c r="E89" s="6"/>
      <c r="F89" s="6"/>
    </row>
    <row r="90" spans="1:6" x14ac:dyDescent="0.25">
      <c r="A90" t="s">
        <v>4044</v>
      </c>
      <c r="B90" t="s">
        <v>4045</v>
      </c>
      <c r="C90" t="s">
        <v>5</v>
      </c>
      <c r="D90" t="s">
        <v>4046</v>
      </c>
      <c r="E90" t="s">
        <v>4047</v>
      </c>
      <c r="F90" t="s">
        <v>4048</v>
      </c>
    </row>
    <row r="91" spans="1:6" x14ac:dyDescent="0.25">
      <c r="A91" t="s">
        <v>4049</v>
      </c>
      <c r="B91" t="s">
        <v>4176</v>
      </c>
      <c r="C91" t="s">
        <v>4177</v>
      </c>
      <c r="D91" s="7">
        <v>0.2</v>
      </c>
      <c r="E91" s="2">
        <v>72300.17</v>
      </c>
      <c r="F91" s="2">
        <v>14460.03</v>
      </c>
    </row>
    <row r="92" spans="1:6" x14ac:dyDescent="0.25">
      <c r="A92" t="s">
        <v>4049</v>
      </c>
      <c r="B92" t="s">
        <v>4313</v>
      </c>
      <c r="C92" t="s">
        <v>4177</v>
      </c>
      <c r="D92" s="7">
        <v>0.07</v>
      </c>
      <c r="E92" s="2">
        <v>124137.15</v>
      </c>
      <c r="F92" s="2">
        <v>8279.95</v>
      </c>
    </row>
    <row r="93" spans="1:6" x14ac:dyDescent="0.25">
      <c r="A93" t="s">
        <v>4052</v>
      </c>
      <c r="B93" t="s">
        <v>6157</v>
      </c>
      <c r="C93" t="s">
        <v>287</v>
      </c>
      <c r="D93" s="7">
        <v>0.07</v>
      </c>
      <c r="E93" s="2">
        <v>59791.06</v>
      </c>
      <c r="F93" s="2">
        <v>3986.27</v>
      </c>
    </row>
    <row r="94" spans="1:6" x14ac:dyDescent="0.25">
      <c r="A94" t="s">
        <v>4052</v>
      </c>
      <c r="B94" t="s">
        <v>4053</v>
      </c>
      <c r="C94" t="s">
        <v>4054</v>
      </c>
      <c r="D94" s="7">
        <v>1.5</v>
      </c>
      <c r="E94" s="2">
        <v>22739.98</v>
      </c>
      <c r="F94" s="2">
        <v>341.1</v>
      </c>
    </row>
    <row r="95" spans="1:6" x14ac:dyDescent="0.25">
      <c r="A95" t="s">
        <v>4055</v>
      </c>
      <c r="D95" s="7"/>
      <c r="E95" s="2"/>
      <c r="F95" s="2">
        <f>SUBTOTAL(109,A_2_01_09[VALOR PARCIAL])</f>
      </c>
    </row>
    <row r="97" ht="30" customHeight="1" spans="1:6" x14ac:dyDescent="0.25">
      <c r="A97" s="5" t="s">
        <v>6158</v>
      </c>
      <c r="B97" s="5"/>
      <c r="C97" s="5"/>
      <c r="D97" s="5"/>
      <c r="E97" s="5"/>
      <c r="F97" s="5"/>
    </row>
    <row r="98" ht="42" customHeight="1" spans="1:6" x14ac:dyDescent="0.25">
      <c r="A98" s="6" t="s">
        <v>6159</v>
      </c>
      <c r="B98" s="6"/>
      <c r="C98" s="6"/>
      <c r="D98" s="6"/>
      <c r="E98" s="6"/>
      <c r="F98" s="6"/>
    </row>
    <row r="99" spans="1:6" x14ac:dyDescent="0.25">
      <c r="A99" t="s">
        <v>4044</v>
      </c>
      <c r="B99" t="s">
        <v>4045</v>
      </c>
      <c r="C99" t="s">
        <v>5</v>
      </c>
      <c r="D99" t="s">
        <v>4046</v>
      </c>
      <c r="E99" t="s">
        <v>4047</v>
      </c>
      <c r="F99" t="s">
        <v>4048</v>
      </c>
    </row>
    <row r="100" spans="1:6" x14ac:dyDescent="0.25">
      <c r="A100" t="s">
        <v>4062</v>
      </c>
      <c r="B100" t="s">
        <v>5219</v>
      </c>
      <c r="C100" t="s">
        <v>34</v>
      </c>
      <c r="D100" s="7">
        <v>1.2</v>
      </c>
      <c r="E100" s="2">
        <v>92880</v>
      </c>
      <c r="F100" s="2">
        <v>111456</v>
      </c>
    </row>
    <row r="101" spans="1:6" x14ac:dyDescent="0.25">
      <c r="A101" t="s">
        <v>4049</v>
      </c>
      <c r="B101" t="s">
        <v>4050</v>
      </c>
      <c r="C101" t="s">
        <v>4051</v>
      </c>
      <c r="D101" s="7">
        <v>0.6</v>
      </c>
      <c r="E101" s="2">
        <v>9037.33</v>
      </c>
      <c r="F101" s="2">
        <v>5422.4</v>
      </c>
    </row>
    <row r="102" spans="1:6" x14ac:dyDescent="0.25">
      <c r="A102" t="s">
        <v>4049</v>
      </c>
      <c r="B102" t="s">
        <v>4073</v>
      </c>
      <c r="C102" t="s">
        <v>4051</v>
      </c>
      <c r="D102" s="7">
        <v>0.6</v>
      </c>
      <c r="E102" s="2">
        <v>15517.89</v>
      </c>
      <c r="F102" s="2">
        <v>9310.73</v>
      </c>
    </row>
    <row r="103" spans="1:6" x14ac:dyDescent="0.25">
      <c r="A103" t="s">
        <v>4052</v>
      </c>
      <c r="B103" t="s">
        <v>4342</v>
      </c>
      <c r="C103" t="s">
        <v>287</v>
      </c>
      <c r="D103" s="7">
        <v>0.32</v>
      </c>
      <c r="E103" s="2">
        <v>8333.33</v>
      </c>
      <c r="F103" s="2">
        <v>2666.67</v>
      </c>
    </row>
    <row r="104" spans="1:6" x14ac:dyDescent="0.25">
      <c r="A104" t="s">
        <v>4052</v>
      </c>
      <c r="B104" t="s">
        <v>4053</v>
      </c>
      <c r="C104" t="s">
        <v>4054</v>
      </c>
      <c r="D104" s="7">
        <v>5</v>
      </c>
      <c r="E104" s="2">
        <v>14733.13</v>
      </c>
      <c r="F104" s="2">
        <v>736.66</v>
      </c>
    </row>
    <row r="105" spans="1:6" x14ac:dyDescent="0.25">
      <c r="A105" t="s">
        <v>4055</v>
      </c>
      <c r="D105" s="7"/>
      <c r="E105" s="2"/>
      <c r="F105" s="2">
        <f>SUBTOTAL(109,A_2_01_10[VALOR PARCIAL])</f>
      </c>
    </row>
    <row r="107" ht="30" customHeight="1" spans="1:6" x14ac:dyDescent="0.25">
      <c r="A107" s="5" t="s">
        <v>6160</v>
      </c>
      <c r="B107" s="5"/>
      <c r="C107" s="5"/>
      <c r="D107" s="5"/>
      <c r="E107" s="5"/>
      <c r="F107" s="5"/>
    </row>
    <row r="108" ht="42" customHeight="1" spans="1:6" x14ac:dyDescent="0.25">
      <c r="A108" s="6" t="s">
        <v>6161</v>
      </c>
      <c r="B108" s="6"/>
      <c r="C108" s="6"/>
      <c r="D108" s="6"/>
      <c r="E108" s="6"/>
      <c r="F108" s="6"/>
    </row>
    <row r="109" spans="1:6" x14ac:dyDescent="0.25">
      <c r="A109" t="s">
        <v>4044</v>
      </c>
      <c r="B109" t="s">
        <v>4045</v>
      </c>
      <c r="C109" t="s">
        <v>5</v>
      </c>
      <c r="D109" t="s">
        <v>4046</v>
      </c>
      <c r="E109" t="s">
        <v>4047</v>
      </c>
      <c r="F109" t="s">
        <v>4048</v>
      </c>
    </row>
    <row r="110" spans="1:6" x14ac:dyDescent="0.25">
      <c r="A110" t="s">
        <v>4062</v>
      </c>
      <c r="B110" t="s">
        <v>6162</v>
      </c>
      <c r="C110" t="s">
        <v>34</v>
      </c>
      <c r="D110" s="7">
        <v>1.3</v>
      </c>
      <c r="E110" s="2">
        <v>42113.33</v>
      </c>
      <c r="F110" s="2">
        <v>54747.33</v>
      </c>
    </row>
    <row r="111" spans="1:6" x14ac:dyDescent="0.25">
      <c r="A111" t="s">
        <v>4049</v>
      </c>
      <c r="B111" t="s">
        <v>4050</v>
      </c>
      <c r="C111" t="s">
        <v>4051</v>
      </c>
      <c r="D111" s="7">
        <v>0.5</v>
      </c>
      <c r="E111" s="2">
        <v>9037.33</v>
      </c>
      <c r="F111" s="2">
        <v>4518.66</v>
      </c>
    </row>
    <row r="112" spans="1:6" x14ac:dyDescent="0.25">
      <c r="A112" t="s">
        <v>4049</v>
      </c>
      <c r="B112" t="s">
        <v>4073</v>
      </c>
      <c r="C112" t="s">
        <v>4051</v>
      </c>
      <c r="D112" s="7">
        <v>0.5</v>
      </c>
      <c r="E112" s="2">
        <v>15517.89</v>
      </c>
      <c r="F112" s="2">
        <v>7758.94</v>
      </c>
    </row>
    <row r="113" spans="1:6" x14ac:dyDescent="0.25">
      <c r="A113" t="s">
        <v>4052</v>
      </c>
      <c r="B113" t="s">
        <v>4077</v>
      </c>
      <c r="C113" t="s">
        <v>287</v>
      </c>
      <c r="D113" s="7">
        <v>0.03</v>
      </c>
      <c r="E113" s="2">
        <v>74712.95</v>
      </c>
      <c r="F113" s="2">
        <v>2465.53</v>
      </c>
    </row>
    <row r="114" spans="1:6" x14ac:dyDescent="0.25">
      <c r="A114" t="s">
        <v>4052</v>
      </c>
      <c r="B114" t="s">
        <v>4078</v>
      </c>
      <c r="C114" t="s">
        <v>287</v>
      </c>
      <c r="D114" s="7">
        <v>0.03</v>
      </c>
      <c r="E114" s="2">
        <v>157100</v>
      </c>
      <c r="F114" s="2">
        <v>5184.3</v>
      </c>
    </row>
    <row r="115" spans="1:6" x14ac:dyDescent="0.25">
      <c r="A115" t="s">
        <v>4052</v>
      </c>
      <c r="B115" t="s">
        <v>4342</v>
      </c>
      <c r="C115" t="s">
        <v>287</v>
      </c>
      <c r="D115" s="7">
        <v>0.5</v>
      </c>
      <c r="E115" s="2">
        <v>8333.33</v>
      </c>
      <c r="F115" s="2">
        <v>4166.66</v>
      </c>
    </row>
    <row r="116" spans="1:6" x14ac:dyDescent="0.25">
      <c r="A116" t="s">
        <v>4052</v>
      </c>
      <c r="B116" t="s">
        <v>4053</v>
      </c>
      <c r="C116" t="s">
        <v>4054</v>
      </c>
      <c r="D116" s="7">
        <v>5</v>
      </c>
      <c r="E116" s="2">
        <v>12277.6</v>
      </c>
      <c r="F116" s="2">
        <v>613.88</v>
      </c>
    </row>
    <row r="117" spans="1:6" x14ac:dyDescent="0.25">
      <c r="A117" t="s">
        <v>4055</v>
      </c>
      <c r="D117" s="7"/>
      <c r="E117" s="2"/>
      <c r="F117" s="2">
        <f>SUBTOTAL(109,A_2_01_11[VALOR PARCIAL])</f>
      </c>
    </row>
    <row r="119" ht="30" customHeight="1" spans="1:6" x14ac:dyDescent="0.25">
      <c r="A119" s="5" t="s">
        <v>6163</v>
      </c>
      <c r="B119" s="5"/>
      <c r="C119" s="5"/>
      <c r="D119" s="5"/>
      <c r="E119" s="5"/>
      <c r="F119" s="5"/>
    </row>
    <row r="120" ht="42" customHeight="1" spans="1:6" x14ac:dyDescent="0.25">
      <c r="A120" s="6" t="s">
        <v>6164</v>
      </c>
      <c r="B120" s="6"/>
      <c r="C120" s="6"/>
      <c r="D120" s="6"/>
      <c r="E120" s="6"/>
      <c r="F120" s="6"/>
    </row>
    <row r="121" spans="1:6" x14ac:dyDescent="0.25">
      <c r="A121" t="s">
        <v>4044</v>
      </c>
      <c r="B121" t="s">
        <v>4045</v>
      </c>
      <c r="C121" t="s">
        <v>5</v>
      </c>
      <c r="D121" t="s">
        <v>4046</v>
      </c>
      <c r="E121" t="s">
        <v>4047</v>
      </c>
      <c r="F121" t="s">
        <v>4048</v>
      </c>
    </row>
    <row r="122" spans="1:6" x14ac:dyDescent="0.25">
      <c r="A122" t="s">
        <v>4062</v>
      </c>
      <c r="B122" t="s">
        <v>6165</v>
      </c>
      <c r="C122" t="s">
        <v>42</v>
      </c>
      <c r="D122" s="7">
        <v>1.05</v>
      </c>
      <c r="E122" s="2">
        <v>19224</v>
      </c>
      <c r="F122" s="2">
        <v>20185.2</v>
      </c>
    </row>
    <row r="123" spans="1:6" x14ac:dyDescent="0.25">
      <c r="A123" t="s">
        <v>4062</v>
      </c>
      <c r="B123" t="s">
        <v>6166</v>
      </c>
      <c r="C123" t="s">
        <v>63</v>
      </c>
      <c r="D123" s="7">
        <v>0.03</v>
      </c>
      <c r="E123" s="2">
        <v>19750</v>
      </c>
      <c r="F123" s="2">
        <v>493.75</v>
      </c>
    </row>
    <row r="124" spans="1:6" x14ac:dyDescent="0.25">
      <c r="A124" t="s">
        <v>4049</v>
      </c>
      <c r="B124" t="s">
        <v>4241</v>
      </c>
      <c r="C124" t="s">
        <v>4051</v>
      </c>
      <c r="D124" s="7">
        <v>0.25</v>
      </c>
      <c r="E124" s="2">
        <v>9941.22</v>
      </c>
      <c r="F124" s="2">
        <v>2485.3</v>
      </c>
    </row>
    <row r="125" spans="1:6" x14ac:dyDescent="0.25">
      <c r="A125" t="s">
        <v>4049</v>
      </c>
      <c r="B125" t="s">
        <v>4242</v>
      </c>
      <c r="C125" t="s">
        <v>4051</v>
      </c>
      <c r="D125" s="7">
        <v>0.25</v>
      </c>
      <c r="E125" s="2">
        <v>17069.53</v>
      </c>
      <c r="F125" s="2">
        <v>4267.38</v>
      </c>
    </row>
    <row r="126" spans="1:6" x14ac:dyDescent="0.25">
      <c r="A126" t="s">
        <v>4052</v>
      </c>
      <c r="B126" t="s">
        <v>4053</v>
      </c>
      <c r="C126" t="s">
        <v>4054</v>
      </c>
      <c r="D126" s="7">
        <v>3.5</v>
      </c>
      <c r="E126" s="2">
        <v>6752.68</v>
      </c>
      <c r="F126" s="2">
        <v>236.34</v>
      </c>
    </row>
    <row r="127" spans="1:6" x14ac:dyDescent="0.25">
      <c r="A127" t="s">
        <v>4055</v>
      </c>
      <c r="D127" s="7"/>
      <c r="E127" s="2"/>
      <c r="F127" s="2">
        <f>SUBTOTAL(109,A_2_01_12[VALOR PARCIAL])</f>
      </c>
    </row>
    <row r="129" ht="30" customHeight="1" spans="1:6" x14ac:dyDescent="0.25">
      <c r="A129" s="5" t="s">
        <v>6167</v>
      </c>
      <c r="B129" s="5"/>
      <c r="C129" s="5"/>
      <c r="D129" s="5"/>
      <c r="E129" s="5"/>
      <c r="F129" s="5"/>
    </row>
    <row r="130" ht="42" customHeight="1" spans="1:6" x14ac:dyDescent="0.25">
      <c r="A130" s="6" t="s">
        <v>6168</v>
      </c>
      <c r="B130" s="6"/>
      <c r="C130" s="6"/>
      <c r="D130" s="6"/>
      <c r="E130" s="6"/>
      <c r="F130" s="6"/>
    </row>
    <row r="131" spans="1:6" x14ac:dyDescent="0.25">
      <c r="A131" t="s">
        <v>4044</v>
      </c>
      <c r="B131" t="s">
        <v>4045</v>
      </c>
      <c r="C131" t="s">
        <v>5</v>
      </c>
      <c r="D131" t="s">
        <v>4046</v>
      </c>
      <c r="E131" t="s">
        <v>4047</v>
      </c>
      <c r="F131" t="s">
        <v>4048</v>
      </c>
    </row>
    <row r="132" spans="1:6" x14ac:dyDescent="0.25">
      <c r="A132" t="s">
        <v>4062</v>
      </c>
      <c r="B132" t="s">
        <v>6169</v>
      </c>
      <c r="C132" t="s">
        <v>42</v>
      </c>
      <c r="D132" s="7">
        <v>1.05</v>
      </c>
      <c r="E132" s="2">
        <v>30658</v>
      </c>
      <c r="F132" s="2">
        <v>32190.9</v>
      </c>
    </row>
    <row r="133" spans="1:6" x14ac:dyDescent="0.25">
      <c r="A133" t="s">
        <v>4062</v>
      </c>
      <c r="B133" t="s">
        <v>6166</v>
      </c>
      <c r="C133" t="s">
        <v>63</v>
      </c>
      <c r="D133" s="7">
        <v>0.03</v>
      </c>
      <c r="E133" s="2">
        <v>19750</v>
      </c>
      <c r="F133" s="2">
        <v>493.75</v>
      </c>
    </row>
    <row r="134" spans="1:6" x14ac:dyDescent="0.25">
      <c r="A134" t="s">
        <v>4049</v>
      </c>
      <c r="B134" t="s">
        <v>4241</v>
      </c>
      <c r="C134" t="s">
        <v>4051</v>
      </c>
      <c r="D134" s="7">
        <v>0.25</v>
      </c>
      <c r="E134" s="2">
        <v>9941.22</v>
      </c>
      <c r="F134" s="2">
        <v>2485.3</v>
      </c>
    </row>
    <row r="135" spans="1:6" x14ac:dyDescent="0.25">
      <c r="A135" t="s">
        <v>4049</v>
      </c>
      <c r="B135" t="s">
        <v>4242</v>
      </c>
      <c r="C135" t="s">
        <v>4051</v>
      </c>
      <c r="D135" s="7">
        <v>0.25</v>
      </c>
      <c r="E135" s="2">
        <v>17069.53</v>
      </c>
      <c r="F135" s="2">
        <v>4267.38</v>
      </c>
    </row>
    <row r="136" spans="1:6" x14ac:dyDescent="0.25">
      <c r="A136" t="s">
        <v>4052</v>
      </c>
      <c r="B136" t="s">
        <v>4053</v>
      </c>
      <c r="C136" t="s">
        <v>4054</v>
      </c>
      <c r="D136" s="7">
        <v>3.5</v>
      </c>
      <c r="E136" s="2">
        <v>6752.68</v>
      </c>
      <c r="F136" s="2">
        <v>236.34</v>
      </c>
    </row>
    <row r="137" spans="1:6" x14ac:dyDescent="0.25">
      <c r="A137" t="s">
        <v>4055</v>
      </c>
      <c r="D137" s="7"/>
      <c r="E137" s="2"/>
      <c r="F137" s="2">
        <f>SUBTOTAL(109,A_2_01_13[VALOR PARCIAL])</f>
      </c>
    </row>
    <row r="139" ht="30" customHeight="1" spans="1:6" x14ac:dyDescent="0.25">
      <c r="A139" s="5" t="s">
        <v>6170</v>
      </c>
      <c r="B139" s="5"/>
      <c r="C139" s="5"/>
      <c r="D139" s="5"/>
      <c r="E139" s="5"/>
      <c r="F139" s="5"/>
    </row>
    <row r="140" ht="42" customHeight="1" spans="1:6" x14ac:dyDescent="0.25">
      <c r="A140" s="6" t="s">
        <v>6171</v>
      </c>
      <c r="B140" s="6"/>
      <c r="C140" s="6"/>
      <c r="D140" s="6"/>
      <c r="E140" s="6"/>
      <c r="F140" s="6"/>
    </row>
    <row r="141" spans="1:6" x14ac:dyDescent="0.25">
      <c r="A141" t="s">
        <v>4044</v>
      </c>
      <c r="B141" t="s">
        <v>4045</v>
      </c>
      <c r="C141" t="s">
        <v>5</v>
      </c>
      <c r="D141" t="s">
        <v>4046</v>
      </c>
      <c r="E141" t="s">
        <v>4047</v>
      </c>
      <c r="F141" t="s">
        <v>4048</v>
      </c>
    </row>
    <row r="142" spans="1:6" x14ac:dyDescent="0.25">
      <c r="A142" t="s">
        <v>4062</v>
      </c>
      <c r="B142" t="s">
        <v>6172</v>
      </c>
      <c r="C142" t="s">
        <v>42</v>
      </c>
      <c r="D142" s="7">
        <v>1.05</v>
      </c>
      <c r="E142" s="2">
        <v>67167</v>
      </c>
      <c r="F142" s="2">
        <v>70525.35</v>
      </c>
    </row>
    <row r="143" spans="1:6" x14ac:dyDescent="0.25">
      <c r="A143" t="s">
        <v>4062</v>
      </c>
      <c r="B143" t="s">
        <v>6166</v>
      </c>
      <c r="C143" t="s">
        <v>63</v>
      </c>
      <c r="D143" s="7">
        <v>0.03</v>
      </c>
      <c r="E143" s="2">
        <v>19750</v>
      </c>
      <c r="F143" s="2">
        <v>493.75</v>
      </c>
    </row>
    <row r="144" spans="1:6" x14ac:dyDescent="0.25">
      <c r="A144" t="s">
        <v>4049</v>
      </c>
      <c r="B144" t="s">
        <v>4241</v>
      </c>
      <c r="C144" t="s">
        <v>4051</v>
      </c>
      <c r="D144" s="7">
        <v>0.25</v>
      </c>
      <c r="E144" s="2">
        <v>9941.22</v>
      </c>
      <c r="F144" s="2">
        <v>2485.3</v>
      </c>
    </row>
    <row r="145" spans="1:6" x14ac:dyDescent="0.25">
      <c r="A145" t="s">
        <v>4049</v>
      </c>
      <c r="B145" t="s">
        <v>4242</v>
      </c>
      <c r="C145" t="s">
        <v>4051</v>
      </c>
      <c r="D145" s="7">
        <v>0.25</v>
      </c>
      <c r="E145" s="2">
        <v>17069.53</v>
      </c>
      <c r="F145" s="2">
        <v>4267.38</v>
      </c>
    </row>
    <row r="146" spans="1:6" x14ac:dyDescent="0.25">
      <c r="A146" t="s">
        <v>4052</v>
      </c>
      <c r="B146" t="s">
        <v>4053</v>
      </c>
      <c r="C146" t="s">
        <v>4054</v>
      </c>
      <c r="D146" s="7">
        <v>3.5</v>
      </c>
      <c r="E146" s="2">
        <v>6752.68</v>
      </c>
      <c r="F146" s="2">
        <v>236.34</v>
      </c>
    </row>
    <row r="147" spans="1:6" x14ac:dyDescent="0.25">
      <c r="A147" t="s">
        <v>4055</v>
      </c>
      <c r="D147" s="7"/>
      <c r="E147" s="2"/>
      <c r="F147" s="2">
        <f>SUBTOTAL(109,A_2_01_14[VALOR PARCIAL])</f>
      </c>
    </row>
    <row r="149" ht="30" customHeight="1" spans="1:6" x14ac:dyDescent="0.25">
      <c r="A149" s="5" t="s">
        <v>6173</v>
      </c>
      <c r="B149" s="5"/>
      <c r="C149" s="5"/>
      <c r="D149" s="5"/>
      <c r="E149" s="5"/>
      <c r="F149" s="5"/>
    </row>
    <row r="150" ht="42" customHeight="1" spans="1:6" x14ac:dyDescent="0.25">
      <c r="A150" s="6" t="s">
        <v>6174</v>
      </c>
      <c r="B150" s="6"/>
      <c r="C150" s="6"/>
      <c r="D150" s="6"/>
      <c r="E150" s="6"/>
      <c r="F150" s="6"/>
    </row>
    <row r="151" spans="1:6" x14ac:dyDescent="0.25">
      <c r="A151" t="s">
        <v>4044</v>
      </c>
      <c r="B151" t="s">
        <v>4045</v>
      </c>
      <c r="C151" t="s">
        <v>5</v>
      </c>
      <c r="D151" t="s">
        <v>4046</v>
      </c>
      <c r="E151" t="s">
        <v>4047</v>
      </c>
      <c r="F151" t="s">
        <v>4048</v>
      </c>
    </row>
    <row r="152" spans="1:6" x14ac:dyDescent="0.25">
      <c r="A152" t="s">
        <v>4062</v>
      </c>
      <c r="B152" t="s">
        <v>4745</v>
      </c>
      <c r="C152" t="s">
        <v>63</v>
      </c>
      <c r="D152" s="7">
        <v>1</v>
      </c>
      <c r="E152" s="2">
        <v>599</v>
      </c>
      <c r="F152" s="2">
        <v>599</v>
      </c>
    </row>
    <row r="153" spans="1:6" x14ac:dyDescent="0.25">
      <c r="A153" t="s">
        <v>4062</v>
      </c>
      <c r="B153" t="s">
        <v>6175</v>
      </c>
      <c r="C153" t="s">
        <v>42</v>
      </c>
      <c r="D153" s="7">
        <v>1.05</v>
      </c>
      <c r="E153" s="2">
        <v>3171</v>
      </c>
      <c r="F153" s="2">
        <v>3329.55</v>
      </c>
    </row>
    <row r="154" spans="1:6" x14ac:dyDescent="0.25">
      <c r="A154" t="s">
        <v>4062</v>
      </c>
      <c r="B154" t="s">
        <v>4659</v>
      </c>
      <c r="C154" t="s">
        <v>4377</v>
      </c>
      <c r="D154" s="7">
        <v>0</v>
      </c>
      <c r="E154" s="2">
        <v>31500</v>
      </c>
      <c r="F154" s="2">
        <v>126</v>
      </c>
    </row>
    <row r="155" spans="1:6" x14ac:dyDescent="0.25">
      <c r="A155" t="s">
        <v>4062</v>
      </c>
      <c r="B155" t="s">
        <v>4376</v>
      </c>
      <c r="C155" t="s">
        <v>4377</v>
      </c>
      <c r="D155" s="7">
        <v>0</v>
      </c>
      <c r="E155" s="2">
        <v>72237.67</v>
      </c>
      <c r="F155" s="2">
        <v>288.95</v>
      </c>
    </row>
    <row r="156" spans="1:6" x14ac:dyDescent="0.25">
      <c r="A156" t="s">
        <v>4049</v>
      </c>
      <c r="B156" t="s">
        <v>4176</v>
      </c>
      <c r="C156" t="s">
        <v>4177</v>
      </c>
      <c r="D156" s="7">
        <v>0.01</v>
      </c>
      <c r="E156" s="2">
        <v>72300.17</v>
      </c>
      <c r="F156" s="2">
        <v>723</v>
      </c>
    </row>
    <row r="157" spans="1:6" x14ac:dyDescent="0.25">
      <c r="A157" t="s">
        <v>4049</v>
      </c>
      <c r="B157" t="s">
        <v>4313</v>
      </c>
      <c r="C157" t="s">
        <v>4177</v>
      </c>
      <c r="D157" s="7">
        <v>0.01</v>
      </c>
      <c r="E157" s="2">
        <v>124137.15</v>
      </c>
      <c r="F157" s="2">
        <v>1241.37</v>
      </c>
    </row>
    <row r="158" spans="1:6" x14ac:dyDescent="0.25">
      <c r="A158" t="s">
        <v>4052</v>
      </c>
      <c r="B158" t="s">
        <v>4053</v>
      </c>
      <c r="C158" t="s">
        <v>4054</v>
      </c>
      <c r="D158" s="7">
        <v>3.5</v>
      </c>
      <c r="E158" s="2">
        <v>1964.37</v>
      </c>
      <c r="F158" s="2">
        <v>68.75</v>
      </c>
    </row>
    <row r="159" spans="1:6" x14ac:dyDescent="0.25">
      <c r="A159" t="s">
        <v>4055</v>
      </c>
      <c r="D159" s="7"/>
      <c r="E159" s="2"/>
      <c r="F159" s="2">
        <f>SUBTOTAL(109,A_2_01_15[VALOR PARCIAL])</f>
      </c>
    </row>
    <row r="161" ht="30" customHeight="1" spans="1:6" x14ac:dyDescent="0.25">
      <c r="A161" s="5" t="s">
        <v>6176</v>
      </c>
      <c r="B161" s="5"/>
      <c r="C161" s="5"/>
      <c r="D161" s="5"/>
      <c r="E161" s="5"/>
      <c r="F161" s="5"/>
    </row>
    <row r="162" ht="42" customHeight="1" spans="1:6" x14ac:dyDescent="0.25">
      <c r="A162" s="6" t="s">
        <v>6177</v>
      </c>
      <c r="B162" s="6"/>
      <c r="C162" s="6"/>
      <c r="D162" s="6"/>
      <c r="E162" s="6"/>
      <c r="F162" s="6"/>
    </row>
    <row r="163" spans="1:6" x14ac:dyDescent="0.25">
      <c r="A163" t="s">
        <v>4044</v>
      </c>
      <c r="B163" t="s">
        <v>4045</v>
      </c>
      <c r="C163" t="s">
        <v>5</v>
      </c>
      <c r="D163" t="s">
        <v>4046</v>
      </c>
      <c r="E163" t="s">
        <v>4047</v>
      </c>
      <c r="F163" t="s">
        <v>4048</v>
      </c>
    </row>
    <row r="164" spans="1:6" x14ac:dyDescent="0.25">
      <c r="A164" t="s">
        <v>4062</v>
      </c>
      <c r="B164" t="s">
        <v>6178</v>
      </c>
      <c r="C164" t="s">
        <v>63</v>
      </c>
      <c r="D164" s="7">
        <v>1</v>
      </c>
      <c r="E164" s="2">
        <v>325</v>
      </c>
      <c r="F164" s="2">
        <v>325</v>
      </c>
    </row>
    <row r="165" spans="1:6" x14ac:dyDescent="0.25">
      <c r="A165" t="s">
        <v>4062</v>
      </c>
      <c r="B165" t="s">
        <v>6179</v>
      </c>
      <c r="C165" t="s">
        <v>42</v>
      </c>
      <c r="D165" s="7">
        <v>1.05</v>
      </c>
      <c r="E165" s="2">
        <v>2560</v>
      </c>
      <c r="F165" s="2">
        <v>2688</v>
      </c>
    </row>
    <row r="166" spans="1:6" x14ac:dyDescent="0.25">
      <c r="A166" t="s">
        <v>4062</v>
      </c>
      <c r="B166" t="s">
        <v>4659</v>
      </c>
      <c r="C166" t="s">
        <v>4377</v>
      </c>
      <c r="D166" s="7">
        <v>0</v>
      </c>
      <c r="E166" s="2">
        <v>31500</v>
      </c>
      <c r="F166" s="2">
        <v>27.56</v>
      </c>
    </row>
    <row r="167" spans="1:6" x14ac:dyDescent="0.25">
      <c r="A167" t="s">
        <v>4062</v>
      </c>
      <c r="B167" t="s">
        <v>4376</v>
      </c>
      <c r="C167" t="s">
        <v>4377</v>
      </c>
      <c r="D167" s="7">
        <v>0</v>
      </c>
      <c r="E167" s="2">
        <v>72237.67</v>
      </c>
      <c r="F167" s="2">
        <v>65.01</v>
      </c>
    </row>
    <row r="168" spans="1:6" x14ac:dyDescent="0.25">
      <c r="A168" t="s">
        <v>4049</v>
      </c>
      <c r="B168" t="s">
        <v>4176</v>
      </c>
      <c r="C168" t="s">
        <v>4177</v>
      </c>
      <c r="D168" s="7">
        <v>0</v>
      </c>
      <c r="E168" s="2">
        <v>72300.17</v>
      </c>
      <c r="F168" s="2">
        <v>296.43</v>
      </c>
    </row>
    <row r="169" spans="1:6" x14ac:dyDescent="0.25">
      <c r="A169" t="s">
        <v>4049</v>
      </c>
      <c r="B169" t="s">
        <v>4313</v>
      </c>
      <c r="C169" t="s">
        <v>4177</v>
      </c>
      <c r="D169" s="7">
        <v>0</v>
      </c>
      <c r="E169" s="2">
        <v>124137.15</v>
      </c>
      <c r="F169" s="2">
        <v>508.96</v>
      </c>
    </row>
    <row r="170" spans="1:6" x14ac:dyDescent="0.25">
      <c r="A170" t="s">
        <v>4052</v>
      </c>
      <c r="B170" t="s">
        <v>4053</v>
      </c>
      <c r="C170" t="s">
        <v>4054</v>
      </c>
      <c r="D170" s="7">
        <v>3.5</v>
      </c>
      <c r="E170" s="2">
        <v>805.39</v>
      </c>
      <c r="F170" s="2">
        <v>28.19</v>
      </c>
    </row>
    <row r="171" spans="1:6" x14ac:dyDescent="0.25">
      <c r="A171" t="s">
        <v>4055</v>
      </c>
      <c r="D171" s="7"/>
      <c r="E171" s="2"/>
      <c r="F171" s="2">
        <f>SUBTOTAL(109,A_2_01_16[VALOR PARCIAL])</f>
      </c>
    </row>
    <row r="173" ht="30" customHeight="1" spans="1:6" x14ac:dyDescent="0.25">
      <c r="A173" s="5" t="s">
        <v>6180</v>
      </c>
      <c r="B173" s="5"/>
      <c r="C173" s="5"/>
      <c r="D173" s="5"/>
      <c r="E173" s="5"/>
      <c r="F173" s="5"/>
    </row>
    <row r="174" ht="42" customHeight="1" spans="1:6" x14ac:dyDescent="0.25">
      <c r="A174" s="6" t="s">
        <v>6181</v>
      </c>
      <c r="B174" s="6"/>
      <c r="C174" s="6"/>
      <c r="D174" s="6"/>
      <c r="E174" s="6"/>
      <c r="F174" s="6"/>
    </row>
    <row r="175" spans="1:6" x14ac:dyDescent="0.25">
      <c r="A175" t="s">
        <v>4044</v>
      </c>
      <c r="B175" t="s">
        <v>4045</v>
      </c>
      <c r="C175" t="s">
        <v>5</v>
      </c>
      <c r="D175" t="s">
        <v>4046</v>
      </c>
      <c r="E175" t="s">
        <v>4047</v>
      </c>
      <c r="F175" t="s">
        <v>4048</v>
      </c>
    </row>
    <row r="176" spans="1:6" x14ac:dyDescent="0.25">
      <c r="A176" t="s">
        <v>4062</v>
      </c>
      <c r="B176" t="s">
        <v>4701</v>
      </c>
      <c r="C176" t="s">
        <v>42</v>
      </c>
      <c r="D176" s="7">
        <v>1.05</v>
      </c>
      <c r="E176" s="2">
        <v>3804</v>
      </c>
      <c r="F176" s="2">
        <v>3994.2</v>
      </c>
    </row>
    <row r="177" spans="1:6" x14ac:dyDescent="0.25">
      <c r="A177" t="s">
        <v>4062</v>
      </c>
      <c r="B177" t="s">
        <v>6178</v>
      </c>
      <c r="C177" t="s">
        <v>63</v>
      </c>
      <c r="D177" s="7">
        <v>1</v>
      </c>
      <c r="E177" s="2">
        <v>325</v>
      </c>
      <c r="F177" s="2">
        <v>325</v>
      </c>
    </row>
    <row r="178" spans="1:6" x14ac:dyDescent="0.25">
      <c r="A178" t="s">
        <v>4062</v>
      </c>
      <c r="B178" t="s">
        <v>4659</v>
      </c>
      <c r="C178" t="s">
        <v>4377</v>
      </c>
      <c r="D178" s="7">
        <v>0</v>
      </c>
      <c r="E178" s="2">
        <v>31500</v>
      </c>
      <c r="F178" s="2">
        <v>28.35</v>
      </c>
    </row>
    <row r="179" spans="1:6" x14ac:dyDescent="0.25">
      <c r="A179" t="s">
        <v>4062</v>
      </c>
      <c r="B179" t="s">
        <v>4376</v>
      </c>
      <c r="C179" t="s">
        <v>4377</v>
      </c>
      <c r="D179" s="7">
        <v>0</v>
      </c>
      <c r="E179" s="2">
        <v>72237.67</v>
      </c>
      <c r="F179" s="2">
        <v>65.01</v>
      </c>
    </row>
    <row r="180" spans="1:6" x14ac:dyDescent="0.25">
      <c r="A180" t="s">
        <v>4049</v>
      </c>
      <c r="B180" t="s">
        <v>4176</v>
      </c>
      <c r="C180" t="s">
        <v>4177</v>
      </c>
      <c r="D180" s="7">
        <v>0</v>
      </c>
      <c r="E180" s="2">
        <v>72300.17</v>
      </c>
      <c r="F180" s="2">
        <v>296.43</v>
      </c>
    </row>
    <row r="181" spans="1:6" x14ac:dyDescent="0.25">
      <c r="A181" t="s">
        <v>4049</v>
      </c>
      <c r="B181" t="s">
        <v>4313</v>
      </c>
      <c r="C181" t="s">
        <v>4177</v>
      </c>
      <c r="D181" s="7">
        <v>0</v>
      </c>
      <c r="E181" s="2">
        <v>124137.15</v>
      </c>
      <c r="F181" s="2">
        <v>508.96</v>
      </c>
    </row>
    <row r="182" spans="1:6" x14ac:dyDescent="0.25">
      <c r="A182" t="s">
        <v>4052</v>
      </c>
      <c r="B182" t="s">
        <v>4053</v>
      </c>
      <c r="C182" t="s">
        <v>4054</v>
      </c>
      <c r="D182" s="7">
        <v>3.5</v>
      </c>
      <c r="E182" s="2">
        <v>805.39</v>
      </c>
      <c r="F182" s="2">
        <v>28.19</v>
      </c>
    </row>
    <row r="183" spans="1:6" x14ac:dyDescent="0.25">
      <c r="A183" t="s">
        <v>4055</v>
      </c>
      <c r="D183" s="7"/>
      <c r="E183" s="2"/>
      <c r="F183" s="2">
        <f>SUBTOTAL(109,A_2_01_17[VALOR PARCIAL])</f>
      </c>
    </row>
    <row r="185" ht="30" customHeight="1" spans="1:6" x14ac:dyDescent="0.25">
      <c r="A185" s="5" t="s">
        <v>6182</v>
      </c>
      <c r="B185" s="5"/>
      <c r="C185" s="5"/>
      <c r="D185" s="5"/>
      <c r="E185" s="5"/>
      <c r="F185" s="5"/>
    </row>
    <row r="186" ht="42" customHeight="1" spans="1:6" x14ac:dyDescent="0.25">
      <c r="A186" s="6" t="s">
        <v>6183</v>
      </c>
      <c r="B186" s="6"/>
      <c r="C186" s="6"/>
      <c r="D186" s="6"/>
      <c r="E186" s="6"/>
      <c r="F186" s="6"/>
    </row>
    <row r="187" spans="1:6" x14ac:dyDescent="0.25">
      <c r="A187" t="s">
        <v>4044</v>
      </c>
      <c r="B187" t="s">
        <v>4045</v>
      </c>
      <c r="C187" t="s">
        <v>5</v>
      </c>
      <c r="D187" t="s">
        <v>4046</v>
      </c>
      <c r="E187" t="s">
        <v>4047</v>
      </c>
      <c r="F187" t="s">
        <v>4048</v>
      </c>
    </row>
    <row r="188" spans="1:6" x14ac:dyDescent="0.25">
      <c r="A188" t="s">
        <v>4062</v>
      </c>
      <c r="B188" t="s">
        <v>6184</v>
      </c>
      <c r="C188" t="s">
        <v>63</v>
      </c>
      <c r="D188" s="7">
        <v>1</v>
      </c>
      <c r="E188" s="2">
        <v>2454</v>
      </c>
      <c r="F188" s="2">
        <v>2454</v>
      </c>
    </row>
    <row r="189" spans="1:6" x14ac:dyDescent="0.25">
      <c r="A189" t="s">
        <v>4062</v>
      </c>
      <c r="B189" t="s">
        <v>6185</v>
      </c>
      <c r="C189" t="s">
        <v>42</v>
      </c>
      <c r="D189" s="7">
        <v>1.05</v>
      </c>
      <c r="E189" s="2">
        <v>10447</v>
      </c>
      <c r="F189" s="2">
        <v>10969.35</v>
      </c>
    </row>
    <row r="190" spans="1:6" x14ac:dyDescent="0.25">
      <c r="A190" t="s">
        <v>4062</v>
      </c>
      <c r="B190" t="s">
        <v>4659</v>
      </c>
      <c r="C190" t="s">
        <v>4377</v>
      </c>
      <c r="D190" s="7">
        <v>0.01</v>
      </c>
      <c r="E190" s="2">
        <v>31500</v>
      </c>
      <c r="F190" s="2">
        <v>179.55</v>
      </c>
    </row>
    <row r="191" spans="1:6" x14ac:dyDescent="0.25">
      <c r="A191" t="s">
        <v>4062</v>
      </c>
      <c r="B191" t="s">
        <v>4376</v>
      </c>
      <c r="C191" t="s">
        <v>4377</v>
      </c>
      <c r="D191" s="7">
        <v>0.01</v>
      </c>
      <c r="E191" s="2">
        <v>72237.67</v>
      </c>
      <c r="F191" s="2">
        <v>411.75</v>
      </c>
    </row>
    <row r="192" spans="1:6" x14ac:dyDescent="0.25">
      <c r="A192" t="s">
        <v>4049</v>
      </c>
      <c r="B192" t="s">
        <v>4176</v>
      </c>
      <c r="C192" t="s">
        <v>4177</v>
      </c>
      <c r="D192" s="7">
        <v>0.02</v>
      </c>
      <c r="E192" s="2">
        <v>72300.17</v>
      </c>
      <c r="F192" s="2">
        <v>1084.5</v>
      </c>
    </row>
    <row r="193" spans="1:6" x14ac:dyDescent="0.25">
      <c r="A193" t="s">
        <v>4049</v>
      </c>
      <c r="B193" t="s">
        <v>4313</v>
      </c>
      <c r="C193" t="s">
        <v>4177</v>
      </c>
      <c r="D193" s="7">
        <v>0.02</v>
      </c>
      <c r="E193" s="2">
        <v>124137.15</v>
      </c>
      <c r="F193" s="2">
        <v>1862.06</v>
      </c>
    </row>
    <row r="194" spans="1:6" x14ac:dyDescent="0.25">
      <c r="A194" t="s">
        <v>4052</v>
      </c>
      <c r="B194" t="s">
        <v>4053</v>
      </c>
      <c r="C194" t="s">
        <v>4054</v>
      </c>
      <c r="D194" s="7">
        <v>3.5</v>
      </c>
      <c r="E194" s="2">
        <v>2946.56</v>
      </c>
      <c r="F194" s="2">
        <v>103.13</v>
      </c>
    </row>
    <row r="195" spans="1:6" x14ac:dyDescent="0.25">
      <c r="A195" t="s">
        <v>4055</v>
      </c>
      <c r="D195" s="7"/>
      <c r="E195" s="2"/>
      <c r="F195" s="2">
        <f>SUBTOTAL(109,A_2_01_18[VALOR PARCIAL])</f>
      </c>
    </row>
    <row r="197" ht="30" customHeight="1" spans="1:6" x14ac:dyDescent="0.25">
      <c r="A197" s="5" t="s">
        <v>6186</v>
      </c>
      <c r="B197" s="5"/>
      <c r="C197" s="5"/>
      <c r="D197" s="5"/>
      <c r="E197" s="5"/>
      <c r="F197" s="5"/>
    </row>
    <row r="198" ht="42" customHeight="1" spans="1:6" x14ac:dyDescent="0.25">
      <c r="A198" s="6" t="s">
        <v>6187</v>
      </c>
      <c r="B198" s="6"/>
      <c r="C198" s="6"/>
      <c r="D198" s="6"/>
      <c r="E198" s="6"/>
      <c r="F198" s="6"/>
    </row>
    <row r="199" spans="1:6" x14ac:dyDescent="0.25">
      <c r="A199" t="s">
        <v>4044</v>
      </c>
      <c r="B199" t="s">
        <v>4045</v>
      </c>
      <c r="C199" t="s">
        <v>5</v>
      </c>
      <c r="D199" t="s">
        <v>4046</v>
      </c>
      <c r="E199" t="s">
        <v>4047</v>
      </c>
      <c r="F199" t="s">
        <v>4048</v>
      </c>
    </row>
    <row r="200" spans="1:6" x14ac:dyDescent="0.25">
      <c r="A200" t="s">
        <v>4062</v>
      </c>
      <c r="B200" t="s">
        <v>6188</v>
      </c>
      <c r="C200" t="s">
        <v>63</v>
      </c>
      <c r="D200" s="7">
        <v>1</v>
      </c>
      <c r="E200" s="2">
        <v>1997</v>
      </c>
      <c r="F200" s="2">
        <v>1997</v>
      </c>
    </row>
    <row r="201" spans="1:6" x14ac:dyDescent="0.25">
      <c r="A201" t="s">
        <v>4062</v>
      </c>
      <c r="B201" t="s">
        <v>6189</v>
      </c>
      <c r="C201" t="s">
        <v>42</v>
      </c>
      <c r="D201" s="7">
        <v>1</v>
      </c>
      <c r="E201" s="2">
        <v>8018</v>
      </c>
      <c r="F201" s="2">
        <v>8018</v>
      </c>
    </row>
    <row r="202" spans="1:6" x14ac:dyDescent="0.25">
      <c r="A202" t="s">
        <v>4062</v>
      </c>
      <c r="B202" t="s">
        <v>4659</v>
      </c>
      <c r="C202" t="s">
        <v>4377</v>
      </c>
      <c r="D202" s="7">
        <v>0.01</v>
      </c>
      <c r="E202" s="2">
        <v>31500</v>
      </c>
      <c r="F202" s="2">
        <v>157.5</v>
      </c>
    </row>
    <row r="203" spans="1:6" x14ac:dyDescent="0.25">
      <c r="A203" t="s">
        <v>4062</v>
      </c>
      <c r="B203" t="s">
        <v>4376</v>
      </c>
      <c r="C203" t="s">
        <v>4377</v>
      </c>
      <c r="D203" s="7">
        <v>0.01</v>
      </c>
      <c r="E203" s="2">
        <v>72237.67</v>
      </c>
      <c r="F203" s="2">
        <v>361.19</v>
      </c>
    </row>
    <row r="204" spans="1:6" x14ac:dyDescent="0.25">
      <c r="A204" t="s">
        <v>4049</v>
      </c>
      <c r="B204" t="s">
        <v>4176</v>
      </c>
      <c r="C204" t="s">
        <v>4177</v>
      </c>
      <c r="D204" s="7">
        <v>0.02</v>
      </c>
      <c r="E204" s="2">
        <v>72300.17</v>
      </c>
      <c r="F204" s="2">
        <v>1084.5</v>
      </c>
    </row>
    <row r="205" spans="1:6" x14ac:dyDescent="0.25">
      <c r="A205" t="s">
        <v>4049</v>
      </c>
      <c r="B205" t="s">
        <v>4313</v>
      </c>
      <c r="C205" t="s">
        <v>4177</v>
      </c>
      <c r="D205" s="7">
        <v>0.02</v>
      </c>
      <c r="E205" s="2">
        <v>124137.15</v>
      </c>
      <c r="F205" s="2">
        <v>1862.06</v>
      </c>
    </row>
    <row r="206" spans="1:6" x14ac:dyDescent="0.25">
      <c r="A206" t="s">
        <v>4052</v>
      </c>
      <c r="B206" t="s">
        <v>4053</v>
      </c>
      <c r="C206" t="s">
        <v>4054</v>
      </c>
      <c r="D206" s="7">
        <v>3.5</v>
      </c>
      <c r="E206" s="2">
        <v>2946.56</v>
      </c>
      <c r="F206" s="2">
        <v>103.13</v>
      </c>
    </row>
    <row r="207" spans="1:6" x14ac:dyDescent="0.25">
      <c r="A207" t="s">
        <v>4055</v>
      </c>
      <c r="D207" s="7"/>
      <c r="E207" s="2"/>
      <c r="F207" s="2">
        <f>SUBTOTAL(109,A_2_01_19[VALOR PARCIAL])</f>
      </c>
    </row>
    <row r="209" ht="30" customHeight="1" spans="1:6" x14ac:dyDescent="0.25">
      <c r="A209" s="5" t="s">
        <v>6190</v>
      </c>
      <c r="B209" s="5"/>
      <c r="C209" s="5"/>
      <c r="D209" s="5"/>
      <c r="E209" s="5"/>
      <c r="F209" s="5"/>
    </row>
    <row r="210" ht="42" customHeight="1" spans="1:6" x14ac:dyDescent="0.25">
      <c r="A210" s="6" t="s">
        <v>6191</v>
      </c>
      <c r="B210" s="6"/>
      <c r="C210" s="6"/>
      <c r="D210" s="6"/>
      <c r="E210" s="6"/>
      <c r="F210" s="6"/>
    </row>
    <row r="211" spans="1:6" x14ac:dyDescent="0.25">
      <c r="A211" t="s">
        <v>4044</v>
      </c>
      <c r="B211" t="s">
        <v>4045</v>
      </c>
      <c r="C211" t="s">
        <v>5</v>
      </c>
      <c r="D211" t="s">
        <v>4046</v>
      </c>
      <c r="E211" t="s">
        <v>4047</v>
      </c>
      <c r="F211" t="s">
        <v>4048</v>
      </c>
    </row>
    <row r="212" spans="1:6" x14ac:dyDescent="0.25">
      <c r="A212" t="s">
        <v>4062</v>
      </c>
      <c r="B212" t="s">
        <v>4737</v>
      </c>
      <c r="C212" t="s">
        <v>42</v>
      </c>
      <c r="D212" s="7">
        <v>1</v>
      </c>
      <c r="E212" s="2">
        <v>6446</v>
      </c>
      <c r="F212" s="2">
        <v>6446</v>
      </c>
    </row>
    <row r="213" spans="1:6" x14ac:dyDescent="0.25">
      <c r="A213" t="s">
        <v>4062</v>
      </c>
      <c r="B213" t="s">
        <v>4738</v>
      </c>
      <c r="C213" t="s">
        <v>63</v>
      </c>
      <c r="D213" s="7">
        <v>1</v>
      </c>
      <c r="E213" s="2">
        <v>1004</v>
      </c>
      <c r="F213" s="2">
        <v>1004</v>
      </c>
    </row>
    <row r="214" spans="1:6" x14ac:dyDescent="0.25">
      <c r="A214" t="s">
        <v>4062</v>
      </c>
      <c r="B214" t="s">
        <v>4659</v>
      </c>
      <c r="C214" t="s">
        <v>4377</v>
      </c>
      <c r="D214" s="7">
        <v>0</v>
      </c>
      <c r="E214" s="2">
        <v>31500</v>
      </c>
      <c r="F214" s="2">
        <v>148.05</v>
      </c>
    </row>
    <row r="215" spans="1:6" x14ac:dyDescent="0.25">
      <c r="A215" t="s">
        <v>4062</v>
      </c>
      <c r="B215" t="s">
        <v>4376</v>
      </c>
      <c r="C215" t="s">
        <v>4377</v>
      </c>
      <c r="D215" s="7">
        <v>0</v>
      </c>
      <c r="E215" s="2">
        <v>72237.67</v>
      </c>
      <c r="F215" s="2">
        <v>339.52</v>
      </c>
    </row>
    <row r="216" spans="1:6" x14ac:dyDescent="0.25">
      <c r="A216" t="s">
        <v>4049</v>
      </c>
      <c r="B216" t="s">
        <v>4176</v>
      </c>
      <c r="C216" t="s">
        <v>4177</v>
      </c>
      <c r="D216" s="7">
        <v>0.01</v>
      </c>
      <c r="E216" s="2">
        <v>72300.17</v>
      </c>
      <c r="F216" s="2">
        <v>939.9</v>
      </c>
    </row>
    <row r="217" spans="1:6" x14ac:dyDescent="0.25">
      <c r="A217" t="s">
        <v>4049</v>
      </c>
      <c r="B217" t="s">
        <v>4313</v>
      </c>
      <c r="C217" t="s">
        <v>4177</v>
      </c>
      <c r="D217" s="7">
        <v>0.01</v>
      </c>
      <c r="E217" s="2">
        <v>124137.15</v>
      </c>
      <c r="F217" s="2">
        <v>1613.78</v>
      </c>
    </row>
    <row r="218" spans="1:6" x14ac:dyDescent="0.25">
      <c r="A218" t="s">
        <v>4052</v>
      </c>
      <c r="B218" t="s">
        <v>4053</v>
      </c>
      <c r="C218" t="s">
        <v>4054</v>
      </c>
      <c r="D218" s="7">
        <v>3.5</v>
      </c>
      <c r="E218" s="2">
        <v>2553.68</v>
      </c>
      <c r="F218" s="2">
        <v>89.38</v>
      </c>
    </row>
    <row r="219" spans="1:6" x14ac:dyDescent="0.25">
      <c r="A219" t="s">
        <v>4055</v>
      </c>
      <c r="D219" s="7"/>
      <c r="E219" s="2"/>
      <c r="F219" s="2">
        <f>SUBTOTAL(109,A_2_01_20[VALOR PARCIAL])</f>
      </c>
    </row>
    <row r="221" ht="30" customHeight="1" spans="1:6" x14ac:dyDescent="0.25">
      <c r="A221" s="5" t="s">
        <v>6192</v>
      </c>
      <c r="B221" s="5"/>
      <c r="C221" s="5"/>
      <c r="D221" s="5"/>
      <c r="E221" s="5"/>
      <c r="F221" s="5"/>
    </row>
    <row r="222" ht="42" customHeight="1" spans="1:6" x14ac:dyDescent="0.25">
      <c r="A222" s="6" t="s">
        <v>6193</v>
      </c>
      <c r="B222" s="6"/>
      <c r="C222" s="6"/>
      <c r="D222" s="6"/>
      <c r="E222" s="6"/>
      <c r="F222" s="6"/>
    </row>
    <row r="223" spans="1:6" x14ac:dyDescent="0.25">
      <c r="A223" t="s">
        <v>4044</v>
      </c>
      <c r="B223" t="s">
        <v>4045</v>
      </c>
      <c r="C223" t="s">
        <v>5</v>
      </c>
      <c r="D223" t="s">
        <v>4046</v>
      </c>
      <c r="E223" t="s">
        <v>4047</v>
      </c>
      <c r="F223" t="s">
        <v>4048</v>
      </c>
    </row>
    <row r="224" spans="1:6" x14ac:dyDescent="0.25">
      <c r="A224" t="s">
        <v>4062</v>
      </c>
      <c r="B224" t="s">
        <v>6194</v>
      </c>
      <c r="C224" t="s">
        <v>42</v>
      </c>
      <c r="D224" s="7">
        <v>1</v>
      </c>
      <c r="E224" s="2">
        <v>4450</v>
      </c>
      <c r="F224" s="2">
        <v>4450</v>
      </c>
    </row>
    <row r="225" spans="1:6" x14ac:dyDescent="0.25">
      <c r="A225" t="s">
        <v>4062</v>
      </c>
      <c r="B225" t="s">
        <v>6195</v>
      </c>
      <c r="C225" t="s">
        <v>42</v>
      </c>
      <c r="D225" s="7">
        <v>1</v>
      </c>
      <c r="E225" s="2">
        <v>4451</v>
      </c>
      <c r="F225" s="2">
        <v>4451</v>
      </c>
    </row>
    <row r="226" spans="1:6" x14ac:dyDescent="0.25">
      <c r="A226" t="s">
        <v>4062</v>
      </c>
      <c r="B226" t="s">
        <v>4659</v>
      </c>
      <c r="C226" t="s">
        <v>4377</v>
      </c>
      <c r="D226" s="7">
        <v>0</v>
      </c>
      <c r="E226" s="2">
        <v>31500</v>
      </c>
      <c r="F226" s="2">
        <v>144.9</v>
      </c>
    </row>
    <row r="227" spans="1:6" x14ac:dyDescent="0.25">
      <c r="A227" t="s">
        <v>4062</v>
      </c>
      <c r="B227" t="s">
        <v>4376</v>
      </c>
      <c r="C227" t="s">
        <v>4377</v>
      </c>
      <c r="D227" s="7">
        <v>0</v>
      </c>
      <c r="E227" s="2">
        <v>72237.67</v>
      </c>
      <c r="F227" s="2">
        <v>332.29</v>
      </c>
    </row>
    <row r="228" spans="1:6" x14ac:dyDescent="0.25">
      <c r="A228" t="s">
        <v>4049</v>
      </c>
      <c r="B228" t="s">
        <v>4176</v>
      </c>
      <c r="C228" t="s">
        <v>4177</v>
      </c>
      <c r="D228" s="7">
        <v>0.01</v>
      </c>
      <c r="E228" s="2">
        <v>72300.17</v>
      </c>
      <c r="F228" s="2">
        <v>939.9</v>
      </c>
    </row>
    <row r="229" spans="1:6" x14ac:dyDescent="0.25">
      <c r="A229" t="s">
        <v>4049</v>
      </c>
      <c r="B229" t="s">
        <v>4313</v>
      </c>
      <c r="C229" t="s">
        <v>4177</v>
      </c>
      <c r="D229" s="7">
        <v>0.01</v>
      </c>
      <c r="E229" s="2">
        <v>124137.15</v>
      </c>
      <c r="F229" s="2">
        <v>1613.78</v>
      </c>
    </row>
    <row r="230" spans="1:6" x14ac:dyDescent="0.25">
      <c r="A230" t="s">
        <v>4052</v>
      </c>
      <c r="B230" t="s">
        <v>4053</v>
      </c>
      <c r="C230" t="s">
        <v>4054</v>
      </c>
      <c r="D230" s="7">
        <v>3.5</v>
      </c>
      <c r="E230" s="2">
        <v>2553.68</v>
      </c>
      <c r="F230" s="2">
        <v>89.38</v>
      </c>
    </row>
    <row r="231" spans="1:6" x14ac:dyDescent="0.25">
      <c r="A231" t="s">
        <v>4055</v>
      </c>
      <c r="D231" s="7"/>
      <c r="E231" s="2"/>
      <c r="F231" s="2">
        <f>SUBTOTAL(109,A_2_01_21[VALOR PARCIAL])</f>
      </c>
    </row>
    <row r="233" ht="30" customHeight="1" spans="1:6" x14ac:dyDescent="0.25">
      <c r="A233" s="5" t="s">
        <v>6196</v>
      </c>
      <c r="B233" s="5"/>
      <c r="C233" s="5"/>
      <c r="D233" s="5"/>
      <c r="E233" s="5"/>
      <c r="F233" s="5"/>
    </row>
    <row r="234" ht="42" customHeight="1" spans="1:6" x14ac:dyDescent="0.25">
      <c r="A234" s="6" t="s">
        <v>6197</v>
      </c>
      <c r="B234" s="6"/>
      <c r="C234" s="6"/>
      <c r="D234" s="6"/>
      <c r="E234" s="6"/>
      <c r="F234" s="6"/>
    </row>
    <row r="235" spans="1:6" x14ac:dyDescent="0.25">
      <c r="A235" t="s">
        <v>4044</v>
      </c>
      <c r="B235" t="s">
        <v>4045</v>
      </c>
      <c r="C235" t="s">
        <v>5</v>
      </c>
      <c r="D235" t="s">
        <v>4046</v>
      </c>
      <c r="E235" t="s">
        <v>4047</v>
      </c>
      <c r="F235" t="s">
        <v>4048</v>
      </c>
    </row>
    <row r="236" spans="1:6" x14ac:dyDescent="0.25">
      <c r="A236" t="s">
        <v>4062</v>
      </c>
      <c r="B236" t="s">
        <v>4683</v>
      </c>
      <c r="C236" t="s">
        <v>42</v>
      </c>
      <c r="D236" s="7">
        <v>1</v>
      </c>
      <c r="E236" s="2">
        <v>16056</v>
      </c>
      <c r="F236" s="2">
        <v>16056</v>
      </c>
    </row>
    <row r="237" spans="1:6" x14ac:dyDescent="0.25">
      <c r="A237" t="s">
        <v>4062</v>
      </c>
      <c r="B237" t="s">
        <v>4684</v>
      </c>
      <c r="C237" t="s">
        <v>63</v>
      </c>
      <c r="D237" s="7">
        <v>1</v>
      </c>
      <c r="E237" s="2">
        <v>4293</v>
      </c>
      <c r="F237" s="2">
        <v>4293</v>
      </c>
    </row>
    <row r="238" spans="1:6" x14ac:dyDescent="0.25">
      <c r="A238" t="s">
        <v>4062</v>
      </c>
      <c r="B238" t="s">
        <v>4659</v>
      </c>
      <c r="C238" t="s">
        <v>4377</v>
      </c>
      <c r="D238" s="7">
        <v>0.01</v>
      </c>
      <c r="E238" s="2">
        <v>31500</v>
      </c>
      <c r="F238" s="2">
        <v>207.9</v>
      </c>
    </row>
    <row r="239" spans="1:6" x14ac:dyDescent="0.25">
      <c r="A239" t="s">
        <v>4062</v>
      </c>
      <c r="B239" t="s">
        <v>4376</v>
      </c>
      <c r="C239" t="s">
        <v>4377</v>
      </c>
      <c r="D239" s="7">
        <v>0.01</v>
      </c>
      <c r="E239" s="2">
        <v>72237.67</v>
      </c>
      <c r="F239" s="2">
        <v>476.77</v>
      </c>
    </row>
    <row r="240" spans="1:6" x14ac:dyDescent="0.25">
      <c r="A240" t="s">
        <v>4049</v>
      </c>
      <c r="B240" t="s">
        <v>4176</v>
      </c>
      <c r="C240" t="s">
        <v>4177</v>
      </c>
      <c r="D240" s="7">
        <v>0.02</v>
      </c>
      <c r="E240" s="2">
        <v>72300.17</v>
      </c>
      <c r="F240" s="2">
        <v>1084.5</v>
      </c>
    </row>
    <row r="241" spans="1:6" x14ac:dyDescent="0.25">
      <c r="A241" t="s">
        <v>4049</v>
      </c>
      <c r="B241" t="s">
        <v>4313</v>
      </c>
      <c r="C241" t="s">
        <v>4177</v>
      </c>
      <c r="D241" s="7">
        <v>0.02</v>
      </c>
      <c r="E241" s="2">
        <v>124137.15</v>
      </c>
      <c r="F241" s="2">
        <v>1862.06</v>
      </c>
    </row>
    <row r="242" spans="1:6" x14ac:dyDescent="0.25">
      <c r="A242" t="s">
        <v>4052</v>
      </c>
      <c r="B242" t="s">
        <v>4053</v>
      </c>
      <c r="C242" t="s">
        <v>4054</v>
      </c>
      <c r="D242" s="7">
        <v>3.5</v>
      </c>
      <c r="E242" s="2">
        <v>2946.56</v>
      </c>
      <c r="F242" s="2">
        <v>103.13</v>
      </c>
    </row>
    <row r="243" spans="1:6" x14ac:dyDescent="0.25">
      <c r="A243" t="s">
        <v>4055</v>
      </c>
      <c r="D243" s="7"/>
      <c r="E243" s="2"/>
      <c r="F243" s="2">
        <f>SUBTOTAL(109,A_2_01_22[VALOR PARCIAL])</f>
      </c>
    </row>
    <row r="245" ht="30" customHeight="1" spans="1:6" x14ac:dyDescent="0.25">
      <c r="A245" s="5" t="s">
        <v>6198</v>
      </c>
      <c r="B245" s="5"/>
      <c r="C245" s="5"/>
      <c r="D245" s="5"/>
      <c r="E245" s="5"/>
      <c r="F245" s="5"/>
    </row>
    <row r="246" ht="42" customHeight="1" spans="1:6" x14ac:dyDescent="0.25">
      <c r="A246" s="6" t="s">
        <v>6199</v>
      </c>
      <c r="B246" s="6"/>
      <c r="C246" s="6"/>
      <c r="D246" s="6"/>
      <c r="E246" s="6"/>
      <c r="F246" s="6"/>
    </row>
    <row r="247" spans="1:6" x14ac:dyDescent="0.25">
      <c r="A247" t="s">
        <v>4044</v>
      </c>
      <c r="B247" t="s">
        <v>4045</v>
      </c>
      <c r="C247" t="s">
        <v>5</v>
      </c>
      <c r="D247" t="s">
        <v>4046</v>
      </c>
      <c r="E247" t="s">
        <v>4047</v>
      </c>
      <c r="F247" t="s">
        <v>4048</v>
      </c>
    </row>
    <row r="248" spans="1:6" x14ac:dyDescent="0.25">
      <c r="A248" t="s">
        <v>4062</v>
      </c>
      <c r="B248" t="s">
        <v>4744</v>
      </c>
      <c r="C248" t="s">
        <v>42</v>
      </c>
      <c r="D248" s="7">
        <v>1</v>
      </c>
      <c r="E248" s="2">
        <v>4776</v>
      </c>
      <c r="F248" s="2">
        <v>4776</v>
      </c>
    </row>
    <row r="249" spans="1:6" x14ac:dyDescent="0.25">
      <c r="A249" t="s">
        <v>4062</v>
      </c>
      <c r="B249" t="s">
        <v>4745</v>
      </c>
      <c r="C249" t="s">
        <v>63</v>
      </c>
      <c r="D249" s="7">
        <v>0.17</v>
      </c>
      <c r="E249" s="2">
        <v>599</v>
      </c>
      <c r="F249" s="2">
        <v>99.85</v>
      </c>
    </row>
    <row r="250" spans="1:6" x14ac:dyDescent="0.25">
      <c r="A250" t="s">
        <v>4062</v>
      </c>
      <c r="B250" t="s">
        <v>4659</v>
      </c>
      <c r="C250" t="s">
        <v>4377</v>
      </c>
      <c r="D250" s="7">
        <v>0</v>
      </c>
      <c r="E250" s="2">
        <v>31500</v>
      </c>
      <c r="F250" s="2">
        <v>126</v>
      </c>
    </row>
    <row r="251" spans="1:6" x14ac:dyDescent="0.25">
      <c r="A251" t="s">
        <v>4062</v>
      </c>
      <c r="B251" t="s">
        <v>4376</v>
      </c>
      <c r="C251" t="s">
        <v>4377</v>
      </c>
      <c r="D251" s="7">
        <v>0</v>
      </c>
      <c r="E251" s="2">
        <v>72237.67</v>
      </c>
      <c r="F251" s="2">
        <v>288.95</v>
      </c>
    </row>
    <row r="252" spans="1:6" x14ac:dyDescent="0.25">
      <c r="A252" t="s">
        <v>4049</v>
      </c>
      <c r="B252" t="s">
        <v>4050</v>
      </c>
      <c r="C252" t="s">
        <v>4051</v>
      </c>
      <c r="D252" s="7">
        <v>0.08</v>
      </c>
      <c r="E252" s="2">
        <v>9037.33</v>
      </c>
      <c r="F252" s="2">
        <v>722.99</v>
      </c>
    </row>
    <row r="253" spans="1:6" x14ac:dyDescent="0.25">
      <c r="A253" t="s">
        <v>4049</v>
      </c>
      <c r="B253" t="s">
        <v>4073</v>
      </c>
      <c r="C253" t="s">
        <v>4051</v>
      </c>
      <c r="D253" s="7">
        <v>0.08</v>
      </c>
      <c r="E253" s="2">
        <v>15517.89</v>
      </c>
      <c r="F253" s="2">
        <v>1241.43</v>
      </c>
    </row>
    <row r="254" spans="1:6" x14ac:dyDescent="0.25">
      <c r="A254" t="s">
        <v>4052</v>
      </c>
      <c r="B254" t="s">
        <v>4053</v>
      </c>
      <c r="C254" t="s">
        <v>4054</v>
      </c>
      <c r="D254" s="7">
        <v>3.5</v>
      </c>
      <c r="E254" s="2">
        <v>1964.42</v>
      </c>
      <c r="F254" s="2">
        <v>68.75</v>
      </c>
    </row>
    <row r="255" spans="1:6" x14ac:dyDescent="0.25">
      <c r="A255" t="s">
        <v>4055</v>
      </c>
      <c r="D255" s="7"/>
      <c r="E255" s="2"/>
      <c r="F255" s="2">
        <f>SUBTOTAL(109,A_2_01_23[VALOR PARCIAL])</f>
      </c>
    </row>
    <row r="257" ht="30" customHeight="1" spans="1:6" x14ac:dyDescent="0.25">
      <c r="A257" s="5" t="s">
        <v>6200</v>
      </c>
      <c r="B257" s="5"/>
      <c r="C257" s="5"/>
      <c r="D257" s="5"/>
      <c r="E257" s="5"/>
      <c r="F257" s="5"/>
    </row>
    <row r="258" ht="42" customHeight="1" spans="1:6" x14ac:dyDescent="0.25">
      <c r="A258" s="6" t="s">
        <v>6201</v>
      </c>
      <c r="B258" s="6"/>
      <c r="C258" s="6"/>
      <c r="D258" s="6"/>
      <c r="E258" s="6"/>
      <c r="F258" s="6"/>
    </row>
    <row r="259" spans="1:6" x14ac:dyDescent="0.25">
      <c r="A259" t="s">
        <v>4044</v>
      </c>
      <c r="B259" t="s">
        <v>4045</v>
      </c>
      <c r="C259" t="s">
        <v>5</v>
      </c>
      <c r="D259" t="s">
        <v>4046</v>
      </c>
      <c r="E259" t="s">
        <v>4047</v>
      </c>
      <c r="F259" t="s">
        <v>4048</v>
      </c>
    </row>
    <row r="260" spans="1:6" x14ac:dyDescent="0.25">
      <c r="A260" t="s">
        <v>4062</v>
      </c>
      <c r="B260" t="s">
        <v>6202</v>
      </c>
      <c r="C260" t="s">
        <v>42</v>
      </c>
      <c r="D260" s="7">
        <v>1.05</v>
      </c>
      <c r="E260" s="2">
        <v>215146</v>
      </c>
      <c r="F260" s="2">
        <v>225903.3</v>
      </c>
    </row>
    <row r="261" spans="1:6" x14ac:dyDescent="0.25">
      <c r="A261" t="s">
        <v>4062</v>
      </c>
      <c r="B261" t="s">
        <v>6166</v>
      </c>
      <c r="C261" t="s">
        <v>63</v>
      </c>
      <c r="D261" s="7">
        <v>0.01</v>
      </c>
      <c r="E261" s="2">
        <v>19750</v>
      </c>
      <c r="F261" s="2">
        <v>164.58</v>
      </c>
    </row>
    <row r="262" spans="1:6" x14ac:dyDescent="0.25">
      <c r="A262" t="s">
        <v>4049</v>
      </c>
      <c r="B262" t="s">
        <v>4176</v>
      </c>
      <c r="C262" t="s">
        <v>4177</v>
      </c>
      <c r="D262" s="7">
        <v>0.03</v>
      </c>
      <c r="E262" s="2">
        <v>72300.17</v>
      </c>
      <c r="F262" s="2">
        <v>1957.89</v>
      </c>
    </row>
    <row r="263" spans="1:6" x14ac:dyDescent="0.25">
      <c r="A263" t="s">
        <v>4049</v>
      </c>
      <c r="B263" t="s">
        <v>4313</v>
      </c>
      <c r="C263" t="s">
        <v>4177</v>
      </c>
      <c r="D263" s="7">
        <v>0.03</v>
      </c>
      <c r="E263" s="2">
        <v>124137.15</v>
      </c>
      <c r="F263" s="2">
        <v>3361.63</v>
      </c>
    </row>
    <row r="264" spans="1:6" x14ac:dyDescent="0.25">
      <c r="A264" t="s">
        <v>4052</v>
      </c>
      <c r="B264" t="s">
        <v>4053</v>
      </c>
      <c r="C264" t="s">
        <v>4054</v>
      </c>
      <c r="D264" s="7">
        <v>3.5</v>
      </c>
      <c r="E264" s="2">
        <v>5319.52</v>
      </c>
      <c r="F264" s="2">
        <v>186.18</v>
      </c>
    </row>
    <row r="265" spans="1:6" x14ac:dyDescent="0.25">
      <c r="A265" t="s">
        <v>4055</v>
      </c>
      <c r="D265" s="7"/>
      <c r="E265" s="2"/>
      <c r="F265" s="2">
        <f>SUBTOTAL(109,A_2_01_24[VALOR PARCIAL])</f>
      </c>
    </row>
    <row r="267" ht="30" customHeight="1" spans="1:6" x14ac:dyDescent="0.25">
      <c r="A267" s="5" t="s">
        <v>6203</v>
      </c>
      <c r="B267" s="5"/>
      <c r="C267" s="5"/>
      <c r="D267" s="5"/>
      <c r="E267" s="5"/>
      <c r="F267" s="5"/>
    </row>
    <row r="268" ht="42" customHeight="1" spans="1:6" x14ac:dyDescent="0.25">
      <c r="A268" s="6" t="s">
        <v>6204</v>
      </c>
      <c r="B268" s="6"/>
      <c r="C268" s="6"/>
      <c r="D268" s="6"/>
      <c r="E268" s="6"/>
      <c r="F268" s="6"/>
    </row>
    <row r="269" spans="1:6" x14ac:dyDescent="0.25">
      <c r="A269" t="s">
        <v>4044</v>
      </c>
      <c r="B269" t="s">
        <v>4045</v>
      </c>
      <c r="C269" t="s">
        <v>5</v>
      </c>
      <c r="D269" t="s">
        <v>4046</v>
      </c>
      <c r="E269" t="s">
        <v>4047</v>
      </c>
      <c r="F269" t="s">
        <v>4048</v>
      </c>
    </row>
    <row r="270" spans="1:6" x14ac:dyDescent="0.25">
      <c r="A270" t="s">
        <v>4062</v>
      </c>
      <c r="B270" t="s">
        <v>6205</v>
      </c>
      <c r="C270" t="s">
        <v>42</v>
      </c>
      <c r="D270" s="7">
        <v>1.05</v>
      </c>
      <c r="E270" s="2">
        <v>180068</v>
      </c>
      <c r="F270" s="2">
        <v>189071.4</v>
      </c>
    </row>
    <row r="271" spans="1:6" x14ac:dyDescent="0.25">
      <c r="A271" t="s">
        <v>4062</v>
      </c>
      <c r="B271" t="s">
        <v>6166</v>
      </c>
      <c r="C271" t="s">
        <v>63</v>
      </c>
      <c r="D271" s="7">
        <v>0.01</v>
      </c>
      <c r="E271" s="2">
        <v>19750</v>
      </c>
      <c r="F271" s="2">
        <v>164.58</v>
      </c>
    </row>
    <row r="272" spans="1:6" x14ac:dyDescent="0.25">
      <c r="A272" t="s">
        <v>4049</v>
      </c>
      <c r="B272" t="s">
        <v>4176</v>
      </c>
      <c r="C272" t="s">
        <v>4177</v>
      </c>
      <c r="D272" s="7">
        <v>0.03</v>
      </c>
      <c r="E272" s="2">
        <v>72300.17</v>
      </c>
      <c r="F272" s="2">
        <v>1958.13</v>
      </c>
    </row>
    <row r="273" spans="1:6" x14ac:dyDescent="0.25">
      <c r="A273" t="s">
        <v>4049</v>
      </c>
      <c r="B273" t="s">
        <v>4313</v>
      </c>
      <c r="C273" t="s">
        <v>4177</v>
      </c>
      <c r="D273" s="7">
        <v>0.03</v>
      </c>
      <c r="E273" s="2">
        <v>124137.15</v>
      </c>
      <c r="F273" s="2">
        <v>3362.05</v>
      </c>
    </row>
    <row r="274" spans="1:6" x14ac:dyDescent="0.25">
      <c r="A274" t="s">
        <v>4052</v>
      </c>
      <c r="B274" t="s">
        <v>4053</v>
      </c>
      <c r="C274" t="s">
        <v>4054</v>
      </c>
      <c r="D274" s="7">
        <v>3.5</v>
      </c>
      <c r="E274" s="2">
        <v>5320.18</v>
      </c>
      <c r="F274" s="2">
        <v>186.21</v>
      </c>
    </row>
    <row r="275" spans="1:6" x14ac:dyDescent="0.25">
      <c r="A275" t="s">
        <v>4055</v>
      </c>
      <c r="D275" s="7"/>
      <c r="E275" s="2"/>
      <c r="F275" s="2">
        <f>SUBTOTAL(109,A_2_01_25[VALOR PARCIAL])</f>
      </c>
    </row>
    <row r="277" ht="30" customHeight="1" spans="1:6" x14ac:dyDescent="0.25">
      <c r="A277" s="5" t="s">
        <v>6206</v>
      </c>
      <c r="B277" s="5"/>
      <c r="C277" s="5"/>
      <c r="D277" s="5"/>
      <c r="E277" s="5"/>
      <c r="F277" s="5"/>
    </row>
    <row r="278" ht="42" customHeight="1" spans="1:6" x14ac:dyDescent="0.25">
      <c r="A278" s="6" t="s">
        <v>6207</v>
      </c>
      <c r="B278" s="6"/>
      <c r="C278" s="6"/>
      <c r="D278" s="6"/>
      <c r="E278" s="6"/>
      <c r="F278" s="6"/>
    </row>
    <row r="279" spans="1:6" x14ac:dyDescent="0.25">
      <c r="A279" t="s">
        <v>4044</v>
      </c>
      <c r="B279" t="s">
        <v>4045</v>
      </c>
      <c r="C279" t="s">
        <v>5</v>
      </c>
      <c r="D279" t="s">
        <v>4046</v>
      </c>
      <c r="E279" t="s">
        <v>4047</v>
      </c>
      <c r="F279" t="s">
        <v>4048</v>
      </c>
    </row>
    <row r="280" spans="1:6" x14ac:dyDescent="0.25">
      <c r="A280" t="s">
        <v>4062</v>
      </c>
      <c r="B280" t="s">
        <v>6208</v>
      </c>
      <c r="C280" t="s">
        <v>42</v>
      </c>
      <c r="D280" s="7">
        <v>1.05</v>
      </c>
      <c r="E280" s="2">
        <v>12901</v>
      </c>
      <c r="F280" s="2">
        <v>13546.05</v>
      </c>
    </row>
    <row r="281" spans="1:6" x14ac:dyDescent="0.25">
      <c r="A281" t="s">
        <v>4062</v>
      </c>
      <c r="B281" t="s">
        <v>6166</v>
      </c>
      <c r="C281" t="s">
        <v>63</v>
      </c>
      <c r="D281" s="7">
        <v>0.01</v>
      </c>
      <c r="E281" s="2">
        <v>19750</v>
      </c>
      <c r="F281" s="2">
        <v>164.58</v>
      </c>
    </row>
    <row r="282" spans="1:6" x14ac:dyDescent="0.25">
      <c r="A282" t="s">
        <v>4049</v>
      </c>
      <c r="B282" t="s">
        <v>4176</v>
      </c>
      <c r="C282" t="s">
        <v>4177</v>
      </c>
      <c r="D282" s="7">
        <v>0.01</v>
      </c>
      <c r="E282" s="2">
        <v>72300.17</v>
      </c>
      <c r="F282" s="2">
        <v>451.88</v>
      </c>
    </row>
    <row r="283" spans="1:6" x14ac:dyDescent="0.25">
      <c r="A283" t="s">
        <v>4049</v>
      </c>
      <c r="B283" t="s">
        <v>4313</v>
      </c>
      <c r="C283" t="s">
        <v>4177</v>
      </c>
      <c r="D283" s="7">
        <v>0.01</v>
      </c>
      <c r="E283" s="2">
        <v>124137.15</v>
      </c>
      <c r="F283" s="2">
        <v>775.86</v>
      </c>
    </row>
    <row r="284" spans="1:6" x14ac:dyDescent="0.25">
      <c r="A284" t="s">
        <v>4052</v>
      </c>
      <c r="B284" t="s">
        <v>4053</v>
      </c>
      <c r="C284" t="s">
        <v>4054</v>
      </c>
      <c r="D284" s="7">
        <v>3.5</v>
      </c>
      <c r="E284" s="2">
        <v>1227.74</v>
      </c>
      <c r="F284" s="2">
        <v>42.97</v>
      </c>
    </row>
    <row r="285" spans="1:6" x14ac:dyDescent="0.25">
      <c r="A285" t="s">
        <v>4055</v>
      </c>
      <c r="D285" s="7"/>
      <c r="E285" s="2"/>
      <c r="F285" s="2">
        <f>SUBTOTAL(109,A_2_01_26[VALOR PARCIAL])</f>
      </c>
    </row>
    <row r="287" ht="30" customHeight="1" spans="1:6" x14ac:dyDescent="0.25">
      <c r="A287" s="5" t="s">
        <v>6209</v>
      </c>
      <c r="B287" s="5"/>
      <c r="C287" s="5"/>
      <c r="D287" s="5"/>
      <c r="E287" s="5"/>
      <c r="F287" s="5"/>
    </row>
    <row r="288" ht="42" customHeight="1" spans="1:6" x14ac:dyDescent="0.25">
      <c r="A288" s="6" t="s">
        <v>6210</v>
      </c>
      <c r="B288" s="6"/>
      <c r="C288" s="6"/>
      <c r="D288" s="6"/>
      <c r="E288" s="6"/>
      <c r="F288" s="6"/>
    </row>
    <row r="289" spans="1:6" x14ac:dyDescent="0.25">
      <c r="A289" t="s">
        <v>4044</v>
      </c>
      <c r="B289" t="s">
        <v>4045</v>
      </c>
      <c r="C289" t="s">
        <v>5</v>
      </c>
      <c r="D289" t="s">
        <v>4046</v>
      </c>
      <c r="E289" t="s">
        <v>4047</v>
      </c>
      <c r="F289" t="s">
        <v>4048</v>
      </c>
    </row>
    <row r="290" spans="1:6" x14ac:dyDescent="0.25">
      <c r="A290" t="s">
        <v>4062</v>
      </c>
      <c r="B290" t="s">
        <v>6211</v>
      </c>
      <c r="C290" t="s">
        <v>42</v>
      </c>
      <c r="D290" s="7">
        <v>1.05</v>
      </c>
      <c r="E290" s="2">
        <v>8738</v>
      </c>
      <c r="F290" s="2">
        <v>9174.9</v>
      </c>
    </row>
    <row r="291" spans="1:6" x14ac:dyDescent="0.25">
      <c r="A291" t="s">
        <v>4062</v>
      </c>
      <c r="B291" t="s">
        <v>6166</v>
      </c>
      <c r="C291" t="s">
        <v>63</v>
      </c>
      <c r="D291" s="7">
        <v>0</v>
      </c>
      <c r="E291" s="2">
        <v>19750</v>
      </c>
      <c r="F291" s="2">
        <v>16.46</v>
      </c>
    </row>
    <row r="292" spans="1:6" x14ac:dyDescent="0.25">
      <c r="A292" t="s">
        <v>4049</v>
      </c>
      <c r="B292" t="s">
        <v>4176</v>
      </c>
      <c r="C292" t="s">
        <v>4177</v>
      </c>
      <c r="D292" s="7">
        <v>0.01</v>
      </c>
      <c r="E292" s="2">
        <v>72300.17</v>
      </c>
      <c r="F292" s="2">
        <v>451.88</v>
      </c>
    </row>
    <row r="293" spans="1:6" x14ac:dyDescent="0.25">
      <c r="A293" t="s">
        <v>4049</v>
      </c>
      <c r="B293" t="s">
        <v>4313</v>
      </c>
      <c r="C293" t="s">
        <v>4177</v>
      </c>
      <c r="D293" s="7">
        <v>0.01</v>
      </c>
      <c r="E293" s="2">
        <v>124137.15</v>
      </c>
      <c r="F293" s="2">
        <v>775.86</v>
      </c>
    </row>
    <row r="294" spans="1:6" x14ac:dyDescent="0.25">
      <c r="A294" t="s">
        <v>4052</v>
      </c>
      <c r="B294" t="s">
        <v>4053</v>
      </c>
      <c r="C294" t="s">
        <v>4054</v>
      </c>
      <c r="D294" s="7">
        <v>3.5</v>
      </c>
      <c r="E294" s="2">
        <v>1227.74</v>
      </c>
      <c r="F294" s="2">
        <v>42.97</v>
      </c>
    </row>
    <row r="295" spans="1:6" x14ac:dyDescent="0.25">
      <c r="A295" t="s">
        <v>4055</v>
      </c>
      <c r="D295" s="7"/>
      <c r="E295" s="2"/>
      <c r="F295" s="2">
        <f>SUBTOTAL(109,A_2_01_27[VALOR PARCIAL])</f>
      </c>
    </row>
    <row r="297" ht="30" customHeight="1" spans="1:6" x14ac:dyDescent="0.25">
      <c r="A297" s="5" t="s">
        <v>6212</v>
      </c>
      <c r="B297" s="5"/>
      <c r="C297" s="5"/>
      <c r="D297" s="5"/>
      <c r="E297" s="5"/>
      <c r="F297" s="5"/>
    </row>
    <row r="298" ht="42" customHeight="1" spans="1:6" x14ac:dyDescent="0.25">
      <c r="A298" s="6" t="s">
        <v>6213</v>
      </c>
      <c r="B298" s="6"/>
      <c r="C298" s="6"/>
      <c r="D298" s="6"/>
      <c r="E298" s="6"/>
      <c r="F298" s="6"/>
    </row>
    <row r="299" spans="1:6" x14ac:dyDescent="0.25">
      <c r="A299" t="s">
        <v>4044</v>
      </c>
      <c r="B299" t="s">
        <v>4045</v>
      </c>
      <c r="C299" t="s">
        <v>5</v>
      </c>
      <c r="D299" t="s">
        <v>4046</v>
      </c>
      <c r="E299" t="s">
        <v>4047</v>
      </c>
      <c r="F299" t="s">
        <v>4048</v>
      </c>
    </row>
    <row r="300" spans="1:6" x14ac:dyDescent="0.25">
      <c r="A300" t="s">
        <v>4062</v>
      </c>
      <c r="B300" t="s">
        <v>6214</v>
      </c>
      <c r="C300" t="s">
        <v>42</v>
      </c>
      <c r="D300" s="7">
        <v>1</v>
      </c>
      <c r="E300" s="2">
        <v>15011</v>
      </c>
      <c r="F300" s="2">
        <v>15011</v>
      </c>
    </row>
    <row r="301" spans="1:6" x14ac:dyDescent="0.25">
      <c r="A301" t="s">
        <v>4062</v>
      </c>
      <c r="B301" t="s">
        <v>4659</v>
      </c>
      <c r="C301" t="s">
        <v>4377</v>
      </c>
      <c r="D301" s="7">
        <v>0.01</v>
      </c>
      <c r="E301" s="2">
        <v>31500</v>
      </c>
      <c r="F301" s="2">
        <v>207.9</v>
      </c>
    </row>
    <row r="302" spans="1:6" x14ac:dyDescent="0.25">
      <c r="A302" t="s">
        <v>4062</v>
      </c>
      <c r="B302" t="s">
        <v>4376</v>
      </c>
      <c r="C302" t="s">
        <v>4377</v>
      </c>
      <c r="D302" s="7">
        <v>0.01</v>
      </c>
      <c r="E302" s="2">
        <v>72237.67</v>
      </c>
      <c r="F302" s="2">
        <v>476.77</v>
      </c>
    </row>
    <row r="303" spans="1:6" x14ac:dyDescent="0.25">
      <c r="A303" t="s">
        <v>4049</v>
      </c>
      <c r="B303" t="s">
        <v>4176</v>
      </c>
      <c r="C303" t="s">
        <v>4177</v>
      </c>
      <c r="D303" s="7">
        <v>0.01</v>
      </c>
      <c r="E303" s="2">
        <v>72300.17</v>
      </c>
      <c r="F303" s="2">
        <v>723</v>
      </c>
    </row>
    <row r="304" spans="1:6" x14ac:dyDescent="0.25">
      <c r="A304" t="s">
        <v>4049</v>
      </c>
      <c r="B304" t="s">
        <v>4313</v>
      </c>
      <c r="C304" t="s">
        <v>4177</v>
      </c>
      <c r="D304" s="7">
        <v>0.01</v>
      </c>
      <c r="E304" s="2">
        <v>124137.15</v>
      </c>
      <c r="F304" s="2">
        <v>1241.37</v>
      </c>
    </row>
    <row r="305" spans="1:6" x14ac:dyDescent="0.25">
      <c r="A305" t="s">
        <v>4052</v>
      </c>
      <c r="B305" t="s">
        <v>4053</v>
      </c>
      <c r="C305" t="s">
        <v>4054</v>
      </c>
      <c r="D305" s="7">
        <v>3.5</v>
      </c>
      <c r="E305" s="2">
        <v>1964.37</v>
      </c>
      <c r="F305" s="2">
        <v>68.75</v>
      </c>
    </row>
    <row r="306" spans="1:6" x14ac:dyDescent="0.25">
      <c r="A306" t="s">
        <v>4055</v>
      </c>
      <c r="D306" s="7"/>
      <c r="E306" s="2"/>
      <c r="F306" s="2">
        <f>SUBTOTAL(109,A_2_01_28[VALOR PARCIAL])</f>
      </c>
    </row>
    <row r="308" ht="30" customHeight="1" spans="1:6" x14ac:dyDescent="0.25">
      <c r="A308" s="5" t="s">
        <v>6215</v>
      </c>
      <c r="B308" s="5"/>
      <c r="C308" s="5"/>
      <c r="D308" s="5"/>
      <c r="E308" s="5"/>
      <c r="F308" s="5"/>
    </row>
    <row r="309" ht="42" customHeight="1" spans="1:6" x14ac:dyDescent="0.25">
      <c r="A309" s="6" t="s">
        <v>6216</v>
      </c>
      <c r="B309" s="6"/>
      <c r="C309" s="6"/>
      <c r="D309" s="6"/>
      <c r="E309" s="6"/>
      <c r="F309" s="6"/>
    </row>
    <row r="310" spans="1:6" x14ac:dyDescent="0.25">
      <c r="A310" t="s">
        <v>4044</v>
      </c>
      <c r="B310" t="s">
        <v>4045</v>
      </c>
      <c r="C310" t="s">
        <v>5</v>
      </c>
      <c r="D310" t="s">
        <v>4046</v>
      </c>
      <c r="E310" t="s">
        <v>4047</v>
      </c>
      <c r="F310" t="s">
        <v>4048</v>
      </c>
    </row>
    <row r="311" spans="1:6" x14ac:dyDescent="0.25">
      <c r="A311" t="s">
        <v>4062</v>
      </c>
      <c r="B311" t="s">
        <v>6217</v>
      </c>
      <c r="C311" t="s">
        <v>42</v>
      </c>
      <c r="D311" s="7">
        <v>1.05</v>
      </c>
      <c r="E311" s="2">
        <v>22397</v>
      </c>
      <c r="F311" s="2">
        <v>23516.85</v>
      </c>
    </row>
    <row r="312" spans="1:6" x14ac:dyDescent="0.25">
      <c r="A312" t="s">
        <v>4062</v>
      </c>
      <c r="B312" t="s">
        <v>4659</v>
      </c>
      <c r="C312" t="s">
        <v>4377</v>
      </c>
      <c r="D312" s="7">
        <v>0.17</v>
      </c>
      <c r="E312" s="2">
        <v>31500</v>
      </c>
      <c r="F312" s="2">
        <v>5229</v>
      </c>
    </row>
    <row r="313" spans="1:6" x14ac:dyDescent="0.25">
      <c r="A313" t="s">
        <v>4062</v>
      </c>
      <c r="B313" t="s">
        <v>4376</v>
      </c>
      <c r="C313" t="s">
        <v>4377</v>
      </c>
      <c r="D313" s="7">
        <v>0.17</v>
      </c>
      <c r="E313" s="2">
        <v>72237.67</v>
      </c>
      <c r="F313" s="2">
        <v>11991.45</v>
      </c>
    </row>
    <row r="314" spans="1:6" x14ac:dyDescent="0.25">
      <c r="A314" t="s">
        <v>4049</v>
      </c>
      <c r="B314" t="s">
        <v>4176</v>
      </c>
      <c r="C314" t="s">
        <v>4177</v>
      </c>
      <c r="D314" s="7">
        <v>0.01</v>
      </c>
      <c r="E314" s="2">
        <v>72300.17</v>
      </c>
      <c r="F314" s="2">
        <v>723</v>
      </c>
    </row>
    <row r="315" spans="1:6" x14ac:dyDescent="0.25">
      <c r="A315" t="s">
        <v>4049</v>
      </c>
      <c r="B315" t="s">
        <v>4313</v>
      </c>
      <c r="C315" t="s">
        <v>4177</v>
      </c>
      <c r="D315" s="7">
        <v>0.01</v>
      </c>
      <c r="E315" s="2">
        <v>124137.15</v>
      </c>
      <c r="F315" s="2">
        <v>1241.37</v>
      </c>
    </row>
    <row r="316" spans="1:6" x14ac:dyDescent="0.25">
      <c r="A316" t="s">
        <v>4052</v>
      </c>
      <c r="B316" t="s">
        <v>4053</v>
      </c>
      <c r="C316" t="s">
        <v>4054</v>
      </c>
      <c r="D316" s="7">
        <v>3.5</v>
      </c>
      <c r="E316" s="2">
        <v>1964.37</v>
      </c>
      <c r="F316" s="2">
        <v>68.75</v>
      </c>
    </row>
    <row r="317" spans="1:6" x14ac:dyDescent="0.25">
      <c r="A317" t="s">
        <v>4055</v>
      </c>
      <c r="D317" s="7"/>
      <c r="E317" s="2"/>
      <c r="F317" s="2">
        <f>SUBTOTAL(109,A_2_01_29[VALOR PARCIAL])</f>
      </c>
    </row>
    <row r="319" ht="30" customHeight="1" spans="1:6" x14ac:dyDescent="0.25">
      <c r="A319" s="5" t="s">
        <v>6218</v>
      </c>
      <c r="B319" s="5"/>
      <c r="C319" s="5"/>
      <c r="D319" s="5"/>
      <c r="E319" s="5"/>
      <c r="F319" s="5"/>
    </row>
    <row r="320" ht="42" customHeight="1" spans="1:6" x14ac:dyDescent="0.25">
      <c r="A320" s="6" t="s">
        <v>6219</v>
      </c>
      <c r="B320" s="6"/>
      <c r="C320" s="6"/>
      <c r="D320" s="6"/>
      <c r="E320" s="6"/>
      <c r="F320" s="6"/>
    </row>
    <row r="321" spans="1:6" x14ac:dyDescent="0.25">
      <c r="A321" t="s">
        <v>4044</v>
      </c>
      <c r="B321" t="s">
        <v>4045</v>
      </c>
      <c r="C321" t="s">
        <v>5</v>
      </c>
      <c r="D321" t="s">
        <v>4046</v>
      </c>
      <c r="E321" t="s">
        <v>4047</v>
      </c>
      <c r="F321" t="s">
        <v>4048</v>
      </c>
    </row>
    <row r="322" spans="1:6" x14ac:dyDescent="0.25">
      <c r="A322" t="s">
        <v>4062</v>
      </c>
      <c r="B322" t="s">
        <v>6220</v>
      </c>
      <c r="C322" t="s">
        <v>42</v>
      </c>
      <c r="D322" s="7">
        <v>1.05</v>
      </c>
      <c r="E322" s="2">
        <v>18678</v>
      </c>
      <c r="F322" s="2">
        <v>19611.9</v>
      </c>
    </row>
    <row r="323" spans="1:6" x14ac:dyDescent="0.25">
      <c r="A323" t="s">
        <v>4062</v>
      </c>
      <c r="B323" t="s">
        <v>6166</v>
      </c>
      <c r="C323" t="s">
        <v>63</v>
      </c>
      <c r="D323" s="7">
        <v>0</v>
      </c>
      <c r="E323" s="2">
        <v>19750</v>
      </c>
      <c r="F323" s="2">
        <v>18.29</v>
      </c>
    </row>
    <row r="324" spans="1:6" x14ac:dyDescent="0.25">
      <c r="A324" t="s">
        <v>4049</v>
      </c>
      <c r="B324" t="s">
        <v>4176</v>
      </c>
      <c r="C324" t="s">
        <v>4177</v>
      </c>
      <c r="D324" s="7">
        <v>0.01</v>
      </c>
      <c r="E324" s="2">
        <v>72300.17</v>
      </c>
      <c r="F324" s="2">
        <v>451.88</v>
      </c>
    </row>
    <row r="325" spans="1:6" x14ac:dyDescent="0.25">
      <c r="A325" t="s">
        <v>4049</v>
      </c>
      <c r="B325" t="s">
        <v>4313</v>
      </c>
      <c r="C325" t="s">
        <v>4177</v>
      </c>
      <c r="D325" s="7">
        <v>0.01</v>
      </c>
      <c r="E325" s="2">
        <v>124137.15</v>
      </c>
      <c r="F325" s="2">
        <v>775.86</v>
      </c>
    </row>
    <row r="326" spans="1:6" x14ac:dyDescent="0.25">
      <c r="A326" t="s">
        <v>4052</v>
      </c>
      <c r="B326" t="s">
        <v>4053</v>
      </c>
      <c r="C326" t="s">
        <v>4054</v>
      </c>
      <c r="D326" s="7">
        <v>3.5</v>
      </c>
      <c r="E326" s="2">
        <v>1227.74</v>
      </c>
      <c r="F326" s="2">
        <v>42.97</v>
      </c>
    </row>
    <row r="327" spans="1:6" x14ac:dyDescent="0.25">
      <c r="A327" t="s">
        <v>4055</v>
      </c>
      <c r="D327" s="7"/>
      <c r="E327" s="2"/>
      <c r="F327" s="2">
        <f>SUBTOTAL(109,A_2_01_30[VALOR PARCIAL])</f>
      </c>
    </row>
    <row r="329" ht="30" customHeight="1" spans="1:6" x14ac:dyDescent="0.25">
      <c r="A329" s="5" t="s">
        <v>6221</v>
      </c>
      <c r="B329" s="5"/>
      <c r="C329" s="5"/>
      <c r="D329" s="5"/>
      <c r="E329" s="5"/>
      <c r="F329" s="5"/>
    </row>
    <row r="330" ht="42" customHeight="1" spans="1:6" x14ac:dyDescent="0.25">
      <c r="A330" s="6" t="s">
        <v>6222</v>
      </c>
      <c r="B330" s="6"/>
      <c r="C330" s="6"/>
      <c r="D330" s="6"/>
      <c r="E330" s="6"/>
      <c r="F330" s="6"/>
    </row>
    <row r="331" spans="1:6" x14ac:dyDescent="0.25">
      <c r="A331" t="s">
        <v>4044</v>
      </c>
      <c r="B331" t="s">
        <v>4045</v>
      </c>
      <c r="C331" t="s">
        <v>5</v>
      </c>
      <c r="D331" t="s">
        <v>4046</v>
      </c>
      <c r="E331" t="s">
        <v>4047</v>
      </c>
      <c r="F331" t="s">
        <v>4048</v>
      </c>
    </row>
    <row r="332" spans="1:6" x14ac:dyDescent="0.25">
      <c r="A332" t="s">
        <v>4062</v>
      </c>
      <c r="B332" t="s">
        <v>6223</v>
      </c>
      <c r="C332" t="s">
        <v>42</v>
      </c>
      <c r="D332" s="7">
        <v>1.05</v>
      </c>
      <c r="E332" s="2">
        <v>15431</v>
      </c>
      <c r="F332" s="2">
        <v>16202.55</v>
      </c>
    </row>
    <row r="333" spans="1:6" x14ac:dyDescent="0.25">
      <c r="A333" t="s">
        <v>4062</v>
      </c>
      <c r="B333" t="s">
        <v>6166</v>
      </c>
      <c r="C333" t="s">
        <v>63</v>
      </c>
      <c r="D333" s="7">
        <v>0</v>
      </c>
      <c r="E333" s="2">
        <v>19750</v>
      </c>
      <c r="F333" s="2">
        <v>18.29</v>
      </c>
    </row>
    <row r="334" spans="1:6" x14ac:dyDescent="0.25">
      <c r="A334" t="s">
        <v>4049</v>
      </c>
      <c r="B334" t="s">
        <v>4176</v>
      </c>
      <c r="C334" t="s">
        <v>4177</v>
      </c>
      <c r="D334" s="7">
        <v>0.01</v>
      </c>
      <c r="E334" s="2">
        <v>72300.17</v>
      </c>
      <c r="F334" s="2">
        <v>451.88</v>
      </c>
    </row>
    <row r="335" spans="1:6" x14ac:dyDescent="0.25">
      <c r="A335" t="s">
        <v>4049</v>
      </c>
      <c r="B335" t="s">
        <v>4313</v>
      </c>
      <c r="C335" t="s">
        <v>4177</v>
      </c>
      <c r="D335" s="7">
        <v>0.01</v>
      </c>
      <c r="E335" s="2">
        <v>124137.15</v>
      </c>
      <c r="F335" s="2">
        <v>775.86</v>
      </c>
    </row>
    <row r="336" spans="1:6" x14ac:dyDescent="0.25">
      <c r="A336" t="s">
        <v>4052</v>
      </c>
      <c r="B336" t="s">
        <v>4053</v>
      </c>
      <c r="C336" t="s">
        <v>4054</v>
      </c>
      <c r="D336" s="7">
        <v>3.5</v>
      </c>
      <c r="E336" s="2">
        <v>1227.74</v>
      </c>
      <c r="F336" s="2">
        <v>42.97</v>
      </c>
    </row>
    <row r="337" spans="1:6" x14ac:dyDescent="0.25">
      <c r="A337" t="s">
        <v>4055</v>
      </c>
      <c r="D337" s="7"/>
      <c r="E337" s="2"/>
      <c r="F337" s="2">
        <f>SUBTOTAL(109,A_2_01_31[VALOR PARCIAL])</f>
      </c>
    </row>
    <row r="339" ht="30" customHeight="1" spans="1:6" x14ac:dyDescent="0.25">
      <c r="A339" s="5" t="s">
        <v>6224</v>
      </c>
      <c r="B339" s="5"/>
      <c r="C339" s="5"/>
      <c r="D339" s="5"/>
      <c r="E339" s="5"/>
      <c r="F339" s="5"/>
    </row>
    <row r="340" ht="42" customHeight="1" spans="1:6" x14ac:dyDescent="0.25">
      <c r="A340" s="6" t="s">
        <v>6225</v>
      </c>
      <c r="B340" s="6"/>
      <c r="C340" s="6"/>
      <c r="D340" s="6"/>
      <c r="E340" s="6"/>
      <c r="F340" s="6"/>
    </row>
    <row r="341" spans="1:6" x14ac:dyDescent="0.25">
      <c r="A341" t="s">
        <v>4044</v>
      </c>
      <c r="B341" t="s">
        <v>4045</v>
      </c>
      <c r="C341" t="s">
        <v>5</v>
      </c>
      <c r="D341" t="s">
        <v>4046</v>
      </c>
      <c r="E341" t="s">
        <v>4047</v>
      </c>
      <c r="F341" t="s">
        <v>4048</v>
      </c>
    </row>
    <row r="342" spans="1:6" x14ac:dyDescent="0.25">
      <c r="A342" t="s">
        <v>4062</v>
      </c>
      <c r="B342" t="s">
        <v>6226</v>
      </c>
      <c r="C342" t="s">
        <v>42</v>
      </c>
      <c r="D342" s="7">
        <v>1.05</v>
      </c>
      <c r="E342" s="2">
        <v>36953</v>
      </c>
      <c r="F342" s="2">
        <v>38800.65</v>
      </c>
    </row>
    <row r="343" spans="1:6" x14ac:dyDescent="0.25">
      <c r="A343" t="s">
        <v>4062</v>
      </c>
      <c r="B343" t="s">
        <v>6166</v>
      </c>
      <c r="C343" t="s">
        <v>63</v>
      </c>
      <c r="D343" s="7">
        <v>0</v>
      </c>
      <c r="E343" s="2">
        <v>19750</v>
      </c>
      <c r="F343" s="2">
        <v>32.92</v>
      </c>
    </row>
    <row r="344" spans="1:6" x14ac:dyDescent="0.25">
      <c r="A344" t="s">
        <v>4049</v>
      </c>
      <c r="B344" t="s">
        <v>4176</v>
      </c>
      <c r="C344" t="s">
        <v>4177</v>
      </c>
      <c r="D344" s="7">
        <v>0.01</v>
      </c>
      <c r="E344" s="2">
        <v>72300.17</v>
      </c>
      <c r="F344" s="2">
        <v>451.88</v>
      </c>
    </row>
    <row r="345" spans="1:6" x14ac:dyDescent="0.25">
      <c r="A345" t="s">
        <v>4049</v>
      </c>
      <c r="B345" t="s">
        <v>4313</v>
      </c>
      <c r="C345" t="s">
        <v>4177</v>
      </c>
      <c r="D345" s="7">
        <v>0.01</v>
      </c>
      <c r="E345" s="2">
        <v>124137.15</v>
      </c>
      <c r="F345" s="2">
        <v>775.86</v>
      </c>
    </row>
    <row r="346" spans="1:6" x14ac:dyDescent="0.25">
      <c r="A346" t="s">
        <v>4052</v>
      </c>
      <c r="B346" t="s">
        <v>4053</v>
      </c>
      <c r="C346" t="s">
        <v>4054</v>
      </c>
      <c r="D346" s="7">
        <v>3.5</v>
      </c>
      <c r="E346" s="2">
        <v>1227.74</v>
      </c>
      <c r="F346" s="2">
        <v>42.97</v>
      </c>
    </row>
    <row r="347" spans="1:6" x14ac:dyDescent="0.25">
      <c r="A347" t="s">
        <v>4055</v>
      </c>
      <c r="D347" s="7"/>
      <c r="E347" s="2"/>
      <c r="F347" s="2">
        <f>SUBTOTAL(109,A_2_01_32[VALOR PARCIAL])</f>
      </c>
    </row>
    <row r="349" ht="30" customHeight="1" spans="1:6" x14ac:dyDescent="0.25">
      <c r="A349" s="5" t="s">
        <v>6227</v>
      </c>
      <c r="B349" s="5"/>
      <c r="C349" s="5"/>
      <c r="D349" s="5"/>
      <c r="E349" s="5"/>
      <c r="F349" s="5"/>
    </row>
    <row r="350" ht="42" customHeight="1" spans="1:6" x14ac:dyDescent="0.25">
      <c r="A350" s="6" t="s">
        <v>6228</v>
      </c>
      <c r="B350" s="6"/>
      <c r="C350" s="6"/>
      <c r="D350" s="6"/>
      <c r="E350" s="6"/>
      <c r="F350" s="6"/>
    </row>
    <row r="351" spans="1:6" x14ac:dyDescent="0.25">
      <c r="A351" t="s">
        <v>4044</v>
      </c>
      <c r="B351" t="s">
        <v>4045</v>
      </c>
      <c r="C351" t="s">
        <v>5</v>
      </c>
      <c r="D351" t="s">
        <v>4046</v>
      </c>
      <c r="E351" t="s">
        <v>4047</v>
      </c>
      <c r="F351" t="s">
        <v>4048</v>
      </c>
    </row>
    <row r="352" spans="1:6" x14ac:dyDescent="0.25">
      <c r="A352" t="s">
        <v>4062</v>
      </c>
      <c r="B352" t="s">
        <v>6229</v>
      </c>
      <c r="C352" t="s">
        <v>42</v>
      </c>
      <c r="D352" s="7">
        <v>1.05</v>
      </c>
      <c r="E352" s="2">
        <v>30845</v>
      </c>
      <c r="F352" s="2">
        <v>32387.25</v>
      </c>
    </row>
    <row r="353" spans="1:6" x14ac:dyDescent="0.25">
      <c r="A353" t="s">
        <v>4062</v>
      </c>
      <c r="B353" t="s">
        <v>6166</v>
      </c>
      <c r="C353" t="s">
        <v>63</v>
      </c>
      <c r="D353" s="7">
        <v>0</v>
      </c>
      <c r="E353" s="2">
        <v>19750</v>
      </c>
      <c r="F353" s="2">
        <v>32.92</v>
      </c>
    </row>
    <row r="354" spans="1:6" x14ac:dyDescent="0.25">
      <c r="A354" t="s">
        <v>4049</v>
      </c>
      <c r="B354" t="s">
        <v>4176</v>
      </c>
      <c r="C354" t="s">
        <v>4177</v>
      </c>
      <c r="D354" s="7">
        <v>0.01</v>
      </c>
      <c r="E354" s="2">
        <v>72300.17</v>
      </c>
      <c r="F354" s="2">
        <v>451.88</v>
      </c>
    </row>
    <row r="355" spans="1:6" x14ac:dyDescent="0.25">
      <c r="A355" t="s">
        <v>4049</v>
      </c>
      <c r="B355" t="s">
        <v>4313</v>
      </c>
      <c r="C355" t="s">
        <v>4177</v>
      </c>
      <c r="D355" s="7">
        <v>0.01</v>
      </c>
      <c r="E355" s="2">
        <v>124137.15</v>
      </c>
      <c r="F355" s="2">
        <v>775.86</v>
      </c>
    </row>
    <row r="356" spans="1:6" x14ac:dyDescent="0.25">
      <c r="A356" t="s">
        <v>4052</v>
      </c>
      <c r="B356" t="s">
        <v>4053</v>
      </c>
      <c r="C356" t="s">
        <v>4054</v>
      </c>
      <c r="D356" s="7">
        <v>3.5</v>
      </c>
      <c r="E356" s="2">
        <v>1227.74</v>
      </c>
      <c r="F356" s="2">
        <v>42.97</v>
      </c>
    </row>
    <row r="357" spans="1:6" x14ac:dyDescent="0.25">
      <c r="A357" t="s">
        <v>4055</v>
      </c>
      <c r="D357" s="7"/>
      <c r="E357" s="2"/>
      <c r="F357" s="2">
        <f>SUBTOTAL(109,A_2_01_33[VALOR PARCIAL])</f>
      </c>
    </row>
    <row r="359" ht="30" customHeight="1" spans="1:6" x14ac:dyDescent="0.25">
      <c r="A359" s="5" t="s">
        <v>6230</v>
      </c>
      <c r="B359" s="5"/>
      <c r="C359" s="5"/>
      <c r="D359" s="5"/>
      <c r="E359" s="5"/>
      <c r="F359" s="5"/>
    </row>
    <row r="360" ht="42" customHeight="1" spans="1:6" x14ac:dyDescent="0.25">
      <c r="A360" s="6" t="s">
        <v>6231</v>
      </c>
      <c r="B360" s="6"/>
      <c r="C360" s="6"/>
      <c r="D360" s="6"/>
      <c r="E360" s="6"/>
      <c r="F360" s="6"/>
    </row>
    <row r="361" spans="1:6" x14ac:dyDescent="0.25">
      <c r="A361" t="s">
        <v>4044</v>
      </c>
      <c r="B361" t="s">
        <v>4045</v>
      </c>
      <c r="C361" t="s">
        <v>5</v>
      </c>
      <c r="D361" t="s">
        <v>4046</v>
      </c>
      <c r="E361" t="s">
        <v>4047</v>
      </c>
      <c r="F361" t="s">
        <v>4048</v>
      </c>
    </row>
    <row r="362" spans="1:6" x14ac:dyDescent="0.25">
      <c r="A362" t="s">
        <v>4062</v>
      </c>
      <c r="B362" t="s">
        <v>6232</v>
      </c>
      <c r="C362" t="s">
        <v>42</v>
      </c>
      <c r="D362" s="7">
        <v>1</v>
      </c>
      <c r="E362" s="2">
        <v>25455</v>
      </c>
      <c r="F362" s="2">
        <v>25455</v>
      </c>
    </row>
    <row r="363" spans="1:6" x14ac:dyDescent="0.25">
      <c r="A363" t="s">
        <v>4062</v>
      </c>
      <c r="B363" t="s">
        <v>6166</v>
      </c>
      <c r="C363" t="s">
        <v>63</v>
      </c>
      <c r="D363" s="7">
        <v>0</v>
      </c>
      <c r="E363" s="2">
        <v>19750</v>
      </c>
      <c r="F363" s="2">
        <v>32.92</v>
      </c>
    </row>
    <row r="364" spans="1:6" x14ac:dyDescent="0.25">
      <c r="A364" t="s">
        <v>4049</v>
      </c>
      <c r="B364" t="s">
        <v>4176</v>
      </c>
      <c r="C364" t="s">
        <v>4177</v>
      </c>
      <c r="D364" s="7">
        <v>0.01</v>
      </c>
      <c r="E364" s="2">
        <v>72300.17</v>
      </c>
      <c r="F364" s="2">
        <v>451.88</v>
      </c>
    </row>
    <row r="365" spans="1:6" x14ac:dyDescent="0.25">
      <c r="A365" t="s">
        <v>4049</v>
      </c>
      <c r="B365" t="s">
        <v>4313</v>
      </c>
      <c r="C365" t="s">
        <v>4177</v>
      </c>
      <c r="D365" s="7">
        <v>0.01</v>
      </c>
      <c r="E365" s="2">
        <v>124137.15</v>
      </c>
      <c r="F365" s="2">
        <v>775.86</v>
      </c>
    </row>
    <row r="366" spans="1:6" x14ac:dyDescent="0.25">
      <c r="A366" t="s">
        <v>4052</v>
      </c>
      <c r="B366" t="s">
        <v>4053</v>
      </c>
      <c r="C366" t="s">
        <v>4054</v>
      </c>
      <c r="D366" s="7">
        <v>3.5</v>
      </c>
      <c r="E366" s="2">
        <v>1227.74</v>
      </c>
      <c r="F366" s="2">
        <v>42.97</v>
      </c>
    </row>
    <row r="367" spans="1:6" x14ac:dyDescent="0.25">
      <c r="A367" t="s">
        <v>4055</v>
      </c>
      <c r="D367" s="7"/>
      <c r="E367" s="2"/>
      <c r="F367" s="2">
        <f>SUBTOTAL(109,A_2_01_34[VALOR PARCIAL])</f>
      </c>
    </row>
    <row r="369" ht="30" customHeight="1" spans="1:6" x14ac:dyDescent="0.25">
      <c r="A369" s="5" t="s">
        <v>6233</v>
      </c>
      <c r="B369" s="5"/>
      <c r="C369" s="5"/>
      <c r="D369" s="5"/>
      <c r="E369" s="5"/>
      <c r="F369" s="5"/>
    </row>
    <row r="370" ht="42" customHeight="1" spans="1:6" x14ac:dyDescent="0.25">
      <c r="A370" s="6" t="s">
        <v>6234</v>
      </c>
      <c r="B370" s="6"/>
      <c r="C370" s="6"/>
      <c r="D370" s="6"/>
      <c r="E370" s="6"/>
      <c r="F370" s="6"/>
    </row>
    <row r="371" spans="1:6" x14ac:dyDescent="0.25">
      <c r="A371" t="s">
        <v>4044</v>
      </c>
      <c r="B371" t="s">
        <v>4045</v>
      </c>
      <c r="C371" t="s">
        <v>5</v>
      </c>
      <c r="D371" t="s">
        <v>4046</v>
      </c>
      <c r="E371" t="s">
        <v>4047</v>
      </c>
      <c r="F371" t="s">
        <v>4048</v>
      </c>
    </row>
    <row r="372" spans="1:6" x14ac:dyDescent="0.25">
      <c r="A372" t="s">
        <v>4062</v>
      </c>
      <c r="B372" t="s">
        <v>6235</v>
      </c>
      <c r="C372" t="s">
        <v>42</v>
      </c>
      <c r="D372" s="7">
        <v>1.05</v>
      </c>
      <c r="E372" s="2">
        <v>80685</v>
      </c>
      <c r="F372" s="2">
        <v>84719.25</v>
      </c>
    </row>
    <row r="373" spans="1:6" x14ac:dyDescent="0.25">
      <c r="A373" t="s">
        <v>4062</v>
      </c>
      <c r="B373" t="s">
        <v>6166</v>
      </c>
      <c r="C373" t="s">
        <v>63</v>
      </c>
      <c r="D373" s="7">
        <v>0</v>
      </c>
      <c r="E373" s="2">
        <v>19750</v>
      </c>
      <c r="F373" s="2">
        <v>73.15</v>
      </c>
    </row>
    <row r="374" spans="1:6" x14ac:dyDescent="0.25">
      <c r="A374" t="s">
        <v>4049</v>
      </c>
      <c r="B374" t="s">
        <v>4176</v>
      </c>
      <c r="C374" t="s">
        <v>4177</v>
      </c>
      <c r="D374" s="7">
        <v>0.02</v>
      </c>
      <c r="E374" s="2">
        <v>72300.17</v>
      </c>
      <c r="F374" s="2">
        <v>1205</v>
      </c>
    </row>
    <row r="375" spans="1:6" x14ac:dyDescent="0.25">
      <c r="A375" t="s">
        <v>4049</v>
      </c>
      <c r="B375" t="s">
        <v>4313</v>
      </c>
      <c r="C375" t="s">
        <v>4177</v>
      </c>
      <c r="D375" s="7">
        <v>0.02</v>
      </c>
      <c r="E375" s="2">
        <v>124137.15</v>
      </c>
      <c r="F375" s="2">
        <v>2068.95</v>
      </c>
    </row>
    <row r="376" spans="1:6" x14ac:dyDescent="0.25">
      <c r="A376" t="s">
        <v>4052</v>
      </c>
      <c r="B376" t="s">
        <v>4053</v>
      </c>
      <c r="C376" t="s">
        <v>4054</v>
      </c>
      <c r="D376" s="7">
        <v>3.5</v>
      </c>
      <c r="E376" s="2">
        <v>3273.95</v>
      </c>
      <c r="F376" s="2">
        <v>114.59</v>
      </c>
    </row>
    <row r="377" spans="1:6" x14ac:dyDescent="0.25">
      <c r="A377" t="s">
        <v>4055</v>
      </c>
      <c r="D377" s="7"/>
      <c r="E377" s="2"/>
      <c r="F377" s="2">
        <f>SUBTOTAL(109,A_2_01_35[VALOR PARCIAL])</f>
      </c>
    </row>
    <row r="379" ht="30" customHeight="1" spans="1:6" x14ac:dyDescent="0.25">
      <c r="A379" s="5" t="s">
        <v>6236</v>
      </c>
      <c r="B379" s="5"/>
      <c r="C379" s="5"/>
      <c r="D379" s="5"/>
      <c r="E379" s="5"/>
      <c r="F379" s="5"/>
    </row>
    <row r="380" ht="42" customHeight="1" spans="1:6" x14ac:dyDescent="0.25">
      <c r="A380" s="6" t="s">
        <v>6237</v>
      </c>
      <c r="B380" s="6"/>
      <c r="C380" s="6"/>
      <c r="D380" s="6"/>
      <c r="E380" s="6"/>
      <c r="F380" s="6"/>
    </row>
    <row r="381" spans="1:6" x14ac:dyDescent="0.25">
      <c r="A381" t="s">
        <v>4044</v>
      </c>
      <c r="B381" t="s">
        <v>4045</v>
      </c>
      <c r="C381" t="s">
        <v>5</v>
      </c>
      <c r="D381" t="s">
        <v>4046</v>
      </c>
      <c r="E381" t="s">
        <v>4047</v>
      </c>
      <c r="F381" t="s">
        <v>4048</v>
      </c>
    </row>
    <row r="382" spans="1:6" x14ac:dyDescent="0.25">
      <c r="A382" t="s">
        <v>4062</v>
      </c>
      <c r="B382" t="s">
        <v>6238</v>
      </c>
      <c r="C382" t="s">
        <v>42</v>
      </c>
      <c r="D382" s="7">
        <v>1.05</v>
      </c>
      <c r="E382" s="2">
        <v>66084</v>
      </c>
      <c r="F382" s="2">
        <v>69388.2</v>
      </c>
    </row>
    <row r="383" spans="1:6" x14ac:dyDescent="0.25">
      <c r="A383" t="s">
        <v>4062</v>
      </c>
      <c r="B383" t="s">
        <v>6166</v>
      </c>
      <c r="C383" t="s">
        <v>63</v>
      </c>
      <c r="D383" s="7">
        <v>0</v>
      </c>
      <c r="E383" s="2">
        <v>19750</v>
      </c>
      <c r="F383" s="2">
        <v>73.15</v>
      </c>
    </row>
    <row r="384" spans="1:6" x14ac:dyDescent="0.25">
      <c r="A384" t="s">
        <v>4049</v>
      </c>
      <c r="B384" t="s">
        <v>4176</v>
      </c>
      <c r="C384" t="s">
        <v>4177</v>
      </c>
      <c r="D384" s="7">
        <v>0.02</v>
      </c>
      <c r="E384" s="2">
        <v>72300.17</v>
      </c>
      <c r="F384" s="2">
        <v>1205</v>
      </c>
    </row>
    <row r="385" spans="1:6" x14ac:dyDescent="0.25">
      <c r="A385" t="s">
        <v>4049</v>
      </c>
      <c r="B385" t="s">
        <v>4313</v>
      </c>
      <c r="C385" t="s">
        <v>4177</v>
      </c>
      <c r="D385" s="7">
        <v>0.02</v>
      </c>
      <c r="E385" s="2">
        <v>124137.15</v>
      </c>
      <c r="F385" s="2">
        <v>2068.95</v>
      </c>
    </row>
    <row r="386" spans="1:6" x14ac:dyDescent="0.25">
      <c r="A386" t="s">
        <v>4052</v>
      </c>
      <c r="B386" t="s">
        <v>4053</v>
      </c>
      <c r="C386" t="s">
        <v>4054</v>
      </c>
      <c r="D386" s="7">
        <v>3.5</v>
      </c>
      <c r="E386" s="2">
        <v>3273.95</v>
      </c>
      <c r="F386" s="2">
        <v>114.59</v>
      </c>
    </row>
    <row r="387" spans="1:6" x14ac:dyDescent="0.25">
      <c r="A387" t="s">
        <v>4055</v>
      </c>
      <c r="D387" s="7"/>
      <c r="E387" s="2"/>
      <c r="F387" s="2">
        <f>SUBTOTAL(109,A_2_01_36[VALOR PARCIAL])</f>
      </c>
    </row>
    <row r="389" ht="30" customHeight="1" spans="1:6" x14ac:dyDescent="0.25">
      <c r="A389" s="5" t="s">
        <v>6239</v>
      </c>
      <c r="B389" s="5"/>
      <c r="C389" s="5"/>
      <c r="D389" s="5"/>
      <c r="E389" s="5"/>
      <c r="F389" s="5"/>
    </row>
    <row r="390" ht="42" customHeight="1" spans="1:6" x14ac:dyDescent="0.25">
      <c r="A390" s="6" t="s">
        <v>6240</v>
      </c>
      <c r="B390" s="6"/>
      <c r="C390" s="6"/>
      <c r="D390" s="6"/>
      <c r="E390" s="6"/>
      <c r="F390" s="6"/>
    </row>
    <row r="391" spans="1:6" x14ac:dyDescent="0.25">
      <c r="A391" t="s">
        <v>4044</v>
      </c>
      <c r="B391" t="s">
        <v>4045</v>
      </c>
      <c r="C391" t="s">
        <v>5</v>
      </c>
      <c r="D391" t="s">
        <v>4046</v>
      </c>
      <c r="E391" t="s">
        <v>4047</v>
      </c>
      <c r="F391" t="s">
        <v>4048</v>
      </c>
    </row>
    <row r="392" spans="1:6" x14ac:dyDescent="0.25">
      <c r="A392" t="s">
        <v>4062</v>
      </c>
      <c r="B392" t="s">
        <v>6241</v>
      </c>
      <c r="C392" t="s">
        <v>42</v>
      </c>
      <c r="D392" s="7">
        <v>1.05</v>
      </c>
      <c r="E392" s="2">
        <v>53911</v>
      </c>
      <c r="F392" s="2">
        <v>56606.55</v>
      </c>
    </row>
    <row r="393" spans="1:6" x14ac:dyDescent="0.25">
      <c r="A393" t="s">
        <v>4062</v>
      </c>
      <c r="B393" t="s">
        <v>6166</v>
      </c>
      <c r="C393" t="s">
        <v>63</v>
      </c>
      <c r="D393" s="7">
        <v>0</v>
      </c>
      <c r="E393" s="2">
        <v>19750</v>
      </c>
      <c r="F393" s="2">
        <v>73.15</v>
      </c>
    </row>
    <row r="394" spans="1:6" x14ac:dyDescent="0.25">
      <c r="A394" t="s">
        <v>4062</v>
      </c>
      <c r="B394" t="s">
        <v>6242</v>
      </c>
      <c r="C394" t="s">
        <v>42</v>
      </c>
      <c r="D394" s="7">
        <v>1.05</v>
      </c>
      <c r="E394" s="2">
        <v>136670</v>
      </c>
      <c r="F394" s="2">
        <v>143503.5</v>
      </c>
    </row>
    <row r="395" spans="1:6" x14ac:dyDescent="0.25">
      <c r="A395" t="s">
        <v>4062</v>
      </c>
      <c r="B395" t="s">
        <v>6166</v>
      </c>
      <c r="C395" t="s">
        <v>63</v>
      </c>
      <c r="D395" s="7">
        <v>0.01</v>
      </c>
      <c r="E395" s="2">
        <v>19750</v>
      </c>
      <c r="F395" s="2">
        <v>109.72</v>
      </c>
    </row>
    <row r="396" spans="1:6" x14ac:dyDescent="0.25">
      <c r="A396" t="s">
        <v>4049</v>
      </c>
      <c r="B396" t="s">
        <v>4176</v>
      </c>
      <c r="C396" t="s">
        <v>4177</v>
      </c>
      <c r="D396" s="7">
        <v>0.02</v>
      </c>
      <c r="E396" s="2">
        <v>72300.17</v>
      </c>
      <c r="F396" s="2">
        <v>1205</v>
      </c>
    </row>
    <row r="397" spans="1:6" x14ac:dyDescent="0.25">
      <c r="A397" t="s">
        <v>4049</v>
      </c>
      <c r="B397" t="s">
        <v>4313</v>
      </c>
      <c r="C397" t="s">
        <v>4177</v>
      </c>
      <c r="D397" s="7">
        <v>0.02</v>
      </c>
      <c r="E397" s="2">
        <v>124137.15</v>
      </c>
      <c r="F397" s="2">
        <v>2068.95</v>
      </c>
    </row>
    <row r="398" spans="1:6" x14ac:dyDescent="0.25">
      <c r="A398" t="s">
        <v>4052</v>
      </c>
      <c r="B398" t="s">
        <v>4053</v>
      </c>
      <c r="C398" t="s">
        <v>4054</v>
      </c>
      <c r="D398" s="7">
        <v>3.5</v>
      </c>
      <c r="E398" s="2">
        <v>3273.95</v>
      </c>
      <c r="F398" s="2">
        <v>114.59</v>
      </c>
    </row>
    <row r="399" spans="1:6" x14ac:dyDescent="0.25">
      <c r="A399" t="s">
        <v>4055</v>
      </c>
      <c r="D399" s="7"/>
      <c r="E399" s="2"/>
      <c r="F399" s="2">
        <f>SUBTOTAL(109,A_2_01_37[VALOR PARCIAL])</f>
      </c>
    </row>
    <row r="401" ht="30" customHeight="1" spans="1:6" x14ac:dyDescent="0.25">
      <c r="A401" s="5" t="s">
        <v>6243</v>
      </c>
      <c r="B401" s="5"/>
      <c r="C401" s="5"/>
      <c r="D401" s="5"/>
      <c r="E401" s="5"/>
      <c r="F401" s="5"/>
    </row>
    <row r="402" ht="42" customHeight="1" spans="1:6" x14ac:dyDescent="0.25">
      <c r="A402" s="6" t="s">
        <v>6244</v>
      </c>
      <c r="B402" s="6"/>
      <c r="C402" s="6"/>
      <c r="D402" s="6"/>
      <c r="E402" s="6"/>
      <c r="F402" s="6"/>
    </row>
    <row r="403" spans="1:6" x14ac:dyDescent="0.25">
      <c r="A403" t="s">
        <v>4044</v>
      </c>
      <c r="B403" t="s">
        <v>4045</v>
      </c>
      <c r="C403" t="s">
        <v>5</v>
      </c>
      <c r="D403" t="s">
        <v>4046</v>
      </c>
      <c r="E403" t="s">
        <v>4047</v>
      </c>
      <c r="F403" t="s">
        <v>4048</v>
      </c>
    </row>
    <row r="404" spans="1:6" x14ac:dyDescent="0.25">
      <c r="A404" t="s">
        <v>4062</v>
      </c>
      <c r="B404" t="s">
        <v>6245</v>
      </c>
      <c r="C404" t="s">
        <v>42</v>
      </c>
      <c r="D404" s="7">
        <v>1.05</v>
      </c>
      <c r="E404" s="2">
        <v>112423</v>
      </c>
      <c r="F404" s="2">
        <v>118044.15</v>
      </c>
    </row>
    <row r="405" spans="1:6" x14ac:dyDescent="0.25">
      <c r="A405" t="s">
        <v>4062</v>
      </c>
      <c r="B405" t="s">
        <v>6166</v>
      </c>
      <c r="C405" t="s">
        <v>63</v>
      </c>
      <c r="D405" s="7">
        <v>0.01</v>
      </c>
      <c r="E405" s="2">
        <v>19750</v>
      </c>
      <c r="F405" s="2">
        <v>109.72</v>
      </c>
    </row>
    <row r="406" spans="1:6" x14ac:dyDescent="0.25">
      <c r="A406" t="s">
        <v>4049</v>
      </c>
      <c r="B406" t="s">
        <v>4176</v>
      </c>
      <c r="C406" t="s">
        <v>4177</v>
      </c>
      <c r="D406" s="7">
        <v>0.02</v>
      </c>
      <c r="E406" s="2">
        <v>72300.17</v>
      </c>
      <c r="F406" s="2">
        <v>1205</v>
      </c>
    </row>
    <row r="407" spans="1:6" x14ac:dyDescent="0.25">
      <c r="A407" t="s">
        <v>4049</v>
      </c>
      <c r="B407" t="s">
        <v>4313</v>
      </c>
      <c r="C407" t="s">
        <v>4177</v>
      </c>
      <c r="D407" s="7">
        <v>0.02</v>
      </c>
      <c r="E407" s="2">
        <v>124137.15</v>
      </c>
      <c r="F407" s="2">
        <v>2068.95</v>
      </c>
    </row>
    <row r="408" spans="1:6" x14ac:dyDescent="0.25">
      <c r="A408" t="s">
        <v>4052</v>
      </c>
      <c r="B408" t="s">
        <v>4053</v>
      </c>
      <c r="C408" t="s">
        <v>4054</v>
      </c>
      <c r="D408" s="7">
        <v>3.5</v>
      </c>
      <c r="E408" s="2">
        <v>3273.95</v>
      </c>
      <c r="F408" s="2">
        <v>114.59</v>
      </c>
    </row>
    <row r="409" spans="1:6" x14ac:dyDescent="0.25">
      <c r="A409" t="s">
        <v>4055</v>
      </c>
      <c r="D409" s="7"/>
      <c r="E409" s="2"/>
      <c r="F409" s="2">
        <f>SUBTOTAL(109,A_2_01_39[VALOR PARCIAL])</f>
      </c>
    </row>
    <row r="411" ht="30" customHeight="1" spans="1:6" x14ac:dyDescent="0.25">
      <c r="A411" s="5" t="s">
        <v>6246</v>
      </c>
      <c r="B411" s="5"/>
      <c r="C411" s="5"/>
      <c r="D411" s="5"/>
      <c r="E411" s="5"/>
      <c r="F411" s="5"/>
    </row>
    <row r="412" ht="42" customHeight="1" spans="1:6" x14ac:dyDescent="0.25">
      <c r="A412" s="6" t="s">
        <v>6247</v>
      </c>
      <c r="B412" s="6"/>
      <c r="C412" s="6"/>
      <c r="D412" s="6"/>
      <c r="E412" s="6"/>
      <c r="F412" s="6"/>
    </row>
    <row r="413" spans="1:6" x14ac:dyDescent="0.25">
      <c r="A413" t="s">
        <v>4044</v>
      </c>
      <c r="B413" t="s">
        <v>4045</v>
      </c>
      <c r="C413" t="s">
        <v>5</v>
      </c>
      <c r="D413" t="s">
        <v>4046</v>
      </c>
      <c r="E413" t="s">
        <v>4047</v>
      </c>
      <c r="F413" t="s">
        <v>4048</v>
      </c>
    </row>
    <row r="414" spans="1:6" x14ac:dyDescent="0.25">
      <c r="A414" t="s">
        <v>4062</v>
      </c>
      <c r="B414" t="s">
        <v>6248</v>
      </c>
      <c r="C414" t="s">
        <v>42</v>
      </c>
      <c r="D414" s="7">
        <v>1.05</v>
      </c>
      <c r="E414" s="2">
        <v>91744</v>
      </c>
      <c r="F414" s="2">
        <v>96331.2</v>
      </c>
    </row>
    <row r="415" spans="1:6" x14ac:dyDescent="0.25">
      <c r="A415" t="s">
        <v>4062</v>
      </c>
      <c r="B415" t="s">
        <v>6166</v>
      </c>
      <c r="C415" t="s">
        <v>63</v>
      </c>
      <c r="D415" s="7">
        <v>0.01</v>
      </c>
      <c r="E415" s="2">
        <v>19750</v>
      </c>
      <c r="F415" s="2">
        <v>109.72</v>
      </c>
    </row>
    <row r="416" spans="1:6" x14ac:dyDescent="0.25">
      <c r="A416" t="s">
        <v>4049</v>
      </c>
      <c r="B416" t="s">
        <v>4176</v>
      </c>
      <c r="C416" t="s">
        <v>4177</v>
      </c>
      <c r="D416" s="7">
        <v>0.02</v>
      </c>
      <c r="E416" s="2">
        <v>72300.17</v>
      </c>
      <c r="F416" s="2">
        <v>1205</v>
      </c>
    </row>
    <row r="417" spans="1:6" x14ac:dyDescent="0.25">
      <c r="A417" t="s">
        <v>4049</v>
      </c>
      <c r="B417" t="s">
        <v>4313</v>
      </c>
      <c r="C417" t="s">
        <v>4177</v>
      </c>
      <c r="D417" s="7">
        <v>0.02</v>
      </c>
      <c r="E417" s="2">
        <v>124137.15</v>
      </c>
      <c r="F417" s="2">
        <v>2068.95</v>
      </c>
    </row>
    <row r="418" spans="1:6" x14ac:dyDescent="0.25">
      <c r="A418" t="s">
        <v>4052</v>
      </c>
      <c r="B418" t="s">
        <v>4053</v>
      </c>
      <c r="C418" t="s">
        <v>4054</v>
      </c>
      <c r="D418" s="7">
        <v>3.5</v>
      </c>
      <c r="E418" s="2">
        <v>3273.95</v>
      </c>
      <c r="F418" s="2">
        <v>114.59</v>
      </c>
    </row>
    <row r="419" spans="1:6" x14ac:dyDescent="0.25">
      <c r="A419" t="s">
        <v>4055</v>
      </c>
      <c r="D419" s="7"/>
      <c r="E419" s="2"/>
      <c r="F419" s="2">
        <f>SUBTOTAL(109,A_2_01_40[VALOR PARCIAL])</f>
      </c>
    </row>
    <row r="421" ht="30" customHeight="1" spans="1:6" x14ac:dyDescent="0.25">
      <c r="A421" s="5" t="s">
        <v>6249</v>
      </c>
      <c r="B421" s="5"/>
      <c r="C421" s="5"/>
      <c r="D421" s="5"/>
      <c r="E421" s="5"/>
      <c r="F421" s="5"/>
    </row>
    <row r="422" ht="42" customHeight="1" spans="1:6" x14ac:dyDescent="0.25">
      <c r="A422" s="6" t="s">
        <v>6250</v>
      </c>
      <c r="B422" s="6"/>
      <c r="C422" s="6"/>
      <c r="D422" s="6"/>
      <c r="E422" s="6"/>
      <c r="F422" s="6"/>
    </row>
    <row r="423" spans="1:6" x14ac:dyDescent="0.25">
      <c r="A423" t="s">
        <v>4044</v>
      </c>
      <c r="B423" t="s">
        <v>4045</v>
      </c>
      <c r="C423" t="s">
        <v>5</v>
      </c>
      <c r="D423" t="s">
        <v>4046</v>
      </c>
      <c r="E423" t="s">
        <v>4047</v>
      </c>
      <c r="F423" t="s">
        <v>4048</v>
      </c>
    </row>
    <row r="424" spans="1:6" x14ac:dyDescent="0.25">
      <c r="A424" t="s">
        <v>4062</v>
      </c>
      <c r="B424" t="s">
        <v>6251</v>
      </c>
      <c r="C424" t="s">
        <v>42</v>
      </c>
      <c r="D424" s="7">
        <v>1.05</v>
      </c>
      <c r="E424" s="2">
        <v>301030</v>
      </c>
      <c r="F424" s="2">
        <v>316081.5</v>
      </c>
    </row>
    <row r="425" spans="1:6" x14ac:dyDescent="0.25">
      <c r="A425" t="s">
        <v>4062</v>
      </c>
      <c r="B425" t="s">
        <v>6166</v>
      </c>
      <c r="C425" t="s">
        <v>63</v>
      </c>
      <c r="D425" s="7">
        <v>0.01</v>
      </c>
      <c r="E425" s="2">
        <v>19750</v>
      </c>
      <c r="F425" s="2">
        <v>247.67</v>
      </c>
    </row>
    <row r="426" spans="1:6" x14ac:dyDescent="0.25">
      <c r="A426" t="s">
        <v>4049</v>
      </c>
      <c r="B426" t="s">
        <v>4241</v>
      </c>
      <c r="C426" t="s">
        <v>4051</v>
      </c>
      <c r="D426" s="7">
        <v>0.22</v>
      </c>
      <c r="E426" s="2">
        <v>9941.22</v>
      </c>
      <c r="F426" s="2">
        <v>2153.93</v>
      </c>
    </row>
    <row r="427" spans="1:6" x14ac:dyDescent="0.25">
      <c r="A427" t="s">
        <v>4049</v>
      </c>
      <c r="B427" t="s">
        <v>4242</v>
      </c>
      <c r="C427" t="s">
        <v>4051</v>
      </c>
      <c r="D427" s="7">
        <v>0.02</v>
      </c>
      <c r="E427" s="2">
        <v>17069.53</v>
      </c>
      <c r="F427" s="2">
        <v>369.84</v>
      </c>
    </row>
    <row r="428" spans="1:6" x14ac:dyDescent="0.25">
      <c r="A428" t="s">
        <v>4052</v>
      </c>
      <c r="B428" t="s">
        <v>4053</v>
      </c>
      <c r="C428" t="s">
        <v>4054</v>
      </c>
      <c r="D428" s="7">
        <v>3.5</v>
      </c>
      <c r="E428" s="2">
        <v>2523.77</v>
      </c>
      <c r="F428" s="2">
        <v>88.33</v>
      </c>
    </row>
    <row r="429" spans="1:6" x14ac:dyDescent="0.25">
      <c r="A429" t="s">
        <v>4055</v>
      </c>
      <c r="D429" s="7"/>
      <c r="E429" s="2"/>
      <c r="F429" s="2">
        <f>SUBTOTAL(109,A_2_01_41[VALOR PARCIAL])</f>
      </c>
    </row>
    <row r="431" ht="30" customHeight="1" spans="1:6" x14ac:dyDescent="0.25">
      <c r="A431" s="5" t="s">
        <v>6252</v>
      </c>
      <c r="B431" s="5"/>
      <c r="C431" s="5"/>
      <c r="D431" s="5"/>
      <c r="E431" s="5"/>
      <c r="F431" s="5"/>
    </row>
    <row r="432" ht="42" customHeight="1" spans="1:6" x14ac:dyDescent="0.25">
      <c r="A432" s="6" t="s">
        <v>6253</v>
      </c>
      <c r="B432" s="6"/>
      <c r="C432" s="6"/>
      <c r="D432" s="6"/>
      <c r="E432" s="6"/>
      <c r="F432" s="6"/>
    </row>
    <row r="433" spans="1:6" x14ac:dyDescent="0.25">
      <c r="A433" t="s">
        <v>4044</v>
      </c>
      <c r="B433" t="s">
        <v>4045</v>
      </c>
      <c r="C433" t="s">
        <v>5</v>
      </c>
      <c r="D433" t="s">
        <v>4046</v>
      </c>
      <c r="E433" t="s">
        <v>4047</v>
      </c>
      <c r="F433" t="s">
        <v>4048</v>
      </c>
    </row>
    <row r="434" spans="1:6" x14ac:dyDescent="0.25">
      <c r="A434" t="s">
        <v>4062</v>
      </c>
      <c r="B434" t="s">
        <v>6254</v>
      </c>
      <c r="C434" t="s">
        <v>42</v>
      </c>
      <c r="D434" s="7">
        <v>1.05</v>
      </c>
      <c r="E434" s="2">
        <v>489981</v>
      </c>
      <c r="F434" s="2">
        <v>514480.05</v>
      </c>
    </row>
    <row r="435" spans="1:6" x14ac:dyDescent="0.25">
      <c r="A435" t="s">
        <v>4062</v>
      </c>
      <c r="B435" t="s">
        <v>6166</v>
      </c>
      <c r="C435" t="s">
        <v>63</v>
      </c>
      <c r="D435" s="7">
        <v>0.02</v>
      </c>
      <c r="E435" s="2">
        <v>19750</v>
      </c>
      <c r="F435" s="2">
        <v>432.13</v>
      </c>
    </row>
    <row r="436" spans="1:6" x14ac:dyDescent="0.25">
      <c r="A436" t="s">
        <v>4049</v>
      </c>
      <c r="B436" t="s">
        <v>4241</v>
      </c>
      <c r="C436" t="s">
        <v>4051</v>
      </c>
      <c r="D436" s="7">
        <v>0.22</v>
      </c>
      <c r="E436" s="2">
        <v>9941.22</v>
      </c>
      <c r="F436" s="2">
        <v>2153.92</v>
      </c>
    </row>
    <row r="437" spans="1:6" x14ac:dyDescent="0.25">
      <c r="A437" t="s">
        <v>4049</v>
      </c>
      <c r="B437" t="s">
        <v>4242</v>
      </c>
      <c r="C437" t="s">
        <v>4051</v>
      </c>
      <c r="D437" s="7">
        <v>0.22</v>
      </c>
      <c r="E437" s="2">
        <v>17069.53</v>
      </c>
      <c r="F437" s="2">
        <v>3698.39</v>
      </c>
    </row>
    <row r="438" spans="1:6" x14ac:dyDescent="0.25">
      <c r="A438" t="s">
        <v>4052</v>
      </c>
      <c r="B438" t="s">
        <v>4053</v>
      </c>
      <c r="C438" t="s">
        <v>4054</v>
      </c>
      <c r="D438" s="7">
        <v>3.5</v>
      </c>
      <c r="E438" s="2">
        <v>5852.31</v>
      </c>
      <c r="F438" s="2">
        <v>204.83</v>
      </c>
    </row>
    <row r="439" spans="1:6" x14ac:dyDescent="0.25">
      <c r="A439" t="s">
        <v>4055</v>
      </c>
      <c r="D439" s="7"/>
      <c r="E439" s="2"/>
      <c r="F439" s="2">
        <f>SUBTOTAL(109,A_2_01_42[VALOR PARCIAL])</f>
      </c>
    </row>
    <row r="441" ht="30" customHeight="1" spans="1:6" x14ac:dyDescent="0.25">
      <c r="A441" s="5" t="s">
        <v>6255</v>
      </c>
      <c r="B441" s="5"/>
      <c r="C441" s="5"/>
      <c r="D441" s="5"/>
      <c r="E441" s="5"/>
      <c r="F441" s="5"/>
    </row>
    <row r="442" ht="42" customHeight="1" spans="1:6" x14ac:dyDescent="0.25">
      <c r="A442" s="6" t="s">
        <v>6256</v>
      </c>
      <c r="B442" s="6"/>
      <c r="C442" s="6"/>
      <c r="D442" s="6"/>
      <c r="E442" s="6"/>
      <c r="F442" s="6"/>
    </row>
    <row r="443" spans="1:6" x14ac:dyDescent="0.25">
      <c r="A443" t="s">
        <v>4044</v>
      </c>
      <c r="B443" t="s">
        <v>4045</v>
      </c>
      <c r="C443" t="s">
        <v>5</v>
      </c>
      <c r="D443" t="s">
        <v>4046</v>
      </c>
      <c r="E443" t="s">
        <v>4047</v>
      </c>
      <c r="F443" t="s">
        <v>4048</v>
      </c>
    </row>
    <row r="444" spans="1:6" x14ac:dyDescent="0.25">
      <c r="A444" t="s">
        <v>4062</v>
      </c>
      <c r="B444" t="s">
        <v>6257</v>
      </c>
      <c r="C444" t="s">
        <v>42</v>
      </c>
      <c r="D444" s="7">
        <v>1.05</v>
      </c>
      <c r="E444" s="2">
        <v>10233</v>
      </c>
      <c r="F444" s="2">
        <v>10744.65</v>
      </c>
    </row>
    <row r="445" spans="1:6" x14ac:dyDescent="0.25">
      <c r="A445" t="s">
        <v>4062</v>
      </c>
      <c r="B445" t="s">
        <v>6166</v>
      </c>
      <c r="C445" t="s">
        <v>63</v>
      </c>
      <c r="D445" s="7">
        <v>0.03</v>
      </c>
      <c r="E445" s="2">
        <v>19750</v>
      </c>
      <c r="F445" s="2">
        <v>592.5</v>
      </c>
    </row>
    <row r="446" spans="1:6" x14ac:dyDescent="0.25">
      <c r="A446" t="s">
        <v>4049</v>
      </c>
      <c r="B446" t="s">
        <v>4241</v>
      </c>
      <c r="C446" t="s">
        <v>4051</v>
      </c>
      <c r="D446" s="7">
        <v>0.18</v>
      </c>
      <c r="E446" s="2">
        <v>9941.22</v>
      </c>
      <c r="F446" s="2">
        <v>1789.42</v>
      </c>
    </row>
    <row r="447" spans="1:6" x14ac:dyDescent="0.25">
      <c r="A447" t="s">
        <v>4049</v>
      </c>
      <c r="B447" t="s">
        <v>4242</v>
      </c>
      <c r="C447" t="s">
        <v>4051</v>
      </c>
      <c r="D447" s="7">
        <v>0.18</v>
      </c>
      <c r="E447" s="2">
        <v>17069.53</v>
      </c>
      <c r="F447" s="2">
        <v>3072.52</v>
      </c>
    </row>
    <row r="448" spans="1:6" x14ac:dyDescent="0.25">
      <c r="A448" t="s">
        <v>4052</v>
      </c>
      <c r="B448" t="s">
        <v>4053</v>
      </c>
      <c r="C448" t="s">
        <v>4054</v>
      </c>
      <c r="D448" s="7">
        <v>3.5</v>
      </c>
      <c r="E448" s="2">
        <v>4861.94</v>
      </c>
      <c r="F448" s="2">
        <v>170.17</v>
      </c>
    </row>
    <row r="449" spans="1:6" x14ac:dyDescent="0.25">
      <c r="A449" t="s">
        <v>4055</v>
      </c>
      <c r="D449" s="7"/>
      <c r="E449" s="2"/>
      <c r="F449" s="2">
        <f>SUBTOTAL(109,A_2_01_43[VALOR PARCIAL])</f>
      </c>
    </row>
    <row r="451" ht="30" customHeight="1" spans="1:6" x14ac:dyDescent="0.25">
      <c r="A451" s="5" t="s">
        <v>6258</v>
      </c>
      <c r="B451" s="5"/>
      <c r="C451" s="5"/>
      <c r="D451" s="5"/>
      <c r="E451" s="5"/>
      <c r="F451" s="5"/>
    </row>
    <row r="452" ht="42" customHeight="1" spans="1:6" x14ac:dyDescent="0.25">
      <c r="A452" s="6" t="s">
        <v>6259</v>
      </c>
      <c r="B452" s="6"/>
      <c r="C452" s="6"/>
      <c r="D452" s="6"/>
      <c r="E452" s="6"/>
      <c r="F452" s="6"/>
    </row>
    <row r="453" spans="1:6" x14ac:dyDescent="0.25">
      <c r="A453" t="s">
        <v>4044</v>
      </c>
      <c r="B453" t="s">
        <v>4045</v>
      </c>
      <c r="C453" t="s">
        <v>5</v>
      </c>
      <c r="D453" t="s">
        <v>4046</v>
      </c>
      <c r="E453" t="s">
        <v>4047</v>
      </c>
      <c r="F453" t="s">
        <v>4048</v>
      </c>
    </row>
    <row r="454" spans="1:6" x14ac:dyDescent="0.25">
      <c r="A454" t="s">
        <v>4062</v>
      </c>
      <c r="B454" t="s">
        <v>6260</v>
      </c>
      <c r="C454" t="s">
        <v>42</v>
      </c>
      <c r="D454" s="7">
        <v>1.05</v>
      </c>
      <c r="E454" s="2">
        <v>58220</v>
      </c>
      <c r="F454" s="2">
        <v>61131</v>
      </c>
    </row>
    <row r="455" spans="1:6" x14ac:dyDescent="0.25">
      <c r="A455" t="s">
        <v>4062</v>
      </c>
      <c r="B455" t="s">
        <v>6166</v>
      </c>
      <c r="C455" t="s">
        <v>63</v>
      </c>
      <c r="D455" s="7">
        <v>0</v>
      </c>
      <c r="E455" s="2">
        <v>19750</v>
      </c>
      <c r="F455" s="2">
        <v>18.29</v>
      </c>
    </row>
    <row r="456" spans="1:6" x14ac:dyDescent="0.25">
      <c r="A456" t="s">
        <v>4049</v>
      </c>
      <c r="B456" t="s">
        <v>4241</v>
      </c>
      <c r="C456" t="s">
        <v>4051</v>
      </c>
      <c r="D456" s="7">
        <v>0.05</v>
      </c>
      <c r="E456" s="2">
        <v>9941.22</v>
      </c>
      <c r="F456" s="2">
        <v>497.06</v>
      </c>
    </row>
    <row r="457" spans="1:6" x14ac:dyDescent="0.25">
      <c r="A457" t="s">
        <v>4049</v>
      </c>
      <c r="B457" t="s">
        <v>4242</v>
      </c>
      <c r="C457" t="s">
        <v>4051</v>
      </c>
      <c r="D457" s="7">
        <v>0.05</v>
      </c>
      <c r="E457" s="2">
        <v>17069.53</v>
      </c>
      <c r="F457" s="2">
        <v>853.48</v>
      </c>
    </row>
    <row r="458" spans="1:6" x14ac:dyDescent="0.25">
      <c r="A458" t="s">
        <v>4052</v>
      </c>
      <c r="B458" t="s">
        <v>4053</v>
      </c>
      <c r="C458" t="s">
        <v>4054</v>
      </c>
      <c r="D458" s="7">
        <v>3.5</v>
      </c>
      <c r="E458" s="2">
        <v>1350.54</v>
      </c>
      <c r="F458" s="2">
        <v>47.27</v>
      </c>
    </row>
    <row r="459" spans="1:6" x14ac:dyDescent="0.25">
      <c r="A459" t="s">
        <v>4055</v>
      </c>
      <c r="D459" s="7"/>
      <c r="E459" s="2"/>
      <c r="F459" s="2">
        <f>SUBTOTAL(109,A_2_01_44[VALOR PARCIAL])</f>
      </c>
    </row>
    <row r="461" ht="30" customHeight="1" spans="1:6" x14ac:dyDescent="0.25">
      <c r="A461" s="5" t="s">
        <v>6261</v>
      </c>
      <c r="B461" s="5"/>
      <c r="C461" s="5"/>
      <c r="D461" s="5"/>
      <c r="E461" s="5"/>
      <c r="F461" s="5"/>
    </row>
    <row r="462" ht="42" customHeight="1" spans="1:6" x14ac:dyDescent="0.25">
      <c r="A462" s="6" t="s">
        <v>6262</v>
      </c>
      <c r="B462" s="6"/>
      <c r="C462" s="6"/>
      <c r="D462" s="6"/>
      <c r="E462" s="6"/>
      <c r="F462" s="6"/>
    </row>
    <row r="463" spans="1:6" x14ac:dyDescent="0.25">
      <c r="A463" t="s">
        <v>4044</v>
      </c>
      <c r="B463" t="s">
        <v>4045</v>
      </c>
      <c r="C463" t="s">
        <v>5</v>
      </c>
      <c r="D463" t="s">
        <v>4046</v>
      </c>
      <c r="E463" t="s">
        <v>4047</v>
      </c>
      <c r="F463" t="s">
        <v>4048</v>
      </c>
    </row>
    <row r="464" spans="1:6" x14ac:dyDescent="0.25">
      <c r="A464" t="s">
        <v>4062</v>
      </c>
      <c r="B464" t="s">
        <v>6263</v>
      </c>
      <c r="C464" t="s">
        <v>42</v>
      </c>
      <c r="D464" s="7">
        <v>1.05</v>
      </c>
      <c r="E464" s="2">
        <v>41778</v>
      </c>
      <c r="F464" s="2">
        <v>43866.9</v>
      </c>
    </row>
    <row r="465" spans="1:6" x14ac:dyDescent="0.25">
      <c r="A465" t="s">
        <v>4062</v>
      </c>
      <c r="B465" t="s">
        <v>6166</v>
      </c>
      <c r="C465" t="s">
        <v>63</v>
      </c>
      <c r="D465" s="7">
        <v>0</v>
      </c>
      <c r="E465" s="2">
        <v>19750</v>
      </c>
      <c r="F465" s="2">
        <v>18.29</v>
      </c>
    </row>
    <row r="466" spans="1:6" x14ac:dyDescent="0.25">
      <c r="A466" t="s">
        <v>4049</v>
      </c>
      <c r="B466" t="s">
        <v>4241</v>
      </c>
      <c r="C466" t="s">
        <v>4051</v>
      </c>
      <c r="D466" s="7">
        <v>0.05</v>
      </c>
      <c r="E466" s="2">
        <v>9941.22</v>
      </c>
      <c r="F466" s="2">
        <v>497.06</v>
      </c>
    </row>
    <row r="467" spans="1:6" x14ac:dyDescent="0.25">
      <c r="A467" t="s">
        <v>4049</v>
      </c>
      <c r="B467" t="s">
        <v>4073</v>
      </c>
      <c r="C467" t="s">
        <v>4051</v>
      </c>
      <c r="D467" s="7">
        <v>0.05</v>
      </c>
      <c r="E467" s="2">
        <v>15517.89</v>
      </c>
      <c r="F467" s="2">
        <v>775.89</v>
      </c>
    </row>
    <row r="468" spans="1:6" x14ac:dyDescent="0.25">
      <c r="A468" t="s">
        <v>4052</v>
      </c>
      <c r="B468" t="s">
        <v>4053</v>
      </c>
      <c r="C468" t="s">
        <v>4054</v>
      </c>
      <c r="D468" s="7">
        <v>3.5</v>
      </c>
      <c r="E468" s="2">
        <v>1272.95</v>
      </c>
      <c r="F468" s="2">
        <v>44.55</v>
      </c>
    </row>
    <row r="469" spans="1:6" x14ac:dyDescent="0.25">
      <c r="A469" t="s">
        <v>4055</v>
      </c>
      <c r="D469" s="7"/>
      <c r="E469" s="2"/>
      <c r="F469" s="2">
        <f>SUBTOTAL(109,A_2_01_45[VALOR PARCIAL])</f>
      </c>
    </row>
    <row r="471" ht="30" customHeight="1" spans="1:6" x14ac:dyDescent="0.25">
      <c r="A471" s="5" t="s">
        <v>6264</v>
      </c>
      <c r="B471" s="5"/>
      <c r="C471" s="5"/>
      <c r="D471" s="5"/>
      <c r="E471" s="5"/>
      <c r="F471" s="5"/>
    </row>
    <row r="472" ht="42" customHeight="1" spans="1:6" x14ac:dyDescent="0.25">
      <c r="A472" s="6" t="s">
        <v>6265</v>
      </c>
      <c r="B472" s="6"/>
      <c r="C472" s="6"/>
      <c r="D472" s="6"/>
      <c r="E472" s="6"/>
      <c r="F472" s="6"/>
    </row>
    <row r="473" spans="1:6" x14ac:dyDescent="0.25">
      <c r="A473" t="s">
        <v>4044</v>
      </c>
      <c r="B473" t="s">
        <v>4045</v>
      </c>
      <c r="C473" t="s">
        <v>5</v>
      </c>
      <c r="D473" t="s">
        <v>4046</v>
      </c>
      <c r="E473" t="s">
        <v>4047</v>
      </c>
      <c r="F473" t="s">
        <v>4048</v>
      </c>
    </row>
    <row r="474" spans="1:6" x14ac:dyDescent="0.25">
      <c r="A474" t="s">
        <v>4062</v>
      </c>
      <c r="B474" t="s">
        <v>6217</v>
      </c>
      <c r="C474" t="s">
        <v>42</v>
      </c>
      <c r="D474" s="7">
        <v>1.05</v>
      </c>
      <c r="E474" s="2">
        <v>22397</v>
      </c>
      <c r="F474" s="2">
        <v>23516.85</v>
      </c>
    </row>
    <row r="475" spans="1:6" x14ac:dyDescent="0.25">
      <c r="A475" t="s">
        <v>4062</v>
      </c>
      <c r="B475" t="s">
        <v>4659</v>
      </c>
      <c r="C475" t="s">
        <v>4377</v>
      </c>
      <c r="D475" s="7">
        <v>0.02</v>
      </c>
      <c r="E475" s="2">
        <v>31500</v>
      </c>
      <c r="F475" s="2">
        <v>526.05</v>
      </c>
    </row>
    <row r="476" spans="1:6" x14ac:dyDescent="0.25">
      <c r="A476" t="s">
        <v>4062</v>
      </c>
      <c r="B476" t="s">
        <v>4376</v>
      </c>
      <c r="C476" t="s">
        <v>4377</v>
      </c>
      <c r="D476" s="7">
        <v>0.02</v>
      </c>
      <c r="E476" s="2">
        <v>72237.67</v>
      </c>
      <c r="F476" s="2">
        <v>1206.37</v>
      </c>
    </row>
    <row r="477" spans="1:6" x14ac:dyDescent="0.25">
      <c r="A477" t="s">
        <v>4049</v>
      </c>
      <c r="B477" t="s">
        <v>4241</v>
      </c>
      <c r="C477" t="s">
        <v>4051</v>
      </c>
      <c r="D477" s="7">
        <v>0.2</v>
      </c>
      <c r="E477" s="2">
        <v>9941.22</v>
      </c>
      <c r="F477" s="2">
        <v>1988.24</v>
      </c>
    </row>
    <row r="478" spans="1:6" x14ac:dyDescent="0.25">
      <c r="A478" t="s">
        <v>4049</v>
      </c>
      <c r="B478" t="s">
        <v>4242</v>
      </c>
      <c r="C478" t="s">
        <v>4051</v>
      </c>
      <c r="D478" s="7">
        <v>0.2</v>
      </c>
      <c r="E478" s="2">
        <v>17069.53</v>
      </c>
      <c r="F478" s="2">
        <v>3413.91</v>
      </c>
    </row>
    <row r="479" spans="1:6" x14ac:dyDescent="0.25">
      <c r="A479" t="s">
        <v>4052</v>
      </c>
      <c r="B479" t="s">
        <v>4053</v>
      </c>
      <c r="C479" t="s">
        <v>4054</v>
      </c>
      <c r="D479" s="7">
        <v>3.5</v>
      </c>
      <c r="E479" s="2">
        <v>5402.15</v>
      </c>
      <c r="F479" s="2">
        <v>189.08</v>
      </c>
    </row>
    <row r="480" spans="1:6" x14ac:dyDescent="0.25">
      <c r="A480" t="s">
        <v>4055</v>
      </c>
      <c r="D480" s="7"/>
      <c r="E480" s="2"/>
      <c r="F480" s="2">
        <f>SUBTOTAL(109,A_2_01_46[VALOR PARCIAL])</f>
      </c>
    </row>
    <row r="482" ht="30" customHeight="1" spans="1:6" x14ac:dyDescent="0.25">
      <c r="A482" s="5" t="s">
        <v>6266</v>
      </c>
      <c r="B482" s="5"/>
      <c r="C482" s="5"/>
      <c r="D482" s="5"/>
      <c r="E482" s="5"/>
      <c r="F482" s="5"/>
    </row>
    <row r="483" ht="42" customHeight="1" spans="1:6" x14ac:dyDescent="0.25">
      <c r="A483" s="6" t="s">
        <v>6267</v>
      </c>
      <c r="B483" s="6"/>
      <c r="C483" s="6"/>
      <c r="D483" s="6"/>
      <c r="E483" s="6"/>
      <c r="F483" s="6"/>
    </row>
    <row r="484" spans="1:6" x14ac:dyDescent="0.25">
      <c r="A484" t="s">
        <v>4044</v>
      </c>
      <c r="B484" t="s">
        <v>4045</v>
      </c>
      <c r="C484" t="s">
        <v>5</v>
      </c>
      <c r="D484" t="s">
        <v>4046</v>
      </c>
      <c r="E484" t="s">
        <v>4047</v>
      </c>
      <c r="F484" t="s">
        <v>4048</v>
      </c>
    </row>
    <row r="485" spans="1:6" x14ac:dyDescent="0.25">
      <c r="A485" t="s">
        <v>4062</v>
      </c>
      <c r="B485" t="s">
        <v>6268</v>
      </c>
      <c r="C485" t="s">
        <v>42</v>
      </c>
      <c r="D485" s="7">
        <v>1.05</v>
      </c>
      <c r="E485" s="2">
        <v>95190</v>
      </c>
      <c r="F485" s="2">
        <v>99949.5</v>
      </c>
    </row>
    <row r="486" spans="1:6" x14ac:dyDescent="0.25">
      <c r="A486" t="s">
        <v>4062</v>
      </c>
      <c r="B486" t="s">
        <v>6166</v>
      </c>
      <c r="C486" t="s">
        <v>63</v>
      </c>
      <c r="D486" s="7">
        <v>0</v>
      </c>
      <c r="E486" s="2">
        <v>19750</v>
      </c>
      <c r="F486" s="2">
        <v>32.92</v>
      </c>
    </row>
    <row r="487" spans="1:6" x14ac:dyDescent="0.25">
      <c r="A487" t="s">
        <v>4049</v>
      </c>
      <c r="B487" t="s">
        <v>4241</v>
      </c>
      <c r="C487" t="s">
        <v>4051</v>
      </c>
      <c r="D487" s="7">
        <v>0.05</v>
      </c>
      <c r="E487" s="2">
        <v>9941.22</v>
      </c>
      <c r="F487" s="2">
        <v>497.06</v>
      </c>
    </row>
    <row r="488" spans="1:6" x14ac:dyDescent="0.25">
      <c r="A488" t="s">
        <v>4049</v>
      </c>
      <c r="B488" t="s">
        <v>4242</v>
      </c>
      <c r="C488" t="s">
        <v>4051</v>
      </c>
      <c r="D488" s="7">
        <v>0.05</v>
      </c>
      <c r="E488" s="2">
        <v>17069.53</v>
      </c>
      <c r="F488" s="2">
        <v>853.48</v>
      </c>
    </row>
    <row r="489" spans="1:6" x14ac:dyDescent="0.25">
      <c r="A489" t="s">
        <v>4052</v>
      </c>
      <c r="B489" t="s">
        <v>4053</v>
      </c>
      <c r="C489" t="s">
        <v>4054</v>
      </c>
      <c r="D489" s="7">
        <v>3.5</v>
      </c>
      <c r="E489" s="2">
        <v>1350.54</v>
      </c>
      <c r="F489" s="2">
        <v>47.27</v>
      </c>
    </row>
    <row r="490" spans="1:6" x14ac:dyDescent="0.25">
      <c r="A490" t="s">
        <v>4055</v>
      </c>
      <c r="D490" s="7"/>
      <c r="E490" s="2"/>
      <c r="F490" s="2">
        <f>SUBTOTAL(109,A_2_01_47[VALOR PARCIAL])</f>
      </c>
    </row>
    <row r="492" ht="30" customHeight="1" spans="1:6" x14ac:dyDescent="0.25">
      <c r="A492" s="5" t="s">
        <v>6269</v>
      </c>
      <c r="B492" s="5"/>
      <c r="C492" s="5"/>
      <c r="D492" s="5"/>
      <c r="E492" s="5"/>
      <c r="F492" s="5"/>
    </row>
    <row r="493" ht="42" customHeight="1" spans="1:6" x14ac:dyDescent="0.25">
      <c r="A493" s="6" t="s">
        <v>6270</v>
      </c>
      <c r="B493" s="6"/>
      <c r="C493" s="6"/>
      <c r="D493" s="6"/>
      <c r="E493" s="6"/>
      <c r="F493" s="6"/>
    </row>
    <row r="494" spans="1:6" x14ac:dyDescent="0.25">
      <c r="A494" t="s">
        <v>4044</v>
      </c>
      <c r="B494" t="s">
        <v>4045</v>
      </c>
      <c r="C494" t="s">
        <v>5</v>
      </c>
      <c r="D494" t="s">
        <v>4046</v>
      </c>
      <c r="E494" t="s">
        <v>4047</v>
      </c>
      <c r="F494" t="s">
        <v>4048</v>
      </c>
    </row>
    <row r="495" spans="1:6" x14ac:dyDescent="0.25">
      <c r="A495" t="s">
        <v>4062</v>
      </c>
      <c r="B495" t="s">
        <v>6271</v>
      </c>
      <c r="C495" t="s">
        <v>42</v>
      </c>
      <c r="D495" s="7">
        <v>1.05</v>
      </c>
      <c r="E495" s="2">
        <v>66841</v>
      </c>
      <c r="F495" s="2">
        <v>70183.05</v>
      </c>
    </row>
    <row r="496" spans="1:6" x14ac:dyDescent="0.25">
      <c r="A496" t="s">
        <v>4062</v>
      </c>
      <c r="B496" t="s">
        <v>6166</v>
      </c>
      <c r="C496" t="s">
        <v>63</v>
      </c>
      <c r="D496" s="7">
        <v>0</v>
      </c>
      <c r="E496" s="2">
        <v>19750</v>
      </c>
      <c r="F496" s="2">
        <v>32.92</v>
      </c>
    </row>
    <row r="497" spans="1:6" x14ac:dyDescent="0.25">
      <c r="A497" t="s">
        <v>4049</v>
      </c>
      <c r="B497" t="s">
        <v>4241</v>
      </c>
      <c r="C497" t="s">
        <v>4051</v>
      </c>
      <c r="D497" s="7">
        <v>0.05</v>
      </c>
      <c r="E497" s="2">
        <v>9941.22</v>
      </c>
      <c r="F497" s="2">
        <v>497.06</v>
      </c>
    </row>
    <row r="498" spans="1:6" x14ac:dyDescent="0.25">
      <c r="A498" t="s">
        <v>4049</v>
      </c>
      <c r="B498" t="s">
        <v>4242</v>
      </c>
      <c r="C498" t="s">
        <v>4051</v>
      </c>
      <c r="D498" s="7">
        <v>0.05</v>
      </c>
      <c r="E498" s="2">
        <v>17069.53</v>
      </c>
      <c r="F498" s="2">
        <v>853.48</v>
      </c>
    </row>
    <row r="499" spans="1:6" x14ac:dyDescent="0.25">
      <c r="A499" t="s">
        <v>4052</v>
      </c>
      <c r="B499" t="s">
        <v>4053</v>
      </c>
      <c r="C499" t="s">
        <v>4054</v>
      </c>
      <c r="D499" s="7">
        <v>3.5</v>
      </c>
      <c r="E499" s="2">
        <v>1350.54</v>
      </c>
      <c r="F499" s="2">
        <v>47.27</v>
      </c>
    </row>
    <row r="500" spans="1:6" x14ac:dyDescent="0.25">
      <c r="A500" t="s">
        <v>4055</v>
      </c>
      <c r="D500" s="7"/>
      <c r="E500" s="2"/>
      <c r="F500" s="2">
        <f>SUBTOTAL(109,A_2_01_48[VALOR PARCIAL])</f>
      </c>
    </row>
    <row r="502" ht="30" customHeight="1" spans="1:6" x14ac:dyDescent="0.25">
      <c r="A502" s="5" t="s">
        <v>6272</v>
      </c>
      <c r="B502" s="5"/>
      <c r="C502" s="5"/>
      <c r="D502" s="5"/>
      <c r="E502" s="5"/>
      <c r="F502" s="5"/>
    </row>
    <row r="503" ht="42" customHeight="1" spans="1:6" x14ac:dyDescent="0.25">
      <c r="A503" s="6" t="s">
        <v>6273</v>
      </c>
      <c r="B503" s="6"/>
      <c r="C503" s="6"/>
      <c r="D503" s="6"/>
      <c r="E503" s="6"/>
      <c r="F503" s="6"/>
    </row>
    <row r="504" spans="1:6" x14ac:dyDescent="0.25">
      <c r="A504" t="s">
        <v>4044</v>
      </c>
      <c r="B504" t="s">
        <v>4045</v>
      </c>
      <c r="C504" t="s">
        <v>5</v>
      </c>
      <c r="D504" t="s">
        <v>4046</v>
      </c>
      <c r="E504" t="s">
        <v>4047</v>
      </c>
      <c r="F504" t="s">
        <v>4048</v>
      </c>
    </row>
    <row r="505" spans="1:6" x14ac:dyDescent="0.25">
      <c r="A505" t="s">
        <v>4062</v>
      </c>
      <c r="B505" t="s">
        <v>6226</v>
      </c>
      <c r="C505" t="s">
        <v>42</v>
      </c>
      <c r="D505" s="7">
        <v>1.05</v>
      </c>
      <c r="E505" s="2">
        <v>36953</v>
      </c>
      <c r="F505" s="2">
        <v>38800.65</v>
      </c>
    </row>
    <row r="506" spans="1:6" x14ac:dyDescent="0.25">
      <c r="A506" t="s">
        <v>4062</v>
      </c>
      <c r="B506" t="s">
        <v>4659</v>
      </c>
      <c r="C506" t="s">
        <v>4377</v>
      </c>
      <c r="D506" s="7">
        <v>0.03</v>
      </c>
      <c r="E506" s="2">
        <v>31500</v>
      </c>
      <c r="F506" s="2">
        <v>787.5</v>
      </c>
    </row>
    <row r="507" spans="1:6" x14ac:dyDescent="0.25">
      <c r="A507" t="s">
        <v>4062</v>
      </c>
      <c r="B507" t="s">
        <v>4376</v>
      </c>
      <c r="C507" t="s">
        <v>4377</v>
      </c>
      <c r="D507" s="7">
        <v>0.03</v>
      </c>
      <c r="E507" s="2">
        <v>72237.67</v>
      </c>
      <c r="F507" s="2">
        <v>1805.94</v>
      </c>
    </row>
    <row r="508" spans="1:6" x14ac:dyDescent="0.25">
      <c r="A508" t="s">
        <v>4049</v>
      </c>
      <c r="B508" t="s">
        <v>4241</v>
      </c>
      <c r="C508" t="s">
        <v>4051</v>
      </c>
      <c r="D508" s="7">
        <v>0.75</v>
      </c>
      <c r="E508" s="2">
        <v>9941.22</v>
      </c>
      <c r="F508" s="2">
        <v>7455.91</v>
      </c>
    </row>
    <row r="509" spans="1:6" x14ac:dyDescent="0.25">
      <c r="A509" t="s">
        <v>4049</v>
      </c>
      <c r="B509" t="s">
        <v>4242</v>
      </c>
      <c r="C509" t="s">
        <v>4051</v>
      </c>
      <c r="D509" s="7">
        <v>0.75</v>
      </c>
      <c r="E509" s="2">
        <v>17069.53</v>
      </c>
      <c r="F509" s="2">
        <v>12802.15</v>
      </c>
    </row>
    <row r="510" spans="1:6" x14ac:dyDescent="0.25">
      <c r="A510" t="s">
        <v>4052</v>
      </c>
      <c r="B510" t="s">
        <v>4053</v>
      </c>
      <c r="C510" t="s">
        <v>4054</v>
      </c>
      <c r="D510" s="7">
        <v>3.5</v>
      </c>
      <c r="E510" s="2">
        <v>20258.06</v>
      </c>
      <c r="F510" s="2">
        <v>709.03</v>
      </c>
    </row>
    <row r="511" spans="1:6" x14ac:dyDescent="0.25">
      <c r="A511" t="s">
        <v>4055</v>
      </c>
      <c r="D511" s="7"/>
      <c r="E511" s="2"/>
      <c r="F511" s="2">
        <f>SUBTOTAL(109,A_2_01_49[VALOR PARCIAL])</f>
      </c>
    </row>
    <row r="513" ht="30" customHeight="1" spans="1:6" x14ac:dyDescent="0.25">
      <c r="A513" s="5" t="s">
        <v>6274</v>
      </c>
      <c r="B513" s="5"/>
      <c r="C513" s="5"/>
      <c r="D513" s="5"/>
      <c r="E513" s="5"/>
      <c r="F513" s="5"/>
    </row>
    <row r="514" ht="42" customHeight="1" spans="1:6" x14ac:dyDescent="0.25">
      <c r="A514" s="6" t="s">
        <v>6275</v>
      </c>
      <c r="B514" s="6"/>
      <c r="C514" s="6"/>
      <c r="D514" s="6"/>
      <c r="E514" s="6"/>
      <c r="F514" s="6"/>
    </row>
    <row r="515" spans="1:6" x14ac:dyDescent="0.25">
      <c r="A515" t="s">
        <v>4044</v>
      </c>
      <c r="B515" t="s">
        <v>4045</v>
      </c>
      <c r="C515" t="s">
        <v>5</v>
      </c>
      <c r="D515" t="s">
        <v>4046</v>
      </c>
      <c r="E515" t="s">
        <v>4047</v>
      </c>
      <c r="F515" t="s">
        <v>4048</v>
      </c>
    </row>
    <row r="516" spans="1:6" x14ac:dyDescent="0.25">
      <c r="A516" t="s">
        <v>4062</v>
      </c>
      <c r="B516" t="s">
        <v>6276</v>
      </c>
      <c r="C516" t="s">
        <v>42</v>
      </c>
      <c r="D516" s="7">
        <v>1.05</v>
      </c>
      <c r="E516" s="2">
        <v>211241</v>
      </c>
      <c r="F516" s="2">
        <v>221803.05</v>
      </c>
    </row>
    <row r="517" spans="1:6" x14ac:dyDescent="0.25">
      <c r="A517" t="s">
        <v>4062</v>
      </c>
      <c r="B517" t="s">
        <v>6166</v>
      </c>
      <c r="C517" t="s">
        <v>63</v>
      </c>
      <c r="D517" s="7">
        <v>0</v>
      </c>
      <c r="E517" s="2">
        <v>19750</v>
      </c>
      <c r="F517" s="2">
        <v>73.15</v>
      </c>
    </row>
    <row r="518" spans="1:6" x14ac:dyDescent="0.25">
      <c r="A518" t="s">
        <v>4049</v>
      </c>
      <c r="B518" t="s">
        <v>4241</v>
      </c>
      <c r="C518" t="s">
        <v>4051</v>
      </c>
      <c r="D518" s="7">
        <v>0.13</v>
      </c>
      <c r="E518" s="2">
        <v>9941.22</v>
      </c>
      <c r="F518" s="2">
        <v>1325.5</v>
      </c>
    </row>
    <row r="519" spans="1:6" x14ac:dyDescent="0.25">
      <c r="A519" t="s">
        <v>4049</v>
      </c>
      <c r="B519" t="s">
        <v>4242</v>
      </c>
      <c r="C519" t="s">
        <v>4051</v>
      </c>
      <c r="D519" s="7">
        <v>0.13</v>
      </c>
      <c r="E519" s="2">
        <v>17069.53</v>
      </c>
      <c r="F519" s="2">
        <v>2275.93</v>
      </c>
    </row>
    <row r="520" spans="1:6" x14ac:dyDescent="0.25">
      <c r="A520" t="s">
        <v>4052</v>
      </c>
      <c r="B520" t="s">
        <v>4053</v>
      </c>
      <c r="C520" t="s">
        <v>4054</v>
      </c>
      <c r="D520" s="7">
        <v>3.5</v>
      </c>
      <c r="E520" s="2">
        <v>3601.43</v>
      </c>
      <c r="F520" s="2">
        <v>126.05</v>
      </c>
    </row>
    <row r="521" spans="1:6" x14ac:dyDescent="0.25">
      <c r="A521" t="s">
        <v>4055</v>
      </c>
      <c r="D521" s="7"/>
      <c r="E521" s="2"/>
      <c r="F521" s="2">
        <f>SUBTOTAL(109,A_2_01_50[VALOR PARCIAL])</f>
      </c>
    </row>
    <row r="523" ht="30" customHeight="1" spans="1:6" x14ac:dyDescent="0.25">
      <c r="A523" s="5" t="s">
        <v>6277</v>
      </c>
      <c r="B523" s="5"/>
      <c r="C523" s="5"/>
      <c r="D523" s="5"/>
      <c r="E523" s="5"/>
      <c r="F523" s="5"/>
    </row>
    <row r="524" ht="42" customHeight="1" spans="1:6" x14ac:dyDescent="0.25">
      <c r="A524" s="6" t="s">
        <v>6278</v>
      </c>
      <c r="B524" s="6"/>
      <c r="C524" s="6"/>
      <c r="D524" s="6"/>
      <c r="E524" s="6"/>
      <c r="F524" s="6"/>
    </row>
    <row r="525" spans="1:6" x14ac:dyDescent="0.25">
      <c r="A525" t="s">
        <v>4044</v>
      </c>
      <c r="B525" t="s">
        <v>4045</v>
      </c>
      <c r="C525" t="s">
        <v>5</v>
      </c>
      <c r="D525" t="s">
        <v>4046</v>
      </c>
      <c r="E525" t="s">
        <v>4047</v>
      </c>
      <c r="F525" t="s">
        <v>4048</v>
      </c>
    </row>
    <row r="526" spans="1:6" x14ac:dyDescent="0.25">
      <c r="A526" t="s">
        <v>4062</v>
      </c>
      <c r="B526" t="s">
        <v>6279</v>
      </c>
      <c r="C526" t="s">
        <v>42</v>
      </c>
      <c r="D526" s="7">
        <v>1.05</v>
      </c>
      <c r="E526" s="2">
        <v>161989</v>
      </c>
      <c r="F526" s="2">
        <v>170088.45</v>
      </c>
    </row>
    <row r="527" spans="1:6" x14ac:dyDescent="0.25">
      <c r="A527" t="s">
        <v>4062</v>
      </c>
      <c r="B527" t="s">
        <v>6166</v>
      </c>
      <c r="C527" t="s">
        <v>63</v>
      </c>
      <c r="D527" s="7">
        <v>0</v>
      </c>
      <c r="E527" s="2">
        <v>19750</v>
      </c>
      <c r="F527" s="2">
        <v>73.15</v>
      </c>
    </row>
    <row r="528" spans="1:6" x14ac:dyDescent="0.25">
      <c r="A528" t="s">
        <v>4049</v>
      </c>
      <c r="B528" t="s">
        <v>4241</v>
      </c>
      <c r="C528" t="s">
        <v>4051</v>
      </c>
      <c r="D528" s="7">
        <v>0.13</v>
      </c>
      <c r="E528" s="2">
        <v>9941.22</v>
      </c>
      <c r="F528" s="2">
        <v>1325.49</v>
      </c>
    </row>
    <row r="529" spans="1:6" x14ac:dyDescent="0.25">
      <c r="A529" t="s">
        <v>4049</v>
      </c>
      <c r="B529" t="s">
        <v>4242</v>
      </c>
      <c r="C529" t="s">
        <v>4051</v>
      </c>
      <c r="D529" s="7">
        <v>0.13</v>
      </c>
      <c r="E529" s="2">
        <v>17069.53</v>
      </c>
      <c r="F529" s="2">
        <v>2275.94</v>
      </c>
    </row>
    <row r="530" spans="1:6" x14ac:dyDescent="0.25">
      <c r="A530" t="s">
        <v>4052</v>
      </c>
      <c r="B530" t="s">
        <v>4053</v>
      </c>
      <c r="C530" t="s">
        <v>4054</v>
      </c>
      <c r="D530" s="7">
        <v>3.5</v>
      </c>
      <c r="E530" s="2">
        <v>3601.43</v>
      </c>
      <c r="F530" s="2">
        <v>126.05</v>
      </c>
    </row>
    <row r="531" spans="1:6" x14ac:dyDescent="0.25">
      <c r="A531" t="s">
        <v>4055</v>
      </c>
      <c r="D531" s="7"/>
      <c r="E531" s="2"/>
      <c r="F531" s="2">
        <f>SUBTOTAL(109,A_2_01_51[VALOR PARCIAL])</f>
      </c>
    </row>
    <row r="533" ht="30" customHeight="1" spans="1:6" x14ac:dyDescent="0.25">
      <c r="A533" s="5" t="s">
        <v>6280</v>
      </c>
      <c r="B533" s="5"/>
      <c r="C533" s="5"/>
      <c r="D533" s="5"/>
      <c r="E533" s="5"/>
      <c r="F533" s="5"/>
    </row>
    <row r="534" ht="42" customHeight="1" spans="1:6" x14ac:dyDescent="0.25">
      <c r="A534" s="6" t="s">
        <v>6281</v>
      </c>
      <c r="B534" s="6"/>
      <c r="C534" s="6"/>
      <c r="D534" s="6"/>
      <c r="E534" s="6"/>
      <c r="F534" s="6"/>
    </row>
    <row r="535" spans="1:6" x14ac:dyDescent="0.25">
      <c r="A535" t="s">
        <v>4044</v>
      </c>
      <c r="B535" t="s">
        <v>4045</v>
      </c>
      <c r="C535" t="s">
        <v>5</v>
      </c>
      <c r="D535" t="s">
        <v>4046</v>
      </c>
      <c r="E535" t="s">
        <v>4047</v>
      </c>
      <c r="F535" t="s">
        <v>4048</v>
      </c>
    </row>
    <row r="536" spans="1:6" x14ac:dyDescent="0.25">
      <c r="A536" t="s">
        <v>4062</v>
      </c>
      <c r="B536" t="s">
        <v>6282</v>
      </c>
      <c r="C536" t="s">
        <v>42</v>
      </c>
      <c r="D536" s="7">
        <v>1.05</v>
      </c>
      <c r="E536" s="2">
        <v>248734</v>
      </c>
      <c r="F536" s="2">
        <v>261170.7</v>
      </c>
    </row>
    <row r="537" spans="1:6" x14ac:dyDescent="0.25">
      <c r="A537" t="s">
        <v>4062</v>
      </c>
      <c r="B537" t="s">
        <v>6166</v>
      </c>
      <c r="C537" t="s">
        <v>63</v>
      </c>
      <c r="D537" s="7">
        <v>0</v>
      </c>
      <c r="E537" s="2">
        <v>19750</v>
      </c>
      <c r="F537" s="2">
        <v>73.15</v>
      </c>
    </row>
    <row r="538" spans="1:6" x14ac:dyDescent="0.25">
      <c r="A538" t="s">
        <v>4049</v>
      </c>
      <c r="B538" t="s">
        <v>4241</v>
      </c>
      <c r="C538" t="s">
        <v>4051</v>
      </c>
      <c r="D538" s="7">
        <v>0.13</v>
      </c>
      <c r="E538" s="2">
        <v>9941.22</v>
      </c>
      <c r="F538" s="2">
        <v>1325.49</v>
      </c>
    </row>
    <row r="539" spans="1:6" x14ac:dyDescent="0.25">
      <c r="A539" t="s">
        <v>4049</v>
      </c>
      <c r="B539" t="s">
        <v>4242</v>
      </c>
      <c r="C539" t="s">
        <v>4051</v>
      </c>
      <c r="D539" s="7">
        <v>0.13</v>
      </c>
      <c r="E539" s="2">
        <v>17069.53</v>
      </c>
      <c r="F539" s="2">
        <v>2275.94</v>
      </c>
    </row>
    <row r="540" spans="1:6" x14ac:dyDescent="0.25">
      <c r="A540" t="s">
        <v>4052</v>
      </c>
      <c r="B540" t="s">
        <v>4053</v>
      </c>
      <c r="C540" t="s">
        <v>4054</v>
      </c>
      <c r="D540" s="7">
        <v>3.5</v>
      </c>
      <c r="E540" s="2">
        <v>3601.43</v>
      </c>
      <c r="F540" s="2">
        <v>126.05</v>
      </c>
    </row>
    <row r="541" spans="1:6" x14ac:dyDescent="0.25">
      <c r="A541" t="s">
        <v>4055</v>
      </c>
      <c r="D541" s="7"/>
      <c r="E541" s="2"/>
      <c r="F541" s="2">
        <f>SUBTOTAL(109,A_2_01_52[VALOR PARCIAL])</f>
      </c>
    </row>
    <row r="543" ht="30" customHeight="1" spans="1:6" x14ac:dyDescent="0.25">
      <c r="A543" s="5" t="s">
        <v>6283</v>
      </c>
      <c r="B543" s="5"/>
      <c r="C543" s="5"/>
      <c r="D543" s="5"/>
      <c r="E543" s="5"/>
      <c r="F543" s="5"/>
    </row>
    <row r="544" ht="42" customHeight="1" spans="1:6" x14ac:dyDescent="0.25">
      <c r="A544" s="6" t="s">
        <v>6284</v>
      </c>
      <c r="B544" s="6"/>
      <c r="C544" s="6"/>
      <c r="D544" s="6"/>
      <c r="E544" s="6"/>
      <c r="F544" s="6"/>
    </row>
    <row r="545" spans="1:6" x14ac:dyDescent="0.25">
      <c r="A545" t="s">
        <v>4044</v>
      </c>
      <c r="B545" t="s">
        <v>4045</v>
      </c>
      <c r="C545" t="s">
        <v>5</v>
      </c>
      <c r="D545" t="s">
        <v>4046</v>
      </c>
      <c r="E545" t="s">
        <v>4047</v>
      </c>
      <c r="F545" t="s">
        <v>4048</v>
      </c>
    </row>
    <row r="546" spans="1:6" x14ac:dyDescent="0.25">
      <c r="A546" t="s">
        <v>4062</v>
      </c>
      <c r="B546" t="s">
        <v>6285</v>
      </c>
      <c r="C546" t="s">
        <v>42</v>
      </c>
      <c r="D546" s="7">
        <v>1.05</v>
      </c>
      <c r="E546" s="2">
        <v>346713</v>
      </c>
      <c r="F546" s="2">
        <v>364048.65</v>
      </c>
    </row>
    <row r="547" spans="1:6" x14ac:dyDescent="0.25">
      <c r="A547" t="s">
        <v>4062</v>
      </c>
      <c r="B547" t="s">
        <v>6166</v>
      </c>
      <c r="C547" t="s">
        <v>63</v>
      </c>
      <c r="D547" s="7">
        <v>0.01</v>
      </c>
      <c r="E547" s="2">
        <v>19750</v>
      </c>
      <c r="F547" s="2">
        <v>109.71</v>
      </c>
    </row>
    <row r="548" spans="1:6" x14ac:dyDescent="0.25">
      <c r="A548" t="s">
        <v>4049</v>
      </c>
      <c r="B548" t="s">
        <v>4241</v>
      </c>
      <c r="C548" t="s">
        <v>4051</v>
      </c>
      <c r="D548" s="7">
        <v>0.13</v>
      </c>
      <c r="E548" s="2">
        <v>9941.22</v>
      </c>
      <c r="F548" s="2">
        <v>1325.49</v>
      </c>
    </row>
    <row r="549" spans="1:6" x14ac:dyDescent="0.25">
      <c r="A549" t="s">
        <v>4049</v>
      </c>
      <c r="B549" t="s">
        <v>4242</v>
      </c>
      <c r="C549" t="s">
        <v>4051</v>
      </c>
      <c r="D549" s="7">
        <v>0.13</v>
      </c>
      <c r="E549" s="2">
        <v>17069.53</v>
      </c>
      <c r="F549" s="2">
        <v>2275.94</v>
      </c>
    </row>
    <row r="550" spans="1:6" x14ac:dyDescent="0.25">
      <c r="A550" t="s">
        <v>4052</v>
      </c>
      <c r="B550" t="s">
        <v>4053</v>
      </c>
      <c r="C550" t="s">
        <v>4054</v>
      </c>
      <c r="D550" s="7">
        <v>3.5</v>
      </c>
      <c r="E550" s="2">
        <v>3601.43</v>
      </c>
      <c r="F550" s="2">
        <v>126.05</v>
      </c>
    </row>
    <row r="551" spans="1:6" x14ac:dyDescent="0.25">
      <c r="A551" t="s">
        <v>4055</v>
      </c>
      <c r="D551" s="7"/>
      <c r="E551" s="2"/>
      <c r="F551" s="2">
        <f>SUBTOTAL(109,A_2_01_53[VALOR PARCIAL])</f>
      </c>
    </row>
    <row r="553" ht="30" customHeight="1" spans="1:6" x14ac:dyDescent="0.25">
      <c r="A553" s="5" t="s">
        <v>6286</v>
      </c>
      <c r="B553" s="5"/>
      <c r="C553" s="5"/>
      <c r="D553" s="5"/>
      <c r="E553" s="5"/>
      <c r="F553" s="5"/>
    </row>
    <row r="554" ht="42" customHeight="1" spans="1:6" x14ac:dyDescent="0.25">
      <c r="A554" s="6" t="s">
        <v>6287</v>
      </c>
      <c r="B554" s="6"/>
      <c r="C554" s="6"/>
      <c r="D554" s="6"/>
      <c r="E554" s="6"/>
      <c r="F554" s="6"/>
    </row>
    <row r="555" spans="1:6" x14ac:dyDescent="0.25">
      <c r="A555" t="s">
        <v>4044</v>
      </c>
      <c r="B555" t="s">
        <v>4045</v>
      </c>
      <c r="C555" t="s">
        <v>5</v>
      </c>
      <c r="D555" t="s">
        <v>4046</v>
      </c>
      <c r="E555" t="s">
        <v>4047</v>
      </c>
      <c r="F555" t="s">
        <v>4048</v>
      </c>
    </row>
    <row r="556" spans="1:6" x14ac:dyDescent="0.25">
      <c r="A556" t="s">
        <v>4062</v>
      </c>
      <c r="B556" t="s">
        <v>6288</v>
      </c>
      <c r="C556" t="s">
        <v>42</v>
      </c>
      <c r="D556" s="7">
        <v>1.05</v>
      </c>
      <c r="E556" s="2">
        <v>274549</v>
      </c>
      <c r="F556" s="2">
        <v>288276.45</v>
      </c>
    </row>
    <row r="557" spans="1:6" x14ac:dyDescent="0.25">
      <c r="A557" t="s">
        <v>4062</v>
      </c>
      <c r="B557" t="s">
        <v>6166</v>
      </c>
      <c r="C557" t="s">
        <v>63</v>
      </c>
      <c r="D557" s="7">
        <v>0.01</v>
      </c>
      <c r="E557" s="2">
        <v>19750</v>
      </c>
      <c r="F557" s="2">
        <v>109.72</v>
      </c>
    </row>
    <row r="558" spans="1:6" x14ac:dyDescent="0.25">
      <c r="A558" t="s">
        <v>4049</v>
      </c>
      <c r="B558" t="s">
        <v>4241</v>
      </c>
      <c r="C558" t="s">
        <v>4051</v>
      </c>
      <c r="D558" s="7">
        <v>0.13</v>
      </c>
      <c r="E558" s="2">
        <v>9941.22</v>
      </c>
      <c r="F558" s="2">
        <v>1325.5</v>
      </c>
    </row>
    <row r="559" spans="1:6" x14ac:dyDescent="0.25">
      <c r="A559" t="s">
        <v>4049</v>
      </c>
      <c r="B559" t="s">
        <v>4242</v>
      </c>
      <c r="C559" t="s">
        <v>4051</v>
      </c>
      <c r="D559" s="7">
        <v>0.13</v>
      </c>
      <c r="E559" s="2">
        <v>17069.53</v>
      </c>
      <c r="F559" s="2">
        <v>2275.93</v>
      </c>
    </row>
    <row r="560" spans="1:6" x14ac:dyDescent="0.25">
      <c r="A560" t="s">
        <v>4052</v>
      </c>
      <c r="B560" t="s">
        <v>4053</v>
      </c>
      <c r="C560" t="s">
        <v>4054</v>
      </c>
      <c r="D560" s="7">
        <v>3.5</v>
      </c>
      <c r="E560" s="2">
        <v>3601.43</v>
      </c>
      <c r="F560" s="2">
        <v>126.05</v>
      </c>
    </row>
    <row r="561" spans="1:6" x14ac:dyDescent="0.25">
      <c r="A561" t="s">
        <v>4055</v>
      </c>
      <c r="D561" s="7"/>
      <c r="E561" s="2"/>
      <c r="F561" s="2">
        <f>SUBTOTAL(109,A_2_01_54[VALOR PARCIAL])</f>
      </c>
    </row>
  </sheetData>
  <mergeCells count="106">
    <mergeCell ref="A4:F4"/>
    <mergeCell ref="A5:F5"/>
    <mergeCell ref="A11:F11"/>
    <mergeCell ref="A12:F12"/>
    <mergeCell ref="A23:F23"/>
    <mergeCell ref="A24:F24"/>
    <mergeCell ref="A35:F35"/>
    <mergeCell ref="A36:F36"/>
    <mergeCell ref="A46:F46"/>
    <mergeCell ref="A47:F47"/>
    <mergeCell ref="A56:F56"/>
    <mergeCell ref="A57:F57"/>
    <mergeCell ref="A67:F67"/>
    <mergeCell ref="A68:F68"/>
    <mergeCell ref="A77:F77"/>
    <mergeCell ref="A78:F78"/>
    <mergeCell ref="A88:F88"/>
    <mergeCell ref="A89:F89"/>
    <mergeCell ref="A97:F97"/>
    <mergeCell ref="A98:F98"/>
    <mergeCell ref="A107:F107"/>
    <mergeCell ref="A108:F108"/>
    <mergeCell ref="A119:F119"/>
    <mergeCell ref="A120:F120"/>
    <mergeCell ref="A129:F129"/>
    <mergeCell ref="A130:F130"/>
    <mergeCell ref="A139:F139"/>
    <mergeCell ref="A140:F140"/>
    <mergeCell ref="A149:F149"/>
    <mergeCell ref="A150:F150"/>
    <mergeCell ref="A161:F161"/>
    <mergeCell ref="A162:F162"/>
    <mergeCell ref="A173:F173"/>
    <mergeCell ref="A174:F174"/>
    <mergeCell ref="A185:F185"/>
    <mergeCell ref="A186:F186"/>
    <mergeCell ref="A197:F197"/>
    <mergeCell ref="A198:F198"/>
    <mergeCell ref="A209:F209"/>
    <mergeCell ref="A210:F210"/>
    <mergeCell ref="A221:F221"/>
    <mergeCell ref="A222:F222"/>
    <mergeCell ref="A233:F233"/>
    <mergeCell ref="A234:F234"/>
    <mergeCell ref="A245:F245"/>
    <mergeCell ref="A246:F246"/>
    <mergeCell ref="A257:F257"/>
    <mergeCell ref="A258:F258"/>
    <mergeCell ref="A267:F267"/>
    <mergeCell ref="A268:F268"/>
    <mergeCell ref="A277:F277"/>
    <mergeCell ref="A278:F278"/>
    <mergeCell ref="A287:F287"/>
    <mergeCell ref="A288:F288"/>
    <mergeCell ref="A297:F297"/>
    <mergeCell ref="A298:F298"/>
    <mergeCell ref="A308:F308"/>
    <mergeCell ref="A309:F309"/>
    <mergeCell ref="A319:F319"/>
    <mergeCell ref="A320:F320"/>
    <mergeCell ref="A329:F329"/>
    <mergeCell ref="A330:F330"/>
    <mergeCell ref="A339:F339"/>
    <mergeCell ref="A340:F340"/>
    <mergeCell ref="A349:F349"/>
    <mergeCell ref="A350:F350"/>
    <mergeCell ref="A359:F359"/>
    <mergeCell ref="A360:F360"/>
    <mergeCell ref="A369:F369"/>
    <mergeCell ref="A370:F370"/>
    <mergeCell ref="A379:F379"/>
    <mergeCell ref="A380:F380"/>
    <mergeCell ref="A389:F389"/>
    <mergeCell ref="A390:F390"/>
    <mergeCell ref="A401:F401"/>
    <mergeCell ref="A402:F402"/>
    <mergeCell ref="A411:F411"/>
    <mergeCell ref="A412:F412"/>
    <mergeCell ref="A421:F421"/>
    <mergeCell ref="A422:F422"/>
    <mergeCell ref="A431:F431"/>
    <mergeCell ref="A432:F432"/>
    <mergeCell ref="A441:F441"/>
    <mergeCell ref="A442:F442"/>
    <mergeCell ref="A451:F451"/>
    <mergeCell ref="A452:F452"/>
    <mergeCell ref="A461:F461"/>
    <mergeCell ref="A462:F462"/>
    <mergeCell ref="A471:F471"/>
    <mergeCell ref="A472:F472"/>
    <mergeCell ref="A482:F482"/>
    <mergeCell ref="A483:F483"/>
    <mergeCell ref="A492:F492"/>
    <mergeCell ref="A493:F493"/>
    <mergeCell ref="A502:F502"/>
    <mergeCell ref="A503:F503"/>
    <mergeCell ref="A513:F513"/>
    <mergeCell ref="A514:F514"/>
    <mergeCell ref="A523:F523"/>
    <mergeCell ref="A524:F524"/>
    <mergeCell ref="A533:F533"/>
    <mergeCell ref="A534:F534"/>
    <mergeCell ref="A543:F543"/>
    <mergeCell ref="A544:F544"/>
    <mergeCell ref="A553:F553"/>
    <mergeCell ref="A554:F554"/>
  </mergeCells>
  <pageMargins left="0.7" right="0.7" top="0.75" bottom="0.75" header="0.3" footer="0.3"/>
  <pageSetup orientation="portrait" horizontalDpi="4294967295" verticalDpi="4294967295" scale="100" fitToWidth="1" fitToHeight="1"/>
  <tableParts count="5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6289</v>
      </c>
    </row>
    <row r="2" spans="1:1" x14ac:dyDescent="0.25">
      <c r="A2" s="4" t="s">
        <v>6290</v>
      </c>
    </row>
    <row r="4" ht="30" customHeight="1" spans="1:6" x14ac:dyDescent="0.25">
      <c r="A4" s="5" t="s">
        <v>6291</v>
      </c>
      <c r="B4" s="5"/>
      <c r="C4" s="5"/>
      <c r="D4" s="5"/>
      <c r="E4" s="5"/>
      <c r="F4" s="5"/>
    </row>
    <row r="5" ht="42" customHeight="1" spans="1:6" x14ac:dyDescent="0.25">
      <c r="A5" s="6" t="s">
        <v>6292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6293</v>
      </c>
      <c r="C7" t="s">
        <v>42</v>
      </c>
      <c r="D7" s="7">
        <v>1.05</v>
      </c>
      <c r="E7" s="2">
        <v>35616</v>
      </c>
      <c r="F7" s="2">
        <v>37396.8</v>
      </c>
    </row>
    <row r="8" spans="1:6" x14ac:dyDescent="0.25">
      <c r="A8" t="s">
        <v>4049</v>
      </c>
      <c r="B8" t="s">
        <v>4241</v>
      </c>
      <c r="C8" t="s">
        <v>4051</v>
      </c>
      <c r="D8" s="7">
        <v>0.3</v>
      </c>
      <c r="E8" s="2">
        <v>9941.22</v>
      </c>
      <c r="F8" s="2">
        <v>2982.37</v>
      </c>
    </row>
    <row r="9" spans="1:6" x14ac:dyDescent="0.25">
      <c r="A9" t="s">
        <v>4049</v>
      </c>
      <c r="B9" t="s">
        <v>4242</v>
      </c>
      <c r="C9" t="s">
        <v>4051</v>
      </c>
      <c r="D9" s="7">
        <v>0.3</v>
      </c>
      <c r="E9" s="2">
        <v>17069.53</v>
      </c>
      <c r="F9" s="2">
        <v>5120.86</v>
      </c>
    </row>
    <row r="10" spans="1:6" x14ac:dyDescent="0.25">
      <c r="A10" t="s">
        <v>4052</v>
      </c>
      <c r="B10" t="s">
        <v>6294</v>
      </c>
      <c r="C10" t="s">
        <v>4106</v>
      </c>
      <c r="D10" s="7">
        <v>0</v>
      </c>
      <c r="E10" s="2">
        <v>236228.11</v>
      </c>
      <c r="F10" s="2">
        <v>944.91</v>
      </c>
    </row>
    <row r="11" spans="1:6" x14ac:dyDescent="0.25">
      <c r="A11" t="s">
        <v>4052</v>
      </c>
      <c r="B11" t="s">
        <v>4053</v>
      </c>
      <c r="C11" t="s">
        <v>4054</v>
      </c>
      <c r="D11" s="7">
        <v>5</v>
      </c>
      <c r="E11" s="2">
        <v>8103.23</v>
      </c>
      <c r="F11" s="2">
        <v>405.16</v>
      </c>
    </row>
    <row r="12" spans="1:6" x14ac:dyDescent="0.25">
      <c r="A12" t="s">
        <v>4055</v>
      </c>
      <c r="D12" s="7"/>
      <c r="E12" s="2"/>
      <c r="F12" s="2">
        <f>SUBTOTAL(109,A_2_02_01[VALOR PARCIAL])</f>
      </c>
    </row>
    <row r="14" ht="30" customHeight="1" spans="1:6" x14ac:dyDescent="0.25">
      <c r="A14" s="5" t="s">
        <v>6295</v>
      </c>
      <c r="B14" s="5"/>
      <c r="C14" s="5"/>
      <c r="D14" s="5"/>
      <c r="E14" s="5"/>
      <c r="F14" s="5"/>
    </row>
    <row r="15" ht="42" customHeight="1" spans="1:6" x14ac:dyDescent="0.25">
      <c r="A15" s="6" t="s">
        <v>6296</v>
      </c>
      <c r="B15" s="6"/>
      <c r="C15" s="6"/>
      <c r="D15" s="6"/>
      <c r="E15" s="6"/>
      <c r="F15" s="6"/>
    </row>
    <row r="16" spans="1:6" x14ac:dyDescent="0.25">
      <c r="A16" t="s">
        <v>4044</v>
      </c>
      <c r="B16" t="s">
        <v>4045</v>
      </c>
      <c r="C16" t="s">
        <v>5</v>
      </c>
      <c r="D16" t="s">
        <v>4046</v>
      </c>
      <c r="E16" t="s">
        <v>4047</v>
      </c>
      <c r="F16" t="s">
        <v>4048</v>
      </c>
    </row>
    <row r="17" spans="1:6" x14ac:dyDescent="0.25">
      <c r="A17" t="s">
        <v>4062</v>
      </c>
      <c r="B17" t="s">
        <v>6297</v>
      </c>
      <c r="C17" t="s">
        <v>42</v>
      </c>
      <c r="D17" s="7">
        <v>1.05</v>
      </c>
      <c r="E17" s="2">
        <v>73211</v>
      </c>
      <c r="F17" s="2">
        <v>76871.55</v>
      </c>
    </row>
    <row r="18" spans="1:6" x14ac:dyDescent="0.25">
      <c r="A18" t="s">
        <v>4049</v>
      </c>
      <c r="B18" t="s">
        <v>4241</v>
      </c>
      <c r="C18" t="s">
        <v>4051</v>
      </c>
      <c r="D18" s="7">
        <v>0.38</v>
      </c>
      <c r="E18" s="2">
        <v>9941.22</v>
      </c>
      <c r="F18" s="2">
        <v>3777.66</v>
      </c>
    </row>
    <row r="19" spans="1:6" x14ac:dyDescent="0.25">
      <c r="A19" t="s">
        <v>4049</v>
      </c>
      <c r="B19" t="s">
        <v>4242</v>
      </c>
      <c r="C19" t="s">
        <v>4051</v>
      </c>
      <c r="D19" s="7">
        <v>0.38</v>
      </c>
      <c r="E19" s="2">
        <v>17069.53</v>
      </c>
      <c r="F19" s="2">
        <v>6486.42</v>
      </c>
    </row>
    <row r="20" spans="1:6" x14ac:dyDescent="0.25">
      <c r="A20" t="s">
        <v>4052</v>
      </c>
      <c r="B20" t="s">
        <v>6294</v>
      </c>
      <c r="C20" t="s">
        <v>4106</v>
      </c>
      <c r="D20" s="7">
        <v>0.01</v>
      </c>
      <c r="E20" s="2">
        <v>236228.11</v>
      </c>
      <c r="F20" s="2">
        <v>2834.74</v>
      </c>
    </row>
    <row r="21" spans="1:6" x14ac:dyDescent="0.25">
      <c r="A21" t="s">
        <v>4052</v>
      </c>
      <c r="B21" t="s">
        <v>4053</v>
      </c>
      <c r="C21" t="s">
        <v>4054</v>
      </c>
      <c r="D21" s="7">
        <v>5</v>
      </c>
      <c r="E21" s="2">
        <v>10264.08</v>
      </c>
      <c r="F21" s="2">
        <v>513.2</v>
      </c>
    </row>
    <row r="22" spans="1:6" x14ac:dyDescent="0.25">
      <c r="A22" t="s">
        <v>4055</v>
      </c>
      <c r="D22" s="7"/>
      <c r="E22" s="2"/>
      <c r="F22" s="2">
        <f>SUBTOTAL(109,A_2_02_02[VALOR PARCIAL])</f>
      </c>
    </row>
    <row r="24" ht="30" customHeight="1" spans="1:6" x14ac:dyDescent="0.25">
      <c r="A24" s="5" t="s">
        <v>6298</v>
      </c>
      <c r="B24" s="5"/>
      <c r="C24" s="5"/>
      <c r="D24" s="5"/>
      <c r="E24" s="5"/>
      <c r="F24" s="5"/>
    </row>
    <row r="25" ht="42" customHeight="1" spans="1:6" x14ac:dyDescent="0.25">
      <c r="A25" s="6" t="s">
        <v>6299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6300</v>
      </c>
      <c r="C27" t="s">
        <v>42</v>
      </c>
      <c r="D27" s="7">
        <v>1.05</v>
      </c>
      <c r="E27" s="2">
        <v>114323</v>
      </c>
      <c r="F27" s="2">
        <v>120039.15</v>
      </c>
    </row>
    <row r="28" spans="1:6" x14ac:dyDescent="0.25">
      <c r="A28" t="s">
        <v>4049</v>
      </c>
      <c r="B28" t="s">
        <v>4241</v>
      </c>
      <c r="C28" t="s">
        <v>4051</v>
      </c>
      <c r="D28" s="7">
        <v>0.6</v>
      </c>
      <c r="E28" s="2">
        <v>9941.22</v>
      </c>
      <c r="F28" s="2">
        <v>5964.73</v>
      </c>
    </row>
    <row r="29" spans="1:6" x14ac:dyDescent="0.25">
      <c r="A29" t="s">
        <v>4049</v>
      </c>
      <c r="B29" t="s">
        <v>4242</v>
      </c>
      <c r="C29" t="s">
        <v>4051</v>
      </c>
      <c r="D29" s="7">
        <v>0.6</v>
      </c>
      <c r="E29" s="2">
        <v>17069.53</v>
      </c>
      <c r="F29" s="2">
        <v>10241.72</v>
      </c>
    </row>
    <row r="30" spans="1:6" x14ac:dyDescent="0.25">
      <c r="A30" t="s">
        <v>4052</v>
      </c>
      <c r="B30" t="s">
        <v>6294</v>
      </c>
      <c r="C30" t="s">
        <v>4106</v>
      </c>
      <c r="D30" s="7">
        <v>0.01</v>
      </c>
      <c r="E30" s="2">
        <v>236228.11</v>
      </c>
      <c r="F30" s="2">
        <v>2834.74</v>
      </c>
    </row>
    <row r="31" spans="1:6" x14ac:dyDescent="0.25">
      <c r="A31" t="s">
        <v>4052</v>
      </c>
      <c r="B31" t="s">
        <v>4053</v>
      </c>
      <c r="C31" t="s">
        <v>4054</v>
      </c>
      <c r="D31" s="7">
        <v>5</v>
      </c>
      <c r="E31" s="2">
        <v>16206.45</v>
      </c>
      <c r="F31" s="2">
        <v>810.32</v>
      </c>
    </row>
    <row r="32" spans="1:6" x14ac:dyDescent="0.25">
      <c r="A32" t="s">
        <v>4055</v>
      </c>
      <c r="D32" s="7"/>
      <c r="E32" s="2"/>
      <c r="F32" s="2">
        <f>SUBTOTAL(109,A_2_02_03[VALOR PARCIAL])</f>
      </c>
    </row>
    <row r="34" ht="30" customHeight="1" spans="1:6" x14ac:dyDescent="0.25">
      <c r="A34" s="5" t="s">
        <v>6301</v>
      </c>
      <c r="B34" s="5"/>
      <c r="C34" s="5"/>
      <c r="D34" s="5"/>
      <c r="E34" s="5"/>
      <c r="F34" s="5"/>
    </row>
    <row r="35" ht="42" customHeight="1" spans="1:6" x14ac:dyDescent="0.25">
      <c r="A35" s="6" t="s">
        <v>6302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6303</v>
      </c>
      <c r="C37" t="s">
        <v>42</v>
      </c>
      <c r="D37" s="7">
        <v>1.05</v>
      </c>
      <c r="E37" s="2">
        <v>12221</v>
      </c>
      <c r="F37" s="2">
        <v>12832.05</v>
      </c>
    </row>
    <row r="38" spans="1:6" x14ac:dyDescent="0.25">
      <c r="A38" t="s">
        <v>4049</v>
      </c>
      <c r="B38" t="s">
        <v>4241</v>
      </c>
      <c r="C38" t="s">
        <v>4051</v>
      </c>
      <c r="D38" s="7">
        <v>0.2</v>
      </c>
      <c r="E38" s="2">
        <v>9941.22</v>
      </c>
      <c r="F38" s="2">
        <v>1958.42</v>
      </c>
    </row>
    <row r="39" spans="1:6" x14ac:dyDescent="0.25">
      <c r="A39" t="s">
        <v>4049</v>
      </c>
      <c r="B39" t="s">
        <v>4242</v>
      </c>
      <c r="C39" t="s">
        <v>4051</v>
      </c>
      <c r="D39" s="7">
        <v>0.2</v>
      </c>
      <c r="E39" s="2">
        <v>17069.53</v>
      </c>
      <c r="F39" s="2">
        <v>3362.7</v>
      </c>
    </row>
    <row r="40" spans="1:6" x14ac:dyDescent="0.25">
      <c r="A40" t="s">
        <v>4052</v>
      </c>
      <c r="B40" t="s">
        <v>6294</v>
      </c>
      <c r="C40" t="s">
        <v>4106</v>
      </c>
      <c r="D40" s="7">
        <v>0</v>
      </c>
      <c r="E40" s="2">
        <v>236228.11</v>
      </c>
      <c r="F40" s="2">
        <v>944.91</v>
      </c>
    </row>
    <row r="41" spans="1:6" x14ac:dyDescent="0.25">
      <c r="A41" t="s">
        <v>4052</v>
      </c>
      <c r="B41" t="s">
        <v>4053</v>
      </c>
      <c r="C41" t="s">
        <v>4054</v>
      </c>
      <c r="D41" s="7">
        <v>5</v>
      </c>
      <c r="E41" s="2">
        <v>5321.12</v>
      </c>
      <c r="F41" s="2">
        <v>266.06</v>
      </c>
    </row>
    <row r="42" spans="1:6" x14ac:dyDescent="0.25">
      <c r="A42" t="s">
        <v>4055</v>
      </c>
      <c r="D42" s="7"/>
      <c r="E42" s="2"/>
      <c r="F42" s="2">
        <f>SUBTOTAL(109,A_2_02_04[VALOR PARCIAL])</f>
      </c>
    </row>
    <row r="44" ht="30" customHeight="1" spans="1:6" x14ac:dyDescent="0.25">
      <c r="A44" s="5" t="s">
        <v>6304</v>
      </c>
      <c r="B44" s="5"/>
      <c r="C44" s="5"/>
      <c r="D44" s="5"/>
      <c r="E44" s="5"/>
      <c r="F44" s="5"/>
    </row>
    <row r="45" ht="42" customHeight="1" spans="1:6" x14ac:dyDescent="0.25">
      <c r="A45" s="6" t="s">
        <v>6305</v>
      </c>
      <c r="B45" s="6"/>
      <c r="C45" s="6"/>
      <c r="D45" s="6"/>
      <c r="E45" s="6"/>
      <c r="F45" s="6"/>
    </row>
    <row r="46" spans="1:6" x14ac:dyDescent="0.25">
      <c r="A46" t="s">
        <v>4044</v>
      </c>
      <c r="B46" t="s">
        <v>4045</v>
      </c>
      <c r="C46" t="s">
        <v>5</v>
      </c>
      <c r="D46" t="s">
        <v>4046</v>
      </c>
      <c r="E46" t="s">
        <v>4047</v>
      </c>
      <c r="F46" t="s">
        <v>4048</v>
      </c>
    </row>
    <row r="47" spans="1:6" x14ac:dyDescent="0.25">
      <c r="A47" t="s">
        <v>4062</v>
      </c>
      <c r="B47" t="s">
        <v>6306</v>
      </c>
      <c r="C47" t="s">
        <v>42</v>
      </c>
      <c r="D47" s="7">
        <v>1.05</v>
      </c>
      <c r="E47" s="2">
        <v>24323</v>
      </c>
      <c r="F47" s="2">
        <v>25539.15</v>
      </c>
    </row>
    <row r="48" spans="1:6" x14ac:dyDescent="0.25">
      <c r="A48" t="s">
        <v>4049</v>
      </c>
      <c r="B48" t="s">
        <v>4241</v>
      </c>
      <c r="C48" t="s">
        <v>4051</v>
      </c>
      <c r="D48" s="7">
        <v>0.2</v>
      </c>
      <c r="E48" s="2">
        <v>9941.22</v>
      </c>
      <c r="F48" s="2">
        <v>1988.24</v>
      </c>
    </row>
    <row r="49" spans="1:6" x14ac:dyDescent="0.25">
      <c r="A49" t="s">
        <v>4049</v>
      </c>
      <c r="B49" t="s">
        <v>4242</v>
      </c>
      <c r="C49" t="s">
        <v>4051</v>
      </c>
      <c r="D49" s="7">
        <v>0.2</v>
      </c>
      <c r="E49" s="2">
        <v>17069.53</v>
      </c>
      <c r="F49" s="2">
        <v>3413.91</v>
      </c>
    </row>
    <row r="50" spans="1:6" x14ac:dyDescent="0.25">
      <c r="A50" t="s">
        <v>4052</v>
      </c>
      <c r="B50" t="s">
        <v>6294</v>
      </c>
      <c r="C50" t="s">
        <v>4106</v>
      </c>
      <c r="D50" s="7">
        <v>0</v>
      </c>
      <c r="E50" s="2">
        <v>236228.11</v>
      </c>
      <c r="F50" s="2">
        <v>944.91</v>
      </c>
    </row>
    <row r="51" spans="1:6" x14ac:dyDescent="0.25">
      <c r="A51" t="s">
        <v>4052</v>
      </c>
      <c r="B51" t="s">
        <v>4053</v>
      </c>
      <c r="C51" t="s">
        <v>4054</v>
      </c>
      <c r="D51" s="7">
        <v>5</v>
      </c>
      <c r="E51" s="2">
        <v>5402.15</v>
      </c>
      <c r="F51" s="2">
        <v>270.11</v>
      </c>
    </row>
    <row r="52" spans="1:6" x14ac:dyDescent="0.25">
      <c r="A52" t="s">
        <v>4055</v>
      </c>
      <c r="D52" s="7"/>
      <c r="E52" s="2"/>
      <c r="F52" s="2">
        <f>SUBTOTAL(109,A_2_02_05[VALOR PARCIAL])</f>
      </c>
    </row>
    <row r="54" ht="30" customHeight="1" spans="1:6" x14ac:dyDescent="0.25">
      <c r="A54" s="5" t="s">
        <v>6307</v>
      </c>
      <c r="B54" s="5"/>
      <c r="C54" s="5"/>
      <c r="D54" s="5"/>
      <c r="E54" s="5"/>
      <c r="F54" s="5"/>
    </row>
    <row r="55" ht="42" customHeight="1" spans="1:6" x14ac:dyDescent="0.25">
      <c r="A55" s="6" t="s">
        <v>6308</v>
      </c>
      <c r="B55" s="6"/>
      <c r="C55" s="6"/>
      <c r="D55" s="6"/>
      <c r="E55" s="6"/>
      <c r="F55" s="6"/>
    </row>
    <row r="56" spans="1:6" x14ac:dyDescent="0.25">
      <c r="A56" t="s">
        <v>4044</v>
      </c>
      <c r="B56" t="s">
        <v>4045</v>
      </c>
      <c r="C56" t="s">
        <v>5</v>
      </c>
      <c r="D56" t="s">
        <v>4046</v>
      </c>
      <c r="E56" t="s">
        <v>4047</v>
      </c>
      <c r="F56" t="s">
        <v>4048</v>
      </c>
    </row>
    <row r="57" spans="1:6" x14ac:dyDescent="0.25">
      <c r="A57" t="s">
        <v>4062</v>
      </c>
      <c r="B57" t="s">
        <v>6309</v>
      </c>
      <c r="C57" t="s">
        <v>42</v>
      </c>
      <c r="D57" s="7">
        <v>1.05</v>
      </c>
      <c r="E57" s="2">
        <v>48762</v>
      </c>
      <c r="F57" s="2">
        <v>51200.1</v>
      </c>
    </row>
    <row r="58" spans="1:6" x14ac:dyDescent="0.25">
      <c r="A58" t="s">
        <v>4049</v>
      </c>
      <c r="B58" t="s">
        <v>4241</v>
      </c>
      <c r="C58" t="s">
        <v>4051</v>
      </c>
      <c r="D58" s="7">
        <v>0.35</v>
      </c>
      <c r="E58" s="2">
        <v>9941.22</v>
      </c>
      <c r="F58" s="2">
        <v>3479.43</v>
      </c>
    </row>
    <row r="59" spans="1:6" x14ac:dyDescent="0.25">
      <c r="A59" t="s">
        <v>4049</v>
      </c>
      <c r="B59" t="s">
        <v>4242</v>
      </c>
      <c r="C59" t="s">
        <v>4051</v>
      </c>
      <c r="D59" s="7">
        <v>0.3</v>
      </c>
      <c r="E59" s="2">
        <v>17069.53</v>
      </c>
      <c r="F59" s="2">
        <v>5120.86</v>
      </c>
    </row>
    <row r="60" spans="1:6" x14ac:dyDescent="0.25">
      <c r="A60" t="s">
        <v>4052</v>
      </c>
      <c r="B60" t="s">
        <v>6294</v>
      </c>
      <c r="C60" t="s">
        <v>4106</v>
      </c>
      <c r="D60" s="7">
        <v>0</v>
      </c>
      <c r="E60" s="2">
        <v>236228.11</v>
      </c>
      <c r="F60" s="2">
        <v>944.91</v>
      </c>
    </row>
    <row r="61" spans="1:6" x14ac:dyDescent="0.25">
      <c r="A61" t="s">
        <v>4052</v>
      </c>
      <c r="B61" t="s">
        <v>4053</v>
      </c>
      <c r="C61" t="s">
        <v>4054</v>
      </c>
      <c r="D61" s="7">
        <v>5</v>
      </c>
      <c r="E61" s="2">
        <v>8600.29</v>
      </c>
      <c r="F61" s="2">
        <v>430.01</v>
      </c>
    </row>
    <row r="62" spans="1:6" x14ac:dyDescent="0.25">
      <c r="A62" t="s">
        <v>4055</v>
      </c>
      <c r="D62" s="7"/>
      <c r="E62" s="2"/>
      <c r="F62" s="2">
        <f>SUBTOTAL(109,A_2_02_06[VALOR PARCIAL])</f>
      </c>
    </row>
    <row r="64" ht="30" customHeight="1" spans="1:6" x14ac:dyDescent="0.25">
      <c r="A64" s="5" t="s">
        <v>6310</v>
      </c>
      <c r="B64" s="5"/>
      <c r="C64" s="5"/>
      <c r="D64" s="5"/>
      <c r="E64" s="5"/>
      <c r="F64" s="5"/>
    </row>
    <row r="65" ht="42" customHeight="1" spans="1:6" x14ac:dyDescent="0.25">
      <c r="A65" s="6" t="s">
        <v>6311</v>
      </c>
      <c r="B65" s="6"/>
      <c r="C65" s="6"/>
      <c r="D65" s="6"/>
      <c r="E65" s="6"/>
      <c r="F65" s="6"/>
    </row>
    <row r="66" spans="1:6" x14ac:dyDescent="0.25">
      <c r="A66" t="s">
        <v>4044</v>
      </c>
      <c r="B66" t="s">
        <v>4045</v>
      </c>
      <c r="C66" t="s">
        <v>5</v>
      </c>
      <c r="D66" t="s">
        <v>4046</v>
      </c>
      <c r="E66" t="s">
        <v>4047</v>
      </c>
      <c r="F66" t="s">
        <v>4048</v>
      </c>
    </row>
    <row r="67" spans="1:6" x14ac:dyDescent="0.25">
      <c r="A67" t="s">
        <v>4062</v>
      </c>
      <c r="B67" t="s">
        <v>6312</v>
      </c>
      <c r="C67" t="s">
        <v>42</v>
      </c>
      <c r="D67" s="7">
        <v>1.05</v>
      </c>
      <c r="E67" s="2">
        <v>109122</v>
      </c>
      <c r="F67" s="2">
        <v>114578.1</v>
      </c>
    </row>
    <row r="68" spans="1:6" x14ac:dyDescent="0.25">
      <c r="A68" t="s">
        <v>4049</v>
      </c>
      <c r="B68" t="s">
        <v>4241</v>
      </c>
      <c r="C68" t="s">
        <v>4051</v>
      </c>
      <c r="D68" s="7">
        <v>0.38</v>
      </c>
      <c r="E68" s="2">
        <v>9941.22</v>
      </c>
      <c r="F68" s="2">
        <v>3777.66</v>
      </c>
    </row>
    <row r="69" spans="1:6" x14ac:dyDescent="0.25">
      <c r="A69" t="s">
        <v>4049</v>
      </c>
      <c r="B69" t="s">
        <v>4242</v>
      </c>
      <c r="C69" t="s">
        <v>4051</v>
      </c>
      <c r="D69" s="7">
        <v>0.38</v>
      </c>
      <c r="E69" s="2">
        <v>17069.53</v>
      </c>
      <c r="F69" s="2">
        <v>6486.42</v>
      </c>
    </row>
    <row r="70" spans="1:6" x14ac:dyDescent="0.25">
      <c r="A70" t="s">
        <v>4052</v>
      </c>
      <c r="B70" t="s">
        <v>6294</v>
      </c>
      <c r="C70" t="s">
        <v>4106</v>
      </c>
      <c r="D70" s="7">
        <v>0.01</v>
      </c>
      <c r="E70" s="2">
        <v>236228.11</v>
      </c>
      <c r="F70" s="2">
        <v>2834.74</v>
      </c>
    </row>
    <row r="71" spans="1:6" x14ac:dyDescent="0.25">
      <c r="A71" t="s">
        <v>4052</v>
      </c>
      <c r="B71" t="s">
        <v>4053</v>
      </c>
      <c r="C71" t="s">
        <v>4054</v>
      </c>
      <c r="D71" s="7">
        <v>5</v>
      </c>
      <c r="E71" s="2">
        <v>10264.08</v>
      </c>
      <c r="F71" s="2">
        <v>513.2</v>
      </c>
    </row>
    <row r="72" spans="1:6" x14ac:dyDescent="0.25">
      <c r="A72" t="s">
        <v>4055</v>
      </c>
      <c r="D72" s="7"/>
      <c r="E72" s="2"/>
      <c r="F72" s="2">
        <f>SUBTOTAL(109,A_2_02_07[VALOR PARCIAL])</f>
      </c>
    </row>
    <row r="74" ht="30" customHeight="1" spans="1:6" x14ac:dyDescent="0.25">
      <c r="A74" s="5" t="s">
        <v>6313</v>
      </c>
      <c r="B74" s="5"/>
      <c r="C74" s="5"/>
      <c r="D74" s="5"/>
      <c r="E74" s="5"/>
      <c r="F74" s="5"/>
    </row>
    <row r="75" ht="42" customHeight="1" spans="1:6" x14ac:dyDescent="0.25">
      <c r="A75" s="6" t="s">
        <v>6314</v>
      </c>
      <c r="B75" s="6"/>
      <c r="C75" s="6"/>
      <c r="D75" s="6"/>
      <c r="E75" s="6"/>
      <c r="F75" s="6"/>
    </row>
    <row r="76" spans="1:6" x14ac:dyDescent="0.25">
      <c r="A76" t="s">
        <v>4044</v>
      </c>
      <c r="B76" t="s">
        <v>4045</v>
      </c>
      <c r="C76" t="s">
        <v>5</v>
      </c>
      <c r="D76" t="s">
        <v>4046</v>
      </c>
      <c r="E76" t="s">
        <v>4047</v>
      </c>
      <c r="F76" t="s">
        <v>4048</v>
      </c>
    </row>
    <row r="77" spans="1:6" x14ac:dyDescent="0.25">
      <c r="A77" t="s">
        <v>4062</v>
      </c>
      <c r="B77" t="s">
        <v>6315</v>
      </c>
      <c r="C77" t="s">
        <v>42</v>
      </c>
      <c r="D77" s="7">
        <v>1.05</v>
      </c>
      <c r="E77" s="2">
        <v>175564</v>
      </c>
      <c r="F77" s="2">
        <v>184342.2</v>
      </c>
    </row>
    <row r="78" spans="1:6" x14ac:dyDescent="0.25">
      <c r="A78" t="s">
        <v>4049</v>
      </c>
      <c r="B78" t="s">
        <v>4241</v>
      </c>
      <c r="C78" t="s">
        <v>4051</v>
      </c>
      <c r="D78" s="7">
        <v>0.6</v>
      </c>
      <c r="E78" s="2">
        <v>9941.22</v>
      </c>
      <c r="F78" s="2">
        <v>5964.73</v>
      </c>
    </row>
    <row r="79" spans="1:6" x14ac:dyDescent="0.25">
      <c r="A79" t="s">
        <v>4049</v>
      </c>
      <c r="B79" t="s">
        <v>4242</v>
      </c>
      <c r="C79" t="s">
        <v>4051</v>
      </c>
      <c r="D79" s="7">
        <v>0.6</v>
      </c>
      <c r="E79" s="2">
        <v>17069.53</v>
      </c>
      <c r="F79" s="2">
        <v>10241.72</v>
      </c>
    </row>
    <row r="80" spans="1:6" x14ac:dyDescent="0.25">
      <c r="A80" t="s">
        <v>4052</v>
      </c>
      <c r="B80" t="s">
        <v>6294</v>
      </c>
      <c r="C80" t="s">
        <v>4106</v>
      </c>
      <c r="D80" s="7">
        <v>0.01</v>
      </c>
      <c r="E80" s="2">
        <v>236228.11</v>
      </c>
      <c r="F80" s="2">
        <v>2834.74</v>
      </c>
    </row>
    <row r="81" spans="1:6" x14ac:dyDescent="0.25">
      <c r="A81" t="s">
        <v>4052</v>
      </c>
      <c r="B81" t="s">
        <v>4053</v>
      </c>
      <c r="C81" t="s">
        <v>4054</v>
      </c>
      <c r="D81" s="7">
        <v>5</v>
      </c>
      <c r="E81" s="2">
        <v>16206.45</v>
      </c>
      <c r="F81" s="2">
        <v>810.32</v>
      </c>
    </row>
    <row r="82" spans="1:6" x14ac:dyDescent="0.25">
      <c r="A82" t="s">
        <v>4055</v>
      </c>
      <c r="D82" s="7"/>
      <c r="E82" s="2"/>
      <c r="F82" s="2">
        <f>SUBTOTAL(109,A_2_02_08[VALOR PARCIAL])</f>
      </c>
    </row>
    <row r="84" ht="30" customHeight="1" spans="1:6" x14ac:dyDescent="0.25">
      <c r="A84" s="5" t="s">
        <v>6316</v>
      </c>
      <c r="B84" s="5"/>
      <c r="C84" s="5"/>
      <c r="D84" s="5"/>
      <c r="E84" s="5"/>
      <c r="F84" s="5"/>
    </row>
    <row r="85" ht="42" customHeight="1" spans="1:6" x14ac:dyDescent="0.25">
      <c r="A85" s="6" t="s">
        <v>6317</v>
      </c>
      <c r="B85" s="6"/>
      <c r="C85" s="6"/>
      <c r="D85" s="6"/>
      <c r="E85" s="6"/>
      <c r="F85" s="6"/>
    </row>
    <row r="86" spans="1:6" x14ac:dyDescent="0.25">
      <c r="A86" t="s">
        <v>4044</v>
      </c>
      <c r="B86" t="s">
        <v>4045</v>
      </c>
      <c r="C86" t="s">
        <v>5</v>
      </c>
      <c r="D86" t="s">
        <v>4046</v>
      </c>
      <c r="E86" t="s">
        <v>4047</v>
      </c>
      <c r="F86" t="s">
        <v>4048</v>
      </c>
    </row>
    <row r="87" spans="1:6" x14ac:dyDescent="0.25">
      <c r="A87" t="s">
        <v>4062</v>
      </c>
      <c r="B87" t="s">
        <v>6318</v>
      </c>
      <c r="C87" t="s">
        <v>42</v>
      </c>
      <c r="D87" s="7">
        <v>1.05</v>
      </c>
      <c r="E87" s="2">
        <v>17671</v>
      </c>
      <c r="F87" s="2">
        <v>18554.55</v>
      </c>
    </row>
    <row r="88" spans="1:6" x14ac:dyDescent="0.25">
      <c r="A88" t="s">
        <v>4049</v>
      </c>
      <c r="B88" t="s">
        <v>4241</v>
      </c>
      <c r="C88" t="s">
        <v>4051</v>
      </c>
      <c r="D88" s="7">
        <v>0.2</v>
      </c>
      <c r="E88" s="2">
        <v>9941.22</v>
      </c>
      <c r="F88" s="2">
        <v>1958.42</v>
      </c>
    </row>
    <row r="89" spans="1:6" x14ac:dyDescent="0.25">
      <c r="A89" t="s">
        <v>4049</v>
      </c>
      <c r="B89" t="s">
        <v>4242</v>
      </c>
      <c r="C89" t="s">
        <v>4051</v>
      </c>
      <c r="D89" s="7">
        <v>0.2</v>
      </c>
      <c r="E89" s="2">
        <v>17069.53</v>
      </c>
      <c r="F89" s="2">
        <v>3362.7</v>
      </c>
    </row>
    <row r="90" spans="1:6" x14ac:dyDescent="0.25">
      <c r="A90" t="s">
        <v>4052</v>
      </c>
      <c r="B90" t="s">
        <v>6294</v>
      </c>
      <c r="C90" t="s">
        <v>4106</v>
      </c>
      <c r="D90" s="7">
        <v>0</v>
      </c>
      <c r="E90" s="2">
        <v>236228.11</v>
      </c>
      <c r="F90" s="2">
        <v>944.91</v>
      </c>
    </row>
    <row r="91" spans="1:6" x14ac:dyDescent="0.25">
      <c r="A91" t="s">
        <v>4052</v>
      </c>
      <c r="B91" t="s">
        <v>4053</v>
      </c>
      <c r="C91" t="s">
        <v>4054</v>
      </c>
      <c r="D91" s="7">
        <v>5</v>
      </c>
      <c r="E91" s="2">
        <v>5321.12</v>
      </c>
      <c r="F91" s="2">
        <v>266.06</v>
      </c>
    </row>
    <row r="92" spans="1:6" x14ac:dyDescent="0.25">
      <c r="A92" t="s">
        <v>4055</v>
      </c>
      <c r="D92" s="7"/>
      <c r="E92" s="2"/>
      <c r="F92" s="2">
        <f>SUBTOTAL(109,A_2_02_09[VALOR PARCIAL])</f>
      </c>
    </row>
    <row r="94" ht="30" customHeight="1" spans="1:6" x14ac:dyDescent="0.25">
      <c r="A94" s="5" t="s">
        <v>6319</v>
      </c>
      <c r="B94" s="5"/>
      <c r="C94" s="5"/>
      <c r="D94" s="5"/>
      <c r="E94" s="5"/>
      <c r="F94" s="5"/>
    </row>
    <row r="95" ht="42" customHeight="1" spans="1:6" x14ac:dyDescent="0.25">
      <c r="A95" s="6" t="s">
        <v>6320</v>
      </c>
      <c r="B95" s="6"/>
      <c r="C95" s="6"/>
      <c r="D95" s="6"/>
      <c r="E95" s="6"/>
      <c r="F95" s="6"/>
    </row>
    <row r="96" spans="1:6" x14ac:dyDescent="0.25">
      <c r="A96" t="s">
        <v>4044</v>
      </c>
      <c r="B96" t="s">
        <v>4045</v>
      </c>
      <c r="C96" t="s">
        <v>5</v>
      </c>
      <c r="D96" t="s">
        <v>4046</v>
      </c>
      <c r="E96" t="s">
        <v>4047</v>
      </c>
      <c r="F96" t="s">
        <v>4048</v>
      </c>
    </row>
    <row r="97" spans="1:6" x14ac:dyDescent="0.25">
      <c r="A97" t="s">
        <v>4062</v>
      </c>
      <c r="B97" t="s">
        <v>6321</v>
      </c>
      <c r="C97" t="s">
        <v>42</v>
      </c>
      <c r="D97" s="7">
        <v>1.05</v>
      </c>
      <c r="E97" s="2">
        <v>32633</v>
      </c>
      <c r="F97" s="2">
        <v>34264.65</v>
      </c>
    </row>
    <row r="98" spans="1:6" x14ac:dyDescent="0.25">
      <c r="A98" t="s">
        <v>4049</v>
      </c>
      <c r="B98" t="s">
        <v>4241</v>
      </c>
      <c r="C98" t="s">
        <v>4051</v>
      </c>
      <c r="D98" s="7">
        <v>0.2</v>
      </c>
      <c r="E98" s="2">
        <v>9941.22</v>
      </c>
      <c r="F98" s="2">
        <v>1988.24</v>
      </c>
    </row>
    <row r="99" spans="1:6" x14ac:dyDescent="0.25">
      <c r="A99" t="s">
        <v>4049</v>
      </c>
      <c r="B99" t="s">
        <v>4242</v>
      </c>
      <c r="C99" t="s">
        <v>4051</v>
      </c>
      <c r="D99" s="7">
        <v>0.2</v>
      </c>
      <c r="E99" s="2">
        <v>17069.53</v>
      </c>
      <c r="F99" s="2">
        <v>3413.91</v>
      </c>
    </row>
    <row r="100" spans="1:6" x14ac:dyDescent="0.25">
      <c r="A100" t="s">
        <v>4052</v>
      </c>
      <c r="B100" t="s">
        <v>6294</v>
      </c>
      <c r="C100" t="s">
        <v>4106</v>
      </c>
      <c r="D100" s="7">
        <v>0</v>
      </c>
      <c r="E100" s="2">
        <v>236228.11</v>
      </c>
      <c r="F100" s="2">
        <v>944.91</v>
      </c>
    </row>
    <row r="101" spans="1:6" x14ac:dyDescent="0.25">
      <c r="A101" t="s">
        <v>4052</v>
      </c>
      <c r="B101" t="s">
        <v>4053</v>
      </c>
      <c r="C101" t="s">
        <v>4054</v>
      </c>
      <c r="D101" s="7">
        <v>5</v>
      </c>
      <c r="E101" s="2">
        <v>5402.15</v>
      </c>
      <c r="F101" s="2">
        <v>270.11</v>
      </c>
    </row>
    <row r="102" spans="1:6" x14ac:dyDescent="0.25">
      <c r="A102" t="s">
        <v>4055</v>
      </c>
      <c r="D102" s="7"/>
      <c r="E102" s="2"/>
      <c r="F102" s="2">
        <f>SUBTOTAL(109,A_2_02_10[VALOR PARCIAL])</f>
      </c>
    </row>
  </sheetData>
  <mergeCells count="20">
    <mergeCell ref="A4:F4"/>
    <mergeCell ref="A5:F5"/>
    <mergeCell ref="A14:F14"/>
    <mergeCell ref="A15:F15"/>
    <mergeCell ref="A24:F24"/>
    <mergeCell ref="A25:F25"/>
    <mergeCell ref="A34:F34"/>
    <mergeCell ref="A35:F35"/>
    <mergeCell ref="A44:F44"/>
    <mergeCell ref="A45:F45"/>
    <mergeCell ref="A54:F54"/>
    <mergeCell ref="A55:F55"/>
    <mergeCell ref="A64:F64"/>
    <mergeCell ref="A65:F65"/>
    <mergeCell ref="A74:F74"/>
    <mergeCell ref="A75:F75"/>
    <mergeCell ref="A84:F84"/>
    <mergeCell ref="A85:F85"/>
    <mergeCell ref="A94:F94"/>
    <mergeCell ref="A95:F95"/>
  </mergeCells>
  <pageMargins left="0.7" right="0.7" top="0.75" bottom="0.75" header="0.3" footer="0.3"/>
  <pageSetup orientation="portrait" horizontalDpi="4294967295" verticalDpi="4294967295" scale="100" fitToWidth="1" fitToHeight="1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6322</v>
      </c>
    </row>
    <row r="2" spans="1:1" x14ac:dyDescent="0.25">
      <c r="A2" s="4" t="s">
        <v>5794</v>
      </c>
    </row>
    <row r="4" ht="30" customHeight="1" spans="1:6" x14ac:dyDescent="0.25">
      <c r="A4" s="5" t="s">
        <v>6323</v>
      </c>
      <c r="B4" s="5"/>
      <c r="C4" s="5"/>
      <c r="D4" s="5"/>
      <c r="E4" s="5"/>
      <c r="F4" s="5"/>
    </row>
    <row r="5" ht="42" customHeight="1" spans="1:6" x14ac:dyDescent="0.25">
      <c r="A5" s="6" t="s">
        <v>6324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6325</v>
      </c>
      <c r="C7" t="s">
        <v>42</v>
      </c>
      <c r="D7" s="7">
        <v>1.05</v>
      </c>
      <c r="E7" s="2">
        <v>27201</v>
      </c>
      <c r="F7" s="2">
        <v>28561.05</v>
      </c>
    </row>
    <row r="8" spans="1:6" x14ac:dyDescent="0.25">
      <c r="A8" t="s">
        <v>4062</v>
      </c>
      <c r="B8" t="s">
        <v>6326</v>
      </c>
      <c r="C8" t="s">
        <v>63</v>
      </c>
      <c r="D8" s="7">
        <v>0.17</v>
      </c>
      <c r="E8" s="2">
        <v>11050</v>
      </c>
      <c r="F8" s="2">
        <v>1878.5</v>
      </c>
    </row>
    <row r="9" spans="1:6" x14ac:dyDescent="0.25">
      <c r="A9" t="s">
        <v>4049</v>
      </c>
      <c r="B9" t="s">
        <v>4241</v>
      </c>
      <c r="C9" t="s">
        <v>4051</v>
      </c>
      <c r="D9" s="7">
        <v>0.32</v>
      </c>
      <c r="E9" s="2">
        <v>9941.22</v>
      </c>
      <c r="F9" s="2">
        <v>3181.19</v>
      </c>
    </row>
    <row r="10" spans="1:6" x14ac:dyDescent="0.25">
      <c r="A10" t="s">
        <v>4049</v>
      </c>
      <c r="B10" t="s">
        <v>4242</v>
      </c>
      <c r="C10" t="s">
        <v>4051</v>
      </c>
      <c r="D10" s="7">
        <v>0.32</v>
      </c>
      <c r="E10" s="2">
        <v>17069.53</v>
      </c>
      <c r="F10" s="2">
        <v>5462.25</v>
      </c>
    </row>
    <row r="11" spans="1:6" x14ac:dyDescent="0.25">
      <c r="A11" t="s">
        <v>4052</v>
      </c>
      <c r="B11" t="s">
        <v>4053</v>
      </c>
      <c r="C11" t="s">
        <v>4054</v>
      </c>
      <c r="D11" s="7">
        <v>5</v>
      </c>
      <c r="E11" s="2">
        <v>8643.44</v>
      </c>
      <c r="F11" s="2">
        <v>432.17</v>
      </c>
    </row>
    <row r="12" spans="1:6" x14ac:dyDescent="0.25">
      <c r="A12" t="s">
        <v>4055</v>
      </c>
      <c r="D12" s="7"/>
      <c r="E12" s="2"/>
      <c r="F12" s="2">
        <f>SUBTOTAL(109,A_2_03_01[VALOR PARCIAL])</f>
      </c>
    </row>
    <row r="14" ht="30" customHeight="1" spans="1:6" x14ac:dyDescent="0.25">
      <c r="A14" s="5" t="s">
        <v>6327</v>
      </c>
      <c r="B14" s="5"/>
      <c r="C14" s="5"/>
      <c r="D14" s="5"/>
      <c r="E14" s="5"/>
      <c r="F14" s="5"/>
    </row>
    <row r="15" ht="42" customHeight="1" spans="1:6" x14ac:dyDescent="0.25">
      <c r="A15" s="6" t="s">
        <v>6328</v>
      </c>
      <c r="B15" s="6"/>
      <c r="C15" s="6"/>
      <c r="D15" s="6"/>
      <c r="E15" s="6"/>
      <c r="F15" s="6"/>
    </row>
    <row r="16" spans="1:6" x14ac:dyDescent="0.25">
      <c r="A16" t="s">
        <v>4044</v>
      </c>
      <c r="B16" t="s">
        <v>4045</v>
      </c>
      <c r="C16" t="s">
        <v>5</v>
      </c>
      <c r="D16" t="s">
        <v>4046</v>
      </c>
      <c r="E16" t="s">
        <v>4047</v>
      </c>
      <c r="F16" t="s">
        <v>4048</v>
      </c>
    </row>
    <row r="17" spans="1:6" x14ac:dyDescent="0.25">
      <c r="A17" t="s">
        <v>4062</v>
      </c>
      <c r="B17" t="s">
        <v>6329</v>
      </c>
      <c r="C17" t="s">
        <v>42</v>
      </c>
      <c r="D17" s="7">
        <v>1.05</v>
      </c>
      <c r="E17" s="2">
        <v>46729</v>
      </c>
      <c r="F17" s="2">
        <v>49065.45</v>
      </c>
    </row>
    <row r="18" spans="1:6" x14ac:dyDescent="0.25">
      <c r="A18" t="s">
        <v>4062</v>
      </c>
      <c r="B18" t="s">
        <v>6330</v>
      </c>
      <c r="C18" t="s">
        <v>63</v>
      </c>
      <c r="D18" s="7">
        <v>0.17</v>
      </c>
      <c r="E18" s="2">
        <v>152154</v>
      </c>
      <c r="F18" s="2">
        <v>25866.18</v>
      </c>
    </row>
    <row r="19" spans="1:6" x14ac:dyDescent="0.25">
      <c r="A19" t="s">
        <v>4049</v>
      </c>
      <c r="B19" t="s">
        <v>4241</v>
      </c>
      <c r="C19" t="s">
        <v>4051</v>
      </c>
      <c r="D19" s="7">
        <v>0.72</v>
      </c>
      <c r="E19" s="2">
        <v>9941.22</v>
      </c>
      <c r="F19" s="2">
        <v>7157.68</v>
      </c>
    </row>
    <row r="20" spans="1:6" x14ac:dyDescent="0.25">
      <c r="A20" t="s">
        <v>4049</v>
      </c>
      <c r="B20" t="s">
        <v>4242</v>
      </c>
      <c r="C20" t="s">
        <v>4051</v>
      </c>
      <c r="D20" s="7">
        <v>0.72</v>
      </c>
      <c r="E20" s="2">
        <v>17069.53</v>
      </c>
      <c r="F20" s="2">
        <v>12290.06</v>
      </c>
    </row>
    <row r="21" spans="1:6" x14ac:dyDescent="0.25">
      <c r="A21" t="s">
        <v>4052</v>
      </c>
      <c r="B21" t="s">
        <v>4053</v>
      </c>
      <c r="C21" t="s">
        <v>4054</v>
      </c>
      <c r="D21" s="7">
        <v>5</v>
      </c>
      <c r="E21" s="2">
        <v>19447.74</v>
      </c>
      <c r="F21" s="2">
        <v>972.39</v>
      </c>
    </row>
    <row r="22" spans="1:6" x14ac:dyDescent="0.25">
      <c r="A22" t="s">
        <v>4055</v>
      </c>
      <c r="D22" s="7"/>
      <c r="E22" s="2"/>
      <c r="F22" s="2">
        <f>SUBTOTAL(109,A_2_03_02[VALOR PARCIAL])</f>
      </c>
    </row>
    <row r="24" ht="30" customHeight="1" spans="1:6" x14ac:dyDescent="0.25">
      <c r="A24" s="5" t="s">
        <v>6331</v>
      </c>
      <c r="B24" s="5"/>
      <c r="C24" s="5"/>
      <c r="D24" s="5"/>
      <c r="E24" s="5"/>
      <c r="F24" s="5"/>
    </row>
    <row r="25" ht="42" customHeight="1" spans="1:6" x14ac:dyDescent="0.25">
      <c r="A25" s="6" t="s">
        <v>6332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6333</v>
      </c>
      <c r="C27" t="s">
        <v>42</v>
      </c>
      <c r="D27" s="7">
        <v>1.05</v>
      </c>
      <c r="E27" s="2">
        <v>31416</v>
      </c>
      <c r="F27" s="2">
        <v>32986.8</v>
      </c>
    </row>
    <row r="28" spans="1:6" x14ac:dyDescent="0.25">
      <c r="A28" t="s">
        <v>4062</v>
      </c>
      <c r="B28" t="s">
        <v>6334</v>
      </c>
      <c r="C28" t="s">
        <v>63</v>
      </c>
      <c r="D28" s="7">
        <v>0.17</v>
      </c>
      <c r="E28" s="2">
        <v>6891</v>
      </c>
      <c r="F28" s="2">
        <v>1171.47</v>
      </c>
    </row>
    <row r="29" spans="1:6" x14ac:dyDescent="0.25">
      <c r="A29" t="s">
        <v>4049</v>
      </c>
      <c r="B29" t="s">
        <v>4241</v>
      </c>
      <c r="C29" t="s">
        <v>4051</v>
      </c>
      <c r="D29" s="7">
        <v>0.7</v>
      </c>
      <c r="E29" s="2">
        <v>9941.22</v>
      </c>
      <c r="F29" s="2">
        <v>6958.85</v>
      </c>
    </row>
    <row r="30" spans="1:6" x14ac:dyDescent="0.25">
      <c r="A30" t="s">
        <v>4049</v>
      </c>
      <c r="B30" t="s">
        <v>4242</v>
      </c>
      <c r="C30" t="s">
        <v>4051</v>
      </c>
      <c r="D30" s="7">
        <v>0.7</v>
      </c>
      <c r="E30" s="2">
        <v>17069.53</v>
      </c>
      <c r="F30" s="2">
        <v>11948.67</v>
      </c>
    </row>
    <row r="31" spans="1:6" x14ac:dyDescent="0.25">
      <c r="A31" t="s">
        <v>4052</v>
      </c>
      <c r="B31" t="s">
        <v>4053</v>
      </c>
      <c r="C31" t="s">
        <v>4054</v>
      </c>
      <c r="D31" s="7">
        <v>5</v>
      </c>
      <c r="E31" s="2">
        <v>18907.52</v>
      </c>
      <c r="F31" s="2">
        <v>945.38</v>
      </c>
    </row>
    <row r="32" spans="1:6" x14ac:dyDescent="0.25">
      <c r="A32" t="s">
        <v>4055</v>
      </c>
      <c r="D32" s="7"/>
      <c r="E32" s="2"/>
      <c r="F32" s="2">
        <f>SUBTOTAL(109,A_2_03_03[VALOR PARCIAL])</f>
      </c>
    </row>
    <row r="34" ht="30" customHeight="1" spans="1:6" x14ac:dyDescent="0.25">
      <c r="A34" s="5" t="s">
        <v>6335</v>
      </c>
      <c r="B34" s="5"/>
      <c r="C34" s="5"/>
      <c r="D34" s="5"/>
      <c r="E34" s="5"/>
      <c r="F34" s="5"/>
    </row>
    <row r="35" ht="42" customHeight="1" spans="1:6" x14ac:dyDescent="0.25">
      <c r="A35" s="6" t="s">
        <v>6336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6337</v>
      </c>
      <c r="C37" t="s">
        <v>42</v>
      </c>
      <c r="D37" s="7">
        <v>1.05</v>
      </c>
      <c r="E37" s="2">
        <v>59409</v>
      </c>
      <c r="F37" s="2">
        <v>62379.45</v>
      </c>
    </row>
    <row r="38" spans="1:6" x14ac:dyDescent="0.25">
      <c r="A38" t="s">
        <v>4062</v>
      </c>
      <c r="B38" t="s">
        <v>6338</v>
      </c>
      <c r="C38" t="s">
        <v>63</v>
      </c>
      <c r="D38" s="7">
        <v>0.17</v>
      </c>
      <c r="E38" s="2">
        <v>3603</v>
      </c>
      <c r="F38" s="2">
        <v>612.51</v>
      </c>
    </row>
    <row r="39" spans="1:6" x14ac:dyDescent="0.25">
      <c r="A39" t="s">
        <v>4049</v>
      </c>
      <c r="B39" t="s">
        <v>4241</v>
      </c>
      <c r="C39" t="s">
        <v>4051</v>
      </c>
      <c r="D39" s="7">
        <v>0.8</v>
      </c>
      <c r="E39" s="2">
        <v>9941.22</v>
      </c>
      <c r="F39" s="2">
        <v>7952.98</v>
      </c>
    </row>
    <row r="40" spans="1:6" x14ac:dyDescent="0.25">
      <c r="A40" t="s">
        <v>4049</v>
      </c>
      <c r="B40" t="s">
        <v>4242</v>
      </c>
      <c r="C40" t="s">
        <v>4051</v>
      </c>
      <c r="D40" s="7">
        <v>0.8</v>
      </c>
      <c r="E40" s="2">
        <v>17069.53</v>
      </c>
      <c r="F40" s="2">
        <v>13655.62</v>
      </c>
    </row>
    <row r="41" spans="1:6" x14ac:dyDescent="0.25">
      <c r="A41" t="s">
        <v>4052</v>
      </c>
      <c r="B41" t="s">
        <v>4053</v>
      </c>
      <c r="C41" t="s">
        <v>4054</v>
      </c>
      <c r="D41" s="7">
        <v>5</v>
      </c>
      <c r="E41" s="2">
        <v>21608.6</v>
      </c>
      <c r="F41" s="2">
        <v>1080.43</v>
      </c>
    </row>
    <row r="42" spans="1:6" x14ac:dyDescent="0.25">
      <c r="A42" t="s">
        <v>4055</v>
      </c>
      <c r="D42" s="7"/>
      <c r="E42" s="2"/>
      <c r="F42" s="2">
        <f>SUBTOTAL(109,A_2_03_04[VALOR PARCIAL])</f>
      </c>
    </row>
    <row r="44" ht="30" customHeight="1" spans="1:6" x14ac:dyDescent="0.25">
      <c r="A44" s="5" t="s">
        <v>6339</v>
      </c>
      <c r="B44" s="5"/>
      <c r="C44" s="5"/>
      <c r="D44" s="5"/>
      <c r="E44" s="5"/>
      <c r="F44" s="5"/>
    </row>
    <row r="45" ht="42" customHeight="1" spans="1:6" x14ac:dyDescent="0.25">
      <c r="A45" s="6" t="s">
        <v>6340</v>
      </c>
      <c r="B45" s="6"/>
      <c r="C45" s="6"/>
      <c r="D45" s="6"/>
      <c r="E45" s="6"/>
      <c r="F45" s="6"/>
    </row>
    <row r="46" spans="1:6" x14ac:dyDescent="0.25">
      <c r="A46" t="s">
        <v>4044</v>
      </c>
      <c r="B46" t="s">
        <v>4045</v>
      </c>
      <c r="C46" t="s">
        <v>5</v>
      </c>
      <c r="D46" t="s">
        <v>4046</v>
      </c>
      <c r="E46" t="s">
        <v>4047</v>
      </c>
      <c r="F46" t="s">
        <v>4048</v>
      </c>
    </row>
    <row r="47" spans="1:6" x14ac:dyDescent="0.25">
      <c r="A47" t="s">
        <v>4062</v>
      </c>
      <c r="B47" t="s">
        <v>6341</v>
      </c>
      <c r="C47" t="s">
        <v>42</v>
      </c>
      <c r="D47" s="7">
        <v>1.05</v>
      </c>
      <c r="E47" s="2">
        <v>64231</v>
      </c>
      <c r="F47" s="2">
        <v>67442.55</v>
      </c>
    </row>
    <row r="48" spans="1:6" x14ac:dyDescent="0.25">
      <c r="A48" t="s">
        <v>4062</v>
      </c>
      <c r="B48" t="s">
        <v>6342</v>
      </c>
      <c r="C48" t="s">
        <v>63</v>
      </c>
      <c r="D48" s="7">
        <v>0.17</v>
      </c>
      <c r="E48" s="2">
        <v>19040</v>
      </c>
      <c r="F48" s="2">
        <v>3236.8</v>
      </c>
    </row>
    <row r="49" spans="1:6" x14ac:dyDescent="0.25">
      <c r="A49" t="s">
        <v>4049</v>
      </c>
      <c r="B49" t="s">
        <v>4241</v>
      </c>
      <c r="C49" t="s">
        <v>4051</v>
      </c>
      <c r="D49" s="7">
        <v>1</v>
      </c>
      <c r="E49" s="2">
        <v>9941.22</v>
      </c>
      <c r="F49" s="2">
        <v>9941.22</v>
      </c>
    </row>
    <row r="50" spans="1:6" x14ac:dyDescent="0.25">
      <c r="A50" t="s">
        <v>4049</v>
      </c>
      <c r="B50" t="s">
        <v>4242</v>
      </c>
      <c r="C50" t="s">
        <v>4051</v>
      </c>
      <c r="D50" s="7">
        <v>1</v>
      </c>
      <c r="E50" s="2">
        <v>17069.53</v>
      </c>
      <c r="F50" s="2">
        <v>17069.53</v>
      </c>
    </row>
    <row r="51" spans="1:6" x14ac:dyDescent="0.25">
      <c r="A51" t="s">
        <v>4052</v>
      </c>
      <c r="B51" t="s">
        <v>4053</v>
      </c>
      <c r="C51" t="s">
        <v>4054</v>
      </c>
      <c r="D51" s="7">
        <v>5</v>
      </c>
      <c r="E51" s="2">
        <v>27010.75</v>
      </c>
      <c r="F51" s="2">
        <v>1350.54</v>
      </c>
    </row>
    <row r="52" spans="1:6" x14ac:dyDescent="0.25">
      <c r="A52" t="s">
        <v>4055</v>
      </c>
      <c r="D52" s="7"/>
      <c r="E52" s="2"/>
      <c r="F52" s="2">
        <f>SUBTOTAL(109,A_2_03_05[VALOR PARCIAL])</f>
      </c>
    </row>
    <row r="54" ht="30" customHeight="1" spans="1:6" x14ac:dyDescent="0.25">
      <c r="A54" s="5" t="s">
        <v>6343</v>
      </c>
      <c r="B54" s="5"/>
      <c r="C54" s="5"/>
      <c r="D54" s="5"/>
      <c r="E54" s="5"/>
      <c r="F54" s="5"/>
    </row>
    <row r="55" ht="42" customHeight="1" spans="1:6" x14ac:dyDescent="0.25">
      <c r="A55" s="6" t="s">
        <v>6344</v>
      </c>
      <c r="B55" s="6"/>
      <c r="C55" s="6"/>
      <c r="D55" s="6"/>
      <c r="E55" s="6"/>
      <c r="F55" s="6"/>
    </row>
    <row r="56" spans="1:6" x14ac:dyDescent="0.25">
      <c r="A56" t="s">
        <v>4044</v>
      </c>
      <c r="B56" t="s">
        <v>4045</v>
      </c>
      <c r="C56" t="s">
        <v>5</v>
      </c>
      <c r="D56" t="s">
        <v>4046</v>
      </c>
      <c r="E56" t="s">
        <v>4047</v>
      </c>
      <c r="F56" t="s">
        <v>4048</v>
      </c>
    </row>
    <row r="57" spans="1:6" x14ac:dyDescent="0.25">
      <c r="A57" t="s">
        <v>4062</v>
      </c>
      <c r="B57" t="s">
        <v>6345</v>
      </c>
      <c r="C57" t="s">
        <v>42</v>
      </c>
      <c r="D57" s="7">
        <v>1.05</v>
      </c>
      <c r="E57" s="2">
        <v>546830</v>
      </c>
      <c r="F57" s="2">
        <v>574171.5</v>
      </c>
    </row>
    <row r="58" spans="1:6" x14ac:dyDescent="0.25">
      <c r="A58" t="s">
        <v>4062</v>
      </c>
      <c r="B58" t="s">
        <v>6346</v>
      </c>
      <c r="C58" t="s">
        <v>63</v>
      </c>
      <c r="D58" s="7">
        <v>0.17</v>
      </c>
      <c r="E58" s="2">
        <v>31676</v>
      </c>
      <c r="F58" s="2">
        <v>5384.92</v>
      </c>
    </row>
    <row r="59" spans="1:6" x14ac:dyDescent="0.25">
      <c r="A59" t="s">
        <v>4049</v>
      </c>
      <c r="B59" t="s">
        <v>4241</v>
      </c>
      <c r="C59" t="s">
        <v>4051</v>
      </c>
      <c r="D59" s="7">
        <v>0.75</v>
      </c>
      <c r="E59" s="2">
        <v>9941.22</v>
      </c>
      <c r="F59" s="2">
        <v>7455.91</v>
      </c>
    </row>
    <row r="60" spans="1:6" x14ac:dyDescent="0.25">
      <c r="A60" t="s">
        <v>4049</v>
      </c>
      <c r="B60" t="s">
        <v>4242</v>
      </c>
      <c r="C60" t="s">
        <v>4051</v>
      </c>
      <c r="D60" s="7">
        <v>0.75</v>
      </c>
      <c r="E60" s="2">
        <v>17069.53</v>
      </c>
      <c r="F60" s="2">
        <v>12802.15</v>
      </c>
    </row>
    <row r="61" spans="1:6" x14ac:dyDescent="0.25">
      <c r="A61" t="s">
        <v>4052</v>
      </c>
      <c r="B61" t="s">
        <v>4053</v>
      </c>
      <c r="C61" t="s">
        <v>4054</v>
      </c>
      <c r="D61" s="7">
        <v>5</v>
      </c>
      <c r="E61" s="2">
        <v>20258.06</v>
      </c>
      <c r="F61" s="2">
        <v>1012.9</v>
      </c>
    </row>
    <row r="62" spans="1:6" x14ac:dyDescent="0.25">
      <c r="A62" t="s">
        <v>4055</v>
      </c>
      <c r="D62" s="7"/>
      <c r="E62" s="2"/>
      <c r="F62" s="2">
        <f>SUBTOTAL(109,A_2_03_06[VALOR PARCIAL])</f>
      </c>
    </row>
  </sheetData>
  <mergeCells count="12">
    <mergeCell ref="A4:F4"/>
    <mergeCell ref="A5:F5"/>
    <mergeCell ref="A14:F14"/>
    <mergeCell ref="A15:F15"/>
    <mergeCell ref="A24:F24"/>
    <mergeCell ref="A25:F25"/>
    <mergeCell ref="A34:F34"/>
    <mergeCell ref="A35:F35"/>
    <mergeCell ref="A44:F44"/>
    <mergeCell ref="A45:F45"/>
    <mergeCell ref="A54:F54"/>
    <mergeCell ref="A55:F55"/>
  </mergeCells>
  <pageMargins left="0.7" right="0.7" top="0.75" bottom="0.75" header="0.3" footer="0.3"/>
  <pageSetup orientation="portrait" horizontalDpi="4294967295" verticalDpi="4294967295" scale="100" fitToWidth="1" fitToHeight="1"/>
  <tableParts count="6">
    <tablePart r:id="rId1"/>
    <tablePart r:id="rId2"/>
    <tablePart r:id="rId3"/>
    <tablePart r:id="rId4"/>
    <tablePart r:id="rId5"/>
    <tablePart r:id="rId6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6347</v>
      </c>
    </row>
    <row r="2" spans="1:1" x14ac:dyDescent="0.25">
      <c r="A2" s="4" t="s">
        <v>6348</v>
      </c>
    </row>
    <row r="4" ht="30" customHeight="1" spans="1:6" x14ac:dyDescent="0.25">
      <c r="A4" s="5" t="s">
        <v>6349</v>
      </c>
      <c r="B4" s="5"/>
      <c r="C4" s="5"/>
      <c r="D4" s="5"/>
      <c r="E4" s="5"/>
      <c r="F4" s="5"/>
    </row>
    <row r="5" ht="42" customHeight="1" spans="1:6" x14ac:dyDescent="0.25">
      <c r="A5" s="6" t="s">
        <v>6350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6351</v>
      </c>
      <c r="C7" t="s">
        <v>34</v>
      </c>
      <c r="D7" s="7">
        <v>1.05</v>
      </c>
      <c r="E7" s="2">
        <v>535500</v>
      </c>
      <c r="F7" s="2">
        <v>562275</v>
      </c>
    </row>
    <row r="8" spans="1:6" x14ac:dyDescent="0.25">
      <c r="A8" t="s">
        <v>4049</v>
      </c>
      <c r="B8" t="s">
        <v>4176</v>
      </c>
      <c r="C8" t="s">
        <v>4177</v>
      </c>
      <c r="D8" s="7">
        <v>0.3</v>
      </c>
      <c r="E8" s="2">
        <v>72300.17</v>
      </c>
      <c r="F8" s="2">
        <v>21690.05</v>
      </c>
    </row>
    <row r="9" spans="1:6" x14ac:dyDescent="0.25">
      <c r="A9" t="s">
        <v>4049</v>
      </c>
      <c r="B9" t="s">
        <v>4313</v>
      </c>
      <c r="C9" t="s">
        <v>4177</v>
      </c>
      <c r="D9" s="7">
        <v>0.1</v>
      </c>
      <c r="E9" s="2">
        <v>124137.15</v>
      </c>
      <c r="F9" s="2">
        <v>12413.72</v>
      </c>
    </row>
    <row r="10" spans="1:6" x14ac:dyDescent="0.25">
      <c r="A10" t="s">
        <v>4052</v>
      </c>
      <c r="B10" t="s">
        <v>4053</v>
      </c>
      <c r="C10" t="s">
        <v>4054</v>
      </c>
      <c r="D10" s="7">
        <v>3.5</v>
      </c>
      <c r="E10" s="2">
        <v>34103.77</v>
      </c>
      <c r="F10" s="2">
        <v>1193.63</v>
      </c>
    </row>
    <row r="11" spans="1:6" x14ac:dyDescent="0.25">
      <c r="A11" t="s">
        <v>4055</v>
      </c>
      <c r="D11" s="7"/>
      <c r="E11" s="2"/>
      <c r="F11" s="2">
        <f>SUBTOTAL(109,A_2_04_01[VALOR PARCIAL])</f>
      </c>
    </row>
    <row r="13" ht="30" customHeight="1" spans="1:6" x14ac:dyDescent="0.25">
      <c r="A13" s="5" t="s">
        <v>6352</v>
      </c>
      <c r="B13" s="5"/>
      <c r="C13" s="5"/>
      <c r="D13" s="5"/>
      <c r="E13" s="5"/>
      <c r="F13" s="5"/>
    </row>
    <row r="14" ht="42" customHeight="1" spans="1:6" x14ac:dyDescent="0.25">
      <c r="A14" s="6" t="s">
        <v>6353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4703</v>
      </c>
      <c r="C16" t="s">
        <v>63</v>
      </c>
      <c r="D16" s="7">
        <v>1</v>
      </c>
      <c r="E16" s="2">
        <v>546</v>
      </c>
      <c r="F16" s="2">
        <v>546</v>
      </c>
    </row>
    <row r="17" spans="1:6" x14ac:dyDescent="0.25">
      <c r="A17" t="s">
        <v>4062</v>
      </c>
      <c r="B17" t="s">
        <v>4659</v>
      </c>
      <c r="C17" t="s">
        <v>4377</v>
      </c>
      <c r="D17" s="7">
        <v>0</v>
      </c>
      <c r="E17" s="2">
        <v>31500</v>
      </c>
      <c r="F17" s="2">
        <v>103.95</v>
      </c>
    </row>
    <row r="18" spans="1:6" x14ac:dyDescent="0.25">
      <c r="A18" t="s">
        <v>4062</v>
      </c>
      <c r="B18" t="s">
        <v>4376</v>
      </c>
      <c r="C18" t="s">
        <v>4377</v>
      </c>
      <c r="D18" s="7">
        <v>0</v>
      </c>
      <c r="E18" s="2">
        <v>72237.67</v>
      </c>
      <c r="F18" s="2">
        <v>238.38</v>
      </c>
    </row>
    <row r="19" spans="1:6" x14ac:dyDescent="0.25">
      <c r="A19" t="s">
        <v>4049</v>
      </c>
      <c r="B19" t="s">
        <v>4241</v>
      </c>
      <c r="C19" t="s">
        <v>4051</v>
      </c>
      <c r="D19" s="7">
        <v>0.01</v>
      </c>
      <c r="E19" s="2">
        <v>9941.22</v>
      </c>
      <c r="F19" s="2">
        <v>99.41</v>
      </c>
    </row>
    <row r="20" spans="1:6" x14ac:dyDescent="0.25">
      <c r="A20" t="s">
        <v>4049</v>
      </c>
      <c r="B20" t="s">
        <v>4242</v>
      </c>
      <c r="C20" t="s">
        <v>4051</v>
      </c>
      <c r="D20" s="7">
        <v>0.01</v>
      </c>
      <c r="E20" s="2">
        <v>17069.53</v>
      </c>
      <c r="F20" s="2">
        <v>170.7</v>
      </c>
    </row>
    <row r="21" spans="1:6" x14ac:dyDescent="0.25">
      <c r="A21" t="s">
        <v>4052</v>
      </c>
      <c r="B21" t="s">
        <v>4053</v>
      </c>
      <c r="C21" t="s">
        <v>4054</v>
      </c>
      <c r="D21" s="7">
        <v>3.5</v>
      </c>
      <c r="E21" s="2">
        <v>270.11</v>
      </c>
      <c r="F21" s="2">
        <v>9.45</v>
      </c>
    </row>
    <row r="22" spans="1:6" x14ac:dyDescent="0.25">
      <c r="A22" t="s">
        <v>4055</v>
      </c>
      <c r="D22" s="7"/>
      <c r="E22" s="2"/>
      <c r="F22" s="2">
        <f>SUBTOTAL(109,A_2_04_02[VALOR PARCIAL])</f>
      </c>
    </row>
    <row r="24" ht="30" customHeight="1" spans="1:6" x14ac:dyDescent="0.25">
      <c r="A24" s="5" t="s">
        <v>6354</v>
      </c>
      <c r="B24" s="5"/>
      <c r="C24" s="5"/>
      <c r="D24" s="5"/>
      <c r="E24" s="5"/>
      <c r="F24" s="5"/>
    </row>
    <row r="25" ht="42" customHeight="1" spans="1:6" x14ac:dyDescent="0.25">
      <c r="A25" s="6" t="s">
        <v>6355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4779</v>
      </c>
      <c r="C27" t="s">
        <v>63</v>
      </c>
      <c r="D27" s="7">
        <v>1</v>
      </c>
      <c r="E27" s="2">
        <v>701.4</v>
      </c>
      <c r="F27" s="2">
        <v>701.4</v>
      </c>
    </row>
    <row r="28" spans="1:6" x14ac:dyDescent="0.25">
      <c r="A28" t="s">
        <v>4062</v>
      </c>
      <c r="B28" t="s">
        <v>4659</v>
      </c>
      <c r="C28" t="s">
        <v>4377</v>
      </c>
      <c r="D28" s="7">
        <v>0</v>
      </c>
      <c r="E28" s="2">
        <v>31500</v>
      </c>
      <c r="F28" s="2">
        <v>103.95</v>
      </c>
    </row>
    <row r="29" spans="1:6" x14ac:dyDescent="0.25">
      <c r="A29" t="s">
        <v>4062</v>
      </c>
      <c r="B29" t="s">
        <v>4376</v>
      </c>
      <c r="C29" t="s">
        <v>4377</v>
      </c>
      <c r="D29" s="7">
        <v>0</v>
      </c>
      <c r="E29" s="2">
        <v>72237.67</v>
      </c>
      <c r="F29" s="2">
        <v>238.38</v>
      </c>
    </row>
    <row r="30" spans="1:6" x14ac:dyDescent="0.25">
      <c r="A30" t="s">
        <v>4049</v>
      </c>
      <c r="B30" t="s">
        <v>4241</v>
      </c>
      <c r="C30" t="s">
        <v>4051</v>
      </c>
      <c r="D30" s="7">
        <v>0.01</v>
      </c>
      <c r="E30" s="2">
        <v>9941.22</v>
      </c>
      <c r="F30" s="2">
        <v>99.41</v>
      </c>
    </row>
    <row r="31" spans="1:6" x14ac:dyDescent="0.25">
      <c r="A31" t="s">
        <v>4049</v>
      </c>
      <c r="B31" t="s">
        <v>4242</v>
      </c>
      <c r="C31" t="s">
        <v>4051</v>
      </c>
      <c r="D31" s="7">
        <v>0.01</v>
      </c>
      <c r="E31" s="2">
        <v>17069.53</v>
      </c>
      <c r="F31" s="2">
        <v>170.7</v>
      </c>
    </row>
    <row r="32" spans="1:6" x14ac:dyDescent="0.25">
      <c r="A32" t="s">
        <v>4052</v>
      </c>
      <c r="B32" t="s">
        <v>4053</v>
      </c>
      <c r="C32" t="s">
        <v>4054</v>
      </c>
      <c r="D32" s="7">
        <v>3.5</v>
      </c>
      <c r="E32" s="2">
        <v>270.11</v>
      </c>
      <c r="F32" s="2">
        <v>9.45</v>
      </c>
    </row>
    <row r="33" spans="1:6" x14ac:dyDescent="0.25">
      <c r="A33" t="s">
        <v>4055</v>
      </c>
      <c r="D33" s="7"/>
      <c r="E33" s="2"/>
      <c r="F33" s="2">
        <f>SUBTOTAL(109,A_2_04_03[VALOR PARCIAL])</f>
      </c>
    </row>
    <row r="35" ht="30" customHeight="1" spans="1:6" x14ac:dyDescent="0.25">
      <c r="A35" s="5" t="s">
        <v>6356</v>
      </c>
      <c r="B35" s="5"/>
      <c r="C35" s="5"/>
      <c r="D35" s="5"/>
      <c r="E35" s="5"/>
      <c r="F35" s="5"/>
    </row>
    <row r="36" ht="42" customHeight="1" spans="1:6" x14ac:dyDescent="0.25">
      <c r="A36" s="6" t="s">
        <v>6357</v>
      </c>
      <c r="B36" s="6"/>
      <c r="C36" s="6"/>
      <c r="D36" s="6"/>
      <c r="E36" s="6"/>
      <c r="F36" s="6"/>
    </row>
    <row r="37" spans="1:6" x14ac:dyDescent="0.25">
      <c r="A37" t="s">
        <v>4044</v>
      </c>
      <c r="B37" t="s">
        <v>4045</v>
      </c>
      <c r="C37" t="s">
        <v>5</v>
      </c>
      <c r="D37" t="s">
        <v>4046</v>
      </c>
      <c r="E37" t="s">
        <v>4047</v>
      </c>
      <c r="F37" t="s">
        <v>4048</v>
      </c>
    </row>
    <row r="38" spans="1:6" x14ac:dyDescent="0.25">
      <c r="A38" t="s">
        <v>4062</v>
      </c>
      <c r="B38" t="s">
        <v>6358</v>
      </c>
      <c r="C38" t="s">
        <v>63</v>
      </c>
      <c r="D38" s="7">
        <v>1</v>
      </c>
      <c r="E38" s="2">
        <v>738616</v>
      </c>
      <c r="F38" s="2">
        <v>738616</v>
      </c>
    </row>
    <row r="39" spans="1:6" x14ac:dyDescent="0.25">
      <c r="A39" t="s">
        <v>4062</v>
      </c>
      <c r="B39" t="s">
        <v>4659</v>
      </c>
      <c r="C39" t="s">
        <v>4377</v>
      </c>
      <c r="D39" s="7">
        <v>0.04</v>
      </c>
      <c r="E39" s="2">
        <v>31500</v>
      </c>
      <c r="F39" s="2">
        <v>1260</v>
      </c>
    </row>
    <row r="40" spans="1:6" x14ac:dyDescent="0.25">
      <c r="A40" t="s">
        <v>4062</v>
      </c>
      <c r="B40" t="s">
        <v>4376</v>
      </c>
      <c r="C40" t="s">
        <v>4377</v>
      </c>
      <c r="D40" s="7">
        <v>0.04</v>
      </c>
      <c r="E40" s="2">
        <v>72237.67</v>
      </c>
      <c r="F40" s="2">
        <v>2889.51</v>
      </c>
    </row>
    <row r="41" spans="1:6" x14ac:dyDescent="0.25">
      <c r="A41" t="s">
        <v>4049</v>
      </c>
      <c r="B41" t="s">
        <v>4241</v>
      </c>
      <c r="C41" t="s">
        <v>4051</v>
      </c>
      <c r="D41" s="7">
        <v>0.4</v>
      </c>
      <c r="E41" s="2">
        <v>9941.22</v>
      </c>
      <c r="F41" s="2">
        <v>3976.49</v>
      </c>
    </row>
    <row r="42" spans="1:6" x14ac:dyDescent="0.25">
      <c r="A42" t="s">
        <v>4049</v>
      </c>
      <c r="B42" t="s">
        <v>4242</v>
      </c>
      <c r="C42" t="s">
        <v>4051</v>
      </c>
      <c r="D42" s="7">
        <v>0.4</v>
      </c>
      <c r="E42" s="2">
        <v>17069.53</v>
      </c>
      <c r="F42" s="2">
        <v>6827.81</v>
      </c>
    </row>
    <row r="43" spans="1:6" x14ac:dyDescent="0.25">
      <c r="A43" t="s">
        <v>4052</v>
      </c>
      <c r="B43" t="s">
        <v>4053</v>
      </c>
      <c r="C43" t="s">
        <v>4054</v>
      </c>
      <c r="D43" s="7">
        <v>3.5</v>
      </c>
      <c r="E43" s="2">
        <v>10804.3</v>
      </c>
      <c r="F43" s="2">
        <v>378.15</v>
      </c>
    </row>
    <row r="44" spans="1:6" x14ac:dyDescent="0.25">
      <c r="A44" t="s">
        <v>4055</v>
      </c>
      <c r="D44" s="7"/>
      <c r="E44" s="2"/>
      <c r="F44" s="2">
        <f>SUBTOTAL(109,A_2_04_04[VALOR PARCIAL])</f>
      </c>
    </row>
    <row r="46" ht="30" customHeight="1" spans="1:6" x14ac:dyDescent="0.25">
      <c r="A46" s="5" t="s">
        <v>6359</v>
      </c>
      <c r="B46" s="5"/>
      <c r="C46" s="5"/>
      <c r="D46" s="5"/>
      <c r="E46" s="5"/>
      <c r="F46" s="5"/>
    </row>
    <row r="47" ht="42" customHeight="1" spans="1:6" x14ac:dyDescent="0.25">
      <c r="A47" s="6" t="s">
        <v>6360</v>
      </c>
      <c r="B47" s="6"/>
      <c r="C47" s="6"/>
      <c r="D47" s="6"/>
      <c r="E47" s="6"/>
      <c r="F47" s="6"/>
    </row>
    <row r="48" spans="1:6" x14ac:dyDescent="0.25">
      <c r="A48" t="s">
        <v>4044</v>
      </c>
      <c r="B48" t="s">
        <v>4045</v>
      </c>
      <c r="C48" t="s">
        <v>5</v>
      </c>
      <c r="D48" t="s">
        <v>4046</v>
      </c>
      <c r="E48" t="s">
        <v>4047</v>
      </c>
      <c r="F48" t="s">
        <v>4048</v>
      </c>
    </row>
    <row r="49" spans="1:6" x14ac:dyDescent="0.25">
      <c r="A49" t="s">
        <v>4062</v>
      </c>
      <c r="B49" t="s">
        <v>6361</v>
      </c>
      <c r="C49" t="s">
        <v>63</v>
      </c>
      <c r="D49" s="7">
        <v>1</v>
      </c>
      <c r="E49" s="2">
        <v>1259776.5</v>
      </c>
      <c r="F49" s="2">
        <v>1259776.5</v>
      </c>
    </row>
    <row r="50" spans="1:6" x14ac:dyDescent="0.25">
      <c r="A50" t="s">
        <v>4062</v>
      </c>
      <c r="B50" t="s">
        <v>4659</v>
      </c>
      <c r="C50" t="s">
        <v>4377</v>
      </c>
      <c r="D50" s="7">
        <v>0.06</v>
      </c>
      <c r="E50" s="2">
        <v>31500</v>
      </c>
      <c r="F50" s="2">
        <v>1890</v>
      </c>
    </row>
    <row r="51" spans="1:6" x14ac:dyDescent="0.25">
      <c r="A51" t="s">
        <v>4062</v>
      </c>
      <c r="B51" t="s">
        <v>4376</v>
      </c>
      <c r="C51" t="s">
        <v>4377</v>
      </c>
      <c r="D51" s="7">
        <v>0.06</v>
      </c>
      <c r="E51" s="2">
        <v>72237.67</v>
      </c>
      <c r="F51" s="2">
        <v>4334.26</v>
      </c>
    </row>
    <row r="52" spans="1:6" x14ac:dyDescent="0.25">
      <c r="A52" t="s">
        <v>4049</v>
      </c>
      <c r="B52" t="s">
        <v>4241</v>
      </c>
      <c r="C52" t="s">
        <v>4051</v>
      </c>
      <c r="D52" s="7">
        <v>0.25</v>
      </c>
      <c r="E52" s="2">
        <v>9941.22</v>
      </c>
      <c r="F52" s="2">
        <v>2485.3</v>
      </c>
    </row>
    <row r="53" spans="1:6" x14ac:dyDescent="0.25">
      <c r="A53" t="s">
        <v>4049</v>
      </c>
      <c r="B53" t="s">
        <v>4242</v>
      </c>
      <c r="C53" t="s">
        <v>4051</v>
      </c>
      <c r="D53" s="7">
        <v>0.25</v>
      </c>
      <c r="E53" s="2">
        <v>17069.53</v>
      </c>
      <c r="F53" s="2">
        <v>4267.38</v>
      </c>
    </row>
    <row r="54" spans="1:6" x14ac:dyDescent="0.25">
      <c r="A54" t="s">
        <v>4052</v>
      </c>
      <c r="B54" t="s">
        <v>4053</v>
      </c>
      <c r="C54" t="s">
        <v>4054</v>
      </c>
      <c r="D54" s="7">
        <v>3.5</v>
      </c>
      <c r="E54" s="2">
        <v>6752.68</v>
      </c>
      <c r="F54" s="2">
        <v>236.34</v>
      </c>
    </row>
    <row r="55" spans="1:6" x14ac:dyDescent="0.25">
      <c r="A55" t="s">
        <v>4055</v>
      </c>
      <c r="D55" s="7"/>
      <c r="E55" s="2"/>
      <c r="F55" s="2">
        <f>SUBTOTAL(109,A_2_04_05[VALOR PARCIAL])</f>
      </c>
    </row>
    <row r="57" ht="30" customHeight="1" spans="1:6" x14ac:dyDescent="0.25">
      <c r="A57" s="5" t="s">
        <v>6362</v>
      </c>
      <c r="B57" s="5"/>
      <c r="C57" s="5"/>
      <c r="D57" s="5"/>
      <c r="E57" s="5"/>
      <c r="F57" s="5"/>
    </row>
    <row r="58" ht="42" customHeight="1" spans="1:6" x14ac:dyDescent="0.25">
      <c r="A58" s="6" t="s">
        <v>6363</v>
      </c>
      <c r="B58" s="6"/>
      <c r="C58" s="6"/>
      <c r="D58" s="6"/>
      <c r="E58" s="6"/>
      <c r="F58" s="6"/>
    </row>
    <row r="59" spans="1:6" x14ac:dyDescent="0.25">
      <c r="A59" t="s">
        <v>4044</v>
      </c>
      <c r="B59" t="s">
        <v>4045</v>
      </c>
      <c r="C59" t="s">
        <v>5</v>
      </c>
      <c r="D59" t="s">
        <v>4046</v>
      </c>
      <c r="E59" t="s">
        <v>4047</v>
      </c>
      <c r="F59" t="s">
        <v>4048</v>
      </c>
    </row>
    <row r="60" spans="1:6" x14ac:dyDescent="0.25">
      <c r="A60" t="s">
        <v>4062</v>
      </c>
      <c r="B60" t="s">
        <v>6364</v>
      </c>
      <c r="C60" t="s">
        <v>63</v>
      </c>
      <c r="D60" s="7">
        <v>1</v>
      </c>
      <c r="E60" s="2">
        <v>75815</v>
      </c>
      <c r="F60" s="2">
        <v>75815</v>
      </c>
    </row>
    <row r="61" spans="1:6" x14ac:dyDescent="0.25">
      <c r="A61" t="s">
        <v>4062</v>
      </c>
      <c r="B61" t="s">
        <v>6166</v>
      </c>
      <c r="C61" t="s">
        <v>63</v>
      </c>
      <c r="D61" s="7">
        <v>0.02</v>
      </c>
      <c r="E61" s="2">
        <v>19750</v>
      </c>
      <c r="F61" s="2">
        <v>395</v>
      </c>
    </row>
    <row r="62" spans="1:6" x14ac:dyDescent="0.25">
      <c r="A62" t="s">
        <v>4049</v>
      </c>
      <c r="B62" t="s">
        <v>4241</v>
      </c>
      <c r="C62" t="s">
        <v>4051</v>
      </c>
      <c r="D62" s="7">
        <v>0.25</v>
      </c>
      <c r="E62" s="2">
        <v>9941.22</v>
      </c>
      <c r="F62" s="2">
        <v>2485.3</v>
      </c>
    </row>
    <row r="63" spans="1:6" x14ac:dyDescent="0.25">
      <c r="A63" t="s">
        <v>4049</v>
      </c>
      <c r="B63" t="s">
        <v>4242</v>
      </c>
      <c r="C63" t="s">
        <v>4051</v>
      </c>
      <c r="D63" s="7">
        <v>0.25</v>
      </c>
      <c r="E63" s="2">
        <v>17069.53</v>
      </c>
      <c r="F63" s="2">
        <v>4267.38</v>
      </c>
    </row>
    <row r="64" spans="1:6" x14ac:dyDescent="0.25">
      <c r="A64" t="s">
        <v>4052</v>
      </c>
      <c r="B64" t="s">
        <v>4053</v>
      </c>
      <c r="C64" t="s">
        <v>4054</v>
      </c>
      <c r="D64" s="7">
        <v>3.5</v>
      </c>
      <c r="E64" s="2">
        <v>6752.68</v>
      </c>
      <c r="F64" s="2">
        <v>236.34</v>
      </c>
    </row>
    <row r="65" spans="1:6" x14ac:dyDescent="0.25">
      <c r="A65" t="s">
        <v>4055</v>
      </c>
      <c r="D65" s="7"/>
      <c r="E65" s="2"/>
      <c r="F65" s="2">
        <f>SUBTOTAL(109,A_2_04_06[VALOR PARCIAL])</f>
      </c>
    </row>
    <row r="67" ht="30" customHeight="1" spans="1:6" x14ac:dyDescent="0.25">
      <c r="A67" s="5" t="s">
        <v>6365</v>
      </c>
      <c r="B67" s="5"/>
      <c r="C67" s="5"/>
      <c r="D67" s="5"/>
      <c r="E67" s="5"/>
      <c r="F67" s="5"/>
    </row>
    <row r="68" ht="42" customHeight="1" spans="1:6" x14ac:dyDescent="0.25">
      <c r="A68" s="6" t="s">
        <v>6366</v>
      </c>
      <c r="B68" s="6"/>
      <c r="C68" s="6"/>
      <c r="D68" s="6"/>
      <c r="E68" s="6"/>
      <c r="F68" s="6"/>
    </row>
    <row r="69" spans="1:6" x14ac:dyDescent="0.25">
      <c r="A69" t="s">
        <v>4044</v>
      </c>
      <c r="B69" t="s">
        <v>4045</v>
      </c>
      <c r="C69" t="s">
        <v>5</v>
      </c>
      <c r="D69" t="s">
        <v>4046</v>
      </c>
      <c r="E69" t="s">
        <v>4047</v>
      </c>
      <c r="F69" t="s">
        <v>4048</v>
      </c>
    </row>
    <row r="70" spans="1:6" x14ac:dyDescent="0.25">
      <c r="A70" t="s">
        <v>4062</v>
      </c>
      <c r="B70" t="s">
        <v>6367</v>
      </c>
      <c r="C70" t="s">
        <v>63</v>
      </c>
      <c r="D70" s="7">
        <v>1</v>
      </c>
      <c r="E70" s="2">
        <v>172623.33</v>
      </c>
      <c r="F70" s="2">
        <v>172623.33</v>
      </c>
    </row>
    <row r="71" spans="1:6" x14ac:dyDescent="0.25">
      <c r="A71" t="s">
        <v>4062</v>
      </c>
      <c r="B71" t="s">
        <v>6166</v>
      </c>
      <c r="C71" t="s">
        <v>63</v>
      </c>
      <c r="D71" s="7">
        <v>0.02</v>
      </c>
      <c r="E71" s="2">
        <v>19750</v>
      </c>
      <c r="F71" s="2">
        <v>395</v>
      </c>
    </row>
    <row r="72" spans="1:6" x14ac:dyDescent="0.25">
      <c r="A72" t="s">
        <v>4049</v>
      </c>
      <c r="B72" t="s">
        <v>4241</v>
      </c>
      <c r="C72" t="s">
        <v>4051</v>
      </c>
      <c r="D72" s="7">
        <v>0.25</v>
      </c>
      <c r="E72" s="2">
        <v>9941.22</v>
      </c>
      <c r="F72" s="2">
        <v>2485.3</v>
      </c>
    </row>
    <row r="73" spans="1:6" x14ac:dyDescent="0.25">
      <c r="A73" t="s">
        <v>4049</v>
      </c>
      <c r="B73" t="s">
        <v>4242</v>
      </c>
      <c r="C73" t="s">
        <v>4051</v>
      </c>
      <c r="D73" s="7">
        <v>0.25</v>
      </c>
      <c r="E73" s="2">
        <v>17069.53</v>
      </c>
      <c r="F73" s="2">
        <v>4267.38</v>
      </c>
    </row>
    <row r="74" spans="1:6" x14ac:dyDescent="0.25">
      <c r="A74" t="s">
        <v>4052</v>
      </c>
      <c r="B74" t="s">
        <v>4053</v>
      </c>
      <c r="C74" t="s">
        <v>4054</v>
      </c>
      <c r="D74" s="7">
        <v>3.5</v>
      </c>
      <c r="E74" s="2">
        <v>6752.68</v>
      </c>
      <c r="F74" s="2">
        <v>236.34</v>
      </c>
    </row>
    <row r="75" spans="1:6" x14ac:dyDescent="0.25">
      <c r="A75" t="s">
        <v>4055</v>
      </c>
      <c r="D75" s="7"/>
      <c r="E75" s="2"/>
      <c r="F75" s="2">
        <f>SUBTOTAL(109,A_2_04_07[VALOR PARCIAL])</f>
      </c>
    </row>
    <row r="77" ht="30" customHeight="1" spans="1:6" x14ac:dyDescent="0.25">
      <c r="A77" s="5" t="s">
        <v>6368</v>
      </c>
      <c r="B77" s="5"/>
      <c r="C77" s="5"/>
      <c r="D77" s="5"/>
      <c r="E77" s="5"/>
      <c r="F77" s="5"/>
    </row>
    <row r="78" ht="42" customHeight="1" spans="1:6" x14ac:dyDescent="0.25">
      <c r="A78" s="6" t="s">
        <v>6369</v>
      </c>
      <c r="B78" s="6"/>
      <c r="C78" s="6"/>
      <c r="D78" s="6"/>
      <c r="E78" s="6"/>
      <c r="F78" s="6"/>
    </row>
    <row r="79" spans="1:6" x14ac:dyDescent="0.25">
      <c r="A79" t="s">
        <v>4044</v>
      </c>
      <c r="B79" t="s">
        <v>4045</v>
      </c>
      <c r="C79" t="s">
        <v>5</v>
      </c>
      <c r="D79" t="s">
        <v>4046</v>
      </c>
      <c r="E79" t="s">
        <v>4047</v>
      </c>
      <c r="F79" t="s">
        <v>4048</v>
      </c>
    </row>
    <row r="80" spans="1:6" x14ac:dyDescent="0.25">
      <c r="A80" t="s">
        <v>4062</v>
      </c>
      <c r="B80" t="s">
        <v>6370</v>
      </c>
      <c r="C80" t="s">
        <v>63</v>
      </c>
      <c r="D80" s="7">
        <v>1</v>
      </c>
      <c r="E80" s="2">
        <v>352028</v>
      </c>
      <c r="F80" s="2">
        <v>352028</v>
      </c>
    </row>
    <row r="81" spans="1:6" x14ac:dyDescent="0.25">
      <c r="A81" t="s">
        <v>4062</v>
      </c>
      <c r="B81" t="s">
        <v>6166</v>
      </c>
      <c r="C81" t="s">
        <v>63</v>
      </c>
      <c r="D81" s="7">
        <v>0.02</v>
      </c>
      <c r="E81" s="2">
        <v>19750</v>
      </c>
      <c r="F81" s="2">
        <v>395</v>
      </c>
    </row>
    <row r="82" spans="1:6" x14ac:dyDescent="0.25">
      <c r="A82" t="s">
        <v>4049</v>
      </c>
      <c r="B82" t="s">
        <v>4241</v>
      </c>
      <c r="C82" t="s">
        <v>4051</v>
      </c>
      <c r="D82" s="7">
        <v>0.25</v>
      </c>
      <c r="E82" s="2">
        <v>9941.22</v>
      </c>
      <c r="F82" s="2">
        <v>2485.3</v>
      </c>
    </row>
    <row r="83" spans="1:6" x14ac:dyDescent="0.25">
      <c r="A83" t="s">
        <v>4049</v>
      </c>
      <c r="B83" t="s">
        <v>4242</v>
      </c>
      <c r="C83" t="s">
        <v>4051</v>
      </c>
      <c r="D83" s="7">
        <v>0.25</v>
      </c>
      <c r="E83" s="2">
        <v>17069.53</v>
      </c>
      <c r="F83" s="2">
        <v>4267.38</v>
      </c>
    </row>
    <row r="84" spans="1:6" x14ac:dyDescent="0.25">
      <c r="A84" t="s">
        <v>4052</v>
      </c>
      <c r="B84" t="s">
        <v>4053</v>
      </c>
      <c r="C84" t="s">
        <v>4054</v>
      </c>
      <c r="D84" s="7">
        <v>3.5</v>
      </c>
      <c r="E84" s="2">
        <v>6752.68</v>
      </c>
      <c r="F84" s="2">
        <v>236.34</v>
      </c>
    </row>
    <row r="85" spans="1:6" x14ac:dyDescent="0.25">
      <c r="A85" t="s">
        <v>4055</v>
      </c>
      <c r="D85" s="7"/>
      <c r="E85" s="2"/>
      <c r="F85" s="2">
        <f>SUBTOTAL(109,A_2_04_08[VALOR PARCIAL])</f>
      </c>
    </row>
    <row r="87" ht="30" customHeight="1" spans="1:6" x14ac:dyDescent="0.25">
      <c r="A87" s="5" t="s">
        <v>6371</v>
      </c>
      <c r="B87" s="5"/>
      <c r="C87" s="5"/>
      <c r="D87" s="5"/>
      <c r="E87" s="5"/>
      <c r="F87" s="5"/>
    </row>
    <row r="88" ht="42" customHeight="1" spans="1:6" x14ac:dyDescent="0.25">
      <c r="A88" s="6" t="s">
        <v>6372</v>
      </c>
      <c r="B88" s="6"/>
      <c r="C88" s="6"/>
      <c r="D88" s="6"/>
      <c r="E88" s="6"/>
      <c r="F88" s="6"/>
    </row>
    <row r="89" spans="1:6" x14ac:dyDescent="0.25">
      <c r="A89" t="s">
        <v>4044</v>
      </c>
      <c r="B89" t="s">
        <v>4045</v>
      </c>
      <c r="C89" t="s">
        <v>5</v>
      </c>
      <c r="D89" t="s">
        <v>4046</v>
      </c>
      <c r="E89" t="s">
        <v>4047</v>
      </c>
      <c r="F89" t="s">
        <v>4048</v>
      </c>
    </row>
    <row r="90" spans="1:6" x14ac:dyDescent="0.25">
      <c r="A90" t="s">
        <v>4062</v>
      </c>
      <c r="B90" t="s">
        <v>6373</v>
      </c>
      <c r="C90" t="s">
        <v>63</v>
      </c>
      <c r="D90" s="7">
        <v>1</v>
      </c>
      <c r="E90" s="2">
        <v>920370</v>
      </c>
      <c r="F90" s="2">
        <v>920370</v>
      </c>
    </row>
    <row r="91" spans="1:6" x14ac:dyDescent="0.25">
      <c r="A91" t="s">
        <v>4062</v>
      </c>
      <c r="B91" t="s">
        <v>6166</v>
      </c>
      <c r="C91" t="s">
        <v>63</v>
      </c>
      <c r="D91" s="7">
        <v>0.02</v>
      </c>
      <c r="E91" s="2">
        <v>19750</v>
      </c>
      <c r="F91" s="2">
        <v>395</v>
      </c>
    </row>
    <row r="92" spans="1:6" x14ac:dyDescent="0.25">
      <c r="A92" t="s">
        <v>4049</v>
      </c>
      <c r="B92" t="s">
        <v>4241</v>
      </c>
      <c r="C92" t="s">
        <v>4051</v>
      </c>
      <c r="D92" s="7">
        <v>0.25</v>
      </c>
      <c r="E92" s="2">
        <v>9941.22</v>
      </c>
      <c r="F92" s="2">
        <v>2485.3</v>
      </c>
    </row>
    <row r="93" spans="1:6" x14ac:dyDescent="0.25">
      <c r="A93" t="s">
        <v>4049</v>
      </c>
      <c r="B93" t="s">
        <v>4242</v>
      </c>
      <c r="C93" t="s">
        <v>4051</v>
      </c>
      <c r="D93" s="7">
        <v>0.25</v>
      </c>
      <c r="E93" s="2">
        <v>17069.53</v>
      </c>
      <c r="F93" s="2">
        <v>4267.38</v>
      </c>
    </row>
    <row r="94" spans="1:6" x14ac:dyDescent="0.25">
      <c r="A94" t="s">
        <v>4055</v>
      </c>
      <c r="D94" s="7"/>
      <c r="E94" s="2"/>
      <c r="F94" s="2">
        <f>SUBTOTAL(109,A_2_04_09[VALOR PARCIAL])</f>
      </c>
    </row>
    <row r="96" ht="30" customHeight="1" spans="1:6" x14ac:dyDescent="0.25">
      <c r="A96" s="5" t="s">
        <v>6374</v>
      </c>
      <c r="B96" s="5"/>
      <c r="C96" s="5"/>
      <c r="D96" s="5"/>
      <c r="E96" s="5"/>
      <c r="F96" s="5"/>
    </row>
    <row r="97" ht="42" customHeight="1" spans="1:6" x14ac:dyDescent="0.25">
      <c r="A97" s="6" t="s">
        <v>6375</v>
      </c>
      <c r="B97" s="6"/>
      <c r="C97" s="6"/>
      <c r="D97" s="6"/>
      <c r="E97" s="6"/>
      <c r="F97" s="6"/>
    </row>
    <row r="98" spans="1:6" x14ac:dyDescent="0.25">
      <c r="A98" t="s">
        <v>4044</v>
      </c>
      <c r="B98" t="s">
        <v>4045</v>
      </c>
      <c r="C98" t="s">
        <v>5</v>
      </c>
      <c r="D98" t="s">
        <v>4046</v>
      </c>
      <c r="E98" t="s">
        <v>4047</v>
      </c>
      <c r="F98" t="s">
        <v>4048</v>
      </c>
    </row>
    <row r="99" spans="1:6" x14ac:dyDescent="0.25">
      <c r="A99" t="s">
        <v>4062</v>
      </c>
      <c r="B99" t="s">
        <v>6376</v>
      </c>
      <c r="C99" t="s">
        <v>63</v>
      </c>
      <c r="D99" s="7">
        <v>1</v>
      </c>
      <c r="E99" s="2">
        <v>1259776.5</v>
      </c>
      <c r="F99" s="2">
        <v>1259776.5</v>
      </c>
    </row>
    <row r="100" spans="1:6" x14ac:dyDescent="0.25">
      <c r="A100" t="s">
        <v>4062</v>
      </c>
      <c r="B100" t="s">
        <v>6166</v>
      </c>
      <c r="C100" t="s">
        <v>63</v>
      </c>
      <c r="D100" s="7">
        <v>0.02</v>
      </c>
      <c r="E100" s="2">
        <v>19750</v>
      </c>
      <c r="F100" s="2">
        <v>395</v>
      </c>
    </row>
    <row r="101" spans="1:6" x14ac:dyDescent="0.25">
      <c r="A101" t="s">
        <v>4049</v>
      </c>
      <c r="B101" t="s">
        <v>4241</v>
      </c>
      <c r="C101" t="s">
        <v>4051</v>
      </c>
      <c r="D101" s="7">
        <v>0.25</v>
      </c>
      <c r="E101" s="2">
        <v>9941.22</v>
      </c>
      <c r="F101" s="2">
        <v>2485.3</v>
      </c>
    </row>
    <row r="102" spans="1:6" x14ac:dyDescent="0.25">
      <c r="A102" t="s">
        <v>4049</v>
      </c>
      <c r="B102" t="s">
        <v>4242</v>
      </c>
      <c r="C102" t="s">
        <v>4051</v>
      </c>
      <c r="D102" s="7">
        <v>0.25</v>
      </c>
      <c r="E102" s="2">
        <v>17069.53</v>
      </c>
      <c r="F102" s="2">
        <v>4267.38</v>
      </c>
    </row>
    <row r="103" spans="1:6" x14ac:dyDescent="0.25">
      <c r="A103" t="s">
        <v>4052</v>
      </c>
      <c r="B103" t="s">
        <v>4053</v>
      </c>
      <c r="C103" t="s">
        <v>4054</v>
      </c>
      <c r="D103" s="7">
        <v>3.5</v>
      </c>
      <c r="E103" s="2">
        <v>6752.68</v>
      </c>
      <c r="F103" s="2">
        <v>236.34</v>
      </c>
    </row>
    <row r="104" spans="1:6" x14ac:dyDescent="0.25">
      <c r="A104" t="s">
        <v>4055</v>
      </c>
      <c r="D104" s="7"/>
      <c r="E104" s="2"/>
      <c r="F104" s="2">
        <f>SUBTOTAL(109,A_2_04_10[VALOR PARCIAL])</f>
      </c>
    </row>
    <row r="106" ht="30" customHeight="1" spans="1:6" x14ac:dyDescent="0.25">
      <c r="A106" s="5" t="s">
        <v>6377</v>
      </c>
      <c r="B106" s="5"/>
      <c r="C106" s="5"/>
      <c r="D106" s="5"/>
      <c r="E106" s="5"/>
      <c r="F106" s="5"/>
    </row>
    <row r="107" ht="42" customHeight="1" spans="1:6" x14ac:dyDescent="0.25">
      <c r="A107" s="6" t="s">
        <v>6378</v>
      </c>
      <c r="B107" s="6"/>
      <c r="C107" s="6"/>
      <c r="D107" s="6"/>
      <c r="E107" s="6"/>
      <c r="F107" s="6"/>
    </row>
    <row r="108" spans="1:6" x14ac:dyDescent="0.25">
      <c r="A108" t="s">
        <v>4044</v>
      </c>
      <c r="B108" t="s">
        <v>4045</v>
      </c>
      <c r="C108" t="s">
        <v>5</v>
      </c>
      <c r="D108" t="s">
        <v>4046</v>
      </c>
      <c r="E108" t="s">
        <v>4047</v>
      </c>
      <c r="F108" t="s">
        <v>4048</v>
      </c>
    </row>
    <row r="109" spans="1:6" x14ac:dyDescent="0.25">
      <c r="A109" t="s">
        <v>4062</v>
      </c>
      <c r="B109" t="s">
        <v>6379</v>
      </c>
      <c r="C109" t="s">
        <v>63</v>
      </c>
      <c r="D109" s="7">
        <v>1</v>
      </c>
      <c r="E109" s="2">
        <v>25806</v>
      </c>
      <c r="F109" s="2">
        <v>25806</v>
      </c>
    </row>
    <row r="110" spans="1:6" x14ac:dyDescent="0.25">
      <c r="A110" t="s">
        <v>4062</v>
      </c>
      <c r="B110" t="s">
        <v>6166</v>
      </c>
      <c r="C110" t="s">
        <v>63</v>
      </c>
      <c r="D110" s="7">
        <v>0.02</v>
      </c>
      <c r="E110" s="2">
        <v>19750</v>
      </c>
      <c r="F110" s="2">
        <v>395</v>
      </c>
    </row>
    <row r="111" spans="1:6" x14ac:dyDescent="0.25">
      <c r="A111" t="s">
        <v>4049</v>
      </c>
      <c r="B111" t="s">
        <v>4241</v>
      </c>
      <c r="C111" t="s">
        <v>4051</v>
      </c>
      <c r="D111" s="7">
        <v>0.25</v>
      </c>
      <c r="E111" s="2">
        <v>9941.22</v>
      </c>
      <c r="F111" s="2">
        <v>2485.3</v>
      </c>
    </row>
    <row r="112" spans="1:6" x14ac:dyDescent="0.25">
      <c r="A112" t="s">
        <v>4049</v>
      </c>
      <c r="B112" t="s">
        <v>4242</v>
      </c>
      <c r="C112" t="s">
        <v>4051</v>
      </c>
      <c r="D112" s="7">
        <v>0.25</v>
      </c>
      <c r="E112" s="2">
        <v>17069.53</v>
      </c>
      <c r="F112" s="2">
        <v>4267.38</v>
      </c>
    </row>
    <row r="113" spans="1:6" x14ac:dyDescent="0.25">
      <c r="A113" t="s">
        <v>4052</v>
      </c>
      <c r="B113" t="s">
        <v>4053</v>
      </c>
      <c r="C113" t="s">
        <v>4054</v>
      </c>
      <c r="D113" s="7">
        <v>3.5</v>
      </c>
      <c r="E113" s="2">
        <v>6752.68</v>
      </c>
      <c r="F113" s="2">
        <v>236.34</v>
      </c>
    </row>
    <row r="114" spans="1:6" x14ac:dyDescent="0.25">
      <c r="A114" t="s">
        <v>4055</v>
      </c>
      <c r="D114" s="7"/>
      <c r="E114" s="2"/>
      <c r="F114" s="2">
        <f>SUBTOTAL(109,A_2_04_11[VALOR PARCIAL])</f>
      </c>
    </row>
    <row r="116" ht="30" customHeight="1" spans="1:6" x14ac:dyDescent="0.25">
      <c r="A116" s="5" t="s">
        <v>6380</v>
      </c>
      <c r="B116" s="5"/>
      <c r="C116" s="5"/>
      <c r="D116" s="5"/>
      <c r="E116" s="5"/>
      <c r="F116" s="5"/>
    </row>
    <row r="117" ht="42" customHeight="1" spans="1:6" x14ac:dyDescent="0.25">
      <c r="A117" s="6" t="s">
        <v>6381</v>
      </c>
      <c r="B117" s="6"/>
      <c r="C117" s="6"/>
      <c r="D117" s="6"/>
      <c r="E117" s="6"/>
      <c r="F117" s="6"/>
    </row>
    <row r="118" spans="1:6" x14ac:dyDescent="0.25">
      <c r="A118" t="s">
        <v>4044</v>
      </c>
      <c r="B118" t="s">
        <v>4045</v>
      </c>
      <c r="C118" t="s">
        <v>5</v>
      </c>
      <c r="D118" t="s">
        <v>4046</v>
      </c>
      <c r="E118" t="s">
        <v>4047</v>
      </c>
      <c r="F118" t="s">
        <v>4048</v>
      </c>
    </row>
    <row r="119" spans="1:6" x14ac:dyDescent="0.25">
      <c r="A119" t="s">
        <v>4062</v>
      </c>
      <c r="B119" t="s">
        <v>6382</v>
      </c>
      <c r="C119" t="s">
        <v>63</v>
      </c>
      <c r="D119" s="7">
        <v>1</v>
      </c>
      <c r="E119" s="2">
        <v>43795</v>
      </c>
      <c r="F119" s="2">
        <v>43795</v>
      </c>
    </row>
    <row r="120" spans="1:6" x14ac:dyDescent="0.25">
      <c r="A120" t="s">
        <v>4062</v>
      </c>
      <c r="B120" t="s">
        <v>6166</v>
      </c>
      <c r="C120" t="s">
        <v>63</v>
      </c>
      <c r="D120" s="7">
        <v>0.02</v>
      </c>
      <c r="E120" s="2">
        <v>19750</v>
      </c>
      <c r="F120" s="2">
        <v>395</v>
      </c>
    </row>
    <row r="121" spans="1:6" x14ac:dyDescent="0.25">
      <c r="A121" t="s">
        <v>4049</v>
      </c>
      <c r="B121" t="s">
        <v>4241</v>
      </c>
      <c r="C121" t="s">
        <v>4051</v>
      </c>
      <c r="D121" s="7">
        <v>0.25</v>
      </c>
      <c r="E121" s="2">
        <v>9941.22</v>
      </c>
      <c r="F121" s="2">
        <v>2485.3</v>
      </c>
    </row>
    <row r="122" spans="1:6" x14ac:dyDescent="0.25">
      <c r="A122" t="s">
        <v>4049</v>
      </c>
      <c r="B122" t="s">
        <v>4242</v>
      </c>
      <c r="C122" t="s">
        <v>4051</v>
      </c>
      <c r="D122" s="7">
        <v>0.25</v>
      </c>
      <c r="E122" s="2">
        <v>17069.53</v>
      </c>
      <c r="F122" s="2">
        <v>4267.38</v>
      </c>
    </row>
    <row r="123" spans="1:6" x14ac:dyDescent="0.25">
      <c r="A123" t="s">
        <v>4052</v>
      </c>
      <c r="B123" t="s">
        <v>4053</v>
      </c>
      <c r="C123" t="s">
        <v>4054</v>
      </c>
      <c r="D123" s="7">
        <v>3.5</v>
      </c>
      <c r="E123" s="2">
        <v>6752.68</v>
      </c>
      <c r="F123" s="2">
        <v>236.34</v>
      </c>
    </row>
    <row r="124" spans="1:6" x14ac:dyDescent="0.25">
      <c r="A124" t="s">
        <v>4055</v>
      </c>
      <c r="D124" s="7"/>
      <c r="E124" s="2"/>
      <c r="F124" s="2">
        <f>SUBTOTAL(109,A_2_04_12[VALOR PARCIAL])</f>
      </c>
    </row>
    <row r="126" ht="30" customHeight="1" spans="1:6" x14ac:dyDescent="0.25">
      <c r="A126" s="5" t="s">
        <v>6383</v>
      </c>
      <c r="B126" s="5"/>
      <c r="C126" s="5"/>
      <c r="D126" s="5"/>
      <c r="E126" s="5"/>
      <c r="F126" s="5"/>
    </row>
    <row r="127" ht="42" customHeight="1" spans="1:6" x14ac:dyDescent="0.25">
      <c r="A127" s="6" t="s">
        <v>6384</v>
      </c>
      <c r="B127" s="6"/>
      <c r="C127" s="6"/>
      <c r="D127" s="6"/>
      <c r="E127" s="6"/>
      <c r="F127" s="6"/>
    </row>
    <row r="128" spans="1:6" x14ac:dyDescent="0.25">
      <c r="A128" t="s">
        <v>4044</v>
      </c>
      <c r="B128" t="s">
        <v>4045</v>
      </c>
      <c r="C128" t="s">
        <v>5</v>
      </c>
      <c r="D128" t="s">
        <v>4046</v>
      </c>
      <c r="E128" t="s">
        <v>4047</v>
      </c>
      <c r="F128" t="s">
        <v>4048</v>
      </c>
    </row>
    <row r="129" spans="1:6" x14ac:dyDescent="0.25">
      <c r="A129" t="s">
        <v>4062</v>
      </c>
      <c r="B129" t="s">
        <v>6385</v>
      </c>
      <c r="C129" t="s">
        <v>63</v>
      </c>
      <c r="D129" s="7">
        <v>1</v>
      </c>
      <c r="E129" s="2">
        <v>78536.66</v>
      </c>
      <c r="F129" s="2">
        <v>78536.66</v>
      </c>
    </row>
    <row r="130" spans="1:6" x14ac:dyDescent="0.25">
      <c r="A130" t="s">
        <v>4062</v>
      </c>
      <c r="B130" t="s">
        <v>6166</v>
      </c>
      <c r="C130" t="s">
        <v>63</v>
      </c>
      <c r="D130" s="7">
        <v>0.02</v>
      </c>
      <c r="E130" s="2">
        <v>19750</v>
      </c>
      <c r="F130" s="2">
        <v>395</v>
      </c>
    </row>
    <row r="131" spans="1:6" x14ac:dyDescent="0.25">
      <c r="A131" t="s">
        <v>4049</v>
      </c>
      <c r="B131" t="s">
        <v>4241</v>
      </c>
      <c r="C131" t="s">
        <v>4051</v>
      </c>
      <c r="D131" s="7">
        <v>0.25</v>
      </c>
      <c r="E131" s="2">
        <v>9941.22</v>
      </c>
      <c r="F131" s="2">
        <v>2485.3</v>
      </c>
    </row>
    <row r="132" spans="1:6" x14ac:dyDescent="0.25">
      <c r="A132" t="s">
        <v>4049</v>
      </c>
      <c r="B132" t="s">
        <v>4242</v>
      </c>
      <c r="C132" t="s">
        <v>4051</v>
      </c>
      <c r="D132" s="7">
        <v>0.25</v>
      </c>
      <c r="E132" s="2">
        <v>17069.53</v>
      </c>
      <c r="F132" s="2">
        <v>4267.38</v>
      </c>
    </row>
    <row r="133" spans="1:6" x14ac:dyDescent="0.25">
      <c r="A133" t="s">
        <v>4052</v>
      </c>
      <c r="B133" t="s">
        <v>4053</v>
      </c>
      <c r="C133" t="s">
        <v>4054</v>
      </c>
      <c r="D133" s="7">
        <v>3.5</v>
      </c>
      <c r="E133" s="2">
        <v>6752.68</v>
      </c>
      <c r="F133" s="2">
        <v>236.34</v>
      </c>
    </row>
    <row r="134" spans="1:6" x14ac:dyDescent="0.25">
      <c r="A134" t="s">
        <v>4055</v>
      </c>
      <c r="D134" s="7"/>
      <c r="E134" s="2"/>
      <c r="F134" s="2">
        <f>SUBTOTAL(109,A_2_04_13[VALOR PARCIAL])</f>
      </c>
    </row>
    <row r="136" ht="30" customHeight="1" spans="1:6" x14ac:dyDescent="0.25">
      <c r="A136" s="5" t="s">
        <v>6386</v>
      </c>
      <c r="B136" s="5"/>
      <c r="C136" s="5"/>
      <c r="D136" s="5"/>
      <c r="E136" s="5"/>
      <c r="F136" s="5"/>
    </row>
    <row r="137" ht="42" customHeight="1" spans="1:6" x14ac:dyDescent="0.25">
      <c r="A137" s="6" t="s">
        <v>6387</v>
      </c>
      <c r="B137" s="6"/>
      <c r="C137" s="6"/>
      <c r="D137" s="6"/>
      <c r="E137" s="6"/>
      <c r="F137" s="6"/>
    </row>
    <row r="138" spans="1:6" x14ac:dyDescent="0.25">
      <c r="A138" t="s">
        <v>4044</v>
      </c>
      <c r="B138" t="s">
        <v>4045</v>
      </c>
      <c r="C138" t="s">
        <v>5</v>
      </c>
      <c r="D138" t="s">
        <v>4046</v>
      </c>
      <c r="E138" t="s">
        <v>4047</v>
      </c>
      <c r="F138" t="s">
        <v>4048</v>
      </c>
    </row>
    <row r="139" spans="1:6" x14ac:dyDescent="0.25">
      <c r="A139" t="s">
        <v>4062</v>
      </c>
      <c r="B139" t="s">
        <v>6388</v>
      </c>
      <c r="C139" t="s">
        <v>63</v>
      </c>
      <c r="D139" s="7">
        <v>1</v>
      </c>
      <c r="E139" s="2">
        <v>196761</v>
      </c>
      <c r="F139" s="2">
        <v>196761</v>
      </c>
    </row>
    <row r="140" spans="1:6" x14ac:dyDescent="0.25">
      <c r="A140" t="s">
        <v>4062</v>
      </c>
      <c r="B140" t="s">
        <v>6166</v>
      </c>
      <c r="C140" t="s">
        <v>63</v>
      </c>
      <c r="D140" s="7">
        <v>0.02</v>
      </c>
      <c r="E140" s="2">
        <v>19750</v>
      </c>
      <c r="F140" s="2">
        <v>395</v>
      </c>
    </row>
    <row r="141" spans="1:6" x14ac:dyDescent="0.25">
      <c r="A141" t="s">
        <v>4049</v>
      </c>
      <c r="B141" t="s">
        <v>4241</v>
      </c>
      <c r="C141" t="s">
        <v>4051</v>
      </c>
      <c r="D141" s="7">
        <v>0.25</v>
      </c>
      <c r="E141" s="2">
        <v>9941.22</v>
      </c>
      <c r="F141" s="2">
        <v>2485.3</v>
      </c>
    </row>
    <row r="142" spans="1:6" x14ac:dyDescent="0.25">
      <c r="A142" t="s">
        <v>4049</v>
      </c>
      <c r="B142" t="s">
        <v>4242</v>
      </c>
      <c r="C142" t="s">
        <v>4051</v>
      </c>
      <c r="D142" s="7">
        <v>0.25</v>
      </c>
      <c r="E142" s="2">
        <v>17069.53</v>
      </c>
      <c r="F142" s="2">
        <v>4267.38</v>
      </c>
    </row>
    <row r="143" spans="1:6" x14ac:dyDescent="0.25">
      <c r="A143" t="s">
        <v>4052</v>
      </c>
      <c r="B143" t="s">
        <v>4053</v>
      </c>
      <c r="C143" t="s">
        <v>4054</v>
      </c>
      <c r="D143" s="7">
        <v>3.5</v>
      </c>
      <c r="E143" s="2">
        <v>6752.68</v>
      </c>
      <c r="F143" s="2">
        <v>236.34</v>
      </c>
    </row>
    <row r="144" spans="1:6" x14ac:dyDescent="0.25">
      <c r="A144" t="s">
        <v>4055</v>
      </c>
      <c r="D144" s="7"/>
      <c r="E144" s="2"/>
      <c r="F144" s="2">
        <f>SUBTOTAL(109,A_2_04_14[VALOR PARCIAL])</f>
      </c>
    </row>
    <row r="146" ht="30" customHeight="1" spans="1:6" x14ac:dyDescent="0.25">
      <c r="A146" s="5" t="s">
        <v>6389</v>
      </c>
      <c r="B146" s="5"/>
      <c r="C146" s="5"/>
      <c r="D146" s="5"/>
      <c r="E146" s="5"/>
      <c r="F146" s="5"/>
    </row>
    <row r="147" ht="42" customHeight="1" spans="1:6" x14ac:dyDescent="0.25">
      <c r="A147" s="6" t="s">
        <v>6390</v>
      </c>
      <c r="B147" s="6"/>
      <c r="C147" s="6"/>
      <c r="D147" s="6"/>
      <c r="E147" s="6"/>
      <c r="F147" s="6"/>
    </row>
    <row r="148" spans="1:6" x14ac:dyDescent="0.25">
      <c r="A148" t="s">
        <v>4044</v>
      </c>
      <c r="B148" t="s">
        <v>4045</v>
      </c>
      <c r="C148" t="s">
        <v>5</v>
      </c>
      <c r="D148" t="s">
        <v>4046</v>
      </c>
      <c r="E148" t="s">
        <v>4047</v>
      </c>
      <c r="F148" t="s">
        <v>4048</v>
      </c>
    </row>
    <row r="149" spans="1:6" x14ac:dyDescent="0.25">
      <c r="A149" t="s">
        <v>4062</v>
      </c>
      <c r="B149" t="s">
        <v>6391</v>
      </c>
      <c r="C149" t="s">
        <v>63</v>
      </c>
      <c r="D149" s="7">
        <v>1</v>
      </c>
      <c r="E149" s="2">
        <v>407721</v>
      </c>
      <c r="F149" s="2">
        <v>407721</v>
      </c>
    </row>
    <row r="150" spans="1:6" x14ac:dyDescent="0.25">
      <c r="A150" t="s">
        <v>4062</v>
      </c>
      <c r="B150" t="s">
        <v>6166</v>
      </c>
      <c r="C150" t="s">
        <v>63</v>
      </c>
      <c r="D150" s="7">
        <v>0.02</v>
      </c>
      <c r="E150" s="2">
        <v>19750</v>
      </c>
      <c r="F150" s="2">
        <v>395</v>
      </c>
    </row>
    <row r="151" spans="1:6" x14ac:dyDescent="0.25">
      <c r="A151" t="s">
        <v>4049</v>
      </c>
      <c r="B151" t="s">
        <v>4241</v>
      </c>
      <c r="C151" t="s">
        <v>4051</v>
      </c>
      <c r="D151" s="7">
        <v>0.25</v>
      </c>
      <c r="E151" s="2">
        <v>9941.22</v>
      </c>
      <c r="F151" s="2">
        <v>2485.3</v>
      </c>
    </row>
    <row r="152" spans="1:6" x14ac:dyDescent="0.25">
      <c r="A152" t="s">
        <v>4049</v>
      </c>
      <c r="B152" t="s">
        <v>4242</v>
      </c>
      <c r="C152" t="s">
        <v>4051</v>
      </c>
      <c r="D152" s="7">
        <v>0.25</v>
      </c>
      <c r="E152" s="2">
        <v>17069.53</v>
      </c>
      <c r="F152" s="2">
        <v>4267.38</v>
      </c>
    </row>
    <row r="153" spans="1:6" x14ac:dyDescent="0.25">
      <c r="A153" t="s">
        <v>4052</v>
      </c>
      <c r="B153" t="s">
        <v>4053</v>
      </c>
      <c r="C153" t="s">
        <v>4054</v>
      </c>
      <c r="D153" s="7">
        <v>3.5</v>
      </c>
      <c r="E153" s="2">
        <v>6752.68</v>
      </c>
      <c r="F153" s="2">
        <v>236.34</v>
      </c>
    </row>
    <row r="154" spans="1:6" x14ac:dyDescent="0.25">
      <c r="A154" t="s">
        <v>4055</v>
      </c>
      <c r="D154" s="7"/>
      <c r="E154" s="2"/>
      <c r="F154" s="2">
        <f>SUBTOTAL(109,A_2_04_15[VALOR PARCIAL])</f>
      </c>
    </row>
    <row r="156" ht="30" customHeight="1" spans="1:6" x14ac:dyDescent="0.25">
      <c r="A156" s="5" t="s">
        <v>6392</v>
      </c>
      <c r="B156" s="5"/>
      <c r="C156" s="5"/>
      <c r="D156" s="5"/>
      <c r="E156" s="5"/>
      <c r="F156" s="5"/>
    </row>
    <row r="157" ht="42" customHeight="1" spans="1:6" x14ac:dyDescent="0.25">
      <c r="A157" s="6" t="s">
        <v>6393</v>
      </c>
      <c r="B157" s="6"/>
      <c r="C157" s="6"/>
      <c r="D157" s="6"/>
      <c r="E157" s="6"/>
      <c r="F157" s="6"/>
    </row>
    <row r="158" spans="1:6" x14ac:dyDescent="0.25">
      <c r="A158" t="s">
        <v>4044</v>
      </c>
      <c r="B158" t="s">
        <v>4045</v>
      </c>
      <c r="C158" t="s">
        <v>5</v>
      </c>
      <c r="D158" t="s">
        <v>4046</v>
      </c>
      <c r="E158" t="s">
        <v>4047</v>
      </c>
      <c r="F158" t="s">
        <v>4048</v>
      </c>
    </row>
    <row r="159" spans="1:6" x14ac:dyDescent="0.25">
      <c r="A159" t="s">
        <v>4062</v>
      </c>
      <c r="B159" t="s">
        <v>6394</v>
      </c>
      <c r="C159" t="s">
        <v>63</v>
      </c>
      <c r="D159" s="7">
        <v>1</v>
      </c>
      <c r="E159" s="2">
        <v>1149055.5</v>
      </c>
      <c r="F159" s="2">
        <v>1149055.5</v>
      </c>
    </row>
    <row r="160" spans="1:6" x14ac:dyDescent="0.25">
      <c r="A160" t="s">
        <v>4062</v>
      </c>
      <c r="B160" t="s">
        <v>6166</v>
      </c>
      <c r="C160" t="s">
        <v>63</v>
      </c>
      <c r="D160" s="7">
        <v>0.02</v>
      </c>
      <c r="E160" s="2">
        <v>19750</v>
      </c>
      <c r="F160" s="2">
        <v>395</v>
      </c>
    </row>
    <row r="161" spans="1:6" x14ac:dyDescent="0.25">
      <c r="A161" t="s">
        <v>4049</v>
      </c>
      <c r="B161" t="s">
        <v>4241</v>
      </c>
      <c r="C161" t="s">
        <v>4051</v>
      </c>
      <c r="D161" s="7">
        <v>0.25</v>
      </c>
      <c r="E161" s="2">
        <v>9941.22</v>
      </c>
      <c r="F161" s="2">
        <v>2485.3</v>
      </c>
    </row>
    <row r="162" spans="1:6" x14ac:dyDescent="0.25">
      <c r="A162" t="s">
        <v>4049</v>
      </c>
      <c r="B162" t="s">
        <v>4242</v>
      </c>
      <c r="C162" t="s">
        <v>4051</v>
      </c>
      <c r="D162" s="7">
        <v>0.25</v>
      </c>
      <c r="E162" s="2">
        <v>17069.53</v>
      </c>
      <c r="F162" s="2">
        <v>4267.38</v>
      </c>
    </row>
    <row r="163" spans="1:6" x14ac:dyDescent="0.25">
      <c r="A163" t="s">
        <v>4052</v>
      </c>
      <c r="B163" t="s">
        <v>4053</v>
      </c>
      <c r="C163" t="s">
        <v>4054</v>
      </c>
      <c r="D163" s="7">
        <v>3.5</v>
      </c>
      <c r="E163" s="2">
        <v>6752.68</v>
      </c>
      <c r="F163" s="2">
        <v>236.34</v>
      </c>
    </row>
    <row r="164" spans="1:6" x14ac:dyDescent="0.25">
      <c r="A164" t="s">
        <v>4055</v>
      </c>
      <c r="D164" s="7"/>
      <c r="E164" s="2"/>
      <c r="F164" s="2">
        <f>SUBTOTAL(109,A_2_04_16[VALOR PARCIAL])</f>
      </c>
    </row>
    <row r="166" ht="30" customHeight="1" spans="1:6" x14ac:dyDescent="0.25">
      <c r="A166" s="5" t="s">
        <v>6395</v>
      </c>
      <c r="B166" s="5"/>
      <c r="C166" s="5"/>
      <c r="D166" s="5"/>
      <c r="E166" s="5"/>
      <c r="F166" s="5"/>
    </row>
    <row r="167" ht="42" customHeight="1" spans="1:6" x14ac:dyDescent="0.25">
      <c r="A167" s="6" t="s">
        <v>6396</v>
      </c>
      <c r="B167" s="6"/>
      <c r="C167" s="6"/>
      <c r="D167" s="6"/>
      <c r="E167" s="6"/>
      <c r="F167" s="6"/>
    </row>
    <row r="168" spans="1:6" x14ac:dyDescent="0.25">
      <c r="A168" t="s">
        <v>4044</v>
      </c>
      <c r="B168" t="s">
        <v>4045</v>
      </c>
      <c r="C168" t="s">
        <v>5</v>
      </c>
      <c r="D168" t="s">
        <v>4046</v>
      </c>
      <c r="E168" t="s">
        <v>4047</v>
      </c>
      <c r="F168" t="s">
        <v>4048</v>
      </c>
    </row>
    <row r="169" spans="1:6" x14ac:dyDescent="0.25">
      <c r="A169" t="s">
        <v>4062</v>
      </c>
      <c r="B169" t="s">
        <v>6397</v>
      </c>
      <c r="C169" t="s">
        <v>63</v>
      </c>
      <c r="D169" s="7">
        <v>1</v>
      </c>
      <c r="E169" s="2">
        <v>1581466</v>
      </c>
      <c r="F169" s="2">
        <v>1581466</v>
      </c>
    </row>
    <row r="170" spans="1:6" x14ac:dyDescent="0.25">
      <c r="A170" t="s">
        <v>4062</v>
      </c>
      <c r="B170" t="s">
        <v>6166</v>
      </c>
      <c r="C170" t="s">
        <v>63</v>
      </c>
      <c r="D170" s="7">
        <v>0.02</v>
      </c>
      <c r="E170" s="2">
        <v>19750</v>
      </c>
      <c r="F170" s="2">
        <v>395</v>
      </c>
    </row>
    <row r="171" spans="1:6" x14ac:dyDescent="0.25">
      <c r="A171" t="s">
        <v>4049</v>
      </c>
      <c r="B171" t="s">
        <v>4241</v>
      </c>
      <c r="C171" t="s">
        <v>4051</v>
      </c>
      <c r="D171" s="7">
        <v>0.25</v>
      </c>
      <c r="E171" s="2">
        <v>9941.22</v>
      </c>
      <c r="F171" s="2">
        <v>2485.3</v>
      </c>
    </row>
    <row r="172" spans="1:6" x14ac:dyDescent="0.25">
      <c r="A172" t="s">
        <v>4049</v>
      </c>
      <c r="B172" t="s">
        <v>4242</v>
      </c>
      <c r="C172" t="s">
        <v>4051</v>
      </c>
      <c r="D172" s="7">
        <v>0.25</v>
      </c>
      <c r="E172" s="2">
        <v>17069.53</v>
      </c>
      <c r="F172" s="2">
        <v>4267.38</v>
      </c>
    </row>
    <row r="173" spans="1:6" x14ac:dyDescent="0.25">
      <c r="A173" t="s">
        <v>4052</v>
      </c>
      <c r="B173" t="s">
        <v>4053</v>
      </c>
      <c r="C173" t="s">
        <v>4054</v>
      </c>
      <c r="D173" s="7">
        <v>3.5</v>
      </c>
      <c r="E173" s="2">
        <v>6752.68</v>
      </c>
      <c r="F173" s="2">
        <v>236.34</v>
      </c>
    </row>
    <row r="174" spans="1:6" x14ac:dyDescent="0.25">
      <c r="A174" t="s">
        <v>4055</v>
      </c>
      <c r="D174" s="7"/>
      <c r="E174" s="2"/>
      <c r="F174" s="2">
        <f>SUBTOTAL(109,A_2_04_17[VALOR PARCIAL])</f>
      </c>
    </row>
    <row r="176" ht="30" customHeight="1" spans="1:6" x14ac:dyDescent="0.25">
      <c r="A176" s="5" t="s">
        <v>6398</v>
      </c>
      <c r="B176" s="5"/>
      <c r="C176" s="5"/>
      <c r="D176" s="5"/>
      <c r="E176" s="5"/>
      <c r="F176" s="5"/>
    </row>
    <row r="177" ht="42" customHeight="1" spans="1:6" x14ac:dyDescent="0.25">
      <c r="A177" s="6" t="s">
        <v>6399</v>
      </c>
      <c r="B177" s="6"/>
      <c r="C177" s="6"/>
      <c r="D177" s="6"/>
      <c r="E177" s="6"/>
      <c r="F177" s="6"/>
    </row>
    <row r="178" spans="1:6" x14ac:dyDescent="0.25">
      <c r="A178" t="s">
        <v>4044</v>
      </c>
      <c r="B178" t="s">
        <v>4045</v>
      </c>
      <c r="C178" t="s">
        <v>5</v>
      </c>
      <c r="D178" t="s">
        <v>4046</v>
      </c>
      <c r="E178" t="s">
        <v>4047</v>
      </c>
      <c r="F178" t="s">
        <v>4048</v>
      </c>
    </row>
    <row r="179" spans="1:6" x14ac:dyDescent="0.25">
      <c r="A179" t="s">
        <v>4062</v>
      </c>
      <c r="B179" t="s">
        <v>6400</v>
      </c>
      <c r="C179" t="s">
        <v>63</v>
      </c>
      <c r="D179" s="7">
        <v>1</v>
      </c>
      <c r="E179" s="2">
        <v>29028</v>
      </c>
      <c r="F179" s="2">
        <v>29028</v>
      </c>
    </row>
    <row r="180" spans="1:6" x14ac:dyDescent="0.25">
      <c r="A180" t="s">
        <v>4062</v>
      </c>
      <c r="B180" t="s">
        <v>6166</v>
      </c>
      <c r="C180" t="s">
        <v>63</v>
      </c>
      <c r="D180" s="7">
        <v>0.02</v>
      </c>
      <c r="E180" s="2">
        <v>19750</v>
      </c>
      <c r="F180" s="2">
        <v>395</v>
      </c>
    </row>
    <row r="181" spans="1:6" x14ac:dyDescent="0.25">
      <c r="A181" t="s">
        <v>4049</v>
      </c>
      <c r="B181" t="s">
        <v>4241</v>
      </c>
      <c r="C181" t="s">
        <v>4051</v>
      </c>
      <c r="D181" s="7">
        <v>0.25</v>
      </c>
      <c r="E181" s="2">
        <v>9941.22</v>
      </c>
      <c r="F181" s="2">
        <v>2485.3</v>
      </c>
    </row>
    <row r="182" spans="1:6" x14ac:dyDescent="0.25">
      <c r="A182" t="s">
        <v>4049</v>
      </c>
      <c r="B182" t="s">
        <v>4242</v>
      </c>
      <c r="C182" t="s">
        <v>4051</v>
      </c>
      <c r="D182" s="7">
        <v>0.25</v>
      </c>
      <c r="E182" s="2">
        <v>17069.53</v>
      </c>
      <c r="F182" s="2">
        <v>4267.38</v>
      </c>
    </row>
    <row r="183" spans="1:6" x14ac:dyDescent="0.25">
      <c r="A183" t="s">
        <v>4052</v>
      </c>
      <c r="B183" t="s">
        <v>4053</v>
      </c>
      <c r="C183" t="s">
        <v>4054</v>
      </c>
      <c r="D183" s="7">
        <v>3.5</v>
      </c>
      <c r="E183" s="2">
        <v>6752.68</v>
      </c>
      <c r="F183" s="2">
        <v>236.34</v>
      </c>
    </row>
    <row r="184" spans="1:6" x14ac:dyDescent="0.25">
      <c r="A184" t="s">
        <v>4055</v>
      </c>
      <c r="D184" s="7"/>
      <c r="E184" s="2"/>
      <c r="F184" s="2">
        <f>SUBTOTAL(109,A_2_04_18[VALOR PARCIAL])</f>
      </c>
    </row>
    <row r="186" ht="30" customHeight="1" spans="1:6" x14ac:dyDescent="0.25">
      <c r="A186" s="5" t="s">
        <v>6401</v>
      </c>
      <c r="B186" s="5"/>
      <c r="C186" s="5"/>
      <c r="D186" s="5"/>
      <c r="E186" s="5"/>
      <c r="F186" s="5"/>
    </row>
    <row r="187" ht="42" customHeight="1" spans="1:6" x14ac:dyDescent="0.25">
      <c r="A187" s="6" t="s">
        <v>6402</v>
      </c>
      <c r="B187" s="6"/>
      <c r="C187" s="6"/>
      <c r="D187" s="6"/>
      <c r="E187" s="6"/>
      <c r="F187" s="6"/>
    </row>
    <row r="188" spans="1:6" x14ac:dyDescent="0.25">
      <c r="A188" t="s">
        <v>4044</v>
      </c>
      <c r="B188" t="s">
        <v>4045</v>
      </c>
      <c r="C188" t="s">
        <v>5</v>
      </c>
      <c r="D188" t="s">
        <v>4046</v>
      </c>
      <c r="E188" t="s">
        <v>4047</v>
      </c>
      <c r="F188" t="s">
        <v>4048</v>
      </c>
    </row>
    <row r="189" spans="1:6" x14ac:dyDescent="0.25">
      <c r="A189" t="s">
        <v>4062</v>
      </c>
      <c r="B189" t="s">
        <v>6403</v>
      </c>
      <c r="C189" t="s">
        <v>63</v>
      </c>
      <c r="D189" s="7">
        <v>1</v>
      </c>
      <c r="E189" s="2">
        <v>26586</v>
      </c>
      <c r="F189" s="2">
        <v>26586</v>
      </c>
    </row>
    <row r="190" spans="1:6" x14ac:dyDescent="0.25">
      <c r="A190" t="s">
        <v>4062</v>
      </c>
      <c r="B190" t="s">
        <v>6166</v>
      </c>
      <c r="C190" t="s">
        <v>63</v>
      </c>
      <c r="D190" s="7">
        <v>0.02</v>
      </c>
      <c r="E190" s="2">
        <v>19750</v>
      </c>
      <c r="F190" s="2">
        <v>395</v>
      </c>
    </row>
    <row r="191" spans="1:6" x14ac:dyDescent="0.25">
      <c r="A191" t="s">
        <v>4049</v>
      </c>
      <c r="B191" t="s">
        <v>4241</v>
      </c>
      <c r="C191" t="s">
        <v>4051</v>
      </c>
      <c r="D191" s="7">
        <v>0.25</v>
      </c>
      <c r="E191" s="2">
        <v>9941.22</v>
      </c>
      <c r="F191" s="2">
        <v>2485.3</v>
      </c>
    </row>
    <row r="192" spans="1:6" x14ac:dyDescent="0.25">
      <c r="A192" t="s">
        <v>4049</v>
      </c>
      <c r="B192" t="s">
        <v>4242</v>
      </c>
      <c r="C192" t="s">
        <v>4051</v>
      </c>
      <c r="D192" s="7">
        <v>0.25</v>
      </c>
      <c r="E192" s="2">
        <v>17069.53</v>
      </c>
      <c r="F192" s="2">
        <v>4267.38</v>
      </c>
    </row>
    <row r="193" spans="1:6" x14ac:dyDescent="0.25">
      <c r="A193" t="s">
        <v>4052</v>
      </c>
      <c r="B193" t="s">
        <v>4053</v>
      </c>
      <c r="C193" t="s">
        <v>4054</v>
      </c>
      <c r="D193" s="7">
        <v>3.5</v>
      </c>
      <c r="E193" s="2">
        <v>6752.68</v>
      </c>
      <c r="F193" s="2">
        <v>236.34</v>
      </c>
    </row>
    <row r="194" spans="1:6" x14ac:dyDescent="0.25">
      <c r="A194" t="s">
        <v>4055</v>
      </c>
      <c r="D194" s="7"/>
      <c r="E194" s="2"/>
      <c r="F194" s="2">
        <f>SUBTOTAL(109,A_2_04_19[VALOR PARCIAL])</f>
      </c>
    </row>
    <row r="196" ht="30" customHeight="1" spans="1:6" x14ac:dyDescent="0.25">
      <c r="A196" s="5" t="s">
        <v>6404</v>
      </c>
      <c r="B196" s="5"/>
      <c r="C196" s="5"/>
      <c r="D196" s="5"/>
      <c r="E196" s="5"/>
      <c r="F196" s="5"/>
    </row>
    <row r="197" ht="42" customHeight="1" spans="1:6" x14ac:dyDescent="0.25">
      <c r="A197" s="6" t="s">
        <v>6405</v>
      </c>
      <c r="B197" s="6"/>
      <c r="C197" s="6"/>
      <c r="D197" s="6"/>
      <c r="E197" s="6"/>
      <c r="F197" s="6"/>
    </row>
    <row r="198" spans="1:6" x14ac:dyDescent="0.25">
      <c r="A198" t="s">
        <v>4044</v>
      </c>
      <c r="B198" t="s">
        <v>4045</v>
      </c>
      <c r="C198" t="s">
        <v>5</v>
      </c>
      <c r="D198" t="s">
        <v>4046</v>
      </c>
      <c r="E198" t="s">
        <v>4047</v>
      </c>
      <c r="F198" t="s">
        <v>4048</v>
      </c>
    </row>
    <row r="199" spans="1:6" x14ac:dyDescent="0.25">
      <c r="A199" t="s">
        <v>4062</v>
      </c>
      <c r="B199" t="s">
        <v>6406</v>
      </c>
      <c r="C199" t="s">
        <v>63</v>
      </c>
      <c r="D199" s="7">
        <v>1</v>
      </c>
      <c r="E199" s="2">
        <v>44697</v>
      </c>
      <c r="F199" s="2">
        <v>44697</v>
      </c>
    </row>
    <row r="200" spans="1:6" x14ac:dyDescent="0.25">
      <c r="A200" t="s">
        <v>4062</v>
      </c>
      <c r="B200" t="s">
        <v>6166</v>
      </c>
      <c r="C200" t="s">
        <v>63</v>
      </c>
      <c r="D200" s="7">
        <v>0.02</v>
      </c>
      <c r="E200" s="2">
        <v>19750</v>
      </c>
      <c r="F200" s="2">
        <v>395</v>
      </c>
    </row>
    <row r="201" spans="1:6" x14ac:dyDescent="0.25">
      <c r="A201" t="s">
        <v>4049</v>
      </c>
      <c r="B201" t="s">
        <v>4241</v>
      </c>
      <c r="C201" t="s">
        <v>4051</v>
      </c>
      <c r="D201" s="7">
        <v>0.25</v>
      </c>
      <c r="E201" s="2">
        <v>9941.22</v>
      </c>
      <c r="F201" s="2">
        <v>2485.3</v>
      </c>
    </row>
    <row r="202" spans="1:6" x14ac:dyDescent="0.25">
      <c r="A202" t="s">
        <v>4049</v>
      </c>
      <c r="B202" t="s">
        <v>4242</v>
      </c>
      <c r="C202" t="s">
        <v>4051</v>
      </c>
      <c r="D202" s="7">
        <v>0.25</v>
      </c>
      <c r="E202" s="2">
        <v>17069.53</v>
      </c>
      <c r="F202" s="2">
        <v>4267.38</v>
      </c>
    </row>
    <row r="203" spans="1:6" x14ac:dyDescent="0.25">
      <c r="A203" t="s">
        <v>4052</v>
      </c>
      <c r="B203" t="s">
        <v>4053</v>
      </c>
      <c r="C203" t="s">
        <v>4054</v>
      </c>
      <c r="D203" s="7">
        <v>3.5</v>
      </c>
      <c r="E203" s="2">
        <v>6752.68</v>
      </c>
      <c r="F203" s="2">
        <v>236.34</v>
      </c>
    </row>
    <row r="204" spans="1:6" x14ac:dyDescent="0.25">
      <c r="A204" t="s">
        <v>4055</v>
      </c>
      <c r="D204" s="7"/>
      <c r="E204" s="2"/>
      <c r="F204" s="2">
        <f>SUBTOTAL(109,A_2_04_20[VALOR PARCIAL])</f>
      </c>
    </row>
    <row r="206" ht="30" customHeight="1" spans="1:6" x14ac:dyDescent="0.25">
      <c r="A206" s="5" t="s">
        <v>6407</v>
      </c>
      <c r="B206" s="5"/>
      <c r="C206" s="5"/>
      <c r="D206" s="5"/>
      <c r="E206" s="5"/>
      <c r="F206" s="5"/>
    </row>
    <row r="207" ht="42" customHeight="1" spans="1:6" x14ac:dyDescent="0.25">
      <c r="A207" s="6" t="s">
        <v>6408</v>
      </c>
      <c r="B207" s="6"/>
      <c r="C207" s="6"/>
      <c r="D207" s="6"/>
      <c r="E207" s="6"/>
      <c r="F207" s="6"/>
    </row>
    <row r="208" spans="1:6" x14ac:dyDescent="0.25">
      <c r="A208" t="s">
        <v>4044</v>
      </c>
      <c r="B208" t="s">
        <v>4045</v>
      </c>
      <c r="C208" t="s">
        <v>5</v>
      </c>
      <c r="D208" t="s">
        <v>4046</v>
      </c>
      <c r="E208" t="s">
        <v>4047</v>
      </c>
      <c r="F208" t="s">
        <v>4048</v>
      </c>
    </row>
    <row r="209" spans="1:6" x14ac:dyDescent="0.25">
      <c r="A209" t="s">
        <v>4062</v>
      </c>
      <c r="B209" t="s">
        <v>6409</v>
      </c>
      <c r="C209" t="s">
        <v>63</v>
      </c>
      <c r="D209" s="7">
        <v>1</v>
      </c>
      <c r="E209" s="2">
        <v>118465</v>
      </c>
      <c r="F209" s="2">
        <v>118465</v>
      </c>
    </row>
    <row r="210" spans="1:6" x14ac:dyDescent="0.25">
      <c r="A210" t="s">
        <v>4062</v>
      </c>
      <c r="B210" t="s">
        <v>6166</v>
      </c>
      <c r="C210" t="s">
        <v>63</v>
      </c>
      <c r="D210" s="7">
        <v>0.02</v>
      </c>
      <c r="E210" s="2">
        <v>19750</v>
      </c>
      <c r="F210" s="2">
        <v>395</v>
      </c>
    </row>
    <row r="211" spans="1:6" x14ac:dyDescent="0.25">
      <c r="A211" t="s">
        <v>4049</v>
      </c>
      <c r="B211" t="s">
        <v>4241</v>
      </c>
      <c r="C211" t="s">
        <v>4051</v>
      </c>
      <c r="D211" s="7">
        <v>0.25</v>
      </c>
      <c r="E211" s="2">
        <v>9941.22</v>
      </c>
      <c r="F211" s="2">
        <v>2485.3</v>
      </c>
    </row>
    <row r="212" spans="1:6" x14ac:dyDescent="0.25">
      <c r="A212" t="s">
        <v>4049</v>
      </c>
      <c r="B212" t="s">
        <v>4242</v>
      </c>
      <c r="C212" t="s">
        <v>4051</v>
      </c>
      <c r="D212" s="7">
        <v>0.25</v>
      </c>
      <c r="E212" s="2">
        <v>17069.53</v>
      </c>
      <c r="F212" s="2">
        <v>4267.38</v>
      </c>
    </row>
    <row r="213" spans="1:6" x14ac:dyDescent="0.25">
      <c r="A213" t="s">
        <v>4052</v>
      </c>
      <c r="B213" t="s">
        <v>4053</v>
      </c>
      <c r="C213" t="s">
        <v>4054</v>
      </c>
      <c r="D213" s="7">
        <v>3.5</v>
      </c>
      <c r="E213" s="2">
        <v>6752.68</v>
      </c>
      <c r="F213" s="2">
        <v>236.34</v>
      </c>
    </row>
    <row r="214" spans="1:6" x14ac:dyDescent="0.25">
      <c r="A214" t="s">
        <v>4055</v>
      </c>
      <c r="D214" s="7"/>
      <c r="E214" s="2"/>
      <c r="F214" s="2">
        <f>SUBTOTAL(109,A_2_04_21[VALOR PARCIAL])</f>
      </c>
    </row>
    <row r="216" ht="30" customHeight="1" spans="1:6" x14ac:dyDescent="0.25">
      <c r="A216" s="5" t="s">
        <v>6410</v>
      </c>
      <c r="B216" s="5"/>
      <c r="C216" s="5"/>
      <c r="D216" s="5"/>
      <c r="E216" s="5"/>
      <c r="F216" s="5"/>
    </row>
    <row r="217" ht="42" customHeight="1" spans="1:6" x14ac:dyDescent="0.25">
      <c r="A217" s="6" t="s">
        <v>6411</v>
      </c>
      <c r="B217" s="6"/>
      <c r="C217" s="6"/>
      <c r="D217" s="6"/>
      <c r="E217" s="6"/>
      <c r="F217" s="6"/>
    </row>
    <row r="218" spans="1:6" x14ac:dyDescent="0.25">
      <c r="A218" t="s">
        <v>4044</v>
      </c>
      <c r="B218" t="s">
        <v>4045</v>
      </c>
      <c r="C218" t="s">
        <v>5</v>
      </c>
      <c r="D218" t="s">
        <v>4046</v>
      </c>
      <c r="E218" t="s">
        <v>4047</v>
      </c>
      <c r="F218" t="s">
        <v>4048</v>
      </c>
    </row>
    <row r="219" spans="1:6" x14ac:dyDescent="0.25">
      <c r="A219" t="s">
        <v>4062</v>
      </c>
      <c r="B219" t="s">
        <v>6412</v>
      </c>
      <c r="C219" t="s">
        <v>63</v>
      </c>
      <c r="D219" s="7">
        <v>1</v>
      </c>
      <c r="E219" s="2">
        <v>247022</v>
      </c>
      <c r="F219" s="2">
        <v>247022</v>
      </c>
    </row>
    <row r="220" spans="1:6" x14ac:dyDescent="0.25">
      <c r="A220" t="s">
        <v>4062</v>
      </c>
      <c r="B220" t="s">
        <v>6166</v>
      </c>
      <c r="C220" t="s">
        <v>63</v>
      </c>
      <c r="D220" s="7">
        <v>0.02</v>
      </c>
      <c r="E220" s="2">
        <v>19750</v>
      </c>
      <c r="F220" s="2">
        <v>395</v>
      </c>
    </row>
    <row r="221" spans="1:6" x14ac:dyDescent="0.25">
      <c r="A221" t="s">
        <v>4049</v>
      </c>
      <c r="B221" t="s">
        <v>4241</v>
      </c>
      <c r="C221" t="s">
        <v>4051</v>
      </c>
      <c r="D221" s="7">
        <v>0.25</v>
      </c>
      <c r="E221" s="2">
        <v>9941.22</v>
      </c>
      <c r="F221" s="2">
        <v>2485.3</v>
      </c>
    </row>
    <row r="222" spans="1:6" x14ac:dyDescent="0.25">
      <c r="A222" t="s">
        <v>4049</v>
      </c>
      <c r="B222" t="s">
        <v>4242</v>
      </c>
      <c r="C222" t="s">
        <v>4051</v>
      </c>
      <c r="D222" s="7">
        <v>0.25</v>
      </c>
      <c r="E222" s="2">
        <v>17069.53</v>
      </c>
      <c r="F222" s="2">
        <v>4267.38</v>
      </c>
    </row>
    <row r="223" spans="1:6" x14ac:dyDescent="0.25">
      <c r="A223" t="s">
        <v>4052</v>
      </c>
      <c r="B223" t="s">
        <v>4053</v>
      </c>
      <c r="C223" t="s">
        <v>4054</v>
      </c>
      <c r="D223" s="7">
        <v>3.5</v>
      </c>
      <c r="E223" s="2">
        <v>6752.68</v>
      </c>
      <c r="F223" s="2">
        <v>236.34</v>
      </c>
    </row>
    <row r="224" spans="1:6" x14ac:dyDescent="0.25">
      <c r="A224" t="s">
        <v>4055</v>
      </c>
      <c r="D224" s="7"/>
      <c r="E224" s="2"/>
      <c r="F224" s="2">
        <f>SUBTOTAL(109,A_2_04_22[VALOR PARCIAL])</f>
      </c>
    </row>
    <row r="226" ht="30" customHeight="1" spans="1:6" x14ac:dyDescent="0.25">
      <c r="A226" s="5" t="s">
        <v>6413</v>
      </c>
      <c r="B226" s="5"/>
      <c r="C226" s="5"/>
      <c r="D226" s="5"/>
      <c r="E226" s="5"/>
      <c r="F226" s="5"/>
    </row>
    <row r="227" ht="42" customHeight="1" spans="1:6" x14ac:dyDescent="0.25">
      <c r="A227" s="6" t="s">
        <v>6414</v>
      </c>
      <c r="B227" s="6"/>
      <c r="C227" s="6"/>
      <c r="D227" s="6"/>
      <c r="E227" s="6"/>
      <c r="F227" s="6"/>
    </row>
    <row r="228" spans="1:6" x14ac:dyDescent="0.25">
      <c r="A228" t="s">
        <v>4044</v>
      </c>
      <c r="B228" t="s">
        <v>4045</v>
      </c>
      <c r="C228" t="s">
        <v>5</v>
      </c>
      <c r="D228" t="s">
        <v>4046</v>
      </c>
      <c r="E228" t="s">
        <v>4047</v>
      </c>
      <c r="F228" t="s">
        <v>4048</v>
      </c>
    </row>
    <row r="229" spans="1:6" x14ac:dyDescent="0.25">
      <c r="A229" t="s">
        <v>4062</v>
      </c>
      <c r="B229" t="s">
        <v>6415</v>
      </c>
      <c r="C229" t="s">
        <v>63</v>
      </c>
      <c r="D229" s="7">
        <v>1</v>
      </c>
      <c r="E229" s="2">
        <v>533766</v>
      </c>
      <c r="F229" s="2">
        <v>533766</v>
      </c>
    </row>
    <row r="230" spans="1:6" x14ac:dyDescent="0.25">
      <c r="A230" t="s">
        <v>4062</v>
      </c>
      <c r="B230" t="s">
        <v>6166</v>
      </c>
      <c r="C230" t="s">
        <v>63</v>
      </c>
      <c r="D230" s="7">
        <v>0.02</v>
      </c>
      <c r="E230" s="2">
        <v>19750</v>
      </c>
      <c r="F230" s="2">
        <v>395</v>
      </c>
    </row>
    <row r="231" spans="1:6" x14ac:dyDescent="0.25">
      <c r="A231" t="s">
        <v>4049</v>
      </c>
      <c r="B231" t="s">
        <v>4241</v>
      </c>
      <c r="C231" t="s">
        <v>4051</v>
      </c>
      <c r="D231" s="7">
        <v>0.25</v>
      </c>
      <c r="E231" s="2">
        <v>9941.22</v>
      </c>
      <c r="F231" s="2">
        <v>2485.3</v>
      </c>
    </row>
    <row r="232" spans="1:6" x14ac:dyDescent="0.25">
      <c r="A232" t="s">
        <v>4049</v>
      </c>
      <c r="B232" t="s">
        <v>4242</v>
      </c>
      <c r="C232" t="s">
        <v>4051</v>
      </c>
      <c r="D232" s="7">
        <v>0.25</v>
      </c>
      <c r="E232" s="2">
        <v>17069.53</v>
      </c>
      <c r="F232" s="2">
        <v>4267.38</v>
      </c>
    </row>
    <row r="233" spans="1:6" x14ac:dyDescent="0.25">
      <c r="A233" t="s">
        <v>4052</v>
      </c>
      <c r="B233" t="s">
        <v>4053</v>
      </c>
      <c r="C233" t="s">
        <v>4054</v>
      </c>
      <c r="D233" s="7">
        <v>3.5</v>
      </c>
      <c r="E233" s="2">
        <v>6752.68</v>
      </c>
      <c r="F233" s="2">
        <v>236.34</v>
      </c>
    </row>
    <row r="234" spans="1:6" x14ac:dyDescent="0.25">
      <c r="A234" t="s">
        <v>4055</v>
      </c>
      <c r="D234" s="7"/>
      <c r="E234" s="2"/>
      <c r="F234" s="2">
        <f>SUBTOTAL(109,A_2_04_23[VALOR PARCIAL])</f>
      </c>
    </row>
    <row r="236" ht="30" customHeight="1" spans="1:6" x14ac:dyDescent="0.25">
      <c r="A236" s="5" t="s">
        <v>6416</v>
      </c>
      <c r="B236" s="5"/>
      <c r="C236" s="5"/>
      <c r="D236" s="5"/>
      <c r="E236" s="5"/>
      <c r="F236" s="5"/>
    </row>
    <row r="237" ht="42" customHeight="1" spans="1:6" x14ac:dyDescent="0.25">
      <c r="A237" s="6" t="s">
        <v>6417</v>
      </c>
      <c r="B237" s="6"/>
      <c r="C237" s="6"/>
      <c r="D237" s="6"/>
      <c r="E237" s="6"/>
      <c r="F237" s="6"/>
    </row>
    <row r="238" spans="1:6" x14ac:dyDescent="0.25">
      <c r="A238" t="s">
        <v>4044</v>
      </c>
      <c r="B238" t="s">
        <v>4045</v>
      </c>
      <c r="C238" t="s">
        <v>5</v>
      </c>
      <c r="D238" t="s">
        <v>4046</v>
      </c>
      <c r="E238" t="s">
        <v>4047</v>
      </c>
      <c r="F238" t="s">
        <v>4048</v>
      </c>
    </row>
    <row r="239" spans="1:6" x14ac:dyDescent="0.25">
      <c r="A239" t="s">
        <v>4062</v>
      </c>
      <c r="B239" t="s">
        <v>6418</v>
      </c>
      <c r="C239" t="s">
        <v>63</v>
      </c>
      <c r="D239" s="7">
        <v>1</v>
      </c>
      <c r="E239" s="2">
        <v>460763</v>
      </c>
      <c r="F239" s="2">
        <v>460763</v>
      </c>
    </row>
    <row r="240" spans="1:6" x14ac:dyDescent="0.25">
      <c r="A240" t="s">
        <v>4062</v>
      </c>
      <c r="B240" t="s">
        <v>6166</v>
      </c>
      <c r="C240" t="s">
        <v>63</v>
      </c>
      <c r="D240" s="7">
        <v>0.02</v>
      </c>
      <c r="E240" s="2">
        <v>19750</v>
      </c>
      <c r="F240" s="2">
        <v>395</v>
      </c>
    </row>
    <row r="241" spans="1:6" x14ac:dyDescent="0.25">
      <c r="A241" t="s">
        <v>4049</v>
      </c>
      <c r="B241" t="s">
        <v>4241</v>
      </c>
      <c r="C241" t="s">
        <v>4051</v>
      </c>
      <c r="D241" s="7">
        <v>0.25</v>
      </c>
      <c r="E241" s="2">
        <v>9941.22</v>
      </c>
      <c r="F241" s="2">
        <v>2485.3</v>
      </c>
    </row>
    <row r="242" spans="1:6" x14ac:dyDescent="0.25">
      <c r="A242" t="s">
        <v>4049</v>
      </c>
      <c r="B242" t="s">
        <v>4242</v>
      </c>
      <c r="C242" t="s">
        <v>4051</v>
      </c>
      <c r="D242" s="7">
        <v>0.25</v>
      </c>
      <c r="E242" s="2">
        <v>17069.53</v>
      </c>
      <c r="F242" s="2">
        <v>4267.38</v>
      </c>
    </row>
    <row r="243" spans="1:6" x14ac:dyDescent="0.25">
      <c r="A243" t="s">
        <v>4052</v>
      </c>
      <c r="B243" t="s">
        <v>4053</v>
      </c>
      <c r="C243" t="s">
        <v>4054</v>
      </c>
      <c r="D243" s="7">
        <v>3.5</v>
      </c>
      <c r="E243" s="2">
        <v>6752.68</v>
      </c>
      <c r="F243" s="2">
        <v>236.34</v>
      </c>
    </row>
    <row r="244" spans="1:6" x14ac:dyDescent="0.25">
      <c r="A244" t="s">
        <v>4055</v>
      </c>
      <c r="D244" s="7"/>
      <c r="E244" s="2"/>
      <c r="F244" s="2">
        <f>SUBTOTAL(109,A_2_04_24[VALOR PARCIAL])</f>
      </c>
    </row>
    <row r="246" ht="30" customHeight="1" spans="1:6" x14ac:dyDescent="0.25">
      <c r="A246" s="5" t="s">
        <v>6419</v>
      </c>
      <c r="B246" s="5"/>
      <c r="C246" s="5"/>
      <c r="D246" s="5"/>
      <c r="E246" s="5"/>
      <c r="F246" s="5"/>
    </row>
    <row r="247" ht="42" customHeight="1" spans="1:6" x14ac:dyDescent="0.25">
      <c r="A247" s="6" t="s">
        <v>6420</v>
      </c>
      <c r="B247" s="6"/>
      <c r="C247" s="6"/>
      <c r="D247" s="6"/>
      <c r="E247" s="6"/>
      <c r="F247" s="6"/>
    </row>
    <row r="248" spans="1:6" x14ac:dyDescent="0.25">
      <c r="A248" t="s">
        <v>4044</v>
      </c>
      <c r="B248" t="s">
        <v>4045</v>
      </c>
      <c r="C248" t="s">
        <v>5</v>
      </c>
      <c r="D248" t="s">
        <v>4046</v>
      </c>
      <c r="E248" t="s">
        <v>4047</v>
      </c>
      <c r="F248" t="s">
        <v>4048</v>
      </c>
    </row>
    <row r="249" spans="1:6" x14ac:dyDescent="0.25">
      <c r="A249" t="s">
        <v>4062</v>
      </c>
      <c r="B249" t="s">
        <v>6421</v>
      </c>
      <c r="C249" t="s">
        <v>63</v>
      </c>
      <c r="D249" s="7">
        <v>1</v>
      </c>
      <c r="E249" s="2">
        <v>611914</v>
      </c>
      <c r="F249" s="2">
        <v>611914</v>
      </c>
    </row>
    <row r="250" spans="1:6" x14ac:dyDescent="0.25">
      <c r="A250" t="s">
        <v>4062</v>
      </c>
      <c r="B250" t="s">
        <v>6166</v>
      </c>
      <c r="C250" t="s">
        <v>63</v>
      </c>
      <c r="D250" s="7">
        <v>0.02</v>
      </c>
      <c r="E250" s="2">
        <v>19750</v>
      </c>
      <c r="F250" s="2">
        <v>395</v>
      </c>
    </row>
    <row r="251" spans="1:6" x14ac:dyDescent="0.25">
      <c r="A251" t="s">
        <v>4049</v>
      </c>
      <c r="B251" t="s">
        <v>4241</v>
      </c>
      <c r="C251" t="s">
        <v>4051</v>
      </c>
      <c r="D251" s="7">
        <v>0.25</v>
      </c>
      <c r="E251" s="2">
        <v>9941.22</v>
      </c>
      <c r="F251" s="2">
        <v>2485.3</v>
      </c>
    </row>
    <row r="252" spans="1:6" x14ac:dyDescent="0.25">
      <c r="A252" t="s">
        <v>4049</v>
      </c>
      <c r="B252" t="s">
        <v>4242</v>
      </c>
      <c r="C252" t="s">
        <v>4051</v>
      </c>
      <c r="D252" s="7">
        <v>0.25</v>
      </c>
      <c r="E252" s="2">
        <v>17069.53</v>
      </c>
      <c r="F252" s="2">
        <v>4267.38</v>
      </c>
    </row>
    <row r="253" spans="1:6" x14ac:dyDescent="0.25">
      <c r="A253" t="s">
        <v>4052</v>
      </c>
      <c r="B253" t="s">
        <v>4053</v>
      </c>
      <c r="C253" t="s">
        <v>4054</v>
      </c>
      <c r="D253" s="7">
        <v>3.5</v>
      </c>
      <c r="E253" s="2">
        <v>6752.68</v>
      </c>
      <c r="F253" s="2">
        <v>236.34</v>
      </c>
    </row>
    <row r="254" spans="1:6" x14ac:dyDescent="0.25">
      <c r="A254" t="s">
        <v>4055</v>
      </c>
      <c r="D254" s="7"/>
      <c r="E254" s="2"/>
      <c r="F254" s="2">
        <f>SUBTOTAL(109,A_2_04_25[VALOR PARCIAL])</f>
      </c>
    </row>
    <row r="256" ht="30" customHeight="1" spans="1:6" x14ac:dyDescent="0.25">
      <c r="A256" s="5" t="s">
        <v>6422</v>
      </c>
      <c r="B256" s="5"/>
      <c r="C256" s="5"/>
      <c r="D256" s="5"/>
      <c r="E256" s="5"/>
      <c r="F256" s="5"/>
    </row>
    <row r="257" ht="42" customHeight="1" spans="1:6" x14ac:dyDescent="0.25">
      <c r="A257" s="6" t="s">
        <v>6423</v>
      </c>
      <c r="B257" s="6"/>
      <c r="C257" s="6"/>
      <c r="D257" s="6"/>
      <c r="E257" s="6"/>
      <c r="F257" s="6"/>
    </row>
    <row r="258" spans="1:6" x14ac:dyDescent="0.25">
      <c r="A258" t="s">
        <v>4044</v>
      </c>
      <c r="B258" t="s">
        <v>4045</v>
      </c>
      <c r="C258" t="s">
        <v>5</v>
      </c>
      <c r="D258" t="s">
        <v>4046</v>
      </c>
      <c r="E258" t="s">
        <v>4047</v>
      </c>
      <c r="F258" t="s">
        <v>4048</v>
      </c>
    </row>
    <row r="259" spans="1:6" x14ac:dyDescent="0.25">
      <c r="A259" t="s">
        <v>4062</v>
      </c>
      <c r="B259" t="s">
        <v>6424</v>
      </c>
      <c r="C259" t="s">
        <v>63</v>
      </c>
      <c r="D259" s="7">
        <v>1</v>
      </c>
      <c r="E259" s="2">
        <v>218303.5</v>
      </c>
      <c r="F259" s="2">
        <v>218303.5</v>
      </c>
    </row>
    <row r="260" spans="1:6" x14ac:dyDescent="0.25">
      <c r="A260" t="s">
        <v>4062</v>
      </c>
      <c r="B260" t="s">
        <v>6166</v>
      </c>
      <c r="C260" t="s">
        <v>63</v>
      </c>
      <c r="D260" s="7">
        <v>0.02</v>
      </c>
      <c r="E260" s="2">
        <v>19750</v>
      </c>
      <c r="F260" s="2">
        <v>395</v>
      </c>
    </row>
    <row r="261" spans="1:6" x14ac:dyDescent="0.25">
      <c r="A261" t="s">
        <v>4049</v>
      </c>
      <c r="B261" t="s">
        <v>4241</v>
      </c>
      <c r="C261" t="s">
        <v>4051</v>
      </c>
      <c r="D261" s="7">
        <v>0.25</v>
      </c>
      <c r="E261" s="2">
        <v>9941.22</v>
      </c>
      <c r="F261" s="2">
        <v>2485.3</v>
      </c>
    </row>
    <row r="262" spans="1:6" x14ac:dyDescent="0.25">
      <c r="A262" t="s">
        <v>4049</v>
      </c>
      <c r="B262" t="s">
        <v>4242</v>
      </c>
      <c r="C262" t="s">
        <v>4051</v>
      </c>
      <c r="D262" s="7">
        <v>0.25</v>
      </c>
      <c r="E262" s="2">
        <v>17069.53</v>
      </c>
      <c r="F262" s="2">
        <v>4267.38</v>
      </c>
    </row>
    <row r="263" spans="1:6" x14ac:dyDescent="0.25">
      <c r="A263" t="s">
        <v>4052</v>
      </c>
      <c r="B263" t="s">
        <v>4053</v>
      </c>
      <c r="C263" t="s">
        <v>4054</v>
      </c>
      <c r="D263" s="7">
        <v>3.5</v>
      </c>
      <c r="E263" s="2">
        <v>6752.68</v>
      </c>
      <c r="F263" s="2">
        <v>236.34</v>
      </c>
    </row>
    <row r="264" spans="1:6" x14ac:dyDescent="0.25">
      <c r="A264" t="s">
        <v>4055</v>
      </c>
      <c r="D264" s="7"/>
      <c r="E264" s="2"/>
      <c r="F264" s="2">
        <f>SUBTOTAL(109,A_2_04_26[VALOR PARCIAL])</f>
      </c>
    </row>
    <row r="266" ht="30" customHeight="1" spans="1:6" x14ac:dyDescent="0.25">
      <c r="A266" s="5" t="s">
        <v>6425</v>
      </c>
      <c r="B266" s="5"/>
      <c r="C266" s="5"/>
      <c r="D266" s="5"/>
      <c r="E266" s="5"/>
      <c r="F266" s="5"/>
    </row>
    <row r="267" ht="42" customHeight="1" spans="1:6" x14ac:dyDescent="0.25">
      <c r="A267" s="6" t="s">
        <v>6426</v>
      </c>
      <c r="B267" s="6"/>
      <c r="C267" s="6"/>
      <c r="D267" s="6"/>
      <c r="E267" s="6"/>
      <c r="F267" s="6"/>
    </row>
    <row r="268" spans="1:6" x14ac:dyDescent="0.25">
      <c r="A268" t="s">
        <v>4044</v>
      </c>
      <c r="B268" t="s">
        <v>4045</v>
      </c>
      <c r="C268" t="s">
        <v>5</v>
      </c>
      <c r="D268" t="s">
        <v>4046</v>
      </c>
      <c r="E268" t="s">
        <v>4047</v>
      </c>
      <c r="F268" t="s">
        <v>4048</v>
      </c>
    </row>
    <row r="269" spans="1:6" x14ac:dyDescent="0.25">
      <c r="A269" t="s">
        <v>4062</v>
      </c>
      <c r="B269" t="s">
        <v>6427</v>
      </c>
      <c r="C269" t="s">
        <v>63</v>
      </c>
      <c r="D269" s="7">
        <v>1</v>
      </c>
      <c r="E269" s="2">
        <v>1756451.5</v>
      </c>
      <c r="F269" s="2">
        <v>1756451.5</v>
      </c>
    </row>
    <row r="270" spans="1:6" x14ac:dyDescent="0.25">
      <c r="A270" t="s">
        <v>4062</v>
      </c>
      <c r="B270" t="s">
        <v>6166</v>
      </c>
      <c r="C270" t="s">
        <v>63</v>
      </c>
      <c r="D270" s="7">
        <v>0.02</v>
      </c>
      <c r="E270" s="2">
        <v>19750</v>
      </c>
      <c r="F270" s="2">
        <v>395</v>
      </c>
    </row>
    <row r="271" spans="1:6" x14ac:dyDescent="0.25">
      <c r="A271" t="s">
        <v>4049</v>
      </c>
      <c r="B271" t="s">
        <v>4241</v>
      </c>
      <c r="C271" t="s">
        <v>4051</v>
      </c>
      <c r="D271" s="7">
        <v>0.25</v>
      </c>
      <c r="E271" s="2">
        <v>9941.22</v>
      </c>
      <c r="F271" s="2">
        <v>2485.3</v>
      </c>
    </row>
    <row r="272" spans="1:6" x14ac:dyDescent="0.25">
      <c r="A272" t="s">
        <v>4049</v>
      </c>
      <c r="B272" t="s">
        <v>4242</v>
      </c>
      <c r="C272" t="s">
        <v>4051</v>
      </c>
      <c r="D272" s="7">
        <v>0.25</v>
      </c>
      <c r="E272" s="2">
        <v>17069.53</v>
      </c>
      <c r="F272" s="2">
        <v>4267.38</v>
      </c>
    </row>
    <row r="273" spans="1:6" x14ac:dyDescent="0.25">
      <c r="A273" t="s">
        <v>4052</v>
      </c>
      <c r="B273" t="s">
        <v>4053</v>
      </c>
      <c r="C273" t="s">
        <v>4054</v>
      </c>
      <c r="D273" s="7">
        <v>3.5</v>
      </c>
      <c r="E273" s="2">
        <v>6752.68</v>
      </c>
      <c r="F273" s="2">
        <v>236.34</v>
      </c>
    </row>
    <row r="274" spans="1:6" x14ac:dyDescent="0.25">
      <c r="A274" t="s">
        <v>4055</v>
      </c>
      <c r="D274" s="7"/>
      <c r="E274" s="2"/>
      <c r="F274" s="2">
        <f>SUBTOTAL(109,A_2_04_27[VALOR PARCIAL])</f>
      </c>
    </row>
    <row r="276" ht="30" customHeight="1" spans="1:6" x14ac:dyDescent="0.25">
      <c r="A276" s="5" t="s">
        <v>6428</v>
      </c>
      <c r="B276" s="5"/>
      <c r="C276" s="5"/>
      <c r="D276" s="5"/>
      <c r="E276" s="5"/>
      <c r="F276" s="5"/>
    </row>
    <row r="277" ht="42" customHeight="1" spans="1:6" x14ac:dyDescent="0.25">
      <c r="A277" s="6" t="s">
        <v>6429</v>
      </c>
      <c r="B277" s="6"/>
      <c r="C277" s="6"/>
      <c r="D277" s="6"/>
      <c r="E277" s="6"/>
      <c r="F277" s="6"/>
    </row>
    <row r="278" spans="1:6" x14ac:dyDescent="0.25">
      <c r="A278" t="s">
        <v>4044</v>
      </c>
      <c r="B278" t="s">
        <v>4045</v>
      </c>
      <c r="C278" t="s">
        <v>5</v>
      </c>
      <c r="D278" t="s">
        <v>4046</v>
      </c>
      <c r="E278" t="s">
        <v>4047</v>
      </c>
      <c r="F278" t="s">
        <v>4048</v>
      </c>
    </row>
    <row r="279" spans="1:6" x14ac:dyDescent="0.25">
      <c r="A279" t="s">
        <v>4062</v>
      </c>
      <c r="B279" t="s">
        <v>6430</v>
      </c>
      <c r="C279" t="s">
        <v>63</v>
      </c>
      <c r="D279" s="7">
        <v>1</v>
      </c>
      <c r="E279" s="2">
        <v>2342551</v>
      </c>
      <c r="F279" s="2">
        <v>2342551</v>
      </c>
    </row>
    <row r="280" spans="1:6" x14ac:dyDescent="0.25">
      <c r="A280" t="s">
        <v>4062</v>
      </c>
      <c r="B280" t="s">
        <v>6166</v>
      </c>
      <c r="C280" t="s">
        <v>63</v>
      </c>
      <c r="D280" s="7">
        <v>0.02</v>
      </c>
      <c r="E280" s="2">
        <v>19750</v>
      </c>
      <c r="F280" s="2">
        <v>395</v>
      </c>
    </row>
    <row r="281" spans="1:6" x14ac:dyDescent="0.25">
      <c r="A281" t="s">
        <v>4049</v>
      </c>
      <c r="B281" t="s">
        <v>4241</v>
      </c>
      <c r="C281" t="s">
        <v>4051</v>
      </c>
      <c r="D281" s="7">
        <v>0.25</v>
      </c>
      <c r="E281" s="2">
        <v>9941.22</v>
      </c>
      <c r="F281" s="2">
        <v>2485.3</v>
      </c>
    </row>
    <row r="282" spans="1:6" x14ac:dyDescent="0.25">
      <c r="A282" t="s">
        <v>4049</v>
      </c>
      <c r="B282" t="s">
        <v>4242</v>
      </c>
      <c r="C282" t="s">
        <v>4051</v>
      </c>
      <c r="D282" s="7">
        <v>0.25</v>
      </c>
      <c r="E282" s="2">
        <v>17069.53</v>
      </c>
      <c r="F282" s="2">
        <v>4267.38</v>
      </c>
    </row>
    <row r="283" spans="1:6" x14ac:dyDescent="0.25">
      <c r="A283" t="s">
        <v>4052</v>
      </c>
      <c r="B283" t="s">
        <v>4053</v>
      </c>
      <c r="C283" t="s">
        <v>4054</v>
      </c>
      <c r="D283" s="7">
        <v>3.5</v>
      </c>
      <c r="E283" s="2">
        <v>6752.68</v>
      </c>
      <c r="F283" s="2">
        <v>236.34</v>
      </c>
    </row>
    <row r="284" spans="1:6" x14ac:dyDescent="0.25">
      <c r="A284" t="s">
        <v>4055</v>
      </c>
      <c r="D284" s="7"/>
      <c r="E284" s="2"/>
      <c r="F284" s="2">
        <f>SUBTOTAL(109,A_2_04_28[VALOR PARCIAL])</f>
      </c>
    </row>
    <row r="286" ht="30" customHeight="1" spans="1:6" x14ac:dyDescent="0.25">
      <c r="A286" s="5" t="s">
        <v>6431</v>
      </c>
      <c r="B286" s="5"/>
      <c r="C286" s="5"/>
      <c r="D286" s="5"/>
      <c r="E286" s="5"/>
      <c r="F286" s="5"/>
    </row>
    <row r="287" ht="42" customHeight="1" spans="1:6" x14ac:dyDescent="0.25">
      <c r="A287" s="6" t="s">
        <v>6432</v>
      </c>
      <c r="B287" s="6"/>
      <c r="C287" s="6"/>
      <c r="D287" s="6"/>
      <c r="E287" s="6"/>
      <c r="F287" s="6"/>
    </row>
    <row r="288" spans="1:6" x14ac:dyDescent="0.25">
      <c r="A288" t="s">
        <v>4044</v>
      </c>
      <c r="B288" t="s">
        <v>4045</v>
      </c>
      <c r="C288" t="s">
        <v>5</v>
      </c>
      <c r="D288" t="s">
        <v>4046</v>
      </c>
      <c r="E288" t="s">
        <v>4047</v>
      </c>
      <c r="F288" t="s">
        <v>4048</v>
      </c>
    </row>
    <row r="289" spans="1:6" x14ac:dyDescent="0.25">
      <c r="A289" t="s">
        <v>4062</v>
      </c>
      <c r="B289" t="s">
        <v>6433</v>
      </c>
      <c r="C289" t="s">
        <v>63</v>
      </c>
      <c r="D289" s="7">
        <v>1</v>
      </c>
      <c r="E289" s="2">
        <v>36530</v>
      </c>
      <c r="F289" s="2">
        <v>36530</v>
      </c>
    </row>
    <row r="290" spans="1:6" x14ac:dyDescent="0.25">
      <c r="A290" t="s">
        <v>4062</v>
      </c>
      <c r="B290" t="s">
        <v>6166</v>
      </c>
      <c r="C290" t="s">
        <v>63</v>
      </c>
      <c r="D290" s="7">
        <v>0.02</v>
      </c>
      <c r="E290" s="2">
        <v>19750</v>
      </c>
      <c r="F290" s="2">
        <v>395</v>
      </c>
    </row>
    <row r="291" spans="1:6" x14ac:dyDescent="0.25">
      <c r="A291" t="s">
        <v>4049</v>
      </c>
      <c r="B291" t="s">
        <v>4241</v>
      </c>
      <c r="C291" t="s">
        <v>4051</v>
      </c>
      <c r="D291" s="7">
        <v>0.25</v>
      </c>
      <c r="E291" s="2">
        <v>9941.22</v>
      </c>
      <c r="F291" s="2">
        <v>2485.3</v>
      </c>
    </row>
    <row r="292" spans="1:6" x14ac:dyDescent="0.25">
      <c r="A292" t="s">
        <v>4049</v>
      </c>
      <c r="B292" t="s">
        <v>4242</v>
      </c>
      <c r="C292" t="s">
        <v>4051</v>
      </c>
      <c r="D292" s="7">
        <v>0.25</v>
      </c>
      <c r="E292" s="2">
        <v>17069.53</v>
      </c>
      <c r="F292" s="2">
        <v>4267.38</v>
      </c>
    </row>
    <row r="293" spans="1:6" x14ac:dyDescent="0.25">
      <c r="A293" t="s">
        <v>4052</v>
      </c>
      <c r="B293" t="s">
        <v>4053</v>
      </c>
      <c r="C293" t="s">
        <v>4054</v>
      </c>
      <c r="D293" s="7">
        <v>3.5</v>
      </c>
      <c r="E293" s="2">
        <v>6752.68</v>
      </c>
      <c r="F293" s="2">
        <v>236.34</v>
      </c>
    </row>
    <row r="294" spans="1:6" x14ac:dyDescent="0.25">
      <c r="A294" t="s">
        <v>4055</v>
      </c>
      <c r="D294" s="7"/>
      <c r="E294" s="2"/>
      <c r="F294" s="2">
        <f>SUBTOTAL(109,A_2_04_29[VALOR PARCIAL])</f>
      </c>
    </row>
    <row r="296" ht="30" customHeight="1" spans="1:6" x14ac:dyDescent="0.25">
      <c r="A296" s="5" t="s">
        <v>6434</v>
      </c>
      <c r="B296" s="5"/>
      <c r="C296" s="5"/>
      <c r="D296" s="5"/>
      <c r="E296" s="5"/>
      <c r="F296" s="5"/>
    </row>
    <row r="297" ht="42" customHeight="1" spans="1:6" x14ac:dyDescent="0.25">
      <c r="A297" s="6" t="s">
        <v>6435</v>
      </c>
      <c r="B297" s="6"/>
      <c r="C297" s="6"/>
      <c r="D297" s="6"/>
      <c r="E297" s="6"/>
      <c r="F297" s="6"/>
    </row>
    <row r="298" spans="1:6" x14ac:dyDescent="0.25">
      <c r="A298" t="s">
        <v>4044</v>
      </c>
      <c r="B298" t="s">
        <v>4045</v>
      </c>
      <c r="C298" t="s">
        <v>5</v>
      </c>
      <c r="D298" t="s">
        <v>4046</v>
      </c>
      <c r="E298" t="s">
        <v>4047</v>
      </c>
      <c r="F298" t="s">
        <v>4048</v>
      </c>
    </row>
    <row r="299" spans="1:6" x14ac:dyDescent="0.25">
      <c r="A299" t="s">
        <v>4062</v>
      </c>
      <c r="B299" t="s">
        <v>6436</v>
      </c>
      <c r="C299" t="s">
        <v>63</v>
      </c>
      <c r="D299" s="7">
        <v>1</v>
      </c>
      <c r="E299" s="2">
        <v>30975.67</v>
      </c>
      <c r="F299" s="2">
        <v>30975.67</v>
      </c>
    </row>
    <row r="300" spans="1:6" x14ac:dyDescent="0.25">
      <c r="A300" t="s">
        <v>4062</v>
      </c>
      <c r="B300" t="s">
        <v>6166</v>
      </c>
      <c r="C300" t="s">
        <v>63</v>
      </c>
      <c r="D300" s="7">
        <v>0.02</v>
      </c>
      <c r="E300" s="2">
        <v>19750</v>
      </c>
      <c r="F300" s="2">
        <v>395</v>
      </c>
    </row>
    <row r="301" spans="1:6" x14ac:dyDescent="0.25">
      <c r="A301" t="s">
        <v>4049</v>
      </c>
      <c r="B301" t="s">
        <v>4241</v>
      </c>
      <c r="C301" t="s">
        <v>4051</v>
      </c>
      <c r="D301" s="7">
        <v>0.25</v>
      </c>
      <c r="E301" s="2">
        <v>9941.22</v>
      </c>
      <c r="F301" s="2">
        <v>2485.3</v>
      </c>
    </row>
    <row r="302" spans="1:6" x14ac:dyDescent="0.25">
      <c r="A302" t="s">
        <v>4049</v>
      </c>
      <c r="B302" t="s">
        <v>4242</v>
      </c>
      <c r="C302" t="s">
        <v>4051</v>
      </c>
      <c r="D302" s="7">
        <v>0.25</v>
      </c>
      <c r="E302" s="2">
        <v>17069.53</v>
      </c>
      <c r="F302" s="2">
        <v>4267.38</v>
      </c>
    </row>
    <row r="303" spans="1:6" x14ac:dyDescent="0.25">
      <c r="A303" t="s">
        <v>4052</v>
      </c>
      <c r="B303" t="s">
        <v>4053</v>
      </c>
      <c r="C303" t="s">
        <v>4054</v>
      </c>
      <c r="D303" s="7">
        <v>3.5</v>
      </c>
      <c r="E303" s="2">
        <v>6752.68</v>
      </c>
      <c r="F303" s="2">
        <v>236.34</v>
      </c>
    </row>
    <row r="304" spans="1:6" x14ac:dyDescent="0.25">
      <c r="A304" t="s">
        <v>4055</v>
      </c>
      <c r="D304" s="7"/>
      <c r="E304" s="2"/>
      <c r="F304" s="2">
        <f>SUBTOTAL(109,A_2_04_30[VALOR PARCIAL])</f>
      </c>
    </row>
    <row r="306" ht="30" customHeight="1" spans="1:6" x14ac:dyDescent="0.25">
      <c r="A306" s="5" t="s">
        <v>6437</v>
      </c>
      <c r="B306" s="5"/>
      <c r="C306" s="5"/>
      <c r="D306" s="5"/>
      <c r="E306" s="5"/>
      <c r="F306" s="5"/>
    </row>
    <row r="307" ht="42" customHeight="1" spans="1:6" x14ac:dyDescent="0.25">
      <c r="A307" s="6" t="s">
        <v>6438</v>
      </c>
      <c r="B307" s="6"/>
      <c r="C307" s="6"/>
      <c r="D307" s="6"/>
      <c r="E307" s="6"/>
      <c r="F307" s="6"/>
    </row>
    <row r="308" spans="1:6" x14ac:dyDescent="0.25">
      <c r="A308" t="s">
        <v>4044</v>
      </c>
      <c r="B308" t="s">
        <v>4045</v>
      </c>
      <c r="C308" t="s">
        <v>5</v>
      </c>
      <c r="D308" t="s">
        <v>4046</v>
      </c>
      <c r="E308" t="s">
        <v>4047</v>
      </c>
      <c r="F308" t="s">
        <v>4048</v>
      </c>
    </row>
    <row r="309" spans="1:6" x14ac:dyDescent="0.25">
      <c r="A309" t="s">
        <v>4062</v>
      </c>
      <c r="B309" t="s">
        <v>6439</v>
      </c>
      <c r="C309" t="s">
        <v>63</v>
      </c>
      <c r="D309" s="7">
        <v>1</v>
      </c>
      <c r="E309" s="2">
        <v>68334.66</v>
      </c>
      <c r="F309" s="2">
        <v>68334.66</v>
      </c>
    </row>
    <row r="310" spans="1:6" x14ac:dyDescent="0.25">
      <c r="A310" t="s">
        <v>4062</v>
      </c>
      <c r="B310" t="s">
        <v>6166</v>
      </c>
      <c r="C310" t="s">
        <v>63</v>
      </c>
      <c r="D310" s="7">
        <v>0.02</v>
      </c>
      <c r="E310" s="2">
        <v>19750</v>
      </c>
      <c r="F310" s="2">
        <v>395</v>
      </c>
    </row>
    <row r="311" spans="1:6" x14ac:dyDescent="0.25">
      <c r="A311" t="s">
        <v>4049</v>
      </c>
      <c r="B311" t="s">
        <v>4241</v>
      </c>
      <c r="C311" t="s">
        <v>4051</v>
      </c>
      <c r="D311" s="7">
        <v>0.25</v>
      </c>
      <c r="E311" s="2">
        <v>9941.22</v>
      </c>
      <c r="F311" s="2">
        <v>2485.3</v>
      </c>
    </row>
    <row r="312" spans="1:6" x14ac:dyDescent="0.25">
      <c r="A312" t="s">
        <v>4049</v>
      </c>
      <c r="B312" t="s">
        <v>4242</v>
      </c>
      <c r="C312" t="s">
        <v>4051</v>
      </c>
      <c r="D312" s="7">
        <v>0.25</v>
      </c>
      <c r="E312" s="2">
        <v>17069.53</v>
      </c>
      <c r="F312" s="2">
        <v>4267.38</v>
      </c>
    </row>
    <row r="313" spans="1:6" x14ac:dyDescent="0.25">
      <c r="A313" t="s">
        <v>4052</v>
      </c>
      <c r="B313" t="s">
        <v>4053</v>
      </c>
      <c r="C313" t="s">
        <v>4054</v>
      </c>
      <c r="D313" s="7">
        <v>3.5</v>
      </c>
      <c r="E313" s="2">
        <v>6752.68</v>
      </c>
      <c r="F313" s="2">
        <v>236.34</v>
      </c>
    </row>
    <row r="314" spans="1:6" x14ac:dyDescent="0.25">
      <c r="A314" t="s">
        <v>4055</v>
      </c>
      <c r="D314" s="7"/>
      <c r="E314" s="2"/>
      <c r="F314" s="2">
        <f>SUBTOTAL(109,A_2_04_31[VALOR PARCIAL])</f>
      </c>
    </row>
    <row r="316" ht="30" customHeight="1" spans="1:6" x14ac:dyDescent="0.25">
      <c r="A316" s="5" t="s">
        <v>6440</v>
      </c>
      <c r="B316" s="5"/>
      <c r="C316" s="5"/>
      <c r="D316" s="5"/>
      <c r="E316" s="5"/>
      <c r="F316" s="5"/>
    </row>
    <row r="317" ht="42" customHeight="1" spans="1:6" x14ac:dyDescent="0.25">
      <c r="A317" s="6" t="s">
        <v>6441</v>
      </c>
      <c r="B317" s="6"/>
      <c r="C317" s="6"/>
      <c r="D317" s="6"/>
      <c r="E317" s="6"/>
      <c r="F317" s="6"/>
    </row>
    <row r="318" spans="1:6" x14ac:dyDescent="0.25">
      <c r="A318" t="s">
        <v>4044</v>
      </c>
      <c r="B318" t="s">
        <v>4045</v>
      </c>
      <c r="C318" t="s">
        <v>5</v>
      </c>
      <c r="D318" t="s">
        <v>4046</v>
      </c>
      <c r="E318" t="s">
        <v>4047</v>
      </c>
      <c r="F318" t="s">
        <v>4048</v>
      </c>
    </row>
    <row r="319" spans="1:6" x14ac:dyDescent="0.25">
      <c r="A319" t="s">
        <v>4062</v>
      </c>
      <c r="B319" t="s">
        <v>6442</v>
      </c>
      <c r="C319" t="s">
        <v>63</v>
      </c>
      <c r="D319" s="7">
        <v>1</v>
      </c>
      <c r="E319" s="2">
        <v>127077.5</v>
      </c>
      <c r="F319" s="2">
        <v>127077.5</v>
      </c>
    </row>
    <row r="320" spans="1:6" x14ac:dyDescent="0.25">
      <c r="A320" t="s">
        <v>4062</v>
      </c>
      <c r="B320" t="s">
        <v>4659</v>
      </c>
      <c r="C320" t="s">
        <v>4377</v>
      </c>
      <c r="D320" s="7">
        <v>0.03</v>
      </c>
      <c r="E320" s="2">
        <v>31500</v>
      </c>
      <c r="F320" s="2">
        <v>787.5</v>
      </c>
    </row>
    <row r="321" spans="1:6" x14ac:dyDescent="0.25">
      <c r="A321" t="s">
        <v>4062</v>
      </c>
      <c r="B321" t="s">
        <v>4376</v>
      </c>
      <c r="C321" t="s">
        <v>4377</v>
      </c>
      <c r="D321" s="7">
        <v>0.03</v>
      </c>
      <c r="E321" s="2">
        <v>72237.67</v>
      </c>
      <c r="F321" s="2">
        <v>1805.94</v>
      </c>
    </row>
    <row r="322" spans="1:6" x14ac:dyDescent="0.25">
      <c r="A322" t="s">
        <v>4049</v>
      </c>
      <c r="B322" t="s">
        <v>4241</v>
      </c>
      <c r="C322" t="s">
        <v>4051</v>
      </c>
      <c r="D322" s="7">
        <v>0.4</v>
      </c>
      <c r="E322" s="2">
        <v>9941.22</v>
      </c>
      <c r="F322" s="2">
        <v>3976.49</v>
      </c>
    </row>
    <row r="323" spans="1:6" x14ac:dyDescent="0.25">
      <c r="A323" t="s">
        <v>4049</v>
      </c>
      <c r="B323" t="s">
        <v>4242</v>
      </c>
      <c r="C323" t="s">
        <v>4051</v>
      </c>
      <c r="D323" s="7">
        <v>0.4</v>
      </c>
      <c r="E323" s="2">
        <v>17069.53</v>
      </c>
      <c r="F323" s="2">
        <v>6827.81</v>
      </c>
    </row>
    <row r="324" spans="1:6" x14ac:dyDescent="0.25">
      <c r="A324" t="s">
        <v>4052</v>
      </c>
      <c r="B324" t="s">
        <v>4053</v>
      </c>
      <c r="C324" t="s">
        <v>4054</v>
      </c>
      <c r="D324" s="7">
        <v>3.5</v>
      </c>
      <c r="E324" s="2">
        <v>10804.3</v>
      </c>
      <c r="F324" s="2">
        <v>378.15</v>
      </c>
    </row>
    <row r="325" spans="1:6" x14ac:dyDescent="0.25">
      <c r="A325" t="s">
        <v>4055</v>
      </c>
      <c r="D325" s="7"/>
      <c r="E325" s="2"/>
      <c r="F325" s="2">
        <f>SUBTOTAL(109,A_2_04_32[VALOR PARCIAL])</f>
      </c>
    </row>
    <row r="327" ht="30" customHeight="1" spans="1:6" x14ac:dyDescent="0.25">
      <c r="A327" s="5" t="s">
        <v>6443</v>
      </c>
      <c r="B327" s="5"/>
      <c r="C327" s="5"/>
      <c r="D327" s="5"/>
      <c r="E327" s="5"/>
      <c r="F327" s="5"/>
    </row>
    <row r="328" ht="42" customHeight="1" spans="1:6" x14ac:dyDescent="0.25">
      <c r="A328" s="6" t="s">
        <v>6444</v>
      </c>
      <c r="B328" s="6"/>
      <c r="C328" s="6"/>
      <c r="D328" s="6"/>
      <c r="E328" s="6"/>
      <c r="F328" s="6"/>
    </row>
    <row r="329" spans="1:6" x14ac:dyDescent="0.25">
      <c r="A329" t="s">
        <v>4044</v>
      </c>
      <c r="B329" t="s">
        <v>4045</v>
      </c>
      <c r="C329" t="s">
        <v>5</v>
      </c>
      <c r="D329" t="s">
        <v>4046</v>
      </c>
      <c r="E329" t="s">
        <v>4047</v>
      </c>
      <c r="F329" t="s">
        <v>4048</v>
      </c>
    </row>
    <row r="330" spans="1:6" x14ac:dyDescent="0.25">
      <c r="A330" t="s">
        <v>4062</v>
      </c>
      <c r="B330" t="s">
        <v>6445</v>
      </c>
      <c r="C330" t="s">
        <v>63</v>
      </c>
      <c r="D330" s="7">
        <v>1</v>
      </c>
      <c r="E330" s="2">
        <v>339260.5</v>
      </c>
      <c r="F330" s="2">
        <v>339260.5</v>
      </c>
    </row>
    <row r="331" spans="1:6" x14ac:dyDescent="0.25">
      <c r="A331" t="s">
        <v>4062</v>
      </c>
      <c r="B331" t="s">
        <v>4659</v>
      </c>
      <c r="C331" t="s">
        <v>4377</v>
      </c>
      <c r="D331" s="7">
        <v>0.04</v>
      </c>
      <c r="E331" s="2">
        <v>31500</v>
      </c>
      <c r="F331" s="2">
        <v>1260</v>
      </c>
    </row>
    <row r="332" spans="1:6" x14ac:dyDescent="0.25">
      <c r="A332" t="s">
        <v>4062</v>
      </c>
      <c r="B332" t="s">
        <v>4376</v>
      </c>
      <c r="C332" t="s">
        <v>4377</v>
      </c>
      <c r="D332" s="7">
        <v>0.04</v>
      </c>
      <c r="E332" s="2">
        <v>72237.67</v>
      </c>
      <c r="F332" s="2">
        <v>2889.51</v>
      </c>
    </row>
    <row r="333" spans="1:6" x14ac:dyDescent="0.25">
      <c r="A333" t="s">
        <v>4049</v>
      </c>
      <c r="B333" t="s">
        <v>4241</v>
      </c>
      <c r="C333" t="s">
        <v>4051</v>
      </c>
      <c r="D333" s="7">
        <v>0.4</v>
      </c>
      <c r="E333" s="2">
        <v>9941.22</v>
      </c>
      <c r="F333" s="2">
        <v>3976.49</v>
      </c>
    </row>
    <row r="334" spans="1:6" x14ac:dyDescent="0.25">
      <c r="A334" t="s">
        <v>4049</v>
      </c>
      <c r="B334" t="s">
        <v>4242</v>
      </c>
      <c r="C334" t="s">
        <v>4051</v>
      </c>
      <c r="D334" s="7">
        <v>0.4</v>
      </c>
      <c r="E334" s="2">
        <v>17069.53</v>
      </c>
      <c r="F334" s="2">
        <v>6827.81</v>
      </c>
    </row>
    <row r="335" spans="1:6" x14ac:dyDescent="0.25">
      <c r="A335" t="s">
        <v>4052</v>
      </c>
      <c r="B335" t="s">
        <v>4053</v>
      </c>
      <c r="C335" t="s">
        <v>4054</v>
      </c>
      <c r="D335" s="7">
        <v>3.5</v>
      </c>
      <c r="E335" s="2">
        <v>10804.3</v>
      </c>
      <c r="F335" s="2">
        <v>378.15</v>
      </c>
    </row>
    <row r="336" spans="1:6" x14ac:dyDescent="0.25">
      <c r="A336" t="s">
        <v>4055</v>
      </c>
      <c r="D336" s="7"/>
      <c r="E336" s="2"/>
      <c r="F336" s="2">
        <f>SUBTOTAL(109,A_2_04_33[VALOR PARCIAL])</f>
      </c>
    </row>
    <row r="338" ht="30" customHeight="1" spans="1:6" x14ac:dyDescent="0.25">
      <c r="A338" s="5" t="s">
        <v>6446</v>
      </c>
      <c r="B338" s="5"/>
      <c r="C338" s="5"/>
      <c r="D338" s="5"/>
      <c r="E338" s="5"/>
      <c r="F338" s="5"/>
    </row>
    <row r="339" ht="42" customHeight="1" spans="1:6" x14ac:dyDescent="0.25">
      <c r="A339" s="6" t="s">
        <v>6447</v>
      </c>
      <c r="B339" s="6"/>
      <c r="C339" s="6"/>
      <c r="D339" s="6"/>
      <c r="E339" s="6"/>
      <c r="F339" s="6"/>
    </row>
    <row r="340" spans="1:6" x14ac:dyDescent="0.25">
      <c r="A340" t="s">
        <v>4044</v>
      </c>
      <c r="B340" t="s">
        <v>4045</v>
      </c>
      <c r="C340" t="s">
        <v>5</v>
      </c>
      <c r="D340" t="s">
        <v>4046</v>
      </c>
      <c r="E340" t="s">
        <v>4047</v>
      </c>
      <c r="F340" t="s">
        <v>4048</v>
      </c>
    </row>
    <row r="341" spans="1:6" x14ac:dyDescent="0.25">
      <c r="A341" t="s">
        <v>4062</v>
      </c>
      <c r="B341" t="s">
        <v>6448</v>
      </c>
      <c r="C341" t="s">
        <v>63</v>
      </c>
      <c r="D341" s="7">
        <v>1.02</v>
      </c>
      <c r="E341" s="2">
        <v>807578.5</v>
      </c>
      <c r="F341" s="2">
        <v>823730.07</v>
      </c>
    </row>
    <row r="342" spans="1:6" x14ac:dyDescent="0.25">
      <c r="A342" t="s">
        <v>4062</v>
      </c>
      <c r="B342" t="s">
        <v>4659</v>
      </c>
      <c r="C342" t="s">
        <v>4377</v>
      </c>
      <c r="D342" s="7">
        <v>0.06</v>
      </c>
      <c r="E342" s="2">
        <v>31500</v>
      </c>
      <c r="F342" s="2">
        <v>1890</v>
      </c>
    </row>
    <row r="343" spans="1:6" x14ac:dyDescent="0.25">
      <c r="A343" t="s">
        <v>4062</v>
      </c>
      <c r="B343" t="s">
        <v>4376</v>
      </c>
      <c r="C343" t="s">
        <v>4377</v>
      </c>
      <c r="D343" s="7">
        <v>0.06</v>
      </c>
      <c r="E343" s="2">
        <v>72237.67</v>
      </c>
      <c r="F343" s="2">
        <v>4334.26</v>
      </c>
    </row>
    <row r="344" spans="1:6" x14ac:dyDescent="0.25">
      <c r="A344" t="s">
        <v>4049</v>
      </c>
      <c r="B344" t="s">
        <v>4241</v>
      </c>
      <c r="C344" t="s">
        <v>4051</v>
      </c>
      <c r="D344" s="7">
        <v>0.4</v>
      </c>
      <c r="E344" s="2">
        <v>9941.22</v>
      </c>
      <c r="F344" s="2">
        <v>3976.49</v>
      </c>
    </row>
    <row r="345" spans="1:6" x14ac:dyDescent="0.25">
      <c r="A345" t="s">
        <v>4049</v>
      </c>
      <c r="B345" t="s">
        <v>4242</v>
      </c>
      <c r="C345" t="s">
        <v>4051</v>
      </c>
      <c r="D345" s="7">
        <v>0.4</v>
      </c>
      <c r="E345" s="2">
        <v>17069.53</v>
      </c>
      <c r="F345" s="2">
        <v>6827.81</v>
      </c>
    </row>
    <row r="346" spans="1:6" x14ac:dyDescent="0.25">
      <c r="A346" t="s">
        <v>4052</v>
      </c>
      <c r="B346" t="s">
        <v>4053</v>
      </c>
      <c r="C346" t="s">
        <v>4054</v>
      </c>
      <c r="D346" s="7">
        <v>3.5</v>
      </c>
      <c r="E346" s="2">
        <v>10804.3</v>
      </c>
      <c r="F346" s="2">
        <v>378.15</v>
      </c>
    </row>
    <row r="347" spans="1:6" x14ac:dyDescent="0.25">
      <c r="A347" t="s">
        <v>4055</v>
      </c>
      <c r="D347" s="7"/>
      <c r="E347" s="2"/>
      <c r="F347" s="2">
        <f>SUBTOTAL(109,A_2_04_34[VALOR PARCIAL])</f>
      </c>
    </row>
    <row r="349" ht="30" customHeight="1" spans="1:6" x14ac:dyDescent="0.25">
      <c r="A349" s="5" t="s">
        <v>6449</v>
      </c>
      <c r="B349" s="5"/>
      <c r="C349" s="5"/>
      <c r="D349" s="5"/>
      <c r="E349" s="5"/>
      <c r="F349" s="5"/>
    </row>
    <row r="350" ht="42" customHeight="1" spans="1:6" x14ac:dyDescent="0.25">
      <c r="A350" s="6" t="s">
        <v>6450</v>
      </c>
      <c r="B350" s="6"/>
      <c r="C350" s="6"/>
      <c r="D350" s="6"/>
      <c r="E350" s="6"/>
      <c r="F350" s="6"/>
    </row>
    <row r="351" spans="1:6" x14ac:dyDescent="0.25">
      <c r="A351" t="s">
        <v>4044</v>
      </c>
      <c r="B351" t="s">
        <v>4045</v>
      </c>
      <c r="C351" t="s">
        <v>5</v>
      </c>
      <c r="D351" t="s">
        <v>4046</v>
      </c>
      <c r="E351" t="s">
        <v>4047</v>
      </c>
      <c r="F351" t="s">
        <v>4048</v>
      </c>
    </row>
    <row r="352" spans="1:6" x14ac:dyDescent="0.25">
      <c r="A352" t="s">
        <v>4062</v>
      </c>
      <c r="B352" t="s">
        <v>6451</v>
      </c>
      <c r="C352" t="s">
        <v>63</v>
      </c>
      <c r="D352" s="7">
        <v>1</v>
      </c>
      <c r="E352" s="2">
        <v>121777</v>
      </c>
      <c r="F352" s="2">
        <v>121777</v>
      </c>
    </row>
    <row r="353" spans="1:6" x14ac:dyDescent="0.25">
      <c r="A353" t="s">
        <v>4062</v>
      </c>
      <c r="B353" t="s">
        <v>6166</v>
      </c>
      <c r="C353" t="s">
        <v>63</v>
      </c>
      <c r="D353" s="7">
        <v>0.03</v>
      </c>
      <c r="E353" s="2">
        <v>19750</v>
      </c>
      <c r="F353" s="2">
        <v>592.5</v>
      </c>
    </row>
    <row r="354" spans="1:6" x14ac:dyDescent="0.25">
      <c r="A354" t="s">
        <v>4049</v>
      </c>
      <c r="B354" t="s">
        <v>4241</v>
      </c>
      <c r="C354" t="s">
        <v>4051</v>
      </c>
      <c r="D354" s="7">
        <v>0.15</v>
      </c>
      <c r="E354" s="2">
        <v>9941.22</v>
      </c>
      <c r="F354" s="2">
        <v>1491.18</v>
      </c>
    </row>
    <row r="355" spans="1:6" x14ac:dyDescent="0.25">
      <c r="A355" t="s">
        <v>4049</v>
      </c>
      <c r="B355" t="s">
        <v>4242</v>
      </c>
      <c r="C355" t="s">
        <v>4051</v>
      </c>
      <c r="D355" s="7">
        <v>0.15</v>
      </c>
      <c r="E355" s="2">
        <v>17069.53</v>
      </c>
      <c r="F355" s="2">
        <v>2560.43</v>
      </c>
    </row>
    <row r="356" spans="1:6" x14ac:dyDescent="0.25">
      <c r="A356" t="s">
        <v>4052</v>
      </c>
      <c r="B356" t="s">
        <v>4053</v>
      </c>
      <c r="C356" t="s">
        <v>4054</v>
      </c>
      <c r="D356" s="7">
        <v>3.5</v>
      </c>
      <c r="E356" s="2">
        <v>4051.61</v>
      </c>
      <c r="F356" s="2">
        <v>141.81</v>
      </c>
    </row>
    <row r="357" spans="1:6" x14ac:dyDescent="0.25">
      <c r="A357" t="s">
        <v>4055</v>
      </c>
      <c r="D357" s="7"/>
      <c r="E357" s="2"/>
      <c r="F357" s="2">
        <f>SUBTOTAL(109,A_2_04_35[VALOR PARCIAL])</f>
      </c>
    </row>
    <row r="359" ht="30" customHeight="1" spans="1:6" x14ac:dyDescent="0.25">
      <c r="A359" s="5" t="s">
        <v>6452</v>
      </c>
      <c r="B359" s="5"/>
      <c r="C359" s="5"/>
      <c r="D359" s="5"/>
      <c r="E359" s="5"/>
      <c r="F359" s="5"/>
    </row>
    <row r="360" ht="42" customHeight="1" spans="1:6" x14ac:dyDescent="0.25">
      <c r="A360" s="6" t="s">
        <v>6453</v>
      </c>
      <c r="B360" s="6"/>
      <c r="C360" s="6"/>
      <c r="D360" s="6"/>
      <c r="E360" s="6"/>
      <c r="F360" s="6"/>
    </row>
    <row r="361" spans="1:6" x14ac:dyDescent="0.25">
      <c r="A361" t="s">
        <v>4044</v>
      </c>
      <c r="B361" t="s">
        <v>4045</v>
      </c>
      <c r="C361" t="s">
        <v>5</v>
      </c>
      <c r="D361" t="s">
        <v>4046</v>
      </c>
      <c r="E361" t="s">
        <v>4047</v>
      </c>
      <c r="F361" t="s">
        <v>4048</v>
      </c>
    </row>
    <row r="362" spans="1:6" x14ac:dyDescent="0.25">
      <c r="A362" t="s">
        <v>4062</v>
      </c>
      <c r="B362" t="s">
        <v>6454</v>
      </c>
      <c r="C362" t="s">
        <v>63</v>
      </c>
      <c r="D362" s="7">
        <v>1</v>
      </c>
      <c r="E362" s="2">
        <v>207352</v>
      </c>
      <c r="F362" s="2">
        <v>207352</v>
      </c>
    </row>
    <row r="363" spans="1:6" x14ac:dyDescent="0.25">
      <c r="A363" t="s">
        <v>4062</v>
      </c>
      <c r="B363" t="s">
        <v>6166</v>
      </c>
      <c r="C363" t="s">
        <v>63</v>
      </c>
      <c r="D363" s="7">
        <v>0.02</v>
      </c>
      <c r="E363" s="2">
        <v>19750</v>
      </c>
      <c r="F363" s="2">
        <v>395</v>
      </c>
    </row>
    <row r="364" spans="1:6" x14ac:dyDescent="0.25">
      <c r="A364" t="s">
        <v>4049</v>
      </c>
      <c r="B364" t="s">
        <v>4241</v>
      </c>
      <c r="C364" t="s">
        <v>4051</v>
      </c>
      <c r="D364" s="7">
        <v>0.25</v>
      </c>
      <c r="E364" s="2">
        <v>9941.22</v>
      </c>
      <c r="F364" s="2">
        <v>2485.3</v>
      </c>
    </row>
    <row r="365" spans="1:6" x14ac:dyDescent="0.25">
      <c r="A365" t="s">
        <v>4049</v>
      </c>
      <c r="B365" t="s">
        <v>4242</v>
      </c>
      <c r="C365" t="s">
        <v>4051</v>
      </c>
      <c r="D365" s="7">
        <v>0.25</v>
      </c>
      <c r="E365" s="2">
        <v>17069.53</v>
      </c>
      <c r="F365" s="2">
        <v>4267.38</v>
      </c>
    </row>
    <row r="366" spans="1:6" x14ac:dyDescent="0.25">
      <c r="A366" t="s">
        <v>4052</v>
      </c>
      <c r="B366" t="s">
        <v>4053</v>
      </c>
      <c r="C366" t="s">
        <v>4054</v>
      </c>
      <c r="D366" s="7">
        <v>3.5</v>
      </c>
      <c r="E366" s="2">
        <v>6752.68</v>
      </c>
      <c r="F366" s="2">
        <v>236.34</v>
      </c>
    </row>
    <row r="367" spans="1:6" x14ac:dyDescent="0.25">
      <c r="A367" t="s">
        <v>4055</v>
      </c>
      <c r="D367" s="7"/>
      <c r="E367" s="2"/>
      <c r="F367" s="2">
        <f>SUBTOTAL(109,A_2_04_36[VALOR PARCIAL])</f>
      </c>
    </row>
    <row r="369" ht="30" customHeight="1" spans="1:6" x14ac:dyDescent="0.25">
      <c r="A369" s="5" t="s">
        <v>6455</v>
      </c>
      <c r="B369" s="5"/>
      <c r="C369" s="5"/>
      <c r="D369" s="5"/>
      <c r="E369" s="5"/>
      <c r="F369" s="5"/>
    </row>
    <row r="370" ht="42" customHeight="1" spans="1:6" x14ac:dyDescent="0.25">
      <c r="A370" s="6" t="s">
        <v>6456</v>
      </c>
      <c r="B370" s="6"/>
      <c r="C370" s="6"/>
      <c r="D370" s="6"/>
      <c r="E370" s="6"/>
      <c r="F370" s="6"/>
    </row>
    <row r="371" spans="1:6" x14ac:dyDescent="0.25">
      <c r="A371" t="s">
        <v>4044</v>
      </c>
      <c r="B371" t="s">
        <v>4045</v>
      </c>
      <c r="C371" t="s">
        <v>5</v>
      </c>
      <c r="D371" t="s">
        <v>4046</v>
      </c>
      <c r="E371" t="s">
        <v>4047</v>
      </c>
      <c r="F371" t="s">
        <v>4048</v>
      </c>
    </row>
    <row r="372" spans="1:6" x14ac:dyDescent="0.25">
      <c r="A372" t="s">
        <v>4062</v>
      </c>
      <c r="B372" t="s">
        <v>6457</v>
      </c>
      <c r="C372" t="s">
        <v>63</v>
      </c>
      <c r="D372" s="7">
        <v>1</v>
      </c>
      <c r="E372" s="2">
        <v>381916.61</v>
      </c>
      <c r="F372" s="2">
        <v>381916.61</v>
      </c>
    </row>
    <row r="373" spans="1:6" x14ac:dyDescent="0.25">
      <c r="A373" t="s">
        <v>4062</v>
      </c>
      <c r="B373" t="s">
        <v>6166</v>
      </c>
      <c r="C373" t="s">
        <v>63</v>
      </c>
      <c r="D373" s="7">
        <v>0.02</v>
      </c>
      <c r="E373" s="2">
        <v>19750</v>
      </c>
      <c r="F373" s="2">
        <v>395</v>
      </c>
    </row>
    <row r="374" spans="1:6" x14ac:dyDescent="0.25">
      <c r="A374" t="s">
        <v>4049</v>
      </c>
      <c r="B374" t="s">
        <v>4241</v>
      </c>
      <c r="C374" t="s">
        <v>4051</v>
      </c>
      <c r="D374" s="7">
        <v>0.25</v>
      </c>
      <c r="E374" s="2">
        <v>9941.22</v>
      </c>
      <c r="F374" s="2">
        <v>2485.3</v>
      </c>
    </row>
    <row r="375" spans="1:6" x14ac:dyDescent="0.25">
      <c r="A375" t="s">
        <v>4049</v>
      </c>
      <c r="B375" t="s">
        <v>4242</v>
      </c>
      <c r="C375" t="s">
        <v>4051</v>
      </c>
      <c r="D375" s="7">
        <v>0.25</v>
      </c>
      <c r="E375" s="2">
        <v>17069.53</v>
      </c>
      <c r="F375" s="2">
        <v>4267.38</v>
      </c>
    </row>
    <row r="376" spans="1:6" x14ac:dyDescent="0.25">
      <c r="A376" t="s">
        <v>4052</v>
      </c>
      <c r="B376" t="s">
        <v>4053</v>
      </c>
      <c r="C376" t="s">
        <v>4054</v>
      </c>
      <c r="D376" s="7">
        <v>3.5</v>
      </c>
      <c r="E376" s="2">
        <v>6752.68</v>
      </c>
      <c r="F376" s="2">
        <v>236.34</v>
      </c>
    </row>
    <row r="377" spans="1:6" x14ac:dyDescent="0.25">
      <c r="A377" t="s">
        <v>4055</v>
      </c>
      <c r="D377" s="7"/>
      <c r="E377" s="2"/>
      <c r="F377" s="2">
        <f>SUBTOTAL(109,A_2_04_37[VALOR PARCIAL])</f>
      </c>
    </row>
    <row r="379" ht="30" customHeight="1" spans="1:6" x14ac:dyDescent="0.25">
      <c r="A379" s="5" t="s">
        <v>6458</v>
      </c>
      <c r="B379" s="5"/>
      <c r="C379" s="5"/>
      <c r="D379" s="5"/>
      <c r="E379" s="5"/>
      <c r="F379" s="5"/>
    </row>
    <row r="380" ht="42" customHeight="1" spans="1:6" x14ac:dyDescent="0.25">
      <c r="A380" s="6" t="s">
        <v>6459</v>
      </c>
      <c r="B380" s="6"/>
      <c r="C380" s="6"/>
      <c r="D380" s="6"/>
      <c r="E380" s="6"/>
      <c r="F380" s="6"/>
    </row>
    <row r="381" spans="1:6" x14ac:dyDescent="0.25">
      <c r="A381" t="s">
        <v>4044</v>
      </c>
      <c r="B381" t="s">
        <v>4045</v>
      </c>
      <c r="C381" t="s">
        <v>5</v>
      </c>
      <c r="D381" t="s">
        <v>4046</v>
      </c>
      <c r="E381" t="s">
        <v>4047</v>
      </c>
      <c r="F381" t="s">
        <v>4048</v>
      </c>
    </row>
    <row r="382" spans="1:6" x14ac:dyDescent="0.25">
      <c r="A382" t="s">
        <v>4062</v>
      </c>
      <c r="B382" t="s">
        <v>6460</v>
      </c>
      <c r="C382" t="s">
        <v>63</v>
      </c>
      <c r="D382" s="7">
        <v>1</v>
      </c>
      <c r="E382" s="2">
        <v>744560</v>
      </c>
      <c r="F382" s="2">
        <v>744560</v>
      </c>
    </row>
    <row r="383" spans="1:6" x14ac:dyDescent="0.25">
      <c r="A383" t="s">
        <v>4062</v>
      </c>
      <c r="B383" t="s">
        <v>6166</v>
      </c>
      <c r="C383" t="s">
        <v>63</v>
      </c>
      <c r="D383" s="7">
        <v>0.02</v>
      </c>
      <c r="E383" s="2">
        <v>19750</v>
      </c>
      <c r="F383" s="2">
        <v>395</v>
      </c>
    </row>
    <row r="384" spans="1:6" x14ac:dyDescent="0.25">
      <c r="A384" t="s">
        <v>4049</v>
      </c>
      <c r="B384" t="s">
        <v>4241</v>
      </c>
      <c r="C384" t="s">
        <v>4051</v>
      </c>
      <c r="D384" s="7">
        <v>0.25</v>
      </c>
      <c r="E384" s="2">
        <v>9941.22</v>
      </c>
      <c r="F384" s="2">
        <v>2485.3</v>
      </c>
    </row>
    <row r="385" spans="1:6" x14ac:dyDescent="0.25">
      <c r="A385" t="s">
        <v>4049</v>
      </c>
      <c r="B385" t="s">
        <v>4242</v>
      </c>
      <c r="C385" t="s">
        <v>4051</v>
      </c>
      <c r="D385" s="7">
        <v>0.25</v>
      </c>
      <c r="E385" s="2">
        <v>17069.53</v>
      </c>
      <c r="F385" s="2">
        <v>4267.38</v>
      </c>
    </row>
    <row r="386" spans="1:6" x14ac:dyDescent="0.25">
      <c r="A386" t="s">
        <v>4052</v>
      </c>
      <c r="B386" t="s">
        <v>4053</v>
      </c>
      <c r="C386" t="s">
        <v>4054</v>
      </c>
      <c r="D386" s="7">
        <v>3.5</v>
      </c>
      <c r="E386" s="2">
        <v>6752.68</v>
      </c>
      <c r="F386" s="2">
        <v>236.34</v>
      </c>
    </row>
    <row r="387" spans="1:6" x14ac:dyDescent="0.25">
      <c r="A387" t="s">
        <v>4055</v>
      </c>
      <c r="D387" s="7"/>
      <c r="E387" s="2"/>
      <c r="F387" s="2">
        <f>SUBTOTAL(109,A_2_04_38[VALOR PARCIAL])</f>
      </c>
    </row>
    <row r="389" ht="30" customHeight="1" spans="1:6" x14ac:dyDescent="0.25">
      <c r="A389" s="5" t="s">
        <v>6461</v>
      </c>
      <c r="B389" s="5"/>
      <c r="C389" s="5"/>
      <c r="D389" s="5"/>
      <c r="E389" s="5"/>
      <c r="F389" s="5"/>
    </row>
    <row r="390" ht="42" customHeight="1" spans="1:6" x14ac:dyDescent="0.25">
      <c r="A390" s="6" t="s">
        <v>6462</v>
      </c>
      <c r="B390" s="6"/>
      <c r="C390" s="6"/>
      <c r="D390" s="6"/>
      <c r="E390" s="6"/>
      <c r="F390" s="6"/>
    </row>
    <row r="391" spans="1:6" x14ac:dyDescent="0.25">
      <c r="A391" t="s">
        <v>4044</v>
      </c>
      <c r="B391" t="s">
        <v>4045</v>
      </c>
      <c r="C391" t="s">
        <v>5</v>
      </c>
      <c r="D391" t="s">
        <v>4046</v>
      </c>
      <c r="E391" t="s">
        <v>4047</v>
      </c>
      <c r="F391" t="s">
        <v>4048</v>
      </c>
    </row>
    <row r="392" spans="1:6" x14ac:dyDescent="0.25">
      <c r="A392" t="s">
        <v>4062</v>
      </c>
      <c r="B392" t="s">
        <v>6463</v>
      </c>
      <c r="C392" t="s">
        <v>63</v>
      </c>
      <c r="D392" s="7">
        <v>1</v>
      </c>
      <c r="E392" s="2">
        <v>9455.8</v>
      </c>
      <c r="F392" s="2">
        <v>9455.8</v>
      </c>
    </row>
    <row r="393" spans="1:6" x14ac:dyDescent="0.25">
      <c r="A393" t="s">
        <v>4049</v>
      </c>
      <c r="B393" t="s">
        <v>4241</v>
      </c>
      <c r="C393" t="s">
        <v>4051</v>
      </c>
      <c r="D393" s="7">
        <v>0.17</v>
      </c>
      <c r="E393" s="2">
        <v>9941.22</v>
      </c>
      <c r="F393" s="2">
        <v>1657.2</v>
      </c>
    </row>
    <row r="394" spans="1:6" x14ac:dyDescent="0.25">
      <c r="A394" t="s">
        <v>4049</v>
      </c>
      <c r="B394" t="s">
        <v>4242</v>
      </c>
      <c r="C394" t="s">
        <v>4051</v>
      </c>
      <c r="D394" s="7">
        <v>0.17</v>
      </c>
      <c r="E394" s="2">
        <v>17069.53</v>
      </c>
      <c r="F394" s="2">
        <v>2845.49</v>
      </c>
    </row>
    <row r="395" spans="1:6" x14ac:dyDescent="0.25">
      <c r="A395" t="s">
        <v>4052</v>
      </c>
      <c r="B395" t="s">
        <v>4053</v>
      </c>
      <c r="C395" t="s">
        <v>4054</v>
      </c>
      <c r="D395" s="7">
        <v>5</v>
      </c>
      <c r="E395" s="2">
        <v>4502.69</v>
      </c>
      <c r="F395" s="2">
        <v>225.13</v>
      </c>
    </row>
    <row r="396" spans="1:6" x14ac:dyDescent="0.25">
      <c r="A396" t="s">
        <v>4055</v>
      </c>
      <c r="D396" s="7"/>
      <c r="E396" s="2"/>
      <c r="F396" s="2">
        <f>SUBTOTAL(109,A_2_04_39[VALOR PARCIAL])</f>
      </c>
    </row>
    <row r="398" ht="30" customHeight="1" spans="1:6" x14ac:dyDescent="0.25">
      <c r="A398" s="5" t="s">
        <v>6464</v>
      </c>
      <c r="B398" s="5"/>
      <c r="C398" s="5"/>
      <c r="D398" s="5"/>
      <c r="E398" s="5"/>
      <c r="F398" s="5"/>
    </row>
    <row r="399" ht="42" customHeight="1" spans="1:6" x14ac:dyDescent="0.25">
      <c r="A399" s="6" t="s">
        <v>6465</v>
      </c>
      <c r="B399" s="6"/>
      <c r="C399" s="6"/>
      <c r="D399" s="6"/>
      <c r="E399" s="6"/>
      <c r="F399" s="6"/>
    </row>
    <row r="400" spans="1:6" x14ac:dyDescent="0.25">
      <c r="A400" t="s">
        <v>4044</v>
      </c>
      <c r="B400" t="s">
        <v>4045</v>
      </c>
      <c r="C400" t="s">
        <v>5</v>
      </c>
      <c r="D400" t="s">
        <v>4046</v>
      </c>
      <c r="E400" t="s">
        <v>4047</v>
      </c>
      <c r="F400" t="s">
        <v>4048</v>
      </c>
    </row>
    <row r="401" spans="1:6" x14ac:dyDescent="0.25">
      <c r="A401" t="s">
        <v>4062</v>
      </c>
      <c r="B401" t="s">
        <v>6466</v>
      </c>
      <c r="C401" t="s">
        <v>63</v>
      </c>
      <c r="D401" s="7">
        <v>1</v>
      </c>
      <c r="E401" s="2">
        <v>9054.49</v>
      </c>
      <c r="F401" s="2">
        <v>9054.49</v>
      </c>
    </row>
    <row r="402" spans="1:6" x14ac:dyDescent="0.25">
      <c r="A402" t="s">
        <v>4049</v>
      </c>
      <c r="B402" t="s">
        <v>4241</v>
      </c>
      <c r="C402" t="s">
        <v>4051</v>
      </c>
      <c r="D402" s="7">
        <v>0.17</v>
      </c>
      <c r="E402" s="2">
        <v>9941.22</v>
      </c>
      <c r="F402" s="2">
        <v>1657.2</v>
      </c>
    </row>
    <row r="403" spans="1:6" x14ac:dyDescent="0.25">
      <c r="A403" t="s">
        <v>4049</v>
      </c>
      <c r="B403" t="s">
        <v>4242</v>
      </c>
      <c r="C403" t="s">
        <v>4051</v>
      </c>
      <c r="D403" s="7">
        <v>0.17</v>
      </c>
      <c r="E403" s="2">
        <v>17069.53</v>
      </c>
      <c r="F403" s="2">
        <v>2845.49</v>
      </c>
    </row>
    <row r="404" spans="1:6" x14ac:dyDescent="0.25">
      <c r="A404" t="s">
        <v>4052</v>
      </c>
      <c r="B404" t="s">
        <v>4053</v>
      </c>
      <c r="C404" t="s">
        <v>4054</v>
      </c>
      <c r="D404" s="7">
        <v>5</v>
      </c>
      <c r="E404" s="2">
        <v>4502.69</v>
      </c>
      <c r="F404" s="2">
        <v>225.13</v>
      </c>
    </row>
    <row r="405" spans="1:6" x14ac:dyDescent="0.25">
      <c r="A405" t="s">
        <v>4055</v>
      </c>
      <c r="D405" s="7"/>
      <c r="E405" s="2"/>
      <c r="F405" s="2">
        <f>SUBTOTAL(109,A_2_04_40[VALOR PARCIAL])</f>
      </c>
    </row>
    <row r="407" ht="30" customHeight="1" spans="1:6" x14ac:dyDescent="0.25">
      <c r="A407" s="5" t="s">
        <v>6467</v>
      </c>
      <c r="B407" s="5"/>
      <c r="C407" s="5"/>
      <c r="D407" s="5"/>
      <c r="E407" s="5"/>
      <c r="F407" s="5"/>
    </row>
    <row r="408" ht="42" customHeight="1" spans="1:6" x14ac:dyDescent="0.25">
      <c r="A408" s="6" t="s">
        <v>6468</v>
      </c>
      <c r="B408" s="6"/>
      <c r="C408" s="6"/>
      <c r="D408" s="6"/>
      <c r="E408" s="6"/>
      <c r="F408" s="6"/>
    </row>
    <row r="409" spans="1:6" x14ac:dyDescent="0.25">
      <c r="A409" t="s">
        <v>4044</v>
      </c>
      <c r="B409" t="s">
        <v>4045</v>
      </c>
      <c r="C409" t="s">
        <v>5</v>
      </c>
      <c r="D409" t="s">
        <v>4046</v>
      </c>
      <c r="E409" t="s">
        <v>4047</v>
      </c>
      <c r="F409" t="s">
        <v>4048</v>
      </c>
    </row>
    <row r="410" spans="1:6" x14ac:dyDescent="0.25">
      <c r="A410" t="s">
        <v>4062</v>
      </c>
      <c r="B410" t="s">
        <v>4789</v>
      </c>
      <c r="C410" t="s">
        <v>63</v>
      </c>
      <c r="D410" s="7">
        <v>1</v>
      </c>
      <c r="E410" s="2">
        <v>10300</v>
      </c>
      <c r="F410" s="2">
        <v>10300</v>
      </c>
    </row>
    <row r="411" spans="1:6" x14ac:dyDescent="0.25">
      <c r="A411" t="s">
        <v>4049</v>
      </c>
      <c r="B411" t="s">
        <v>4241</v>
      </c>
      <c r="C411" t="s">
        <v>4051</v>
      </c>
      <c r="D411" s="7">
        <v>0.17</v>
      </c>
      <c r="E411" s="2">
        <v>9941.22</v>
      </c>
      <c r="F411" s="2">
        <v>1657.2</v>
      </c>
    </row>
    <row r="412" spans="1:6" x14ac:dyDescent="0.25">
      <c r="A412" t="s">
        <v>4049</v>
      </c>
      <c r="B412" t="s">
        <v>4242</v>
      </c>
      <c r="C412" t="s">
        <v>4051</v>
      </c>
      <c r="D412" s="7">
        <v>0.17</v>
      </c>
      <c r="E412" s="2">
        <v>17069.53</v>
      </c>
      <c r="F412" s="2">
        <v>2845.49</v>
      </c>
    </row>
    <row r="413" spans="1:6" x14ac:dyDescent="0.25">
      <c r="A413" t="s">
        <v>4052</v>
      </c>
      <c r="B413" t="s">
        <v>4053</v>
      </c>
      <c r="C413" t="s">
        <v>4054</v>
      </c>
      <c r="D413" s="7">
        <v>5</v>
      </c>
      <c r="E413" s="2">
        <v>4502.69</v>
      </c>
      <c r="F413" s="2">
        <v>225.13</v>
      </c>
    </row>
    <row r="414" spans="1:6" x14ac:dyDescent="0.25">
      <c r="A414" t="s">
        <v>4055</v>
      </c>
      <c r="D414" s="7"/>
      <c r="E414" s="2"/>
      <c r="F414" s="2">
        <f>SUBTOTAL(109,A_2_04_41[VALOR PARCIAL])</f>
      </c>
    </row>
    <row r="416" ht="30" customHeight="1" spans="1:6" x14ac:dyDescent="0.25">
      <c r="A416" s="5" t="s">
        <v>6469</v>
      </c>
      <c r="B416" s="5"/>
      <c r="C416" s="5"/>
      <c r="D416" s="5"/>
      <c r="E416" s="5"/>
      <c r="F416" s="5"/>
    </row>
    <row r="417" ht="42" customHeight="1" spans="1:6" x14ac:dyDescent="0.25">
      <c r="A417" s="6" t="s">
        <v>6470</v>
      </c>
      <c r="B417" s="6"/>
      <c r="C417" s="6"/>
      <c r="D417" s="6"/>
      <c r="E417" s="6"/>
      <c r="F417" s="6"/>
    </row>
    <row r="418" spans="1:6" x14ac:dyDescent="0.25">
      <c r="A418" t="s">
        <v>4044</v>
      </c>
      <c r="B418" t="s">
        <v>4045</v>
      </c>
      <c r="C418" t="s">
        <v>5</v>
      </c>
      <c r="D418" t="s">
        <v>4046</v>
      </c>
      <c r="E418" t="s">
        <v>4047</v>
      </c>
      <c r="F418" t="s">
        <v>4048</v>
      </c>
    </row>
    <row r="419" spans="1:6" x14ac:dyDescent="0.25">
      <c r="A419" t="s">
        <v>4062</v>
      </c>
      <c r="B419" t="s">
        <v>4781</v>
      </c>
      <c r="C419" t="s">
        <v>63</v>
      </c>
      <c r="D419" s="7">
        <v>1</v>
      </c>
      <c r="E419" s="2">
        <v>7783</v>
      </c>
      <c r="F419" s="2">
        <v>7783</v>
      </c>
    </row>
    <row r="420" spans="1:6" x14ac:dyDescent="0.25">
      <c r="A420" t="s">
        <v>4049</v>
      </c>
      <c r="B420" t="s">
        <v>4241</v>
      </c>
      <c r="C420" t="s">
        <v>4051</v>
      </c>
      <c r="D420" s="7">
        <v>0.17</v>
      </c>
      <c r="E420" s="2">
        <v>9941.22</v>
      </c>
      <c r="F420" s="2">
        <v>1657.2</v>
      </c>
    </row>
    <row r="421" spans="1:6" x14ac:dyDescent="0.25">
      <c r="A421" t="s">
        <v>4049</v>
      </c>
      <c r="B421" t="s">
        <v>4242</v>
      </c>
      <c r="C421" t="s">
        <v>4051</v>
      </c>
      <c r="D421" s="7">
        <v>0.17</v>
      </c>
      <c r="E421" s="2">
        <v>17069.53</v>
      </c>
      <c r="F421" s="2">
        <v>2845.49</v>
      </c>
    </row>
    <row r="422" spans="1:6" x14ac:dyDescent="0.25">
      <c r="A422" t="s">
        <v>4052</v>
      </c>
      <c r="B422" t="s">
        <v>4053</v>
      </c>
      <c r="C422" t="s">
        <v>4054</v>
      </c>
      <c r="D422" s="7">
        <v>5</v>
      </c>
      <c r="E422" s="2">
        <v>4502.69</v>
      </c>
      <c r="F422" s="2">
        <v>225.13</v>
      </c>
    </row>
    <row r="423" spans="1:6" x14ac:dyDescent="0.25">
      <c r="A423" t="s">
        <v>4055</v>
      </c>
      <c r="D423" s="7"/>
      <c r="E423" s="2"/>
      <c r="F423" s="2">
        <f>SUBTOTAL(109,A_2_04_42[VALOR PARCIAL])</f>
      </c>
    </row>
    <row r="425" ht="30" customHeight="1" spans="1:6" x14ac:dyDescent="0.25">
      <c r="A425" s="5" t="s">
        <v>6471</v>
      </c>
      <c r="B425" s="5"/>
      <c r="C425" s="5"/>
      <c r="D425" s="5"/>
      <c r="E425" s="5"/>
      <c r="F425" s="5"/>
    </row>
    <row r="426" ht="42" customHeight="1" spans="1:6" x14ac:dyDescent="0.25">
      <c r="A426" s="6" t="s">
        <v>6472</v>
      </c>
      <c r="B426" s="6"/>
      <c r="C426" s="6"/>
      <c r="D426" s="6"/>
      <c r="E426" s="6"/>
      <c r="F426" s="6"/>
    </row>
    <row r="427" spans="1:6" x14ac:dyDescent="0.25">
      <c r="A427" t="s">
        <v>4044</v>
      </c>
      <c r="B427" t="s">
        <v>4045</v>
      </c>
      <c r="C427" t="s">
        <v>5</v>
      </c>
      <c r="D427" t="s">
        <v>4046</v>
      </c>
      <c r="E427" t="s">
        <v>4047</v>
      </c>
      <c r="F427" t="s">
        <v>4048</v>
      </c>
    </row>
    <row r="428" spans="1:6" x14ac:dyDescent="0.25">
      <c r="A428" t="s">
        <v>4062</v>
      </c>
      <c r="B428" t="s">
        <v>4799</v>
      </c>
      <c r="C428" t="s">
        <v>63</v>
      </c>
      <c r="D428" s="7">
        <v>1</v>
      </c>
      <c r="E428" s="2">
        <v>13414.67</v>
      </c>
      <c r="F428" s="2">
        <v>13414.67</v>
      </c>
    </row>
    <row r="429" spans="1:6" x14ac:dyDescent="0.25">
      <c r="A429" t="s">
        <v>4049</v>
      </c>
      <c r="B429" t="s">
        <v>4241</v>
      </c>
      <c r="C429" t="s">
        <v>4051</v>
      </c>
      <c r="D429" s="7">
        <v>0.17</v>
      </c>
      <c r="E429" s="2">
        <v>9941.22</v>
      </c>
      <c r="F429" s="2">
        <v>1657.2</v>
      </c>
    </row>
    <row r="430" spans="1:6" x14ac:dyDescent="0.25">
      <c r="A430" t="s">
        <v>4049</v>
      </c>
      <c r="B430" t="s">
        <v>4242</v>
      </c>
      <c r="C430" t="s">
        <v>4051</v>
      </c>
      <c r="D430" s="7">
        <v>0.17</v>
      </c>
      <c r="E430" s="2">
        <v>17069.53</v>
      </c>
      <c r="F430" s="2">
        <v>2845.49</v>
      </c>
    </row>
    <row r="431" spans="1:6" x14ac:dyDescent="0.25">
      <c r="A431" t="s">
        <v>4052</v>
      </c>
      <c r="B431" t="s">
        <v>4053</v>
      </c>
      <c r="C431" t="s">
        <v>4054</v>
      </c>
      <c r="D431" s="7">
        <v>5</v>
      </c>
      <c r="E431" s="2">
        <v>4502.69</v>
      </c>
      <c r="F431" s="2">
        <v>225.13</v>
      </c>
    </row>
    <row r="432" spans="1:6" x14ac:dyDescent="0.25">
      <c r="A432" t="s">
        <v>4055</v>
      </c>
      <c r="D432" s="7"/>
      <c r="E432" s="2"/>
      <c r="F432" s="2">
        <f>SUBTOTAL(109,A_2_04_43[VALOR PARCIAL])</f>
      </c>
    </row>
    <row r="434" ht="30" customHeight="1" spans="1:6" x14ac:dyDescent="0.25">
      <c r="A434" s="5" t="s">
        <v>6473</v>
      </c>
      <c r="B434" s="5"/>
      <c r="C434" s="5"/>
      <c r="D434" s="5"/>
      <c r="E434" s="5"/>
      <c r="F434" s="5"/>
    </row>
    <row r="435" ht="42" customHeight="1" spans="1:6" x14ac:dyDescent="0.25">
      <c r="A435" s="6" t="s">
        <v>6474</v>
      </c>
      <c r="B435" s="6"/>
      <c r="C435" s="6"/>
      <c r="D435" s="6"/>
      <c r="E435" s="6"/>
      <c r="F435" s="6"/>
    </row>
    <row r="436" spans="1:6" x14ac:dyDescent="0.25">
      <c r="A436" t="s">
        <v>4044</v>
      </c>
      <c r="B436" t="s">
        <v>4045</v>
      </c>
      <c r="C436" t="s">
        <v>5</v>
      </c>
      <c r="D436" t="s">
        <v>4046</v>
      </c>
      <c r="E436" t="s">
        <v>4047</v>
      </c>
      <c r="F436" t="s">
        <v>4048</v>
      </c>
    </row>
    <row r="437" spans="1:6" x14ac:dyDescent="0.25">
      <c r="A437" t="s">
        <v>4062</v>
      </c>
      <c r="B437" t="s">
        <v>4796</v>
      </c>
      <c r="C437" t="s">
        <v>63</v>
      </c>
      <c r="D437" s="7">
        <v>1</v>
      </c>
      <c r="E437" s="2">
        <v>16666.66</v>
      </c>
      <c r="F437" s="2">
        <v>16666.66</v>
      </c>
    </row>
    <row r="438" spans="1:6" x14ac:dyDescent="0.25">
      <c r="A438" t="s">
        <v>4049</v>
      </c>
      <c r="B438" t="s">
        <v>4241</v>
      </c>
      <c r="C438" t="s">
        <v>4051</v>
      </c>
      <c r="D438" s="7">
        <v>0.17</v>
      </c>
      <c r="E438" s="2">
        <v>9941.22</v>
      </c>
      <c r="F438" s="2">
        <v>1657.2</v>
      </c>
    </row>
    <row r="439" spans="1:6" x14ac:dyDescent="0.25">
      <c r="A439" t="s">
        <v>4049</v>
      </c>
      <c r="B439" t="s">
        <v>4242</v>
      </c>
      <c r="C439" t="s">
        <v>4051</v>
      </c>
      <c r="D439" s="7">
        <v>0.17</v>
      </c>
      <c r="E439" s="2">
        <v>17069.53</v>
      </c>
      <c r="F439" s="2">
        <v>2845.49</v>
      </c>
    </row>
    <row r="440" spans="1:6" x14ac:dyDescent="0.25">
      <c r="A440" t="s">
        <v>4052</v>
      </c>
      <c r="B440" t="s">
        <v>4053</v>
      </c>
      <c r="C440" t="s">
        <v>4054</v>
      </c>
      <c r="D440" s="7">
        <v>5</v>
      </c>
      <c r="E440" s="2">
        <v>4502.69</v>
      </c>
      <c r="F440" s="2">
        <v>225.13</v>
      </c>
    </row>
    <row r="441" spans="1:6" x14ac:dyDescent="0.25">
      <c r="A441" t="s">
        <v>4055</v>
      </c>
      <c r="D441" s="7"/>
      <c r="E441" s="2"/>
      <c r="F441" s="2">
        <f>SUBTOTAL(109,A_2_04_44[VALOR PARCIAL])</f>
      </c>
    </row>
    <row r="443" ht="30" customHeight="1" spans="1:6" x14ac:dyDescent="0.25">
      <c r="A443" s="5" t="s">
        <v>6475</v>
      </c>
      <c r="B443" s="5"/>
      <c r="C443" s="5"/>
      <c r="D443" s="5"/>
      <c r="E443" s="5"/>
      <c r="F443" s="5"/>
    </row>
    <row r="444" ht="42" customHeight="1" spans="1:6" x14ac:dyDescent="0.25">
      <c r="A444" s="6" t="s">
        <v>6476</v>
      </c>
      <c r="B444" s="6"/>
      <c r="C444" s="6"/>
      <c r="D444" s="6"/>
      <c r="E444" s="6"/>
      <c r="F444" s="6"/>
    </row>
    <row r="445" spans="1:6" x14ac:dyDescent="0.25">
      <c r="A445" t="s">
        <v>4044</v>
      </c>
      <c r="B445" t="s">
        <v>4045</v>
      </c>
      <c r="C445" t="s">
        <v>5</v>
      </c>
      <c r="D445" t="s">
        <v>4046</v>
      </c>
      <c r="E445" t="s">
        <v>4047</v>
      </c>
      <c r="F445" t="s">
        <v>4048</v>
      </c>
    </row>
    <row r="446" spans="1:6" x14ac:dyDescent="0.25">
      <c r="A446" t="s">
        <v>4062</v>
      </c>
      <c r="B446" t="s">
        <v>6477</v>
      </c>
      <c r="C446" t="s">
        <v>63</v>
      </c>
      <c r="D446" s="7">
        <v>1</v>
      </c>
      <c r="E446" s="2">
        <v>16925</v>
      </c>
      <c r="F446" s="2">
        <v>16925</v>
      </c>
    </row>
    <row r="447" spans="1:6" x14ac:dyDescent="0.25">
      <c r="A447" t="s">
        <v>4049</v>
      </c>
      <c r="B447" t="s">
        <v>4241</v>
      </c>
      <c r="C447" t="s">
        <v>4051</v>
      </c>
      <c r="D447" s="7">
        <v>0.17</v>
      </c>
      <c r="E447" s="2">
        <v>9941.22</v>
      </c>
      <c r="F447" s="2">
        <v>1657.2</v>
      </c>
    </row>
    <row r="448" spans="1:6" x14ac:dyDescent="0.25">
      <c r="A448" t="s">
        <v>4049</v>
      </c>
      <c r="B448" t="s">
        <v>4242</v>
      </c>
      <c r="C448" t="s">
        <v>4051</v>
      </c>
      <c r="D448" s="7">
        <v>0.17</v>
      </c>
      <c r="E448" s="2">
        <v>17069.53</v>
      </c>
      <c r="F448" s="2">
        <v>2845.49</v>
      </c>
    </row>
    <row r="449" spans="1:6" x14ac:dyDescent="0.25">
      <c r="A449" t="s">
        <v>4052</v>
      </c>
      <c r="B449" t="s">
        <v>4053</v>
      </c>
      <c r="C449" t="s">
        <v>4054</v>
      </c>
      <c r="D449" s="7">
        <v>5</v>
      </c>
      <c r="E449" s="2">
        <v>4502.69</v>
      </c>
      <c r="F449" s="2">
        <v>225.13</v>
      </c>
    </row>
    <row r="450" spans="1:6" x14ac:dyDescent="0.25">
      <c r="A450" t="s">
        <v>4055</v>
      </c>
      <c r="D450" s="7"/>
      <c r="E450" s="2"/>
      <c r="F450" s="2">
        <f>SUBTOTAL(109,A_2_04_45[VALOR PARCIAL])</f>
      </c>
    </row>
    <row r="452" ht="30" customHeight="1" spans="1:6" x14ac:dyDescent="0.25">
      <c r="A452" s="5" t="s">
        <v>6478</v>
      </c>
      <c r="B452" s="5"/>
      <c r="C452" s="5"/>
      <c r="D452" s="5"/>
      <c r="E452" s="5"/>
      <c r="F452" s="5"/>
    </row>
    <row r="453" ht="42" customHeight="1" spans="1:6" x14ac:dyDescent="0.25">
      <c r="A453" s="6" t="s">
        <v>6479</v>
      </c>
      <c r="B453" s="6"/>
      <c r="C453" s="6"/>
      <c r="D453" s="6"/>
      <c r="E453" s="6"/>
      <c r="F453" s="6"/>
    </row>
    <row r="454" spans="1:6" x14ac:dyDescent="0.25">
      <c r="A454" t="s">
        <v>4044</v>
      </c>
      <c r="B454" t="s">
        <v>4045</v>
      </c>
      <c r="C454" t="s">
        <v>5</v>
      </c>
      <c r="D454" t="s">
        <v>4046</v>
      </c>
      <c r="E454" t="s">
        <v>4047</v>
      </c>
      <c r="F454" t="s">
        <v>4048</v>
      </c>
    </row>
    <row r="455" spans="1:6" x14ac:dyDescent="0.25">
      <c r="A455" t="s">
        <v>4062</v>
      </c>
      <c r="B455" t="s">
        <v>6480</v>
      </c>
      <c r="C455" t="s">
        <v>63</v>
      </c>
      <c r="D455" s="7">
        <v>1</v>
      </c>
      <c r="E455" s="2">
        <v>17250</v>
      </c>
      <c r="F455" s="2">
        <v>17250</v>
      </c>
    </row>
    <row r="456" spans="1:6" x14ac:dyDescent="0.25">
      <c r="A456" t="s">
        <v>4049</v>
      </c>
      <c r="B456" t="s">
        <v>4241</v>
      </c>
      <c r="C456" t="s">
        <v>4051</v>
      </c>
      <c r="D456" s="7">
        <v>0.17</v>
      </c>
      <c r="E456" s="2">
        <v>9941.22</v>
      </c>
      <c r="F456" s="2">
        <v>1657.2</v>
      </c>
    </row>
    <row r="457" spans="1:6" x14ac:dyDescent="0.25">
      <c r="A457" t="s">
        <v>4049</v>
      </c>
      <c r="B457" t="s">
        <v>4242</v>
      </c>
      <c r="C457" t="s">
        <v>4051</v>
      </c>
      <c r="D457" s="7">
        <v>0.17</v>
      </c>
      <c r="E457" s="2">
        <v>17069.53</v>
      </c>
      <c r="F457" s="2">
        <v>2845.49</v>
      </c>
    </row>
    <row r="458" spans="1:6" x14ac:dyDescent="0.25">
      <c r="A458" t="s">
        <v>4052</v>
      </c>
      <c r="B458" t="s">
        <v>4053</v>
      </c>
      <c r="C458" t="s">
        <v>4054</v>
      </c>
      <c r="D458" s="7">
        <v>5</v>
      </c>
      <c r="E458" s="2">
        <v>4502.69</v>
      </c>
      <c r="F458" s="2">
        <v>225.13</v>
      </c>
    </row>
    <row r="459" spans="1:6" x14ac:dyDescent="0.25">
      <c r="A459" t="s">
        <v>4055</v>
      </c>
      <c r="D459" s="7"/>
      <c r="E459" s="2"/>
      <c r="F459" s="2">
        <f>SUBTOTAL(109,A_2_04_46[VALOR PARCIAL])</f>
      </c>
    </row>
    <row r="461" ht="30" customHeight="1" spans="1:6" x14ac:dyDescent="0.25">
      <c r="A461" s="5" t="s">
        <v>6481</v>
      </c>
      <c r="B461" s="5"/>
      <c r="C461" s="5"/>
      <c r="D461" s="5"/>
      <c r="E461" s="5"/>
      <c r="F461" s="5"/>
    </row>
    <row r="462" ht="42" customHeight="1" spans="1:6" x14ac:dyDescent="0.25">
      <c r="A462" s="6" t="s">
        <v>6482</v>
      </c>
      <c r="B462" s="6"/>
      <c r="C462" s="6"/>
      <c r="D462" s="6"/>
      <c r="E462" s="6"/>
      <c r="F462" s="6"/>
    </row>
    <row r="463" spans="1:6" x14ac:dyDescent="0.25">
      <c r="A463" t="s">
        <v>4044</v>
      </c>
      <c r="B463" t="s">
        <v>4045</v>
      </c>
      <c r="C463" t="s">
        <v>5</v>
      </c>
      <c r="D463" t="s">
        <v>4046</v>
      </c>
      <c r="E463" t="s">
        <v>4047</v>
      </c>
      <c r="F463" t="s">
        <v>4048</v>
      </c>
    </row>
    <row r="464" spans="1:6" x14ac:dyDescent="0.25">
      <c r="A464" t="s">
        <v>4062</v>
      </c>
      <c r="B464" t="s">
        <v>6483</v>
      </c>
      <c r="C464" t="s">
        <v>63</v>
      </c>
      <c r="D464" s="7">
        <v>1</v>
      </c>
      <c r="E464" s="2">
        <v>21725</v>
      </c>
      <c r="F464" s="2">
        <v>21725</v>
      </c>
    </row>
    <row r="465" spans="1:6" x14ac:dyDescent="0.25">
      <c r="A465" t="s">
        <v>4049</v>
      </c>
      <c r="B465" t="s">
        <v>4241</v>
      </c>
      <c r="C465" t="s">
        <v>4051</v>
      </c>
      <c r="D465" s="7">
        <v>0.17</v>
      </c>
      <c r="E465" s="2">
        <v>9941.22</v>
      </c>
      <c r="F465" s="2">
        <v>1657.2</v>
      </c>
    </row>
    <row r="466" spans="1:6" x14ac:dyDescent="0.25">
      <c r="A466" t="s">
        <v>4049</v>
      </c>
      <c r="B466" t="s">
        <v>4242</v>
      </c>
      <c r="C466" t="s">
        <v>4051</v>
      </c>
      <c r="D466" s="7">
        <v>0.17</v>
      </c>
      <c r="E466" s="2">
        <v>17069.53</v>
      </c>
      <c r="F466" s="2">
        <v>2845.49</v>
      </c>
    </row>
    <row r="467" spans="1:6" x14ac:dyDescent="0.25">
      <c r="A467" t="s">
        <v>4052</v>
      </c>
      <c r="B467" t="s">
        <v>4053</v>
      </c>
      <c r="C467" t="s">
        <v>4054</v>
      </c>
      <c r="D467" s="7">
        <v>5</v>
      </c>
      <c r="E467" s="2">
        <v>4502.69</v>
      </c>
      <c r="F467" s="2">
        <v>225.13</v>
      </c>
    </row>
    <row r="468" spans="1:6" x14ac:dyDescent="0.25">
      <c r="A468" t="s">
        <v>4055</v>
      </c>
      <c r="D468" s="7"/>
      <c r="E468" s="2"/>
      <c r="F468" s="2">
        <f>SUBTOTAL(109,A_2_04_47[VALOR PARCIAL])</f>
      </c>
    </row>
    <row r="470" ht="30" customHeight="1" spans="1:6" x14ac:dyDescent="0.25">
      <c r="A470" s="5" t="s">
        <v>6484</v>
      </c>
      <c r="B470" s="5"/>
      <c r="C470" s="5"/>
      <c r="D470" s="5"/>
      <c r="E470" s="5"/>
      <c r="F470" s="5"/>
    </row>
    <row r="471" ht="42" customHeight="1" spans="1:6" x14ac:dyDescent="0.25">
      <c r="A471" s="6" t="s">
        <v>6485</v>
      </c>
      <c r="B471" s="6"/>
      <c r="C471" s="6"/>
      <c r="D471" s="6"/>
      <c r="E471" s="6"/>
      <c r="F471" s="6"/>
    </row>
    <row r="472" spans="1:6" x14ac:dyDescent="0.25">
      <c r="A472" t="s">
        <v>4044</v>
      </c>
      <c r="B472" t="s">
        <v>4045</v>
      </c>
      <c r="C472" t="s">
        <v>5</v>
      </c>
      <c r="D472" t="s">
        <v>4046</v>
      </c>
      <c r="E472" t="s">
        <v>4047</v>
      </c>
      <c r="F472" t="s">
        <v>4048</v>
      </c>
    </row>
    <row r="473" spans="1:6" x14ac:dyDescent="0.25">
      <c r="A473" t="s">
        <v>4062</v>
      </c>
      <c r="B473" t="s">
        <v>6486</v>
      </c>
      <c r="C473" t="s">
        <v>63</v>
      </c>
      <c r="D473" s="7">
        <v>1</v>
      </c>
      <c r="E473" s="2">
        <v>20013</v>
      </c>
      <c r="F473" s="2">
        <v>20013</v>
      </c>
    </row>
    <row r="474" spans="1:6" x14ac:dyDescent="0.25">
      <c r="A474" t="s">
        <v>4049</v>
      </c>
      <c r="B474" t="s">
        <v>4241</v>
      </c>
      <c r="C474" t="s">
        <v>4051</v>
      </c>
      <c r="D474" s="7">
        <v>0.17</v>
      </c>
      <c r="E474" s="2">
        <v>9941.22</v>
      </c>
      <c r="F474" s="2">
        <v>1657.2</v>
      </c>
    </row>
    <row r="475" spans="1:6" x14ac:dyDescent="0.25">
      <c r="A475" t="s">
        <v>4049</v>
      </c>
      <c r="B475" t="s">
        <v>4242</v>
      </c>
      <c r="C475" t="s">
        <v>4051</v>
      </c>
      <c r="D475" s="7">
        <v>0.17</v>
      </c>
      <c r="E475" s="2">
        <v>17069.53</v>
      </c>
      <c r="F475" s="2">
        <v>2845.49</v>
      </c>
    </row>
    <row r="476" spans="1:6" x14ac:dyDescent="0.25">
      <c r="A476" t="s">
        <v>4052</v>
      </c>
      <c r="B476" t="s">
        <v>4053</v>
      </c>
      <c r="C476" t="s">
        <v>4054</v>
      </c>
      <c r="D476" s="7">
        <v>5</v>
      </c>
      <c r="E476" s="2">
        <v>4502.69</v>
      </c>
      <c r="F476" s="2">
        <v>225.13</v>
      </c>
    </row>
    <row r="477" spans="1:6" x14ac:dyDescent="0.25">
      <c r="A477" t="s">
        <v>4055</v>
      </c>
      <c r="D477" s="7"/>
      <c r="E477" s="2"/>
      <c r="F477" s="2">
        <f>SUBTOTAL(109,A_2_04_48[VALOR PARCIAL])</f>
      </c>
    </row>
    <row r="479" ht="30" customHeight="1" spans="1:6" x14ac:dyDescent="0.25">
      <c r="A479" s="5" t="s">
        <v>6487</v>
      </c>
      <c r="B479" s="5"/>
      <c r="C479" s="5"/>
      <c r="D479" s="5"/>
      <c r="E479" s="5"/>
      <c r="F479" s="5"/>
    </row>
    <row r="480" ht="42" customHeight="1" spans="1:6" x14ac:dyDescent="0.25">
      <c r="A480" s="6" t="s">
        <v>6488</v>
      </c>
      <c r="B480" s="6"/>
      <c r="C480" s="6"/>
      <c r="D480" s="6"/>
      <c r="E480" s="6"/>
      <c r="F480" s="6"/>
    </row>
    <row r="481" spans="1:6" x14ac:dyDescent="0.25">
      <c r="A481" t="s">
        <v>4044</v>
      </c>
      <c r="B481" t="s">
        <v>4045</v>
      </c>
      <c r="C481" t="s">
        <v>5</v>
      </c>
      <c r="D481" t="s">
        <v>4046</v>
      </c>
      <c r="E481" t="s">
        <v>4047</v>
      </c>
      <c r="F481" t="s">
        <v>4048</v>
      </c>
    </row>
    <row r="482" spans="1:6" x14ac:dyDescent="0.25">
      <c r="A482" t="s">
        <v>4062</v>
      </c>
      <c r="B482" t="s">
        <v>6489</v>
      </c>
      <c r="C482" t="s">
        <v>63</v>
      </c>
      <c r="D482" s="7">
        <v>1</v>
      </c>
      <c r="E482" s="2">
        <v>52382</v>
      </c>
      <c r="F482" s="2">
        <v>52382</v>
      </c>
    </row>
    <row r="483" spans="1:6" x14ac:dyDescent="0.25">
      <c r="A483" t="s">
        <v>4049</v>
      </c>
      <c r="B483" t="s">
        <v>4241</v>
      </c>
      <c r="C483" t="s">
        <v>4051</v>
      </c>
      <c r="D483" s="7">
        <v>0.17</v>
      </c>
      <c r="E483" s="2">
        <v>9941.22</v>
      </c>
      <c r="F483" s="2">
        <v>1657.2</v>
      </c>
    </row>
    <row r="484" spans="1:6" x14ac:dyDescent="0.25">
      <c r="A484" t="s">
        <v>4049</v>
      </c>
      <c r="B484" t="s">
        <v>4242</v>
      </c>
      <c r="C484" t="s">
        <v>4051</v>
      </c>
      <c r="D484" s="7">
        <v>0.17</v>
      </c>
      <c r="E484" s="2">
        <v>17069.53</v>
      </c>
      <c r="F484" s="2">
        <v>2845.49</v>
      </c>
    </row>
    <row r="485" spans="1:6" x14ac:dyDescent="0.25">
      <c r="A485" t="s">
        <v>4052</v>
      </c>
      <c r="B485" t="s">
        <v>4053</v>
      </c>
      <c r="C485" t="s">
        <v>4054</v>
      </c>
      <c r="D485" s="7">
        <v>5</v>
      </c>
      <c r="E485" s="2">
        <v>4502.69</v>
      </c>
      <c r="F485" s="2">
        <v>225.13</v>
      </c>
    </row>
    <row r="486" spans="1:6" x14ac:dyDescent="0.25">
      <c r="A486" t="s">
        <v>4055</v>
      </c>
      <c r="D486" s="7"/>
      <c r="E486" s="2"/>
      <c r="F486" s="2">
        <f>SUBTOTAL(109,A_2_04_49[VALOR PARCIAL])</f>
      </c>
    </row>
    <row r="488" ht="30" customHeight="1" spans="1:6" x14ac:dyDescent="0.25">
      <c r="A488" s="5" t="s">
        <v>6490</v>
      </c>
      <c r="B488" s="5"/>
      <c r="C488" s="5"/>
      <c r="D488" s="5"/>
      <c r="E488" s="5"/>
      <c r="F488" s="5"/>
    </row>
    <row r="489" ht="42" customHeight="1" spans="1:6" x14ac:dyDescent="0.25">
      <c r="A489" s="6" t="s">
        <v>6491</v>
      </c>
      <c r="B489" s="6"/>
      <c r="C489" s="6"/>
      <c r="D489" s="6"/>
      <c r="E489" s="6"/>
      <c r="F489" s="6"/>
    </row>
    <row r="490" spans="1:6" x14ac:dyDescent="0.25">
      <c r="A490" t="s">
        <v>4044</v>
      </c>
      <c r="B490" t="s">
        <v>4045</v>
      </c>
      <c r="C490" t="s">
        <v>5</v>
      </c>
      <c r="D490" t="s">
        <v>4046</v>
      </c>
      <c r="E490" t="s">
        <v>4047</v>
      </c>
      <c r="F490" t="s">
        <v>4048</v>
      </c>
    </row>
    <row r="491" spans="1:6" x14ac:dyDescent="0.25">
      <c r="A491" t="s">
        <v>4062</v>
      </c>
      <c r="B491" t="s">
        <v>6492</v>
      </c>
      <c r="C491" t="s">
        <v>63</v>
      </c>
      <c r="D491" s="7">
        <v>1</v>
      </c>
      <c r="E491" s="2">
        <v>11892</v>
      </c>
      <c r="F491" s="2">
        <v>11892</v>
      </c>
    </row>
    <row r="492" spans="1:6" x14ac:dyDescent="0.25">
      <c r="A492" t="s">
        <v>4062</v>
      </c>
      <c r="B492" t="s">
        <v>6493</v>
      </c>
      <c r="C492" t="s">
        <v>42</v>
      </c>
      <c r="D492" s="7">
        <v>3</v>
      </c>
      <c r="E492" s="2">
        <v>2293</v>
      </c>
      <c r="F492" s="2">
        <v>6879</v>
      </c>
    </row>
    <row r="493" spans="1:6" x14ac:dyDescent="0.25">
      <c r="A493" t="s">
        <v>4062</v>
      </c>
      <c r="B493" t="s">
        <v>6494</v>
      </c>
      <c r="C493" t="s">
        <v>63</v>
      </c>
      <c r="D493" s="7">
        <v>1</v>
      </c>
      <c r="E493" s="2">
        <v>1783.33</v>
      </c>
      <c r="F493" s="2">
        <v>1783.33</v>
      </c>
    </row>
    <row r="494" spans="1:6" x14ac:dyDescent="0.25">
      <c r="A494" t="s">
        <v>4062</v>
      </c>
      <c r="B494" t="s">
        <v>6495</v>
      </c>
      <c r="C494" t="s">
        <v>63</v>
      </c>
      <c r="D494" s="7">
        <v>1</v>
      </c>
      <c r="E494" s="2">
        <v>13981</v>
      </c>
      <c r="F494" s="2">
        <v>13981</v>
      </c>
    </row>
    <row r="495" spans="1:6" x14ac:dyDescent="0.25">
      <c r="A495" t="s">
        <v>4062</v>
      </c>
      <c r="B495" t="s">
        <v>6496</v>
      </c>
      <c r="C495" t="s">
        <v>63</v>
      </c>
      <c r="D495" s="7">
        <v>1</v>
      </c>
      <c r="E495" s="2">
        <v>181423</v>
      </c>
      <c r="F495" s="2">
        <v>181423</v>
      </c>
    </row>
    <row r="496" spans="1:6" x14ac:dyDescent="0.25">
      <c r="A496" t="s">
        <v>4062</v>
      </c>
      <c r="B496" t="s">
        <v>3221</v>
      </c>
      <c r="C496" t="s">
        <v>34</v>
      </c>
      <c r="D496" s="7">
        <v>0.03</v>
      </c>
      <c r="E496" s="2">
        <v>541179.04</v>
      </c>
      <c r="F496" s="2">
        <v>13529.48</v>
      </c>
    </row>
    <row r="497" spans="1:6" x14ac:dyDescent="0.25">
      <c r="A497" t="s">
        <v>4062</v>
      </c>
      <c r="B497" t="s">
        <v>6497</v>
      </c>
      <c r="C497" t="s">
        <v>63</v>
      </c>
      <c r="D497" s="7">
        <v>2</v>
      </c>
      <c r="E497" s="2">
        <v>23500</v>
      </c>
      <c r="F497" s="2">
        <v>47000</v>
      </c>
    </row>
    <row r="498" spans="1:6" x14ac:dyDescent="0.25">
      <c r="A498" t="s">
        <v>4049</v>
      </c>
      <c r="B498" t="s">
        <v>4176</v>
      </c>
      <c r="C498" t="s">
        <v>4177</v>
      </c>
      <c r="D498" s="7">
        <v>0.17</v>
      </c>
      <c r="E498" s="2">
        <v>72300.17</v>
      </c>
      <c r="F498" s="2">
        <v>12291.03</v>
      </c>
    </row>
    <row r="499" spans="1:6" x14ac:dyDescent="0.25">
      <c r="A499" t="s">
        <v>4049</v>
      </c>
      <c r="B499" t="s">
        <v>4313</v>
      </c>
      <c r="C499" t="s">
        <v>4177</v>
      </c>
      <c r="D499" s="7">
        <v>0.15</v>
      </c>
      <c r="E499" s="2">
        <v>124137.15</v>
      </c>
      <c r="F499" s="2">
        <v>18620.57</v>
      </c>
    </row>
    <row r="500" spans="1:6" x14ac:dyDescent="0.25">
      <c r="A500" t="s">
        <v>4052</v>
      </c>
      <c r="B500" t="s">
        <v>4053</v>
      </c>
      <c r="C500" t="s">
        <v>4054</v>
      </c>
      <c r="D500" s="7">
        <v>7</v>
      </c>
      <c r="E500" s="2">
        <v>30911.6</v>
      </c>
      <c r="F500" s="2">
        <v>2163.81</v>
      </c>
    </row>
    <row r="501" spans="1:6" x14ac:dyDescent="0.25">
      <c r="A501" t="s">
        <v>4055</v>
      </c>
      <c r="D501" s="7"/>
      <c r="E501" s="2"/>
      <c r="F501" s="2">
        <f>SUBTOTAL(109,A_2_04_50[VALOR PARCIAL])</f>
      </c>
    </row>
    <row r="503" ht="30" customHeight="1" spans="1:6" x14ac:dyDescent="0.25">
      <c r="A503" s="5" t="s">
        <v>6498</v>
      </c>
      <c r="B503" s="5"/>
      <c r="C503" s="5"/>
      <c r="D503" s="5"/>
      <c r="E503" s="5"/>
      <c r="F503" s="5"/>
    </row>
    <row r="504" ht="42" customHeight="1" spans="1:6" x14ac:dyDescent="0.25">
      <c r="A504" s="6" t="s">
        <v>6499</v>
      </c>
      <c r="B504" s="6"/>
      <c r="C504" s="6"/>
      <c r="D504" s="6"/>
      <c r="E504" s="6"/>
      <c r="F504" s="6"/>
    </row>
    <row r="505" spans="1:6" x14ac:dyDescent="0.25">
      <c r="A505" t="s">
        <v>4044</v>
      </c>
      <c r="B505" t="s">
        <v>4045</v>
      </c>
      <c r="C505" t="s">
        <v>5</v>
      </c>
      <c r="D505" t="s">
        <v>4046</v>
      </c>
      <c r="E505" t="s">
        <v>4047</v>
      </c>
      <c r="F505" t="s">
        <v>4048</v>
      </c>
    </row>
    <row r="506" spans="1:6" x14ac:dyDescent="0.25">
      <c r="A506" t="s">
        <v>4062</v>
      </c>
      <c r="B506" t="s">
        <v>6500</v>
      </c>
      <c r="C506" t="s">
        <v>34</v>
      </c>
      <c r="D506" s="7">
        <v>1.05</v>
      </c>
      <c r="E506" s="2">
        <v>513852.81</v>
      </c>
      <c r="F506" s="2">
        <v>539545.45</v>
      </c>
    </row>
    <row r="507" spans="1:6" x14ac:dyDescent="0.25">
      <c r="A507" t="s">
        <v>4049</v>
      </c>
      <c r="B507" t="s">
        <v>4176</v>
      </c>
      <c r="C507" t="s">
        <v>4177</v>
      </c>
      <c r="D507" s="7">
        <v>0.3</v>
      </c>
      <c r="E507" s="2">
        <v>72300.17</v>
      </c>
      <c r="F507" s="2">
        <v>21690.05</v>
      </c>
    </row>
    <row r="508" spans="1:6" x14ac:dyDescent="0.25">
      <c r="A508" t="s">
        <v>4049</v>
      </c>
      <c r="B508" t="s">
        <v>4313</v>
      </c>
      <c r="C508" t="s">
        <v>4177</v>
      </c>
      <c r="D508" s="7">
        <v>0.1</v>
      </c>
      <c r="E508" s="2">
        <v>124137.15</v>
      </c>
      <c r="F508" s="2">
        <v>12413.72</v>
      </c>
    </row>
    <row r="509" spans="1:6" x14ac:dyDescent="0.25">
      <c r="A509" t="s">
        <v>4052</v>
      </c>
      <c r="B509" t="s">
        <v>4053</v>
      </c>
      <c r="C509" t="s">
        <v>4054</v>
      </c>
      <c r="D509" s="7">
        <v>5</v>
      </c>
      <c r="E509" s="2">
        <v>34103.77</v>
      </c>
      <c r="F509" s="2">
        <v>1705.19</v>
      </c>
    </row>
    <row r="510" spans="1:6" x14ac:dyDescent="0.25">
      <c r="A510" t="s">
        <v>4055</v>
      </c>
      <c r="D510" s="7"/>
      <c r="E510" s="2"/>
      <c r="F510" s="2">
        <f>SUBTOTAL(109,A_2_04_51[VALOR PARCIAL])</f>
      </c>
    </row>
    <row r="512" ht="30" customHeight="1" spans="1:6" x14ac:dyDescent="0.25">
      <c r="A512" s="5" t="s">
        <v>6501</v>
      </c>
      <c r="B512" s="5"/>
      <c r="C512" s="5"/>
      <c r="D512" s="5"/>
      <c r="E512" s="5"/>
      <c r="F512" s="5"/>
    </row>
    <row r="513" ht="42" customHeight="1" spans="1:6" x14ac:dyDescent="0.25">
      <c r="A513" s="6" t="s">
        <v>6499</v>
      </c>
      <c r="B513" s="6"/>
      <c r="C513" s="6"/>
      <c r="D513" s="6"/>
      <c r="E513" s="6"/>
      <c r="F513" s="6"/>
    </row>
    <row r="514" spans="1:6" x14ac:dyDescent="0.25">
      <c r="A514" t="s">
        <v>4044</v>
      </c>
      <c r="B514" t="s">
        <v>4045</v>
      </c>
      <c r="C514" t="s">
        <v>5</v>
      </c>
      <c r="D514" t="s">
        <v>4046</v>
      </c>
      <c r="E514" t="s">
        <v>4047</v>
      </c>
      <c r="F514" t="s">
        <v>4048</v>
      </c>
    </row>
    <row r="515" spans="1:6" x14ac:dyDescent="0.25">
      <c r="A515" t="s">
        <v>4062</v>
      </c>
      <c r="B515" t="s">
        <v>6500</v>
      </c>
      <c r="C515" t="s">
        <v>34</v>
      </c>
      <c r="D515" s="7">
        <v>1.05</v>
      </c>
      <c r="E515" s="2">
        <v>513852.81</v>
      </c>
      <c r="F515" s="2">
        <v>539545.45</v>
      </c>
    </row>
    <row r="516" spans="1:6" x14ac:dyDescent="0.25">
      <c r="A516" t="s">
        <v>4049</v>
      </c>
      <c r="B516" t="s">
        <v>4176</v>
      </c>
      <c r="C516" t="s">
        <v>4177</v>
      </c>
      <c r="D516" s="7">
        <v>0.3</v>
      </c>
      <c r="E516" s="2">
        <v>72300.17</v>
      </c>
      <c r="F516" s="2">
        <v>21690.05</v>
      </c>
    </row>
    <row r="517" spans="1:6" x14ac:dyDescent="0.25">
      <c r="A517" t="s">
        <v>4049</v>
      </c>
      <c r="B517" t="s">
        <v>4313</v>
      </c>
      <c r="C517" t="s">
        <v>4177</v>
      </c>
      <c r="D517" s="7">
        <v>0.1</v>
      </c>
      <c r="E517" s="2">
        <v>124137.15</v>
      </c>
      <c r="F517" s="2">
        <v>12413.72</v>
      </c>
    </row>
    <row r="518" spans="1:6" x14ac:dyDescent="0.25">
      <c r="A518" t="s">
        <v>4052</v>
      </c>
      <c r="B518" t="s">
        <v>4053</v>
      </c>
      <c r="C518" t="s">
        <v>4054</v>
      </c>
      <c r="D518" s="7">
        <v>5</v>
      </c>
      <c r="E518" s="2">
        <v>34103.77</v>
      </c>
      <c r="F518" s="2">
        <v>1705.19</v>
      </c>
    </row>
    <row r="519" spans="1:6" x14ac:dyDescent="0.25">
      <c r="A519" t="s">
        <v>4055</v>
      </c>
      <c r="D519" s="7"/>
      <c r="E519" s="2"/>
      <c r="F519" s="2">
        <f>SUBTOTAL(109,A_2_04_52[VALOR PARCIAL])</f>
      </c>
    </row>
    <row r="521" ht="30" customHeight="1" spans="1:6" x14ac:dyDescent="0.25">
      <c r="A521" s="5" t="s">
        <v>6502</v>
      </c>
      <c r="B521" s="5"/>
      <c r="C521" s="5"/>
      <c r="D521" s="5"/>
      <c r="E521" s="5"/>
      <c r="F521" s="5"/>
    </row>
    <row r="522" ht="42" customHeight="1" spans="1:6" x14ac:dyDescent="0.25">
      <c r="A522" s="6" t="s">
        <v>6499</v>
      </c>
      <c r="B522" s="6"/>
      <c r="C522" s="6"/>
      <c r="D522" s="6"/>
      <c r="E522" s="6"/>
      <c r="F522" s="6"/>
    </row>
    <row r="523" spans="1:6" x14ac:dyDescent="0.25">
      <c r="A523" t="s">
        <v>4044</v>
      </c>
      <c r="B523" t="s">
        <v>4045</v>
      </c>
      <c r="C523" t="s">
        <v>5</v>
      </c>
      <c r="D523" t="s">
        <v>4046</v>
      </c>
      <c r="E523" t="s">
        <v>4047</v>
      </c>
      <c r="F523" t="s">
        <v>4048</v>
      </c>
    </row>
    <row r="524" spans="1:6" x14ac:dyDescent="0.25">
      <c r="A524" t="s">
        <v>4062</v>
      </c>
      <c r="B524" t="s">
        <v>6500</v>
      </c>
      <c r="C524" t="s">
        <v>34</v>
      </c>
      <c r="D524" s="7">
        <v>1.05</v>
      </c>
      <c r="E524" s="2">
        <v>513852.81</v>
      </c>
      <c r="F524" s="2">
        <v>539545.45</v>
      </c>
    </row>
    <row r="525" spans="1:6" x14ac:dyDescent="0.25">
      <c r="A525" t="s">
        <v>4049</v>
      </c>
      <c r="B525" t="s">
        <v>4176</v>
      </c>
      <c r="C525" t="s">
        <v>4177</v>
      </c>
      <c r="D525" s="7">
        <v>0.3</v>
      </c>
      <c r="E525" s="2">
        <v>72300.17</v>
      </c>
      <c r="F525" s="2">
        <v>21690.05</v>
      </c>
    </row>
    <row r="526" spans="1:6" x14ac:dyDescent="0.25">
      <c r="A526" t="s">
        <v>4049</v>
      </c>
      <c r="B526" t="s">
        <v>4313</v>
      </c>
      <c r="C526" t="s">
        <v>4177</v>
      </c>
      <c r="D526" s="7">
        <v>0.1</v>
      </c>
      <c r="E526" s="2">
        <v>124137.15</v>
      </c>
      <c r="F526" s="2">
        <v>12413.72</v>
      </c>
    </row>
    <row r="527" spans="1:6" x14ac:dyDescent="0.25">
      <c r="A527" t="s">
        <v>4052</v>
      </c>
      <c r="B527" t="s">
        <v>4053</v>
      </c>
      <c r="C527" t="s">
        <v>4054</v>
      </c>
      <c r="D527" s="7">
        <v>5</v>
      </c>
      <c r="E527" s="2">
        <v>34103.77</v>
      </c>
      <c r="F527" s="2">
        <v>1705.19</v>
      </c>
    </row>
    <row r="528" spans="1:6" x14ac:dyDescent="0.25">
      <c r="A528" t="s">
        <v>4055</v>
      </c>
      <c r="D528" s="7"/>
      <c r="E528" s="2"/>
      <c r="F528" s="2">
        <f>SUBTOTAL(109,A_2_04_53[VALOR PARCIAL])</f>
      </c>
    </row>
    <row r="530" ht="30" customHeight="1" spans="1:6" x14ac:dyDescent="0.25">
      <c r="A530" s="5" t="s">
        <v>6503</v>
      </c>
      <c r="B530" s="5"/>
      <c r="C530" s="5"/>
      <c r="D530" s="5"/>
      <c r="E530" s="5"/>
      <c r="F530" s="5"/>
    </row>
    <row r="531" ht="42" customHeight="1" spans="1:6" x14ac:dyDescent="0.25">
      <c r="A531" s="6" t="s">
        <v>6499</v>
      </c>
      <c r="B531" s="6"/>
      <c r="C531" s="6"/>
      <c r="D531" s="6"/>
      <c r="E531" s="6"/>
      <c r="F531" s="6"/>
    </row>
    <row r="532" spans="1:6" x14ac:dyDescent="0.25">
      <c r="A532" t="s">
        <v>4044</v>
      </c>
      <c r="B532" t="s">
        <v>4045</v>
      </c>
      <c r="C532" t="s">
        <v>5</v>
      </c>
      <c r="D532" t="s">
        <v>4046</v>
      </c>
      <c r="E532" t="s">
        <v>4047</v>
      </c>
      <c r="F532" t="s">
        <v>4048</v>
      </c>
    </row>
    <row r="533" spans="1:6" x14ac:dyDescent="0.25">
      <c r="A533" t="s">
        <v>4062</v>
      </c>
      <c r="B533" t="s">
        <v>6500</v>
      </c>
      <c r="C533" t="s">
        <v>34</v>
      </c>
      <c r="D533" s="7">
        <v>1.05</v>
      </c>
      <c r="E533" s="2">
        <v>513852.81</v>
      </c>
      <c r="F533" s="2">
        <v>539545.45</v>
      </c>
    </row>
    <row r="534" spans="1:6" x14ac:dyDescent="0.25">
      <c r="A534" t="s">
        <v>4049</v>
      </c>
      <c r="B534" t="s">
        <v>4176</v>
      </c>
      <c r="C534" t="s">
        <v>4177</v>
      </c>
      <c r="D534" s="7">
        <v>0.3</v>
      </c>
      <c r="E534" s="2">
        <v>72300.17</v>
      </c>
      <c r="F534" s="2">
        <v>21690.05</v>
      </c>
    </row>
    <row r="535" spans="1:6" x14ac:dyDescent="0.25">
      <c r="A535" t="s">
        <v>4049</v>
      </c>
      <c r="B535" t="s">
        <v>4313</v>
      </c>
      <c r="C535" t="s">
        <v>4177</v>
      </c>
      <c r="D535" s="7">
        <v>0.1</v>
      </c>
      <c r="E535" s="2">
        <v>124137.15</v>
      </c>
      <c r="F535" s="2">
        <v>12413.72</v>
      </c>
    </row>
    <row r="536" spans="1:6" x14ac:dyDescent="0.25">
      <c r="A536" t="s">
        <v>4052</v>
      </c>
      <c r="B536" t="s">
        <v>4053</v>
      </c>
      <c r="C536" t="s">
        <v>4054</v>
      </c>
      <c r="D536" s="7">
        <v>5</v>
      </c>
      <c r="E536" s="2">
        <v>34103.77</v>
      </c>
      <c r="F536" s="2">
        <v>1705.19</v>
      </c>
    </row>
    <row r="537" spans="1:6" x14ac:dyDescent="0.25">
      <c r="A537" t="s">
        <v>4055</v>
      </c>
      <c r="D537" s="7"/>
      <c r="E537" s="2"/>
      <c r="F537" s="2">
        <f>SUBTOTAL(109,A_2_04_54[VALOR PARCIAL])</f>
      </c>
    </row>
    <row r="539" ht="30" customHeight="1" spans="1:6" x14ac:dyDescent="0.25">
      <c r="A539" s="5" t="s">
        <v>6504</v>
      </c>
      <c r="B539" s="5"/>
      <c r="C539" s="5"/>
      <c r="D539" s="5"/>
      <c r="E539" s="5"/>
      <c r="F539" s="5"/>
    </row>
    <row r="540" ht="42" customHeight="1" spans="1:6" x14ac:dyDescent="0.25">
      <c r="A540" s="6" t="s">
        <v>6505</v>
      </c>
      <c r="B540" s="6"/>
      <c r="C540" s="6"/>
      <c r="D540" s="6"/>
      <c r="E540" s="6"/>
      <c r="F540" s="6"/>
    </row>
    <row r="541" spans="1:6" x14ac:dyDescent="0.25">
      <c r="A541" t="s">
        <v>4044</v>
      </c>
      <c r="B541" t="s">
        <v>4045</v>
      </c>
      <c r="C541" t="s">
        <v>5</v>
      </c>
      <c r="D541" t="s">
        <v>4046</v>
      </c>
      <c r="E541" t="s">
        <v>4047</v>
      </c>
      <c r="F541" t="s">
        <v>4048</v>
      </c>
    </row>
    <row r="542" spans="1:6" x14ac:dyDescent="0.25">
      <c r="A542" t="s">
        <v>4062</v>
      </c>
      <c r="B542" t="s">
        <v>6179</v>
      </c>
      <c r="C542" t="s">
        <v>42</v>
      </c>
      <c r="D542" s="7">
        <v>6</v>
      </c>
      <c r="E542" s="2">
        <v>2560</v>
      </c>
      <c r="F542" s="2">
        <v>15360</v>
      </c>
    </row>
    <row r="543" spans="1:6" x14ac:dyDescent="0.25">
      <c r="A543" t="s">
        <v>4062</v>
      </c>
      <c r="B543" t="s">
        <v>4691</v>
      </c>
      <c r="C543" t="s">
        <v>4532</v>
      </c>
      <c r="D543" s="7">
        <v>3</v>
      </c>
      <c r="E543" s="2">
        <v>748</v>
      </c>
      <c r="F543" s="2">
        <v>2244</v>
      </c>
    </row>
    <row r="544" spans="1:6" x14ac:dyDescent="0.25">
      <c r="A544" t="s">
        <v>4062</v>
      </c>
      <c r="B544" t="s">
        <v>4703</v>
      </c>
      <c r="C544" t="s">
        <v>63</v>
      </c>
      <c r="D544" s="7">
        <v>4</v>
      </c>
      <c r="E544" s="2">
        <v>546</v>
      </c>
      <c r="F544" s="2">
        <v>2184</v>
      </c>
    </row>
    <row r="545" spans="1:6" x14ac:dyDescent="0.25">
      <c r="A545" t="s">
        <v>4062</v>
      </c>
      <c r="B545" t="s">
        <v>4659</v>
      </c>
      <c r="C545" t="s">
        <v>4377</v>
      </c>
      <c r="D545" s="7">
        <v>0.04</v>
      </c>
      <c r="E545" s="2">
        <v>31500</v>
      </c>
      <c r="F545" s="2">
        <v>1260</v>
      </c>
    </row>
    <row r="546" spans="1:6" x14ac:dyDescent="0.25">
      <c r="A546" t="s">
        <v>4062</v>
      </c>
      <c r="B546" t="s">
        <v>4376</v>
      </c>
      <c r="C546" t="s">
        <v>4377</v>
      </c>
      <c r="D546" s="7">
        <v>0.04</v>
      </c>
      <c r="E546" s="2">
        <v>72237.67</v>
      </c>
      <c r="F546" s="2">
        <v>2889.51</v>
      </c>
    </row>
    <row r="547" spans="1:6" x14ac:dyDescent="0.25">
      <c r="A547" t="s">
        <v>4049</v>
      </c>
      <c r="B547" t="s">
        <v>4241</v>
      </c>
      <c r="C547" t="s">
        <v>4051</v>
      </c>
      <c r="D547" s="7">
        <v>3.5</v>
      </c>
      <c r="E547" s="2">
        <v>9941.22</v>
      </c>
      <c r="F547" s="2">
        <v>34794.27</v>
      </c>
    </row>
    <row r="548" spans="1:6" x14ac:dyDescent="0.25">
      <c r="A548" t="s">
        <v>4049</v>
      </c>
      <c r="B548" t="s">
        <v>4242</v>
      </c>
      <c r="C548" t="s">
        <v>4051</v>
      </c>
      <c r="D548" s="7">
        <v>1.75</v>
      </c>
      <c r="E548" s="2">
        <v>17069.53</v>
      </c>
      <c r="F548" s="2">
        <v>29871.68</v>
      </c>
    </row>
    <row r="549" spans="1:6" x14ac:dyDescent="0.25">
      <c r="A549" t="s">
        <v>4052</v>
      </c>
      <c r="B549" t="s">
        <v>4053</v>
      </c>
      <c r="C549" t="s">
        <v>4054</v>
      </c>
      <c r="D549" s="7">
        <v>5</v>
      </c>
      <c r="E549" s="2">
        <v>64665.95</v>
      </c>
      <c r="F549" s="2">
        <v>3233.3</v>
      </c>
    </row>
    <row r="550" spans="1:6" x14ac:dyDescent="0.25">
      <c r="A550" t="s">
        <v>4055</v>
      </c>
      <c r="D550" s="7"/>
      <c r="E550" s="2"/>
      <c r="F550" s="2">
        <f>SUBTOTAL(109,A_2_04_55[VALOR PARCIAL])</f>
      </c>
    </row>
    <row r="552" ht="30" customHeight="1" spans="1:6" x14ac:dyDescent="0.25">
      <c r="A552" s="5" t="s">
        <v>6506</v>
      </c>
      <c r="B552" s="5"/>
      <c r="C552" s="5"/>
      <c r="D552" s="5"/>
      <c r="E552" s="5"/>
      <c r="F552" s="5"/>
    </row>
    <row r="553" ht="42" customHeight="1" spans="1:6" x14ac:dyDescent="0.25">
      <c r="A553" s="6" t="s">
        <v>6507</v>
      </c>
      <c r="B553" s="6"/>
      <c r="C553" s="6"/>
      <c r="D553" s="6"/>
      <c r="E553" s="6"/>
      <c r="F553" s="6"/>
    </row>
    <row r="554" spans="1:6" x14ac:dyDescent="0.25">
      <c r="A554" t="s">
        <v>4044</v>
      </c>
      <c r="B554" t="s">
        <v>4045</v>
      </c>
      <c r="C554" t="s">
        <v>5</v>
      </c>
      <c r="D554" t="s">
        <v>4046</v>
      </c>
      <c r="E554" t="s">
        <v>4047</v>
      </c>
      <c r="F554" t="s">
        <v>4048</v>
      </c>
    </row>
    <row r="555" spans="1:6" x14ac:dyDescent="0.25">
      <c r="A555" t="s">
        <v>4062</v>
      </c>
      <c r="B555" t="s">
        <v>6179</v>
      </c>
      <c r="C555" t="s">
        <v>42</v>
      </c>
      <c r="D555" s="7">
        <v>3</v>
      </c>
      <c r="E555" s="2">
        <v>2560</v>
      </c>
      <c r="F555" s="2">
        <v>7680</v>
      </c>
    </row>
    <row r="556" spans="1:6" x14ac:dyDescent="0.25">
      <c r="A556" t="s">
        <v>4062</v>
      </c>
      <c r="B556" t="s">
        <v>4691</v>
      </c>
      <c r="C556" t="s">
        <v>4532</v>
      </c>
      <c r="D556" s="7">
        <v>3</v>
      </c>
      <c r="E556" s="2">
        <v>748</v>
      </c>
      <c r="F556" s="2">
        <v>2244</v>
      </c>
    </row>
    <row r="557" spans="1:6" x14ac:dyDescent="0.25">
      <c r="A557" t="s">
        <v>4062</v>
      </c>
      <c r="B557" t="s">
        <v>4752</v>
      </c>
      <c r="C557" t="s">
        <v>63</v>
      </c>
      <c r="D557" s="7">
        <v>4</v>
      </c>
      <c r="E557" s="2">
        <v>382.07</v>
      </c>
      <c r="F557" s="2">
        <v>1528.28</v>
      </c>
    </row>
    <row r="558" spans="1:6" x14ac:dyDescent="0.25">
      <c r="A558" t="s">
        <v>4062</v>
      </c>
      <c r="B558" t="s">
        <v>4659</v>
      </c>
      <c r="C558" t="s">
        <v>4377</v>
      </c>
      <c r="D558" s="7">
        <v>0.04</v>
      </c>
      <c r="E558" s="2">
        <v>31500</v>
      </c>
      <c r="F558" s="2">
        <v>1260</v>
      </c>
    </row>
    <row r="559" spans="1:6" x14ac:dyDescent="0.25">
      <c r="A559" t="s">
        <v>4062</v>
      </c>
      <c r="B559" t="s">
        <v>4376</v>
      </c>
      <c r="C559" t="s">
        <v>4377</v>
      </c>
      <c r="D559" s="7">
        <v>0.04</v>
      </c>
      <c r="E559" s="2">
        <v>72237.67</v>
      </c>
      <c r="F559" s="2">
        <v>2889.51</v>
      </c>
    </row>
    <row r="560" spans="1:6" x14ac:dyDescent="0.25">
      <c r="A560" t="s">
        <v>4049</v>
      </c>
      <c r="B560" t="s">
        <v>4241</v>
      </c>
      <c r="C560" t="s">
        <v>4051</v>
      </c>
      <c r="D560" s="7">
        <v>3.5</v>
      </c>
      <c r="E560" s="2">
        <v>9941.22</v>
      </c>
      <c r="F560" s="2">
        <v>34794.27</v>
      </c>
    </row>
    <row r="561" spans="1:6" x14ac:dyDescent="0.25">
      <c r="A561" t="s">
        <v>4049</v>
      </c>
      <c r="B561" t="s">
        <v>4242</v>
      </c>
      <c r="C561" t="s">
        <v>4051</v>
      </c>
      <c r="D561" s="7">
        <v>1.75</v>
      </c>
      <c r="E561" s="2">
        <v>17069.53</v>
      </c>
      <c r="F561" s="2">
        <v>29871.68</v>
      </c>
    </row>
    <row r="562" spans="1:6" x14ac:dyDescent="0.25">
      <c r="A562" t="s">
        <v>4052</v>
      </c>
      <c r="B562" t="s">
        <v>4053</v>
      </c>
      <c r="C562" t="s">
        <v>4054</v>
      </c>
      <c r="D562" s="7">
        <v>5</v>
      </c>
      <c r="E562" s="2">
        <v>64665.95</v>
      </c>
      <c r="F562" s="2">
        <v>3233.3</v>
      </c>
    </row>
    <row r="563" spans="1:6" x14ac:dyDescent="0.25">
      <c r="A563" t="s">
        <v>4055</v>
      </c>
      <c r="D563" s="7"/>
      <c r="E563" s="2"/>
      <c r="F563" s="2">
        <f>SUBTOTAL(109,A_2_04_56[VALOR PARCIAL])</f>
      </c>
    </row>
    <row r="565" ht="30" customHeight="1" spans="1:6" x14ac:dyDescent="0.25">
      <c r="A565" s="5" t="s">
        <v>6508</v>
      </c>
      <c r="B565" s="5"/>
      <c r="C565" s="5"/>
      <c r="D565" s="5"/>
      <c r="E565" s="5"/>
      <c r="F565" s="5"/>
    </row>
    <row r="566" ht="42" customHeight="1" spans="1:6" x14ac:dyDescent="0.25">
      <c r="A566" s="6" t="s">
        <v>6509</v>
      </c>
      <c r="B566" s="6"/>
      <c r="C566" s="6"/>
      <c r="D566" s="6"/>
      <c r="E566" s="6"/>
      <c r="F566" s="6"/>
    </row>
    <row r="567" spans="1:6" x14ac:dyDescent="0.25">
      <c r="A567" t="s">
        <v>4044</v>
      </c>
      <c r="B567" t="s">
        <v>4045</v>
      </c>
      <c r="C567" t="s">
        <v>5</v>
      </c>
      <c r="D567" t="s">
        <v>4046</v>
      </c>
      <c r="E567" t="s">
        <v>4047</v>
      </c>
      <c r="F567" t="s">
        <v>4048</v>
      </c>
    </row>
    <row r="568" spans="1:6" x14ac:dyDescent="0.25">
      <c r="A568" t="s">
        <v>4062</v>
      </c>
      <c r="B568" t="s">
        <v>6510</v>
      </c>
      <c r="C568" t="s">
        <v>42</v>
      </c>
      <c r="D568" s="7">
        <v>5</v>
      </c>
      <c r="E568" s="2">
        <v>4776</v>
      </c>
      <c r="F568" s="2">
        <v>23880</v>
      </c>
    </row>
    <row r="569" spans="1:6" x14ac:dyDescent="0.25">
      <c r="A569" t="s">
        <v>4062</v>
      </c>
      <c r="B569" t="s">
        <v>4691</v>
      </c>
      <c r="C569" t="s">
        <v>4532</v>
      </c>
      <c r="D569" s="7">
        <v>3</v>
      </c>
      <c r="E569" s="2">
        <v>748</v>
      </c>
      <c r="F569" s="2">
        <v>2244</v>
      </c>
    </row>
    <row r="570" spans="1:6" x14ac:dyDescent="0.25">
      <c r="A570" t="s">
        <v>4062</v>
      </c>
      <c r="B570" t="s">
        <v>4779</v>
      </c>
      <c r="C570" t="s">
        <v>63</v>
      </c>
      <c r="D570" s="7">
        <v>4</v>
      </c>
      <c r="E570" s="2">
        <v>701.4</v>
      </c>
      <c r="F570" s="2">
        <v>2805.6</v>
      </c>
    </row>
    <row r="571" spans="1:6" x14ac:dyDescent="0.25">
      <c r="A571" t="s">
        <v>4062</v>
      </c>
      <c r="B571" t="s">
        <v>4659</v>
      </c>
      <c r="C571" t="s">
        <v>4377</v>
      </c>
      <c r="D571" s="7">
        <v>0.04</v>
      </c>
      <c r="E571" s="2">
        <v>31500</v>
      </c>
      <c r="F571" s="2">
        <v>1260</v>
      </c>
    </row>
    <row r="572" spans="1:6" x14ac:dyDescent="0.25">
      <c r="A572" t="s">
        <v>4062</v>
      </c>
      <c r="B572" t="s">
        <v>4376</v>
      </c>
      <c r="C572" t="s">
        <v>4377</v>
      </c>
      <c r="D572" s="7">
        <v>0.04</v>
      </c>
      <c r="E572" s="2">
        <v>72237.67</v>
      </c>
      <c r="F572" s="2">
        <v>2889.51</v>
      </c>
    </row>
    <row r="573" spans="1:6" x14ac:dyDescent="0.25">
      <c r="A573" t="s">
        <v>4049</v>
      </c>
      <c r="B573" t="s">
        <v>4241</v>
      </c>
      <c r="C573" t="s">
        <v>4051</v>
      </c>
      <c r="D573" s="7">
        <v>3.5</v>
      </c>
      <c r="E573" s="2">
        <v>9941.22</v>
      </c>
      <c r="F573" s="2">
        <v>34794.27</v>
      </c>
    </row>
    <row r="574" spans="1:6" x14ac:dyDescent="0.25">
      <c r="A574" t="s">
        <v>4049</v>
      </c>
      <c r="B574" t="s">
        <v>4242</v>
      </c>
      <c r="C574" t="s">
        <v>4051</v>
      </c>
      <c r="D574" s="7">
        <v>1.75</v>
      </c>
      <c r="E574" s="2">
        <v>17069.53</v>
      </c>
      <c r="F574" s="2">
        <v>29871.68</v>
      </c>
    </row>
    <row r="575" spans="1:6" x14ac:dyDescent="0.25">
      <c r="A575" t="s">
        <v>4052</v>
      </c>
      <c r="B575" t="s">
        <v>4053</v>
      </c>
      <c r="C575" t="s">
        <v>4054</v>
      </c>
      <c r="D575" s="7">
        <v>5</v>
      </c>
      <c r="E575" s="2">
        <v>64665.95</v>
      </c>
      <c r="F575" s="2">
        <v>3233.3</v>
      </c>
    </row>
    <row r="576" spans="1:6" x14ac:dyDescent="0.25">
      <c r="A576" t="s">
        <v>4055</v>
      </c>
      <c r="D576" s="7"/>
      <c r="E576" s="2"/>
      <c r="F576" s="2">
        <f>SUBTOTAL(109,A_2_04_57[VALOR PARCIAL])</f>
      </c>
    </row>
    <row r="578" ht="30" customHeight="1" spans="1:6" x14ac:dyDescent="0.25">
      <c r="A578" s="5" t="s">
        <v>6511</v>
      </c>
      <c r="B578" s="5"/>
      <c r="C578" s="5"/>
      <c r="D578" s="5"/>
      <c r="E578" s="5"/>
      <c r="F578" s="5"/>
    </row>
    <row r="579" ht="42" customHeight="1" spans="1:6" x14ac:dyDescent="0.25">
      <c r="A579" s="6" t="s">
        <v>6512</v>
      </c>
      <c r="B579" s="6"/>
      <c r="C579" s="6"/>
      <c r="D579" s="6"/>
      <c r="E579" s="6"/>
      <c r="F579" s="6"/>
    </row>
    <row r="580" spans="1:6" x14ac:dyDescent="0.25">
      <c r="A580" t="s">
        <v>4044</v>
      </c>
      <c r="B580" t="s">
        <v>4045</v>
      </c>
      <c r="C580" t="s">
        <v>5</v>
      </c>
      <c r="D580" t="s">
        <v>4046</v>
      </c>
      <c r="E580" t="s">
        <v>4047</v>
      </c>
      <c r="F580" t="s">
        <v>4048</v>
      </c>
    </row>
    <row r="581" spans="1:6" x14ac:dyDescent="0.25">
      <c r="A581" t="s">
        <v>4062</v>
      </c>
      <c r="B581" t="s">
        <v>6513</v>
      </c>
      <c r="C581" t="s">
        <v>63</v>
      </c>
      <c r="D581" s="7">
        <v>1</v>
      </c>
      <c r="E581" s="2">
        <v>135750</v>
      </c>
      <c r="F581" s="2">
        <v>135750</v>
      </c>
    </row>
    <row r="582" spans="1:6" x14ac:dyDescent="0.25">
      <c r="A582" t="s">
        <v>4049</v>
      </c>
      <c r="B582" t="s">
        <v>4176</v>
      </c>
      <c r="C582" t="s">
        <v>4177</v>
      </c>
      <c r="D582" s="7">
        <v>0.13</v>
      </c>
      <c r="E582" s="2">
        <v>72300.17</v>
      </c>
      <c r="F582" s="2">
        <v>9037.52</v>
      </c>
    </row>
    <row r="583" spans="1:6" x14ac:dyDescent="0.25">
      <c r="A583" t="s">
        <v>4049</v>
      </c>
      <c r="B583" t="s">
        <v>4313</v>
      </c>
      <c r="C583" t="s">
        <v>4177</v>
      </c>
      <c r="D583" s="7">
        <v>0.13</v>
      </c>
      <c r="E583" s="2">
        <v>124137.15</v>
      </c>
      <c r="F583" s="2">
        <v>15517.14</v>
      </c>
    </row>
    <row r="584" spans="1:6" x14ac:dyDescent="0.25">
      <c r="A584" t="s">
        <v>4052</v>
      </c>
      <c r="B584" t="s">
        <v>4053</v>
      </c>
      <c r="C584" t="s">
        <v>4054</v>
      </c>
      <c r="D584" s="7">
        <v>5</v>
      </c>
      <c r="E584" s="2">
        <v>24554.66</v>
      </c>
      <c r="F584" s="2">
        <v>1227.73</v>
      </c>
    </row>
    <row r="585" spans="1:6" x14ac:dyDescent="0.25">
      <c r="A585" t="s">
        <v>4055</v>
      </c>
      <c r="D585" s="7"/>
      <c r="E585" s="2"/>
      <c r="F585" s="2">
        <f>SUBTOTAL(109,A_2_04_58[VALOR PARCIAL])</f>
      </c>
    </row>
    <row r="587" ht="30" customHeight="1" spans="1:6" x14ac:dyDescent="0.25">
      <c r="A587" s="5" t="s">
        <v>6514</v>
      </c>
      <c r="B587" s="5"/>
      <c r="C587" s="5"/>
      <c r="D587" s="5"/>
      <c r="E587" s="5"/>
      <c r="F587" s="5"/>
    </row>
    <row r="588" ht="42" customHeight="1" spans="1:6" x14ac:dyDescent="0.25">
      <c r="A588" s="6" t="s">
        <v>6515</v>
      </c>
      <c r="B588" s="6"/>
      <c r="C588" s="6"/>
      <c r="D588" s="6"/>
      <c r="E588" s="6"/>
      <c r="F588" s="6"/>
    </row>
    <row r="589" spans="1:6" x14ac:dyDescent="0.25">
      <c r="A589" t="s">
        <v>4044</v>
      </c>
      <c r="B589" t="s">
        <v>4045</v>
      </c>
      <c r="C589" t="s">
        <v>5</v>
      </c>
      <c r="D589" t="s">
        <v>4046</v>
      </c>
      <c r="E589" t="s">
        <v>4047</v>
      </c>
      <c r="F589" t="s">
        <v>4048</v>
      </c>
    </row>
    <row r="590" spans="1:6" x14ac:dyDescent="0.25">
      <c r="A590" t="s">
        <v>4062</v>
      </c>
      <c r="B590" t="s">
        <v>6516</v>
      </c>
      <c r="C590" t="s">
        <v>63</v>
      </c>
      <c r="D590" s="7">
        <v>1</v>
      </c>
      <c r="E590" s="2">
        <v>2155573</v>
      </c>
      <c r="F590" s="2">
        <v>2155573</v>
      </c>
    </row>
    <row r="591" spans="1:6" x14ac:dyDescent="0.25">
      <c r="A591" t="s">
        <v>4049</v>
      </c>
      <c r="B591" t="s">
        <v>4176</v>
      </c>
      <c r="C591" t="s">
        <v>4177</v>
      </c>
      <c r="D591" s="7">
        <v>1</v>
      </c>
      <c r="E591" s="2">
        <v>72300.17</v>
      </c>
      <c r="F591" s="2">
        <v>72300.17</v>
      </c>
    </row>
    <row r="592" spans="1:6" x14ac:dyDescent="0.25">
      <c r="A592" t="s">
        <v>4049</v>
      </c>
      <c r="B592" t="s">
        <v>4313</v>
      </c>
      <c r="C592" t="s">
        <v>4177</v>
      </c>
      <c r="D592" s="7">
        <v>1</v>
      </c>
      <c r="E592" s="2">
        <v>124137.15</v>
      </c>
      <c r="F592" s="2">
        <v>124137.15</v>
      </c>
    </row>
    <row r="593" spans="1:6" x14ac:dyDescent="0.25">
      <c r="A593" t="s">
        <v>4052</v>
      </c>
      <c r="B593" t="s">
        <v>4053</v>
      </c>
      <c r="C593" t="s">
        <v>4054</v>
      </c>
      <c r="D593" s="7">
        <v>10</v>
      </c>
      <c r="E593" s="2">
        <v>196437.32</v>
      </c>
      <c r="F593" s="2">
        <v>19643.73</v>
      </c>
    </row>
    <row r="594" spans="1:6" x14ac:dyDescent="0.25">
      <c r="A594" t="s">
        <v>4055</v>
      </c>
      <c r="D594" s="7"/>
      <c r="E594" s="2"/>
      <c r="F594" s="2">
        <f>SUBTOTAL(109,A_2_04_59[VALOR PARCIAL])</f>
      </c>
    </row>
    <row r="596" ht="30" customHeight="1" spans="1:6" x14ac:dyDescent="0.25">
      <c r="A596" s="5" t="s">
        <v>6517</v>
      </c>
      <c r="B596" s="5"/>
      <c r="C596" s="5"/>
      <c r="D596" s="5"/>
      <c r="E596" s="5"/>
      <c r="F596" s="5"/>
    </row>
    <row r="597" ht="42" customHeight="1" spans="1:6" x14ac:dyDescent="0.25">
      <c r="A597" s="6" t="s">
        <v>6518</v>
      </c>
      <c r="B597" s="6"/>
      <c r="C597" s="6"/>
      <c r="D597" s="6"/>
      <c r="E597" s="6"/>
      <c r="F597" s="6"/>
    </row>
    <row r="598" spans="1:6" x14ac:dyDescent="0.25">
      <c r="A598" t="s">
        <v>4044</v>
      </c>
      <c r="B598" t="s">
        <v>4045</v>
      </c>
      <c r="C598" t="s">
        <v>5</v>
      </c>
      <c r="D598" t="s">
        <v>4046</v>
      </c>
      <c r="E598" t="s">
        <v>4047</v>
      </c>
      <c r="F598" t="s">
        <v>4048</v>
      </c>
    </row>
    <row r="599" spans="1:6" x14ac:dyDescent="0.25">
      <c r="A599" t="s">
        <v>4062</v>
      </c>
      <c r="B599" t="s">
        <v>6519</v>
      </c>
      <c r="C599" t="s">
        <v>63</v>
      </c>
      <c r="D599" s="7">
        <v>1</v>
      </c>
      <c r="E599" s="2">
        <v>1895880</v>
      </c>
      <c r="F599" s="2">
        <v>1895880</v>
      </c>
    </row>
    <row r="600" spans="1:6" x14ac:dyDescent="0.25">
      <c r="A600" t="s">
        <v>4049</v>
      </c>
      <c r="B600" t="s">
        <v>4176</v>
      </c>
      <c r="C600" t="s">
        <v>4177</v>
      </c>
      <c r="D600" s="7">
        <v>1</v>
      </c>
      <c r="E600" s="2">
        <v>72300.17</v>
      </c>
      <c r="F600" s="2">
        <v>72300.17</v>
      </c>
    </row>
    <row r="601" spans="1:6" x14ac:dyDescent="0.25">
      <c r="A601" t="s">
        <v>4049</v>
      </c>
      <c r="B601" t="s">
        <v>4313</v>
      </c>
      <c r="C601" t="s">
        <v>4177</v>
      </c>
      <c r="D601" s="7">
        <v>1</v>
      </c>
      <c r="E601" s="2">
        <v>124137.15</v>
      </c>
      <c r="F601" s="2">
        <v>124137.15</v>
      </c>
    </row>
    <row r="602" spans="1:6" x14ac:dyDescent="0.25">
      <c r="A602" t="s">
        <v>4052</v>
      </c>
      <c r="B602" t="s">
        <v>4053</v>
      </c>
      <c r="C602" t="s">
        <v>4054</v>
      </c>
      <c r="D602" s="7">
        <v>10</v>
      </c>
      <c r="E602" s="2">
        <v>196437.32</v>
      </c>
      <c r="F602" s="2">
        <v>19643.73</v>
      </c>
    </row>
    <row r="603" spans="1:6" x14ac:dyDescent="0.25">
      <c r="A603" t="s">
        <v>4055</v>
      </c>
      <c r="D603" s="7"/>
      <c r="E603" s="2"/>
      <c r="F603" s="2">
        <f>SUBTOTAL(109,A_2_04_60[VALOR PARCIAL])</f>
      </c>
    </row>
    <row r="605" ht="30" customHeight="1" spans="1:6" x14ac:dyDescent="0.25">
      <c r="A605" s="5" t="s">
        <v>6520</v>
      </c>
      <c r="B605" s="5"/>
      <c r="C605" s="5"/>
      <c r="D605" s="5"/>
      <c r="E605" s="5"/>
      <c r="F605" s="5"/>
    </row>
    <row r="606" ht="42" customHeight="1" spans="1:6" x14ac:dyDescent="0.25">
      <c r="A606" s="6" t="s">
        <v>6521</v>
      </c>
      <c r="B606" s="6"/>
      <c r="C606" s="6"/>
      <c r="D606" s="6"/>
      <c r="E606" s="6"/>
      <c r="F606" s="6"/>
    </row>
    <row r="607" spans="1:6" x14ac:dyDescent="0.25">
      <c r="A607" t="s">
        <v>4044</v>
      </c>
      <c r="B607" t="s">
        <v>4045</v>
      </c>
      <c r="C607" t="s">
        <v>5</v>
      </c>
      <c r="D607" t="s">
        <v>4046</v>
      </c>
      <c r="E607" t="s">
        <v>4047</v>
      </c>
      <c r="F607" t="s">
        <v>4048</v>
      </c>
    </row>
    <row r="608" spans="1:6" x14ac:dyDescent="0.25">
      <c r="A608" t="s">
        <v>4062</v>
      </c>
      <c r="B608" t="s">
        <v>6522</v>
      </c>
      <c r="C608" t="s">
        <v>63</v>
      </c>
      <c r="D608" s="7">
        <v>1</v>
      </c>
      <c r="E608" s="2">
        <v>3213000</v>
      </c>
      <c r="F608" s="2">
        <v>3213000</v>
      </c>
    </row>
    <row r="609" spans="1:6" x14ac:dyDescent="0.25">
      <c r="A609" t="s">
        <v>4049</v>
      </c>
      <c r="B609" t="s">
        <v>4176</v>
      </c>
      <c r="C609" t="s">
        <v>4177</v>
      </c>
      <c r="D609" s="7">
        <v>1</v>
      </c>
      <c r="E609" s="2">
        <v>72300.17</v>
      </c>
      <c r="F609" s="2">
        <v>72300.17</v>
      </c>
    </row>
    <row r="610" spans="1:6" x14ac:dyDescent="0.25">
      <c r="A610" t="s">
        <v>4049</v>
      </c>
      <c r="B610" t="s">
        <v>4313</v>
      </c>
      <c r="C610" t="s">
        <v>4177</v>
      </c>
      <c r="D610" s="7">
        <v>1</v>
      </c>
      <c r="E610" s="2">
        <v>124137.15</v>
      </c>
      <c r="F610" s="2">
        <v>124137.15</v>
      </c>
    </row>
    <row r="611" spans="1:6" x14ac:dyDescent="0.25">
      <c r="A611" t="s">
        <v>4052</v>
      </c>
      <c r="B611" t="s">
        <v>4053</v>
      </c>
      <c r="C611" t="s">
        <v>4054</v>
      </c>
      <c r="D611" s="7">
        <v>10</v>
      </c>
      <c r="E611" s="2">
        <v>196437.32</v>
      </c>
      <c r="F611" s="2">
        <v>19643.73</v>
      </c>
    </row>
    <row r="612" spans="1:6" x14ac:dyDescent="0.25">
      <c r="A612" t="s">
        <v>4055</v>
      </c>
      <c r="D612" s="7"/>
      <c r="E612" s="2"/>
      <c r="F612" s="2">
        <f>SUBTOTAL(109,A_2_04_61[VALOR PARCIAL])</f>
      </c>
    </row>
    <row r="614" ht="30" customHeight="1" spans="1:6" x14ac:dyDescent="0.25">
      <c r="A614" s="5" t="s">
        <v>6523</v>
      </c>
      <c r="B614" s="5"/>
      <c r="C614" s="5"/>
      <c r="D614" s="5"/>
      <c r="E614" s="5"/>
      <c r="F614" s="5"/>
    </row>
    <row r="615" ht="42" customHeight="1" spans="1:6" x14ac:dyDescent="0.25">
      <c r="A615" s="6" t="s">
        <v>6524</v>
      </c>
      <c r="B615" s="6"/>
      <c r="C615" s="6"/>
      <c r="D615" s="6"/>
      <c r="E615" s="6"/>
      <c r="F615" s="6"/>
    </row>
    <row r="616" spans="1:6" x14ac:dyDescent="0.25">
      <c r="A616" t="s">
        <v>4044</v>
      </c>
      <c r="B616" t="s">
        <v>4045</v>
      </c>
      <c r="C616" t="s">
        <v>5</v>
      </c>
      <c r="D616" t="s">
        <v>4046</v>
      </c>
      <c r="E616" t="s">
        <v>4047</v>
      </c>
      <c r="F616" t="s">
        <v>4048</v>
      </c>
    </row>
    <row r="617" spans="1:6" x14ac:dyDescent="0.25">
      <c r="A617" t="s">
        <v>4062</v>
      </c>
      <c r="B617" t="s">
        <v>6525</v>
      </c>
      <c r="C617" t="s">
        <v>63</v>
      </c>
      <c r="D617" s="7">
        <v>1</v>
      </c>
      <c r="E617" s="2">
        <v>2698920</v>
      </c>
      <c r="F617" s="2">
        <v>2698920</v>
      </c>
    </row>
    <row r="618" spans="1:6" x14ac:dyDescent="0.25">
      <c r="A618" t="s">
        <v>4049</v>
      </c>
      <c r="B618" t="s">
        <v>4176</v>
      </c>
      <c r="C618" t="s">
        <v>4177</v>
      </c>
      <c r="D618" s="7">
        <v>1.1</v>
      </c>
      <c r="E618" s="2">
        <v>72300.17</v>
      </c>
      <c r="F618" s="2">
        <v>79530.19</v>
      </c>
    </row>
    <row r="619" spans="1:6" x14ac:dyDescent="0.25">
      <c r="A619" t="s">
        <v>4049</v>
      </c>
      <c r="B619" t="s">
        <v>4313</v>
      </c>
      <c r="C619" t="s">
        <v>4177</v>
      </c>
      <c r="D619" s="7">
        <v>1</v>
      </c>
      <c r="E619" s="2">
        <v>124137.15</v>
      </c>
      <c r="F619" s="2">
        <v>124137.15</v>
      </c>
    </row>
    <row r="620" spans="1:6" x14ac:dyDescent="0.25">
      <c r="A620" t="s">
        <v>4052</v>
      </c>
      <c r="B620" t="s">
        <v>4053</v>
      </c>
      <c r="C620" t="s">
        <v>4054</v>
      </c>
      <c r="D620" s="7">
        <v>10</v>
      </c>
      <c r="E620" s="2">
        <v>203667.34</v>
      </c>
      <c r="F620" s="2">
        <v>20366.73</v>
      </c>
    </row>
    <row r="621" spans="1:6" x14ac:dyDescent="0.25">
      <c r="A621" t="s">
        <v>4055</v>
      </c>
      <c r="D621" s="7"/>
      <c r="E621" s="2"/>
      <c r="F621" s="2">
        <f>SUBTOTAL(109,A_2_04_62[VALOR PARCIAL])</f>
      </c>
    </row>
    <row r="623" ht="30" customHeight="1" spans="1:6" x14ac:dyDescent="0.25">
      <c r="A623" s="5" t="s">
        <v>6526</v>
      </c>
      <c r="B623" s="5"/>
      <c r="C623" s="5"/>
      <c r="D623" s="5"/>
      <c r="E623" s="5"/>
      <c r="F623" s="5"/>
    </row>
    <row r="624" ht="42" customHeight="1" spans="1:6" x14ac:dyDescent="0.25">
      <c r="A624" s="6" t="s">
        <v>6527</v>
      </c>
      <c r="B624" s="6"/>
      <c r="C624" s="6"/>
      <c r="D624" s="6"/>
      <c r="E624" s="6"/>
      <c r="F624" s="6"/>
    </row>
    <row r="625" spans="1:6" x14ac:dyDescent="0.25">
      <c r="A625" t="s">
        <v>4044</v>
      </c>
      <c r="B625" t="s">
        <v>4045</v>
      </c>
      <c r="C625" t="s">
        <v>5</v>
      </c>
      <c r="D625" t="s">
        <v>4046</v>
      </c>
      <c r="E625" t="s">
        <v>4047</v>
      </c>
      <c r="F625" t="s">
        <v>4048</v>
      </c>
    </row>
    <row r="626" spans="1:6" x14ac:dyDescent="0.25">
      <c r="A626" t="s">
        <v>4062</v>
      </c>
      <c r="B626" t="s">
        <v>6528</v>
      </c>
      <c r="C626" t="s">
        <v>63</v>
      </c>
      <c r="D626" s="7">
        <v>1</v>
      </c>
      <c r="E626" s="2">
        <v>4208147</v>
      </c>
      <c r="F626" s="2">
        <v>4208147</v>
      </c>
    </row>
    <row r="627" spans="1:6" x14ac:dyDescent="0.25">
      <c r="A627" t="s">
        <v>4049</v>
      </c>
      <c r="B627" t="s">
        <v>4176</v>
      </c>
      <c r="C627" t="s">
        <v>4177</v>
      </c>
      <c r="D627" s="7">
        <v>1</v>
      </c>
      <c r="E627" s="2">
        <v>72300.17</v>
      </c>
      <c r="F627" s="2">
        <v>72300.17</v>
      </c>
    </row>
    <row r="628" spans="1:6" x14ac:dyDescent="0.25">
      <c r="A628" t="s">
        <v>4049</v>
      </c>
      <c r="B628" t="s">
        <v>4313</v>
      </c>
      <c r="C628" t="s">
        <v>4177</v>
      </c>
      <c r="D628" s="7">
        <v>1</v>
      </c>
      <c r="E628" s="2">
        <v>124137.15</v>
      </c>
      <c r="F628" s="2">
        <v>124137.15</v>
      </c>
    </row>
    <row r="629" spans="1:6" x14ac:dyDescent="0.25">
      <c r="A629" t="s">
        <v>4052</v>
      </c>
      <c r="B629" t="s">
        <v>4053</v>
      </c>
      <c r="C629" t="s">
        <v>4054</v>
      </c>
      <c r="D629" s="7">
        <v>10</v>
      </c>
      <c r="E629" s="2">
        <v>196437.32</v>
      </c>
      <c r="F629" s="2">
        <v>19643.73</v>
      </c>
    </row>
    <row r="630" spans="1:6" x14ac:dyDescent="0.25">
      <c r="A630" t="s">
        <v>4055</v>
      </c>
      <c r="D630" s="7"/>
      <c r="E630" s="2"/>
      <c r="F630" s="2">
        <f>SUBTOTAL(109,A_2_04_63[VALOR PARCIAL])</f>
      </c>
    </row>
    <row r="632" ht="30" customHeight="1" spans="1:6" x14ac:dyDescent="0.25">
      <c r="A632" s="5" t="s">
        <v>6529</v>
      </c>
      <c r="B632" s="5"/>
      <c r="C632" s="5"/>
      <c r="D632" s="5"/>
      <c r="E632" s="5"/>
      <c r="F632" s="5"/>
    </row>
    <row r="633" ht="42" customHeight="1" spans="1:6" x14ac:dyDescent="0.25">
      <c r="A633" s="6" t="s">
        <v>6530</v>
      </c>
      <c r="B633" s="6"/>
      <c r="C633" s="6"/>
      <c r="D633" s="6"/>
      <c r="E633" s="6"/>
      <c r="F633" s="6"/>
    </row>
    <row r="634" spans="1:6" x14ac:dyDescent="0.25">
      <c r="A634" t="s">
        <v>4044</v>
      </c>
      <c r="B634" t="s">
        <v>4045</v>
      </c>
      <c r="C634" t="s">
        <v>5</v>
      </c>
      <c r="D634" t="s">
        <v>4046</v>
      </c>
      <c r="E634" t="s">
        <v>4047</v>
      </c>
      <c r="F634" t="s">
        <v>4048</v>
      </c>
    </row>
    <row r="635" spans="1:6" x14ac:dyDescent="0.25">
      <c r="A635" t="s">
        <v>4062</v>
      </c>
      <c r="B635" t="s">
        <v>6531</v>
      </c>
      <c r="C635" t="s">
        <v>63</v>
      </c>
      <c r="D635" s="7">
        <v>1</v>
      </c>
      <c r="E635" s="2">
        <v>4208307</v>
      </c>
      <c r="F635" s="2">
        <v>4208307</v>
      </c>
    </row>
    <row r="636" spans="1:6" x14ac:dyDescent="0.25">
      <c r="A636" t="s">
        <v>4049</v>
      </c>
      <c r="B636" t="s">
        <v>4176</v>
      </c>
      <c r="C636" t="s">
        <v>4177</v>
      </c>
      <c r="D636" s="7">
        <v>1</v>
      </c>
      <c r="E636" s="2">
        <v>72300.17</v>
      </c>
      <c r="F636" s="2">
        <v>72300.17</v>
      </c>
    </row>
    <row r="637" spans="1:6" x14ac:dyDescent="0.25">
      <c r="A637" t="s">
        <v>4049</v>
      </c>
      <c r="B637" t="s">
        <v>4313</v>
      </c>
      <c r="C637" t="s">
        <v>4177</v>
      </c>
      <c r="D637" s="7">
        <v>1</v>
      </c>
      <c r="E637" s="2">
        <v>124137.15</v>
      </c>
      <c r="F637" s="2">
        <v>124137.15</v>
      </c>
    </row>
    <row r="638" spans="1:6" x14ac:dyDescent="0.25">
      <c r="A638" t="s">
        <v>4052</v>
      </c>
      <c r="B638" t="s">
        <v>4053</v>
      </c>
      <c r="C638" t="s">
        <v>4054</v>
      </c>
      <c r="D638" s="7">
        <v>10</v>
      </c>
      <c r="E638" s="2">
        <v>196437.32</v>
      </c>
      <c r="F638" s="2">
        <v>19643.73</v>
      </c>
    </row>
    <row r="639" spans="1:6" x14ac:dyDescent="0.25">
      <c r="A639" t="s">
        <v>4055</v>
      </c>
      <c r="D639" s="7"/>
      <c r="E639" s="2"/>
      <c r="F639" s="2">
        <f>SUBTOTAL(109,A_2_04_64[VALOR PARCIAL])</f>
      </c>
    </row>
    <row r="641" ht="30" customHeight="1" spans="1:6" x14ac:dyDescent="0.25">
      <c r="A641" s="5" t="s">
        <v>6532</v>
      </c>
      <c r="B641" s="5"/>
      <c r="C641" s="5"/>
      <c r="D641" s="5"/>
      <c r="E641" s="5"/>
      <c r="F641" s="5"/>
    </row>
    <row r="642" ht="42" customHeight="1" spans="1:6" x14ac:dyDescent="0.25">
      <c r="A642" s="6" t="s">
        <v>6533</v>
      </c>
      <c r="B642" s="6"/>
      <c r="C642" s="6"/>
      <c r="D642" s="6"/>
      <c r="E642" s="6"/>
      <c r="F642" s="6"/>
    </row>
    <row r="643" spans="1:6" x14ac:dyDescent="0.25">
      <c r="A643" t="s">
        <v>4044</v>
      </c>
      <c r="B643" t="s">
        <v>4045</v>
      </c>
      <c r="C643" t="s">
        <v>5</v>
      </c>
      <c r="D643" t="s">
        <v>4046</v>
      </c>
      <c r="E643" t="s">
        <v>4047</v>
      </c>
      <c r="F643" t="s">
        <v>4048</v>
      </c>
    </row>
    <row r="644" spans="1:6" x14ac:dyDescent="0.25">
      <c r="A644" t="s">
        <v>4062</v>
      </c>
      <c r="B644" t="s">
        <v>4354</v>
      </c>
      <c r="C644" t="s">
        <v>4171</v>
      </c>
      <c r="D644" s="7">
        <v>1</v>
      </c>
      <c r="E644" s="2">
        <v>1148</v>
      </c>
      <c r="F644" s="2">
        <v>1148</v>
      </c>
    </row>
    <row r="645" spans="1:6" x14ac:dyDescent="0.25">
      <c r="A645" t="s">
        <v>4062</v>
      </c>
      <c r="B645" t="s">
        <v>6534</v>
      </c>
      <c r="C645" t="s">
        <v>63</v>
      </c>
      <c r="D645" s="7">
        <v>1</v>
      </c>
      <c r="E645" s="2">
        <v>58300</v>
      </c>
      <c r="F645" s="2">
        <v>58300</v>
      </c>
    </row>
    <row r="646" spans="1:6" x14ac:dyDescent="0.25">
      <c r="A646" t="s">
        <v>4049</v>
      </c>
      <c r="B646" t="s">
        <v>4176</v>
      </c>
      <c r="C646" t="s">
        <v>4177</v>
      </c>
      <c r="D646" s="7">
        <v>0.1</v>
      </c>
      <c r="E646" s="2">
        <v>72300.17</v>
      </c>
      <c r="F646" s="2">
        <v>7230.02</v>
      </c>
    </row>
    <row r="647" spans="1:6" x14ac:dyDescent="0.25">
      <c r="A647" t="s">
        <v>4049</v>
      </c>
      <c r="B647" t="s">
        <v>4313</v>
      </c>
      <c r="C647" t="s">
        <v>4177</v>
      </c>
      <c r="D647" s="7">
        <v>0.1</v>
      </c>
      <c r="E647" s="2">
        <v>124137.15</v>
      </c>
      <c r="F647" s="2">
        <v>12413.72</v>
      </c>
    </row>
    <row r="648" spans="1:6" x14ac:dyDescent="0.25">
      <c r="A648" t="s">
        <v>4052</v>
      </c>
      <c r="B648" t="s">
        <v>4053</v>
      </c>
      <c r="C648" t="s">
        <v>4054</v>
      </c>
      <c r="D648" s="7">
        <v>6.6</v>
      </c>
      <c r="E648" s="2">
        <v>19643.74</v>
      </c>
      <c r="F648" s="2">
        <v>1296.49</v>
      </c>
    </row>
    <row r="649" spans="1:6" x14ac:dyDescent="0.25">
      <c r="A649" t="s">
        <v>4055</v>
      </c>
      <c r="D649" s="7"/>
      <c r="E649" s="2"/>
      <c r="F649" s="2">
        <f>SUBTOTAL(109,A_2_04_65[VALOR PARCIAL])</f>
      </c>
    </row>
    <row r="651" ht="30" customHeight="1" spans="1:6" x14ac:dyDescent="0.25">
      <c r="A651" s="5" t="s">
        <v>6535</v>
      </c>
      <c r="B651" s="5"/>
      <c r="C651" s="5"/>
      <c r="D651" s="5"/>
      <c r="E651" s="5"/>
      <c r="F651" s="5"/>
    </row>
    <row r="652" ht="42" customHeight="1" spans="1:6" x14ac:dyDescent="0.25">
      <c r="A652" s="6" t="s">
        <v>6536</v>
      </c>
      <c r="B652" s="6"/>
      <c r="C652" s="6"/>
      <c r="D652" s="6"/>
      <c r="E652" s="6"/>
      <c r="F652" s="6"/>
    </row>
    <row r="653" spans="1:6" x14ac:dyDescent="0.25">
      <c r="A653" t="s">
        <v>4044</v>
      </c>
      <c r="B653" t="s">
        <v>4045</v>
      </c>
      <c r="C653" t="s">
        <v>5</v>
      </c>
      <c r="D653" t="s">
        <v>4046</v>
      </c>
      <c r="E653" t="s">
        <v>4047</v>
      </c>
      <c r="F653" t="s">
        <v>4048</v>
      </c>
    </row>
    <row r="654" spans="1:6" x14ac:dyDescent="0.25">
      <c r="A654" t="s">
        <v>4062</v>
      </c>
      <c r="B654" t="s">
        <v>4659</v>
      </c>
      <c r="C654" t="s">
        <v>4377</v>
      </c>
      <c r="D654" s="7">
        <v>0</v>
      </c>
      <c r="E654" s="2">
        <v>31500</v>
      </c>
      <c r="F654" s="2">
        <v>103.95</v>
      </c>
    </row>
    <row r="655" spans="1:6" x14ac:dyDescent="0.25">
      <c r="A655" t="s">
        <v>4062</v>
      </c>
      <c r="B655" t="s">
        <v>6537</v>
      </c>
      <c r="C655" t="s">
        <v>63</v>
      </c>
      <c r="D655" s="7">
        <v>1</v>
      </c>
      <c r="E655" s="2">
        <v>7505.33</v>
      </c>
      <c r="F655" s="2">
        <v>7505.33</v>
      </c>
    </row>
    <row r="656" spans="1:6" x14ac:dyDescent="0.25">
      <c r="A656" t="s">
        <v>4062</v>
      </c>
      <c r="B656" t="s">
        <v>4376</v>
      </c>
      <c r="C656" t="s">
        <v>4377</v>
      </c>
      <c r="D656" s="7">
        <v>0</v>
      </c>
      <c r="E656" s="2">
        <v>72237.67</v>
      </c>
      <c r="F656" s="2">
        <v>238.38</v>
      </c>
    </row>
    <row r="657" spans="1:6" x14ac:dyDescent="0.25">
      <c r="A657" t="s">
        <v>4049</v>
      </c>
      <c r="B657" t="s">
        <v>4176</v>
      </c>
      <c r="C657" t="s">
        <v>4177</v>
      </c>
      <c r="D657" s="7">
        <v>0.04</v>
      </c>
      <c r="E657" s="2">
        <v>72300.17</v>
      </c>
      <c r="F657" s="2">
        <v>2892.01</v>
      </c>
    </row>
    <row r="658" spans="1:6" x14ac:dyDescent="0.25">
      <c r="A658" t="s">
        <v>4049</v>
      </c>
      <c r="B658" t="s">
        <v>4313</v>
      </c>
      <c r="C658" t="s">
        <v>4177</v>
      </c>
      <c r="D658" s="7">
        <v>0.04</v>
      </c>
      <c r="E658" s="2">
        <v>124137.15</v>
      </c>
      <c r="F658" s="2">
        <v>4965.49</v>
      </c>
    </row>
    <row r="659" spans="1:6" x14ac:dyDescent="0.25">
      <c r="A659" t="s">
        <v>4052</v>
      </c>
      <c r="B659" t="s">
        <v>4053</v>
      </c>
      <c r="C659" t="s">
        <v>4054</v>
      </c>
      <c r="D659" s="7">
        <v>6.6</v>
      </c>
      <c r="E659" s="2">
        <v>7857.5</v>
      </c>
      <c r="F659" s="2">
        <v>518.6</v>
      </c>
    </row>
    <row r="660" spans="1:6" x14ac:dyDescent="0.25">
      <c r="A660" t="s">
        <v>4055</v>
      </c>
      <c r="D660" s="7"/>
      <c r="E660" s="2"/>
      <c r="F660" s="2">
        <f>SUBTOTAL(109,A_2_04_66[VALOR PARCIAL])</f>
      </c>
    </row>
    <row r="662" ht="30" customHeight="1" spans="1:6" x14ac:dyDescent="0.25">
      <c r="A662" s="5" t="s">
        <v>6538</v>
      </c>
      <c r="B662" s="5"/>
      <c r="C662" s="5"/>
      <c r="D662" s="5"/>
      <c r="E662" s="5"/>
      <c r="F662" s="5"/>
    </row>
    <row r="663" ht="42" customHeight="1" spans="1:6" x14ac:dyDescent="0.25">
      <c r="A663" s="6" t="s">
        <v>6539</v>
      </c>
      <c r="B663" s="6"/>
      <c r="C663" s="6"/>
      <c r="D663" s="6"/>
      <c r="E663" s="6"/>
      <c r="F663" s="6"/>
    </row>
    <row r="664" spans="1:6" x14ac:dyDescent="0.25">
      <c r="A664" t="s">
        <v>4044</v>
      </c>
      <c r="B664" t="s">
        <v>4045</v>
      </c>
      <c r="C664" t="s">
        <v>5</v>
      </c>
      <c r="D664" t="s">
        <v>4046</v>
      </c>
      <c r="E664" t="s">
        <v>4047</v>
      </c>
      <c r="F664" t="s">
        <v>4048</v>
      </c>
    </row>
    <row r="665" spans="1:6" x14ac:dyDescent="0.25">
      <c r="A665" t="s">
        <v>4062</v>
      </c>
      <c r="B665" t="s">
        <v>4354</v>
      </c>
      <c r="C665" t="s">
        <v>4171</v>
      </c>
      <c r="D665" s="7">
        <v>1</v>
      </c>
      <c r="E665" s="2">
        <v>1148</v>
      </c>
      <c r="F665" s="2">
        <v>1148</v>
      </c>
    </row>
    <row r="666" spans="1:6" x14ac:dyDescent="0.25">
      <c r="A666" t="s">
        <v>4062</v>
      </c>
      <c r="B666" t="s">
        <v>6540</v>
      </c>
      <c r="C666" t="s">
        <v>63</v>
      </c>
      <c r="D666" s="7">
        <v>1</v>
      </c>
      <c r="E666" s="2">
        <v>177950</v>
      </c>
      <c r="F666" s="2">
        <v>177950</v>
      </c>
    </row>
    <row r="667" spans="1:6" x14ac:dyDescent="0.25">
      <c r="A667" t="s">
        <v>4049</v>
      </c>
      <c r="B667" t="s">
        <v>4176</v>
      </c>
      <c r="C667" t="s">
        <v>4177</v>
      </c>
      <c r="D667" s="7">
        <v>0.2</v>
      </c>
      <c r="E667" s="2">
        <v>72300.17</v>
      </c>
      <c r="F667" s="2">
        <v>14460.03</v>
      </c>
    </row>
    <row r="668" spans="1:6" x14ac:dyDescent="0.25">
      <c r="A668" t="s">
        <v>4049</v>
      </c>
      <c r="B668" t="s">
        <v>4313</v>
      </c>
      <c r="C668" t="s">
        <v>4177</v>
      </c>
      <c r="D668" s="7">
        <v>0.1</v>
      </c>
      <c r="E668" s="2">
        <v>124137.15</v>
      </c>
      <c r="F668" s="2">
        <v>12413.72</v>
      </c>
    </row>
    <row r="669" spans="1:6" x14ac:dyDescent="0.25">
      <c r="A669" t="s">
        <v>4052</v>
      </c>
      <c r="B669" t="s">
        <v>4053</v>
      </c>
      <c r="C669" t="s">
        <v>4054</v>
      </c>
      <c r="D669" s="7">
        <v>6.6</v>
      </c>
      <c r="E669" s="2">
        <v>26873.75</v>
      </c>
      <c r="F669" s="2">
        <v>1773.67</v>
      </c>
    </row>
    <row r="670" spans="1:6" x14ac:dyDescent="0.25">
      <c r="A670" t="s">
        <v>4055</v>
      </c>
      <c r="D670" s="7"/>
      <c r="E670" s="2"/>
      <c r="F670" s="2">
        <f>SUBTOTAL(109,A_2_04_67[VALOR PARCIAL])</f>
      </c>
    </row>
    <row r="672" ht="30" customHeight="1" spans="1:6" x14ac:dyDescent="0.25">
      <c r="A672" s="5" t="s">
        <v>6541</v>
      </c>
      <c r="B672" s="5"/>
      <c r="C672" s="5"/>
      <c r="D672" s="5"/>
      <c r="E672" s="5"/>
      <c r="F672" s="5"/>
    </row>
    <row r="673" ht="42" customHeight="1" spans="1:6" x14ac:dyDescent="0.25">
      <c r="A673" s="6" t="s">
        <v>6542</v>
      </c>
      <c r="B673" s="6"/>
      <c r="C673" s="6"/>
      <c r="D673" s="6"/>
      <c r="E673" s="6"/>
      <c r="F673" s="6"/>
    </row>
    <row r="674" spans="1:6" x14ac:dyDescent="0.25">
      <c r="A674" t="s">
        <v>4044</v>
      </c>
      <c r="B674" t="s">
        <v>4045</v>
      </c>
      <c r="C674" t="s">
        <v>5</v>
      </c>
      <c r="D674" t="s">
        <v>4046</v>
      </c>
      <c r="E674" t="s">
        <v>4047</v>
      </c>
      <c r="F674" t="s">
        <v>4048</v>
      </c>
    </row>
    <row r="675" spans="1:6" x14ac:dyDescent="0.25">
      <c r="A675" t="s">
        <v>4062</v>
      </c>
      <c r="B675" t="s">
        <v>4354</v>
      </c>
      <c r="C675" t="s">
        <v>4171</v>
      </c>
      <c r="D675" s="7">
        <v>1</v>
      </c>
      <c r="E675" s="2">
        <v>1148</v>
      </c>
      <c r="F675" s="2">
        <v>1148</v>
      </c>
    </row>
    <row r="676" spans="1:6" x14ac:dyDescent="0.25">
      <c r="A676" t="s">
        <v>4062</v>
      </c>
      <c r="B676" t="s">
        <v>6543</v>
      </c>
      <c r="C676" t="s">
        <v>63</v>
      </c>
      <c r="D676" s="7">
        <v>1</v>
      </c>
      <c r="E676" s="2">
        <v>97482</v>
      </c>
      <c r="F676" s="2">
        <v>97482</v>
      </c>
    </row>
    <row r="677" spans="1:6" x14ac:dyDescent="0.25">
      <c r="A677" t="s">
        <v>4049</v>
      </c>
      <c r="B677" t="s">
        <v>4176</v>
      </c>
      <c r="C677" t="s">
        <v>4177</v>
      </c>
      <c r="D677" s="7">
        <v>0.2</v>
      </c>
      <c r="E677" s="2">
        <v>72300.17</v>
      </c>
      <c r="F677" s="2">
        <v>14460.03</v>
      </c>
    </row>
    <row r="678" spans="1:6" x14ac:dyDescent="0.25">
      <c r="A678" t="s">
        <v>4049</v>
      </c>
      <c r="B678" t="s">
        <v>4313</v>
      </c>
      <c r="C678" t="s">
        <v>4177</v>
      </c>
      <c r="D678" s="7">
        <v>0.1</v>
      </c>
      <c r="E678" s="2">
        <v>124137.15</v>
      </c>
      <c r="F678" s="2">
        <v>12413.72</v>
      </c>
    </row>
    <row r="679" spans="1:6" x14ac:dyDescent="0.25">
      <c r="A679" t="s">
        <v>4052</v>
      </c>
      <c r="B679" t="s">
        <v>4053</v>
      </c>
      <c r="C679" t="s">
        <v>4054</v>
      </c>
      <c r="D679" s="7">
        <v>6.6</v>
      </c>
      <c r="E679" s="2">
        <v>26873.75</v>
      </c>
      <c r="F679" s="2">
        <v>1773.67</v>
      </c>
    </row>
    <row r="680" spans="1:6" x14ac:dyDescent="0.25">
      <c r="A680" t="s">
        <v>4055</v>
      </c>
      <c r="D680" s="7"/>
      <c r="E680" s="2"/>
      <c r="F680" s="2">
        <f>SUBTOTAL(109,A_2_04_68[VALOR PARCIAL])</f>
      </c>
    </row>
    <row r="682" ht="30" customHeight="1" spans="1:6" x14ac:dyDescent="0.25">
      <c r="A682" s="5" t="s">
        <v>6544</v>
      </c>
      <c r="B682" s="5"/>
      <c r="C682" s="5"/>
      <c r="D682" s="5"/>
      <c r="E682" s="5"/>
      <c r="F682" s="5"/>
    </row>
    <row r="683" ht="42" customHeight="1" spans="1:6" x14ac:dyDescent="0.25">
      <c r="A683" s="6" t="s">
        <v>6545</v>
      </c>
      <c r="B683" s="6"/>
      <c r="C683" s="6"/>
      <c r="D683" s="6"/>
      <c r="E683" s="6"/>
      <c r="F683" s="6"/>
    </row>
    <row r="684" spans="1:6" x14ac:dyDescent="0.25">
      <c r="A684" t="s">
        <v>4044</v>
      </c>
      <c r="B684" t="s">
        <v>4045</v>
      </c>
      <c r="C684" t="s">
        <v>5</v>
      </c>
      <c r="D684" t="s">
        <v>4046</v>
      </c>
      <c r="E684" t="s">
        <v>4047</v>
      </c>
      <c r="F684" t="s">
        <v>4048</v>
      </c>
    </row>
    <row r="685" spans="1:6" x14ac:dyDescent="0.25">
      <c r="A685" t="s">
        <v>4062</v>
      </c>
      <c r="B685" t="s">
        <v>4659</v>
      </c>
      <c r="C685" t="s">
        <v>4377</v>
      </c>
      <c r="D685" s="7">
        <v>0</v>
      </c>
      <c r="E685" s="2">
        <v>31500</v>
      </c>
      <c r="F685" s="2">
        <v>126</v>
      </c>
    </row>
    <row r="686" spans="1:6" x14ac:dyDescent="0.25">
      <c r="A686" t="s">
        <v>4062</v>
      </c>
      <c r="B686" t="s">
        <v>6546</v>
      </c>
      <c r="C686" t="s">
        <v>63</v>
      </c>
      <c r="D686" s="7">
        <v>1</v>
      </c>
      <c r="E686" s="2">
        <v>9651.08</v>
      </c>
      <c r="F686" s="2">
        <v>9651.08</v>
      </c>
    </row>
    <row r="687" spans="1:6" x14ac:dyDescent="0.25">
      <c r="A687" t="s">
        <v>4062</v>
      </c>
      <c r="B687" t="s">
        <v>4376</v>
      </c>
      <c r="C687" t="s">
        <v>4377</v>
      </c>
      <c r="D687" s="7">
        <v>0</v>
      </c>
      <c r="E687" s="2">
        <v>72237.67</v>
      </c>
      <c r="F687" s="2">
        <v>288.95</v>
      </c>
    </row>
    <row r="688" spans="1:6" x14ac:dyDescent="0.25">
      <c r="A688" t="s">
        <v>4049</v>
      </c>
      <c r="B688" t="s">
        <v>4176</v>
      </c>
      <c r="C688" t="s">
        <v>4177</v>
      </c>
      <c r="D688" s="7">
        <v>0.05</v>
      </c>
      <c r="E688" s="2">
        <v>72300.17</v>
      </c>
      <c r="F688" s="2">
        <v>3615.01</v>
      </c>
    </row>
    <row r="689" spans="1:6" x14ac:dyDescent="0.25">
      <c r="A689" t="s">
        <v>4049</v>
      </c>
      <c r="B689" t="s">
        <v>4313</v>
      </c>
      <c r="C689" t="s">
        <v>4177</v>
      </c>
      <c r="D689" s="7">
        <v>0.05</v>
      </c>
      <c r="E689" s="2">
        <v>124137.15</v>
      </c>
      <c r="F689" s="2">
        <v>6206.86</v>
      </c>
    </row>
    <row r="690" spans="1:6" x14ac:dyDescent="0.25">
      <c r="A690" t="s">
        <v>4052</v>
      </c>
      <c r="B690" t="s">
        <v>4053</v>
      </c>
      <c r="C690" t="s">
        <v>4054</v>
      </c>
      <c r="D690" s="7">
        <v>6.6</v>
      </c>
      <c r="E690" s="2">
        <v>9821.87</v>
      </c>
      <c r="F690" s="2">
        <v>648.24</v>
      </c>
    </row>
    <row r="691" spans="1:6" x14ac:dyDescent="0.25">
      <c r="A691" t="s">
        <v>4055</v>
      </c>
      <c r="D691" s="7"/>
      <c r="E691" s="2"/>
      <c r="F691" s="2">
        <f>SUBTOTAL(109,A_2_04_69[VALOR PARCIAL])</f>
      </c>
    </row>
    <row r="693" ht="30" customHeight="1" spans="1:6" x14ac:dyDescent="0.25">
      <c r="A693" s="5" t="s">
        <v>6547</v>
      </c>
      <c r="B693" s="5"/>
      <c r="C693" s="5"/>
      <c r="D693" s="5"/>
      <c r="E693" s="5"/>
      <c r="F693" s="5"/>
    </row>
    <row r="694" ht="42" customHeight="1" spans="1:6" x14ac:dyDescent="0.25">
      <c r="A694" s="6" t="s">
        <v>6548</v>
      </c>
      <c r="B694" s="6"/>
      <c r="C694" s="6"/>
      <c r="D694" s="6"/>
      <c r="E694" s="6"/>
      <c r="F694" s="6"/>
    </row>
    <row r="695" spans="1:6" x14ac:dyDescent="0.25">
      <c r="A695" t="s">
        <v>4044</v>
      </c>
      <c r="B695" t="s">
        <v>4045</v>
      </c>
      <c r="C695" t="s">
        <v>5</v>
      </c>
      <c r="D695" t="s">
        <v>4046</v>
      </c>
      <c r="E695" t="s">
        <v>4047</v>
      </c>
      <c r="F695" t="s">
        <v>4048</v>
      </c>
    </row>
    <row r="696" spans="1:6" x14ac:dyDescent="0.25">
      <c r="A696" t="s">
        <v>4062</v>
      </c>
      <c r="B696" t="s">
        <v>4354</v>
      </c>
      <c r="C696" t="s">
        <v>4171</v>
      </c>
      <c r="D696" s="7">
        <v>1</v>
      </c>
      <c r="E696" s="2">
        <v>1148</v>
      </c>
      <c r="F696" s="2">
        <v>1148</v>
      </c>
    </row>
    <row r="697" spans="1:6" x14ac:dyDescent="0.25">
      <c r="A697" t="s">
        <v>4062</v>
      </c>
      <c r="B697" t="s">
        <v>6549</v>
      </c>
      <c r="C697" t="s">
        <v>63</v>
      </c>
      <c r="D697" s="7">
        <v>1</v>
      </c>
      <c r="E697" s="2">
        <v>310500</v>
      </c>
      <c r="F697" s="2">
        <v>310500</v>
      </c>
    </row>
    <row r="698" spans="1:6" x14ac:dyDescent="0.25">
      <c r="A698" t="s">
        <v>4049</v>
      </c>
      <c r="B698" t="s">
        <v>4176</v>
      </c>
      <c r="C698" t="s">
        <v>4177</v>
      </c>
      <c r="D698" s="7">
        <v>0.2</v>
      </c>
      <c r="E698" s="2">
        <v>72300.17</v>
      </c>
      <c r="F698" s="2">
        <v>14460.03</v>
      </c>
    </row>
    <row r="699" spans="1:6" x14ac:dyDescent="0.25">
      <c r="A699" t="s">
        <v>4049</v>
      </c>
      <c r="B699" t="s">
        <v>4313</v>
      </c>
      <c r="C699" t="s">
        <v>4177</v>
      </c>
      <c r="D699" s="7">
        <v>0.1</v>
      </c>
      <c r="E699" s="2">
        <v>124137.15</v>
      </c>
      <c r="F699" s="2">
        <v>12413.72</v>
      </c>
    </row>
    <row r="700" spans="1:6" x14ac:dyDescent="0.25">
      <c r="A700" t="s">
        <v>4052</v>
      </c>
      <c r="B700" t="s">
        <v>4053</v>
      </c>
      <c r="C700" t="s">
        <v>4054</v>
      </c>
      <c r="D700" s="7">
        <v>6.6</v>
      </c>
      <c r="E700" s="2">
        <v>26873.75</v>
      </c>
      <c r="F700" s="2">
        <v>1773.67</v>
      </c>
    </row>
    <row r="701" spans="1:6" x14ac:dyDescent="0.25">
      <c r="A701" t="s">
        <v>4055</v>
      </c>
      <c r="D701" s="7"/>
      <c r="E701" s="2"/>
      <c r="F701" s="2">
        <f>SUBTOTAL(109,A_2_04_70[VALOR PARCIAL])</f>
      </c>
    </row>
    <row r="703" ht="30" customHeight="1" spans="1:6" x14ac:dyDescent="0.25">
      <c r="A703" s="5" t="s">
        <v>6550</v>
      </c>
      <c r="B703" s="5"/>
      <c r="C703" s="5"/>
      <c r="D703" s="5"/>
      <c r="E703" s="5"/>
      <c r="F703" s="5"/>
    </row>
    <row r="704" ht="42" customHeight="1" spans="1:6" x14ac:dyDescent="0.25">
      <c r="A704" s="6" t="s">
        <v>6551</v>
      </c>
      <c r="B704" s="6"/>
      <c r="C704" s="6"/>
      <c r="D704" s="6"/>
      <c r="E704" s="6"/>
      <c r="F704" s="6"/>
    </row>
    <row r="705" spans="1:6" x14ac:dyDescent="0.25">
      <c r="A705" t="s">
        <v>4044</v>
      </c>
      <c r="B705" t="s">
        <v>4045</v>
      </c>
      <c r="C705" t="s">
        <v>5</v>
      </c>
      <c r="D705" t="s">
        <v>4046</v>
      </c>
      <c r="E705" t="s">
        <v>4047</v>
      </c>
      <c r="F705" t="s">
        <v>4048</v>
      </c>
    </row>
    <row r="706" spans="1:6" x14ac:dyDescent="0.25">
      <c r="A706" t="s">
        <v>4062</v>
      </c>
      <c r="B706" t="s">
        <v>4354</v>
      </c>
      <c r="C706" t="s">
        <v>4171</v>
      </c>
      <c r="D706" s="7">
        <v>1</v>
      </c>
      <c r="E706" s="2">
        <v>1148</v>
      </c>
      <c r="F706" s="2">
        <v>1148</v>
      </c>
    </row>
    <row r="707" spans="1:6" x14ac:dyDescent="0.25">
      <c r="A707" t="s">
        <v>4062</v>
      </c>
      <c r="B707" t="s">
        <v>6552</v>
      </c>
      <c r="C707" t="s">
        <v>63</v>
      </c>
      <c r="D707" s="7">
        <v>1</v>
      </c>
      <c r="E707" s="2">
        <v>56650</v>
      </c>
      <c r="F707" s="2">
        <v>56650</v>
      </c>
    </row>
    <row r="708" spans="1:6" x14ac:dyDescent="0.25">
      <c r="A708" t="s">
        <v>4049</v>
      </c>
      <c r="B708" t="s">
        <v>4176</v>
      </c>
      <c r="C708" t="s">
        <v>4177</v>
      </c>
      <c r="D708" s="7">
        <v>0.4</v>
      </c>
      <c r="E708" s="2">
        <v>72300.17</v>
      </c>
      <c r="F708" s="2">
        <v>28920.07</v>
      </c>
    </row>
    <row r="709" spans="1:6" x14ac:dyDescent="0.25">
      <c r="A709" t="s">
        <v>4049</v>
      </c>
      <c r="B709" t="s">
        <v>4313</v>
      </c>
      <c r="C709" t="s">
        <v>4177</v>
      </c>
      <c r="D709" s="7">
        <v>0.2</v>
      </c>
      <c r="E709" s="2">
        <v>124137.15</v>
      </c>
      <c r="F709" s="2">
        <v>24827.43</v>
      </c>
    </row>
    <row r="710" spans="1:6" x14ac:dyDescent="0.25">
      <c r="A710" t="s">
        <v>4052</v>
      </c>
      <c r="B710" t="s">
        <v>4053</v>
      </c>
      <c r="C710" t="s">
        <v>4054</v>
      </c>
      <c r="D710" s="7">
        <v>6.6</v>
      </c>
      <c r="E710" s="2">
        <v>53747.5</v>
      </c>
      <c r="F710" s="2">
        <v>3547.34</v>
      </c>
    </row>
    <row r="711" spans="1:6" x14ac:dyDescent="0.25">
      <c r="A711" t="s">
        <v>4055</v>
      </c>
      <c r="D711" s="7"/>
      <c r="E711" s="2"/>
      <c r="F711" s="2">
        <f>SUBTOTAL(109,A_2_04_71[VALOR PARCIAL])</f>
      </c>
    </row>
    <row r="713" ht="30" customHeight="1" spans="1:6" x14ac:dyDescent="0.25">
      <c r="A713" s="5" t="s">
        <v>6553</v>
      </c>
      <c r="B713" s="5"/>
      <c r="C713" s="5"/>
      <c r="D713" s="5"/>
      <c r="E713" s="5"/>
      <c r="F713" s="5"/>
    </row>
    <row r="714" ht="42" customHeight="1" spans="1:6" x14ac:dyDescent="0.25">
      <c r="A714" s="6" t="s">
        <v>6554</v>
      </c>
      <c r="B714" s="6"/>
      <c r="C714" s="6"/>
      <c r="D714" s="6"/>
      <c r="E714" s="6"/>
      <c r="F714" s="6"/>
    </row>
    <row r="715" spans="1:6" x14ac:dyDescent="0.25">
      <c r="A715" t="s">
        <v>4044</v>
      </c>
      <c r="B715" t="s">
        <v>4045</v>
      </c>
      <c r="C715" t="s">
        <v>5</v>
      </c>
      <c r="D715" t="s">
        <v>4046</v>
      </c>
      <c r="E715" t="s">
        <v>4047</v>
      </c>
      <c r="F715" t="s">
        <v>4048</v>
      </c>
    </row>
    <row r="716" spans="1:6" x14ac:dyDescent="0.25">
      <c r="A716" t="s">
        <v>4062</v>
      </c>
      <c r="B716" t="s">
        <v>4736</v>
      </c>
      <c r="C716" t="s">
        <v>63</v>
      </c>
      <c r="D716" s="7">
        <v>1</v>
      </c>
      <c r="E716" s="2">
        <v>2318</v>
      </c>
      <c r="F716" s="2">
        <v>2318</v>
      </c>
    </row>
    <row r="717" spans="1:6" x14ac:dyDescent="0.25">
      <c r="A717" t="s">
        <v>4062</v>
      </c>
      <c r="B717" t="s">
        <v>4659</v>
      </c>
      <c r="C717" t="s">
        <v>4377</v>
      </c>
      <c r="D717" s="7">
        <v>0</v>
      </c>
      <c r="E717" s="2">
        <v>31500</v>
      </c>
      <c r="F717" s="2">
        <v>31.5</v>
      </c>
    </row>
    <row r="718" spans="1:6" x14ac:dyDescent="0.25">
      <c r="A718" t="s">
        <v>4062</v>
      </c>
      <c r="B718" t="s">
        <v>4376</v>
      </c>
      <c r="C718" t="s">
        <v>4377</v>
      </c>
      <c r="D718" s="7">
        <v>0</v>
      </c>
      <c r="E718" s="2">
        <v>72237.67</v>
      </c>
      <c r="F718" s="2">
        <v>72.24</v>
      </c>
    </row>
    <row r="719" spans="1:6" x14ac:dyDescent="0.25">
      <c r="A719" t="s">
        <v>4049</v>
      </c>
      <c r="B719" t="s">
        <v>4241</v>
      </c>
      <c r="C719" t="s">
        <v>4051</v>
      </c>
      <c r="D719" s="7">
        <v>0.05</v>
      </c>
      <c r="E719" s="2">
        <v>9941.22</v>
      </c>
      <c r="F719" s="2">
        <v>497.06</v>
      </c>
    </row>
    <row r="720" spans="1:6" x14ac:dyDescent="0.25">
      <c r="A720" t="s">
        <v>4049</v>
      </c>
      <c r="B720" t="s">
        <v>4242</v>
      </c>
      <c r="C720" t="s">
        <v>4051</v>
      </c>
      <c r="D720" s="7">
        <v>0.05</v>
      </c>
      <c r="E720" s="2">
        <v>17069.53</v>
      </c>
      <c r="F720" s="2">
        <v>853.48</v>
      </c>
    </row>
    <row r="721" spans="1:6" x14ac:dyDescent="0.25">
      <c r="A721" t="s">
        <v>4052</v>
      </c>
      <c r="B721" t="s">
        <v>4053</v>
      </c>
      <c r="C721" t="s">
        <v>4054</v>
      </c>
      <c r="D721" s="7">
        <v>10</v>
      </c>
      <c r="E721" s="2">
        <v>1350.54</v>
      </c>
      <c r="F721" s="2">
        <v>135.05</v>
      </c>
    </row>
    <row r="722" spans="1:6" x14ac:dyDescent="0.25">
      <c r="A722" t="s">
        <v>4055</v>
      </c>
      <c r="D722" s="7"/>
      <c r="E722" s="2"/>
      <c r="F722" s="2">
        <f>SUBTOTAL(109,A_2_04_72[VALOR PARCIAL])</f>
      </c>
    </row>
    <row r="724" ht="30" customHeight="1" spans="1:6" x14ac:dyDescent="0.25">
      <c r="A724" s="5" t="s">
        <v>6555</v>
      </c>
      <c r="B724" s="5"/>
      <c r="C724" s="5"/>
      <c r="D724" s="5"/>
      <c r="E724" s="5"/>
      <c r="F724" s="5"/>
    </row>
    <row r="725" ht="42" customHeight="1" spans="1:6" x14ac:dyDescent="0.25">
      <c r="A725" s="6" t="s">
        <v>6556</v>
      </c>
      <c r="B725" s="6"/>
      <c r="C725" s="6"/>
      <c r="D725" s="6"/>
      <c r="E725" s="6"/>
      <c r="F725" s="6"/>
    </row>
    <row r="726" spans="1:6" x14ac:dyDescent="0.25">
      <c r="A726" t="s">
        <v>4044</v>
      </c>
      <c r="B726" t="s">
        <v>4045</v>
      </c>
      <c r="C726" t="s">
        <v>5</v>
      </c>
      <c r="D726" t="s">
        <v>4046</v>
      </c>
      <c r="E726" t="s">
        <v>4047</v>
      </c>
      <c r="F726" t="s">
        <v>4048</v>
      </c>
    </row>
    <row r="727" spans="1:6" x14ac:dyDescent="0.25">
      <c r="A727" t="s">
        <v>4062</v>
      </c>
      <c r="B727" t="s">
        <v>6557</v>
      </c>
      <c r="C727" t="s">
        <v>63</v>
      </c>
      <c r="D727" s="7">
        <v>1</v>
      </c>
      <c r="E727" s="2">
        <v>5926</v>
      </c>
      <c r="F727" s="2">
        <v>5926</v>
      </c>
    </row>
    <row r="728" spans="1:6" x14ac:dyDescent="0.25">
      <c r="A728" t="s">
        <v>4062</v>
      </c>
      <c r="B728" t="s">
        <v>4659</v>
      </c>
      <c r="C728" t="s">
        <v>4377</v>
      </c>
      <c r="D728" s="7">
        <v>0</v>
      </c>
      <c r="E728" s="2">
        <v>31500</v>
      </c>
      <c r="F728" s="2">
        <v>31.5</v>
      </c>
    </row>
    <row r="729" spans="1:6" x14ac:dyDescent="0.25">
      <c r="A729" t="s">
        <v>4062</v>
      </c>
      <c r="B729" t="s">
        <v>4376</v>
      </c>
      <c r="C729" t="s">
        <v>4377</v>
      </c>
      <c r="D729" s="7">
        <v>0</v>
      </c>
      <c r="E729" s="2">
        <v>72237.67</v>
      </c>
      <c r="F729" s="2">
        <v>72.24</v>
      </c>
    </row>
    <row r="730" spans="1:6" x14ac:dyDescent="0.25">
      <c r="A730" t="s">
        <v>4049</v>
      </c>
      <c r="B730" t="s">
        <v>4241</v>
      </c>
      <c r="C730" t="s">
        <v>4051</v>
      </c>
      <c r="D730" s="7">
        <v>0.06</v>
      </c>
      <c r="E730" s="2">
        <v>9941.22</v>
      </c>
      <c r="F730" s="2">
        <v>596.47</v>
      </c>
    </row>
    <row r="731" spans="1:6" x14ac:dyDescent="0.25">
      <c r="A731" t="s">
        <v>4049</v>
      </c>
      <c r="B731" t="s">
        <v>4242</v>
      </c>
      <c r="C731" t="s">
        <v>4051</v>
      </c>
      <c r="D731" s="7">
        <v>0.06</v>
      </c>
      <c r="E731" s="2">
        <v>17069.53</v>
      </c>
      <c r="F731" s="2">
        <v>1024.17</v>
      </c>
    </row>
    <row r="732" spans="1:6" x14ac:dyDescent="0.25">
      <c r="A732" t="s">
        <v>4052</v>
      </c>
      <c r="B732" t="s">
        <v>4053</v>
      </c>
      <c r="C732" t="s">
        <v>4054</v>
      </c>
      <c r="D732" s="7">
        <v>5</v>
      </c>
      <c r="E732" s="2">
        <v>1620.64</v>
      </c>
      <c r="F732" s="2">
        <v>81.03</v>
      </c>
    </row>
    <row r="733" spans="1:6" x14ac:dyDescent="0.25">
      <c r="A733" t="s">
        <v>4055</v>
      </c>
      <c r="D733" s="7"/>
      <c r="E733" s="2"/>
      <c r="F733" s="2">
        <f>SUBTOTAL(109,A_2_04_73[VALOR PARCIAL])</f>
      </c>
    </row>
    <row r="735" ht="30" customHeight="1" spans="1:6" x14ac:dyDescent="0.25">
      <c r="A735" s="5" t="s">
        <v>6558</v>
      </c>
      <c r="B735" s="5"/>
      <c r="C735" s="5"/>
      <c r="D735" s="5"/>
      <c r="E735" s="5"/>
      <c r="F735" s="5"/>
    </row>
    <row r="736" ht="42" customHeight="1" spans="1:6" x14ac:dyDescent="0.25">
      <c r="A736" s="6" t="s">
        <v>6559</v>
      </c>
      <c r="B736" s="6"/>
      <c r="C736" s="6"/>
      <c r="D736" s="6"/>
      <c r="E736" s="6"/>
      <c r="F736" s="6"/>
    </row>
    <row r="737" spans="1:6" x14ac:dyDescent="0.25">
      <c r="A737" t="s">
        <v>4044</v>
      </c>
      <c r="B737" t="s">
        <v>4045</v>
      </c>
      <c r="C737" t="s">
        <v>5</v>
      </c>
      <c r="D737" t="s">
        <v>4046</v>
      </c>
      <c r="E737" t="s">
        <v>4047</v>
      </c>
      <c r="F737" t="s">
        <v>4048</v>
      </c>
    </row>
    <row r="738" spans="1:6" x14ac:dyDescent="0.25">
      <c r="A738" t="s">
        <v>4062</v>
      </c>
      <c r="B738" t="s">
        <v>6560</v>
      </c>
      <c r="C738" t="s">
        <v>63</v>
      </c>
      <c r="D738" s="7">
        <v>1</v>
      </c>
      <c r="E738" s="2">
        <v>6873</v>
      </c>
      <c r="F738" s="2">
        <v>6873</v>
      </c>
    </row>
    <row r="739" spans="1:6" x14ac:dyDescent="0.25">
      <c r="A739" t="s">
        <v>4062</v>
      </c>
      <c r="B739" t="s">
        <v>4659</v>
      </c>
      <c r="C739" t="s">
        <v>4377</v>
      </c>
      <c r="D739" s="7">
        <v>0.01</v>
      </c>
      <c r="E739" s="2">
        <v>31500</v>
      </c>
      <c r="F739" s="2">
        <v>179.55</v>
      </c>
    </row>
    <row r="740" spans="1:6" x14ac:dyDescent="0.25">
      <c r="A740" t="s">
        <v>4062</v>
      </c>
      <c r="B740" t="s">
        <v>4376</v>
      </c>
      <c r="C740" t="s">
        <v>4377</v>
      </c>
      <c r="D740" s="7">
        <v>0.01</v>
      </c>
      <c r="E740" s="2">
        <v>72237.67</v>
      </c>
      <c r="F740" s="2">
        <v>411.75</v>
      </c>
    </row>
    <row r="741" spans="1:6" x14ac:dyDescent="0.25">
      <c r="A741" t="s">
        <v>4049</v>
      </c>
      <c r="B741" t="s">
        <v>4241</v>
      </c>
      <c r="C741" t="s">
        <v>4051</v>
      </c>
      <c r="D741" s="7">
        <v>0.1</v>
      </c>
      <c r="E741" s="2">
        <v>9941.22</v>
      </c>
      <c r="F741" s="2">
        <v>994.12</v>
      </c>
    </row>
    <row r="742" spans="1:6" x14ac:dyDescent="0.25">
      <c r="A742" t="s">
        <v>4049</v>
      </c>
      <c r="B742" t="s">
        <v>4242</v>
      </c>
      <c r="C742" t="s">
        <v>4051</v>
      </c>
      <c r="D742" s="7">
        <v>0.1</v>
      </c>
      <c r="E742" s="2">
        <v>17069.53</v>
      </c>
      <c r="F742" s="2">
        <v>1706.95</v>
      </c>
    </row>
    <row r="743" spans="1:6" x14ac:dyDescent="0.25">
      <c r="A743" t="s">
        <v>4052</v>
      </c>
      <c r="B743" t="s">
        <v>4053</v>
      </c>
      <c r="C743" t="s">
        <v>4054</v>
      </c>
      <c r="D743" s="7">
        <v>11</v>
      </c>
      <c r="E743" s="2">
        <v>2701.07</v>
      </c>
      <c r="F743" s="2">
        <v>297.12</v>
      </c>
    </row>
    <row r="744" spans="1:6" x14ac:dyDescent="0.25">
      <c r="A744" t="s">
        <v>4055</v>
      </c>
      <c r="D744" s="7"/>
      <c r="E744" s="2"/>
      <c r="F744" s="2">
        <f>SUBTOTAL(109,A_2_04_74[VALOR PARCIAL])</f>
      </c>
    </row>
    <row r="746" ht="30" customHeight="1" spans="1:6" x14ac:dyDescent="0.25">
      <c r="A746" s="5" t="s">
        <v>6561</v>
      </c>
      <c r="B746" s="5"/>
      <c r="C746" s="5"/>
      <c r="D746" s="5"/>
      <c r="E746" s="5"/>
      <c r="F746" s="5"/>
    </row>
    <row r="747" ht="42" customHeight="1" spans="1:6" x14ac:dyDescent="0.25">
      <c r="A747" s="6" t="s">
        <v>6562</v>
      </c>
      <c r="B747" s="6"/>
      <c r="C747" s="6"/>
      <c r="D747" s="6"/>
      <c r="E747" s="6"/>
      <c r="F747" s="6"/>
    </row>
    <row r="748" spans="1:6" x14ac:dyDescent="0.25">
      <c r="A748" t="s">
        <v>4044</v>
      </c>
      <c r="B748" t="s">
        <v>4045</v>
      </c>
      <c r="C748" t="s">
        <v>5</v>
      </c>
      <c r="D748" t="s">
        <v>4046</v>
      </c>
      <c r="E748" t="s">
        <v>4047</v>
      </c>
      <c r="F748" t="s">
        <v>4048</v>
      </c>
    </row>
    <row r="749" spans="1:6" x14ac:dyDescent="0.25">
      <c r="A749" t="s">
        <v>4062</v>
      </c>
      <c r="B749" t="s">
        <v>4750</v>
      </c>
      <c r="C749" t="s">
        <v>63</v>
      </c>
      <c r="D749" s="7">
        <v>1</v>
      </c>
      <c r="E749" s="2">
        <v>741</v>
      </c>
      <c r="F749" s="2">
        <v>741</v>
      </c>
    </row>
    <row r="750" spans="1:6" x14ac:dyDescent="0.25">
      <c r="A750" t="s">
        <v>4062</v>
      </c>
      <c r="B750" t="s">
        <v>4659</v>
      </c>
      <c r="C750" t="s">
        <v>4377</v>
      </c>
      <c r="D750" s="7">
        <v>0</v>
      </c>
      <c r="E750" s="2">
        <v>31500</v>
      </c>
      <c r="F750" s="2">
        <v>31.5</v>
      </c>
    </row>
    <row r="751" spans="1:6" x14ac:dyDescent="0.25">
      <c r="A751" t="s">
        <v>4062</v>
      </c>
      <c r="B751" t="s">
        <v>4376</v>
      </c>
      <c r="C751" t="s">
        <v>4377</v>
      </c>
      <c r="D751" s="7">
        <v>0</v>
      </c>
      <c r="E751" s="2">
        <v>72237.67</v>
      </c>
      <c r="F751" s="2">
        <v>72.24</v>
      </c>
    </row>
    <row r="752" spans="1:6" x14ac:dyDescent="0.25">
      <c r="A752" t="s">
        <v>4049</v>
      </c>
      <c r="B752" t="s">
        <v>4241</v>
      </c>
      <c r="C752" t="s">
        <v>4051</v>
      </c>
      <c r="D752" s="7">
        <v>0.01</v>
      </c>
      <c r="E752" s="2">
        <v>9941.22</v>
      </c>
      <c r="F752" s="2">
        <v>109.35</v>
      </c>
    </row>
    <row r="753" spans="1:6" x14ac:dyDescent="0.25">
      <c r="A753" t="s">
        <v>4049</v>
      </c>
      <c r="B753" t="s">
        <v>4242</v>
      </c>
      <c r="C753" t="s">
        <v>4051</v>
      </c>
      <c r="D753" s="7">
        <v>0.01</v>
      </c>
      <c r="E753" s="2">
        <v>17069.53</v>
      </c>
      <c r="F753" s="2">
        <v>187.76</v>
      </c>
    </row>
    <row r="754" spans="1:6" x14ac:dyDescent="0.25">
      <c r="A754" t="s">
        <v>4052</v>
      </c>
      <c r="B754" t="s">
        <v>4053</v>
      </c>
      <c r="C754" t="s">
        <v>4054</v>
      </c>
      <c r="D754" s="7">
        <v>5</v>
      </c>
      <c r="E754" s="2">
        <v>297.11</v>
      </c>
      <c r="F754" s="2">
        <v>14.86</v>
      </c>
    </row>
    <row r="755" spans="1:6" x14ac:dyDescent="0.25">
      <c r="A755" t="s">
        <v>4055</v>
      </c>
      <c r="D755" s="7"/>
      <c r="E755" s="2"/>
      <c r="F755" s="2">
        <f>SUBTOTAL(109,A_2_04_75[VALOR PARCIAL])</f>
      </c>
    </row>
    <row r="757" ht="30" customHeight="1" spans="1:6" x14ac:dyDescent="0.25">
      <c r="A757" s="5" t="s">
        <v>6563</v>
      </c>
      <c r="B757" s="5"/>
      <c r="C757" s="5"/>
      <c r="D757" s="5"/>
      <c r="E757" s="5"/>
      <c r="F757" s="5"/>
    </row>
    <row r="758" ht="42" customHeight="1" spans="1:6" x14ac:dyDescent="0.25">
      <c r="A758" s="6" t="s">
        <v>6564</v>
      </c>
      <c r="B758" s="6"/>
      <c r="C758" s="6"/>
      <c r="D758" s="6"/>
      <c r="E758" s="6"/>
      <c r="F758" s="6"/>
    </row>
    <row r="759" spans="1:6" x14ac:dyDescent="0.25">
      <c r="A759" t="s">
        <v>4044</v>
      </c>
      <c r="B759" t="s">
        <v>4045</v>
      </c>
      <c r="C759" t="s">
        <v>5</v>
      </c>
      <c r="D759" t="s">
        <v>4046</v>
      </c>
      <c r="E759" t="s">
        <v>4047</v>
      </c>
      <c r="F759" t="s">
        <v>4048</v>
      </c>
    </row>
    <row r="760" spans="1:6" x14ac:dyDescent="0.25">
      <c r="A760" t="s">
        <v>4062</v>
      </c>
      <c r="B760" t="s">
        <v>4682</v>
      </c>
      <c r="C760" t="s">
        <v>63</v>
      </c>
      <c r="D760" s="7">
        <v>1</v>
      </c>
      <c r="E760" s="2">
        <v>13300</v>
      </c>
      <c r="F760" s="2">
        <v>13300</v>
      </c>
    </row>
    <row r="761" spans="1:6" x14ac:dyDescent="0.25">
      <c r="A761" t="s">
        <v>4062</v>
      </c>
      <c r="B761" t="s">
        <v>4659</v>
      </c>
      <c r="C761" t="s">
        <v>4377</v>
      </c>
      <c r="D761" s="7">
        <v>0</v>
      </c>
      <c r="E761" s="2">
        <v>31500</v>
      </c>
      <c r="F761" s="2">
        <v>63</v>
      </c>
    </row>
    <row r="762" spans="1:6" x14ac:dyDescent="0.25">
      <c r="A762" t="s">
        <v>4062</v>
      </c>
      <c r="B762" t="s">
        <v>4376</v>
      </c>
      <c r="C762" t="s">
        <v>4377</v>
      </c>
      <c r="D762" s="7">
        <v>0</v>
      </c>
      <c r="E762" s="2">
        <v>72237.67</v>
      </c>
      <c r="F762" s="2">
        <v>144.48</v>
      </c>
    </row>
    <row r="763" spans="1:6" x14ac:dyDescent="0.25">
      <c r="A763" t="s">
        <v>4049</v>
      </c>
      <c r="B763" t="s">
        <v>4241</v>
      </c>
      <c r="C763" t="s">
        <v>4051</v>
      </c>
      <c r="D763" s="7">
        <v>0.05</v>
      </c>
      <c r="E763" s="2">
        <v>9941.22</v>
      </c>
      <c r="F763" s="2">
        <v>497.06</v>
      </c>
    </row>
    <row r="764" spans="1:6" x14ac:dyDescent="0.25">
      <c r="A764" t="s">
        <v>4049</v>
      </c>
      <c r="B764" t="s">
        <v>4242</v>
      </c>
      <c r="C764" t="s">
        <v>4051</v>
      </c>
      <c r="D764" s="7">
        <v>0.05</v>
      </c>
      <c r="E764" s="2">
        <v>17069.53</v>
      </c>
      <c r="F764" s="2">
        <v>853.48</v>
      </c>
    </row>
    <row r="765" spans="1:6" x14ac:dyDescent="0.25">
      <c r="A765" t="s">
        <v>4052</v>
      </c>
      <c r="B765" t="s">
        <v>4053</v>
      </c>
      <c r="C765" t="s">
        <v>4054</v>
      </c>
      <c r="D765" s="7">
        <v>10</v>
      </c>
      <c r="E765" s="2">
        <v>1350.54</v>
      </c>
      <c r="F765" s="2">
        <v>135.05</v>
      </c>
    </row>
    <row r="766" spans="1:6" x14ac:dyDescent="0.25">
      <c r="A766" t="s">
        <v>4055</v>
      </c>
      <c r="D766" s="7"/>
      <c r="E766" s="2"/>
      <c r="F766" s="2">
        <f>SUBTOTAL(109,A_2_04_76[VALOR PARCIAL])</f>
      </c>
    </row>
    <row r="768" ht="30" customHeight="1" spans="1:6" x14ac:dyDescent="0.25">
      <c r="A768" s="5" t="s">
        <v>6565</v>
      </c>
      <c r="B768" s="5"/>
      <c r="C768" s="5"/>
      <c r="D768" s="5"/>
      <c r="E768" s="5"/>
      <c r="F768" s="5"/>
    </row>
    <row r="769" ht="42" customHeight="1" spans="1:6" x14ac:dyDescent="0.25">
      <c r="A769" s="6" t="s">
        <v>6566</v>
      </c>
      <c r="B769" s="6"/>
      <c r="C769" s="6"/>
      <c r="D769" s="6"/>
      <c r="E769" s="6"/>
      <c r="F769" s="6"/>
    </row>
    <row r="770" spans="1:6" x14ac:dyDescent="0.25">
      <c r="A770" t="s">
        <v>4044</v>
      </c>
      <c r="B770" t="s">
        <v>4045</v>
      </c>
      <c r="C770" t="s">
        <v>5</v>
      </c>
      <c r="D770" t="s">
        <v>4046</v>
      </c>
      <c r="E770" t="s">
        <v>4047</v>
      </c>
      <c r="F770" t="s">
        <v>4048</v>
      </c>
    </row>
    <row r="771" spans="1:6" x14ac:dyDescent="0.25">
      <c r="A771" t="s">
        <v>4062</v>
      </c>
      <c r="B771" t="s">
        <v>6567</v>
      </c>
      <c r="C771" t="s">
        <v>63</v>
      </c>
      <c r="D771" s="7">
        <v>1</v>
      </c>
      <c r="E771" s="2">
        <v>51867</v>
      </c>
      <c r="F771" s="2">
        <v>51867</v>
      </c>
    </row>
    <row r="772" spans="1:6" x14ac:dyDescent="0.25">
      <c r="A772" t="s">
        <v>4062</v>
      </c>
      <c r="B772" t="s">
        <v>4659</v>
      </c>
      <c r="C772" t="s">
        <v>4377</v>
      </c>
      <c r="D772" s="7">
        <v>0</v>
      </c>
      <c r="E772" s="2">
        <v>31500</v>
      </c>
      <c r="F772" s="2">
        <v>63</v>
      </c>
    </row>
    <row r="773" spans="1:6" x14ac:dyDescent="0.25">
      <c r="A773" t="s">
        <v>4062</v>
      </c>
      <c r="B773" t="s">
        <v>4376</v>
      </c>
      <c r="C773" t="s">
        <v>4377</v>
      </c>
      <c r="D773" s="7">
        <v>0</v>
      </c>
      <c r="E773" s="2">
        <v>72237.67</v>
      </c>
      <c r="F773" s="2">
        <v>144.48</v>
      </c>
    </row>
    <row r="774" spans="1:6" x14ac:dyDescent="0.25">
      <c r="A774" t="s">
        <v>4049</v>
      </c>
      <c r="B774" t="s">
        <v>4241</v>
      </c>
      <c r="C774" t="s">
        <v>4051</v>
      </c>
      <c r="D774" s="7">
        <v>0.08</v>
      </c>
      <c r="E774" s="2">
        <v>9941.22</v>
      </c>
      <c r="F774" s="2">
        <v>795.3</v>
      </c>
    </row>
    <row r="775" spans="1:6" x14ac:dyDescent="0.25">
      <c r="A775" t="s">
        <v>4049</v>
      </c>
      <c r="B775" t="s">
        <v>4242</v>
      </c>
      <c r="C775" t="s">
        <v>4051</v>
      </c>
      <c r="D775" s="7">
        <v>0.08</v>
      </c>
      <c r="E775" s="2">
        <v>17069.53</v>
      </c>
      <c r="F775" s="2">
        <v>1365.56</v>
      </c>
    </row>
    <row r="776" spans="1:6" x14ac:dyDescent="0.25">
      <c r="A776" t="s">
        <v>4052</v>
      </c>
      <c r="B776" t="s">
        <v>4053</v>
      </c>
      <c r="C776" t="s">
        <v>4054</v>
      </c>
      <c r="D776" s="7">
        <v>10</v>
      </c>
      <c r="E776" s="2">
        <v>2160.86</v>
      </c>
      <c r="F776" s="2">
        <v>216.09</v>
      </c>
    </row>
    <row r="777" spans="1:6" x14ac:dyDescent="0.25">
      <c r="A777" t="s">
        <v>4055</v>
      </c>
      <c r="D777" s="7"/>
      <c r="E777" s="2"/>
      <c r="F777" s="2">
        <f>SUBTOTAL(109,A_2_04_77[VALOR PARCIAL])</f>
      </c>
    </row>
    <row r="779" ht="30" customHeight="1" spans="1:6" x14ac:dyDescent="0.25">
      <c r="A779" s="5" t="s">
        <v>6568</v>
      </c>
      <c r="B779" s="5"/>
      <c r="C779" s="5"/>
      <c r="D779" s="5"/>
      <c r="E779" s="5"/>
      <c r="F779" s="5"/>
    </row>
    <row r="780" ht="42" customHeight="1" spans="1:6" x14ac:dyDescent="0.25">
      <c r="A780" s="6" t="s">
        <v>6569</v>
      </c>
      <c r="B780" s="6"/>
      <c r="C780" s="6"/>
      <c r="D780" s="6"/>
      <c r="E780" s="6"/>
      <c r="F780" s="6"/>
    </row>
    <row r="781" spans="1:6" x14ac:dyDescent="0.25">
      <c r="A781" t="s">
        <v>4044</v>
      </c>
      <c r="B781" t="s">
        <v>4045</v>
      </c>
      <c r="C781" t="s">
        <v>5</v>
      </c>
      <c r="D781" t="s">
        <v>4046</v>
      </c>
      <c r="E781" t="s">
        <v>4047</v>
      </c>
      <c r="F781" t="s">
        <v>4048</v>
      </c>
    </row>
    <row r="782" spans="1:6" x14ac:dyDescent="0.25">
      <c r="A782" t="s">
        <v>4062</v>
      </c>
      <c r="B782" t="s">
        <v>4743</v>
      </c>
      <c r="C782" t="s">
        <v>63</v>
      </c>
      <c r="D782" s="7">
        <v>1</v>
      </c>
      <c r="E782" s="2">
        <v>1107</v>
      </c>
      <c r="F782" s="2">
        <v>1107</v>
      </c>
    </row>
    <row r="783" spans="1:6" x14ac:dyDescent="0.25">
      <c r="A783" t="s">
        <v>4062</v>
      </c>
      <c r="B783" t="s">
        <v>4659</v>
      </c>
      <c r="C783" t="s">
        <v>4377</v>
      </c>
      <c r="D783" s="7">
        <v>0</v>
      </c>
      <c r="E783" s="2">
        <v>31500</v>
      </c>
      <c r="F783" s="2">
        <v>31.5</v>
      </c>
    </row>
    <row r="784" spans="1:6" x14ac:dyDescent="0.25">
      <c r="A784" t="s">
        <v>4062</v>
      </c>
      <c r="B784" t="s">
        <v>4376</v>
      </c>
      <c r="C784" t="s">
        <v>4377</v>
      </c>
      <c r="D784" s="7">
        <v>0</v>
      </c>
      <c r="E784" s="2">
        <v>72237.67</v>
      </c>
      <c r="F784" s="2">
        <v>72.24</v>
      </c>
    </row>
    <row r="785" spans="1:6" x14ac:dyDescent="0.25">
      <c r="A785" t="s">
        <v>4049</v>
      </c>
      <c r="B785" t="s">
        <v>4241</v>
      </c>
      <c r="C785" t="s">
        <v>4051</v>
      </c>
      <c r="D785" s="7">
        <v>0.06</v>
      </c>
      <c r="E785" s="2">
        <v>9941.22</v>
      </c>
      <c r="F785" s="2">
        <v>596.47</v>
      </c>
    </row>
    <row r="786" spans="1:6" x14ac:dyDescent="0.25">
      <c r="A786" t="s">
        <v>4049</v>
      </c>
      <c r="B786" t="s">
        <v>4242</v>
      </c>
      <c r="C786" t="s">
        <v>4051</v>
      </c>
      <c r="D786" s="7">
        <v>0.06</v>
      </c>
      <c r="E786" s="2">
        <v>17069.53</v>
      </c>
      <c r="F786" s="2">
        <v>1024.17</v>
      </c>
    </row>
    <row r="787" spans="1:6" x14ac:dyDescent="0.25">
      <c r="A787" t="s">
        <v>4052</v>
      </c>
      <c r="B787" t="s">
        <v>4053</v>
      </c>
      <c r="C787" t="s">
        <v>4054</v>
      </c>
      <c r="D787" s="7">
        <v>5</v>
      </c>
      <c r="E787" s="2">
        <v>1620.64</v>
      </c>
      <c r="F787" s="2">
        <v>81.03</v>
      </c>
    </row>
    <row r="788" spans="1:6" x14ac:dyDescent="0.25">
      <c r="A788" t="s">
        <v>4055</v>
      </c>
      <c r="D788" s="7"/>
      <c r="E788" s="2"/>
      <c r="F788" s="2">
        <f>SUBTOTAL(109,A_2_04_78[VALOR PARCIAL])</f>
      </c>
    </row>
    <row r="790" ht="30" customHeight="1" spans="1:6" x14ac:dyDescent="0.25">
      <c r="A790" s="5" t="s">
        <v>6570</v>
      </c>
      <c r="B790" s="5"/>
      <c r="C790" s="5"/>
      <c r="D790" s="5"/>
      <c r="E790" s="5"/>
      <c r="F790" s="5"/>
    </row>
    <row r="791" ht="42" customHeight="1" spans="1:6" x14ac:dyDescent="0.25">
      <c r="A791" s="6" t="s">
        <v>6571</v>
      </c>
      <c r="B791" s="6"/>
      <c r="C791" s="6"/>
      <c r="D791" s="6"/>
      <c r="E791" s="6"/>
      <c r="F791" s="6"/>
    </row>
    <row r="792" spans="1:6" x14ac:dyDescent="0.25">
      <c r="A792" t="s">
        <v>4044</v>
      </c>
      <c r="B792" t="s">
        <v>4045</v>
      </c>
      <c r="C792" t="s">
        <v>5</v>
      </c>
      <c r="D792" t="s">
        <v>4046</v>
      </c>
      <c r="E792" t="s">
        <v>4047</v>
      </c>
      <c r="F792" t="s">
        <v>4048</v>
      </c>
    </row>
    <row r="793" spans="1:6" x14ac:dyDescent="0.25">
      <c r="A793" t="s">
        <v>4062</v>
      </c>
      <c r="B793" t="s">
        <v>6572</v>
      </c>
      <c r="C793" t="s">
        <v>63</v>
      </c>
      <c r="D793" s="7">
        <v>1</v>
      </c>
      <c r="E793" s="2">
        <v>113687</v>
      </c>
      <c r="F793" s="2">
        <v>113687</v>
      </c>
    </row>
    <row r="794" spans="1:6" x14ac:dyDescent="0.25">
      <c r="A794" t="s">
        <v>4062</v>
      </c>
      <c r="B794" t="s">
        <v>4659</v>
      </c>
      <c r="C794" t="s">
        <v>4377</v>
      </c>
      <c r="D794" s="7">
        <v>0</v>
      </c>
      <c r="E794" s="2">
        <v>31500</v>
      </c>
      <c r="F794" s="2">
        <v>63</v>
      </c>
    </row>
    <row r="795" spans="1:6" x14ac:dyDescent="0.25">
      <c r="A795" t="s">
        <v>4062</v>
      </c>
      <c r="B795" t="s">
        <v>4376</v>
      </c>
      <c r="C795" t="s">
        <v>4377</v>
      </c>
      <c r="D795" s="7">
        <v>0</v>
      </c>
      <c r="E795" s="2">
        <v>72237.67</v>
      </c>
      <c r="F795" s="2">
        <v>144.48</v>
      </c>
    </row>
    <row r="796" spans="1:6" x14ac:dyDescent="0.25">
      <c r="A796" t="s">
        <v>4049</v>
      </c>
      <c r="B796" t="s">
        <v>4241</v>
      </c>
      <c r="C796" t="s">
        <v>4051</v>
      </c>
      <c r="D796" s="7">
        <v>0.1</v>
      </c>
      <c r="E796" s="2">
        <v>9941.22</v>
      </c>
      <c r="F796" s="2">
        <v>994.12</v>
      </c>
    </row>
    <row r="797" spans="1:6" x14ac:dyDescent="0.25">
      <c r="A797" t="s">
        <v>4049</v>
      </c>
      <c r="B797" t="s">
        <v>4242</v>
      </c>
      <c r="C797" t="s">
        <v>4051</v>
      </c>
      <c r="D797" s="7">
        <v>0.1</v>
      </c>
      <c r="E797" s="2">
        <v>17069.53</v>
      </c>
      <c r="F797" s="2">
        <v>1706.95</v>
      </c>
    </row>
    <row r="798" spans="1:6" x14ac:dyDescent="0.25">
      <c r="A798" t="s">
        <v>4052</v>
      </c>
      <c r="B798" t="s">
        <v>4053</v>
      </c>
      <c r="C798" t="s">
        <v>4054</v>
      </c>
      <c r="D798" s="7">
        <v>10</v>
      </c>
      <c r="E798" s="2">
        <v>2701.07</v>
      </c>
      <c r="F798" s="2">
        <v>270.11</v>
      </c>
    </row>
    <row r="799" spans="1:6" x14ac:dyDescent="0.25">
      <c r="A799" t="s">
        <v>4055</v>
      </c>
      <c r="D799" s="7"/>
      <c r="E799" s="2"/>
      <c r="F799" s="2">
        <f>SUBTOTAL(109,A_2_04_79[VALOR PARCIAL])</f>
      </c>
    </row>
    <row r="801" ht="30" customHeight="1" spans="1:6" x14ac:dyDescent="0.25">
      <c r="A801" s="5" t="s">
        <v>6573</v>
      </c>
      <c r="B801" s="5"/>
      <c r="C801" s="5"/>
      <c r="D801" s="5"/>
      <c r="E801" s="5"/>
      <c r="F801" s="5"/>
    </row>
    <row r="802" ht="42" customHeight="1" spans="1:6" x14ac:dyDescent="0.25">
      <c r="A802" s="6" t="s">
        <v>6574</v>
      </c>
      <c r="B802" s="6"/>
      <c r="C802" s="6"/>
      <c r="D802" s="6"/>
      <c r="E802" s="6"/>
      <c r="F802" s="6"/>
    </row>
    <row r="803" spans="1:6" x14ac:dyDescent="0.25">
      <c r="A803" t="s">
        <v>4044</v>
      </c>
      <c r="B803" t="s">
        <v>4045</v>
      </c>
      <c r="C803" t="s">
        <v>5</v>
      </c>
      <c r="D803" t="s">
        <v>4046</v>
      </c>
      <c r="E803" t="s">
        <v>4047</v>
      </c>
      <c r="F803" t="s">
        <v>4048</v>
      </c>
    </row>
    <row r="804" spans="1:6" x14ac:dyDescent="0.25">
      <c r="A804" t="s">
        <v>4062</v>
      </c>
      <c r="B804" t="s">
        <v>6575</v>
      </c>
      <c r="C804" t="s">
        <v>63</v>
      </c>
      <c r="D804" s="7">
        <v>1</v>
      </c>
      <c r="E804" s="2">
        <v>3149</v>
      </c>
      <c r="F804" s="2">
        <v>3149</v>
      </c>
    </row>
    <row r="805" spans="1:6" x14ac:dyDescent="0.25">
      <c r="A805" t="s">
        <v>4062</v>
      </c>
      <c r="B805" t="s">
        <v>4659</v>
      </c>
      <c r="C805" t="s">
        <v>4377</v>
      </c>
      <c r="D805" s="7">
        <v>0</v>
      </c>
      <c r="E805" s="2">
        <v>31500</v>
      </c>
      <c r="F805" s="2">
        <v>63</v>
      </c>
    </row>
    <row r="806" spans="1:6" x14ac:dyDescent="0.25">
      <c r="A806" t="s">
        <v>4062</v>
      </c>
      <c r="B806" t="s">
        <v>4376</v>
      </c>
      <c r="C806" t="s">
        <v>4377</v>
      </c>
      <c r="D806" s="7">
        <v>0</v>
      </c>
      <c r="E806" s="2">
        <v>72237.67</v>
      </c>
      <c r="F806" s="2">
        <v>144.48</v>
      </c>
    </row>
    <row r="807" spans="1:6" x14ac:dyDescent="0.25">
      <c r="A807" t="s">
        <v>4049</v>
      </c>
      <c r="B807" t="s">
        <v>4241</v>
      </c>
      <c r="C807" t="s">
        <v>4051</v>
      </c>
      <c r="D807" s="7">
        <v>0.05</v>
      </c>
      <c r="E807" s="2">
        <v>9941.22</v>
      </c>
      <c r="F807" s="2">
        <v>497.06</v>
      </c>
    </row>
    <row r="808" spans="1:6" x14ac:dyDescent="0.25">
      <c r="A808" t="s">
        <v>4049</v>
      </c>
      <c r="B808" t="s">
        <v>4242</v>
      </c>
      <c r="C808" t="s">
        <v>4051</v>
      </c>
      <c r="D808" s="7">
        <v>0.05</v>
      </c>
      <c r="E808" s="2">
        <v>17069.53</v>
      </c>
      <c r="F808" s="2">
        <v>853.48</v>
      </c>
    </row>
    <row r="809" spans="1:6" x14ac:dyDescent="0.25">
      <c r="A809" t="s">
        <v>4052</v>
      </c>
      <c r="B809" t="s">
        <v>4053</v>
      </c>
      <c r="C809" t="s">
        <v>4054</v>
      </c>
      <c r="D809" s="7">
        <v>5</v>
      </c>
      <c r="E809" s="2">
        <v>1350.54</v>
      </c>
      <c r="F809" s="2">
        <v>67.53</v>
      </c>
    </row>
    <row r="810" spans="1:6" x14ac:dyDescent="0.25">
      <c r="A810" t="s">
        <v>4055</v>
      </c>
      <c r="D810" s="7"/>
      <c r="E810" s="2"/>
      <c r="F810" s="2">
        <f>SUBTOTAL(109,A_2_04_80[VALOR PARCIAL])</f>
      </c>
    </row>
    <row r="812" ht="30" customHeight="1" spans="1:6" x14ac:dyDescent="0.25">
      <c r="A812" s="5" t="s">
        <v>6576</v>
      </c>
      <c r="B812" s="5"/>
      <c r="C812" s="5"/>
      <c r="D812" s="5"/>
      <c r="E812" s="5"/>
      <c r="F812" s="5"/>
    </row>
    <row r="813" ht="42" customHeight="1" spans="1:6" x14ac:dyDescent="0.25">
      <c r="A813" s="6" t="s">
        <v>6577</v>
      </c>
      <c r="B813" s="6"/>
      <c r="C813" s="6"/>
      <c r="D813" s="6"/>
      <c r="E813" s="6"/>
      <c r="F813" s="6"/>
    </row>
    <row r="814" spans="1:6" x14ac:dyDescent="0.25">
      <c r="A814" t="s">
        <v>4044</v>
      </c>
      <c r="B814" t="s">
        <v>4045</v>
      </c>
      <c r="C814" t="s">
        <v>5</v>
      </c>
      <c r="D814" t="s">
        <v>4046</v>
      </c>
      <c r="E814" t="s">
        <v>4047</v>
      </c>
      <c r="F814" t="s">
        <v>4048</v>
      </c>
    </row>
    <row r="815" spans="1:6" x14ac:dyDescent="0.25">
      <c r="A815" t="s">
        <v>4062</v>
      </c>
      <c r="B815" t="s">
        <v>6578</v>
      </c>
      <c r="C815" t="s">
        <v>63</v>
      </c>
      <c r="D815" s="7">
        <v>1</v>
      </c>
      <c r="E815" s="2">
        <v>3683</v>
      </c>
      <c r="F815" s="2">
        <v>3683</v>
      </c>
    </row>
    <row r="816" spans="1:6" x14ac:dyDescent="0.25">
      <c r="A816" t="s">
        <v>4062</v>
      </c>
      <c r="B816" t="s">
        <v>4659</v>
      </c>
      <c r="C816" t="s">
        <v>4377</v>
      </c>
      <c r="D816" s="7">
        <v>0</v>
      </c>
      <c r="E816" s="2">
        <v>31500</v>
      </c>
      <c r="F816" s="2">
        <v>63</v>
      </c>
    </row>
    <row r="817" spans="1:6" x14ac:dyDescent="0.25">
      <c r="A817" t="s">
        <v>4062</v>
      </c>
      <c r="B817" t="s">
        <v>4376</v>
      </c>
      <c r="C817" t="s">
        <v>4377</v>
      </c>
      <c r="D817" s="7">
        <v>0</v>
      </c>
      <c r="E817" s="2">
        <v>72237.67</v>
      </c>
      <c r="F817" s="2">
        <v>144.48</v>
      </c>
    </row>
    <row r="818" spans="1:6" x14ac:dyDescent="0.25">
      <c r="A818" t="s">
        <v>4049</v>
      </c>
      <c r="B818" t="s">
        <v>4241</v>
      </c>
      <c r="C818" t="s">
        <v>4051</v>
      </c>
      <c r="D818" s="7">
        <v>0.03</v>
      </c>
      <c r="E818" s="2">
        <v>9941.22</v>
      </c>
      <c r="F818" s="2">
        <v>298.24</v>
      </c>
    </row>
    <row r="819" spans="1:6" x14ac:dyDescent="0.25">
      <c r="A819" t="s">
        <v>4049</v>
      </c>
      <c r="B819" t="s">
        <v>4242</v>
      </c>
      <c r="C819" t="s">
        <v>4051</v>
      </c>
      <c r="D819" s="7">
        <v>0.03</v>
      </c>
      <c r="E819" s="2">
        <v>17069.53</v>
      </c>
      <c r="F819" s="2">
        <v>512.09</v>
      </c>
    </row>
    <row r="820" spans="1:6" x14ac:dyDescent="0.25">
      <c r="A820" t="s">
        <v>4052</v>
      </c>
      <c r="B820" t="s">
        <v>4053</v>
      </c>
      <c r="C820" t="s">
        <v>4054</v>
      </c>
      <c r="D820" s="7">
        <v>10</v>
      </c>
      <c r="E820" s="2">
        <v>810.33</v>
      </c>
      <c r="F820" s="2">
        <v>81.03</v>
      </c>
    </row>
    <row r="821" spans="1:6" x14ac:dyDescent="0.25">
      <c r="A821" t="s">
        <v>4055</v>
      </c>
      <c r="D821" s="7"/>
      <c r="E821" s="2"/>
      <c r="F821" s="2">
        <f>SUBTOTAL(109,A_2_04_81[VALOR PARCIAL])</f>
      </c>
    </row>
    <row r="823" ht="30" customHeight="1" spans="1:6" x14ac:dyDescent="0.25">
      <c r="A823" s="5" t="s">
        <v>6579</v>
      </c>
      <c r="B823" s="5"/>
      <c r="C823" s="5"/>
      <c r="D823" s="5"/>
      <c r="E823" s="5"/>
      <c r="F823" s="5"/>
    </row>
    <row r="824" ht="42" customHeight="1" spans="1:6" x14ac:dyDescent="0.25">
      <c r="A824" s="6" t="s">
        <v>6580</v>
      </c>
      <c r="B824" s="6"/>
      <c r="C824" s="6"/>
      <c r="D824" s="6"/>
      <c r="E824" s="6"/>
      <c r="F824" s="6"/>
    </row>
    <row r="825" spans="1:6" x14ac:dyDescent="0.25">
      <c r="A825" t="s">
        <v>4044</v>
      </c>
      <c r="B825" t="s">
        <v>4045</v>
      </c>
      <c r="C825" t="s">
        <v>5</v>
      </c>
      <c r="D825" t="s">
        <v>4046</v>
      </c>
      <c r="E825" t="s">
        <v>4047</v>
      </c>
      <c r="F825" t="s">
        <v>4048</v>
      </c>
    </row>
    <row r="826" spans="1:6" x14ac:dyDescent="0.25">
      <c r="A826" t="s">
        <v>4062</v>
      </c>
      <c r="B826" t="s">
        <v>6581</v>
      </c>
      <c r="C826" t="s">
        <v>63</v>
      </c>
      <c r="D826" s="7">
        <v>1</v>
      </c>
      <c r="E826" s="2">
        <v>2104</v>
      </c>
      <c r="F826" s="2">
        <v>2104</v>
      </c>
    </row>
    <row r="827" spans="1:6" x14ac:dyDescent="0.25">
      <c r="A827" t="s">
        <v>4062</v>
      </c>
      <c r="B827" t="s">
        <v>4659</v>
      </c>
      <c r="C827" t="s">
        <v>4377</v>
      </c>
      <c r="D827" s="7">
        <v>0</v>
      </c>
      <c r="E827" s="2">
        <v>31500</v>
      </c>
      <c r="F827" s="2">
        <v>31.5</v>
      </c>
    </row>
    <row r="828" spans="1:6" x14ac:dyDescent="0.25">
      <c r="A828" t="s">
        <v>4062</v>
      </c>
      <c r="B828" t="s">
        <v>4376</v>
      </c>
      <c r="C828" t="s">
        <v>4377</v>
      </c>
      <c r="D828" s="7">
        <v>0</v>
      </c>
      <c r="E828" s="2">
        <v>72237.67</v>
      </c>
      <c r="F828" s="2">
        <v>72.24</v>
      </c>
    </row>
    <row r="829" spans="1:6" x14ac:dyDescent="0.25">
      <c r="A829" t="s">
        <v>4049</v>
      </c>
      <c r="B829" t="s">
        <v>4241</v>
      </c>
      <c r="C829" t="s">
        <v>4051</v>
      </c>
      <c r="D829" s="7">
        <v>0.03</v>
      </c>
      <c r="E829" s="2">
        <v>9941.22</v>
      </c>
      <c r="F829" s="2">
        <v>298.24</v>
      </c>
    </row>
    <row r="830" spans="1:6" x14ac:dyDescent="0.25">
      <c r="A830" t="s">
        <v>4049</v>
      </c>
      <c r="B830" t="s">
        <v>4242</v>
      </c>
      <c r="C830" t="s">
        <v>4051</v>
      </c>
      <c r="D830" s="7">
        <v>0.03</v>
      </c>
      <c r="E830" s="2">
        <v>17069.53</v>
      </c>
      <c r="F830" s="2">
        <v>512.09</v>
      </c>
    </row>
    <row r="831" spans="1:6" x14ac:dyDescent="0.25">
      <c r="A831" t="s">
        <v>4052</v>
      </c>
      <c r="B831" t="s">
        <v>4053</v>
      </c>
      <c r="C831" t="s">
        <v>4054</v>
      </c>
      <c r="D831" s="7">
        <v>10</v>
      </c>
      <c r="E831" s="2">
        <v>810.33</v>
      </c>
      <c r="F831" s="2">
        <v>81.03</v>
      </c>
    </row>
    <row r="832" spans="1:6" x14ac:dyDescent="0.25">
      <c r="A832" t="s">
        <v>4055</v>
      </c>
      <c r="D832" s="7"/>
      <c r="E832" s="2"/>
      <c r="F832" s="2">
        <f>SUBTOTAL(109,A_2_04_82[VALOR PARCIAL])</f>
      </c>
    </row>
    <row r="834" ht="30" customHeight="1" spans="1:6" x14ac:dyDescent="0.25">
      <c r="A834" s="5" t="s">
        <v>6582</v>
      </c>
      <c r="B834" s="5"/>
      <c r="C834" s="5"/>
      <c r="D834" s="5"/>
      <c r="E834" s="5"/>
      <c r="F834" s="5"/>
    </row>
    <row r="835" ht="42" customHeight="1" spans="1:6" x14ac:dyDescent="0.25">
      <c r="A835" s="6" t="s">
        <v>6583</v>
      </c>
      <c r="B835" s="6"/>
      <c r="C835" s="6"/>
      <c r="D835" s="6"/>
      <c r="E835" s="6"/>
      <c r="F835" s="6"/>
    </row>
    <row r="836" spans="1:6" x14ac:dyDescent="0.25">
      <c r="A836" t="s">
        <v>4044</v>
      </c>
      <c r="B836" t="s">
        <v>4045</v>
      </c>
      <c r="C836" t="s">
        <v>5</v>
      </c>
      <c r="D836" t="s">
        <v>4046</v>
      </c>
      <c r="E836" t="s">
        <v>4047</v>
      </c>
      <c r="F836" t="s">
        <v>4048</v>
      </c>
    </row>
    <row r="837" spans="1:6" x14ac:dyDescent="0.25">
      <c r="A837" t="s">
        <v>4062</v>
      </c>
      <c r="B837" t="s">
        <v>6584</v>
      </c>
      <c r="C837" t="s">
        <v>63</v>
      </c>
      <c r="D837" s="7">
        <v>1</v>
      </c>
      <c r="E837" s="2">
        <v>71592</v>
      </c>
      <c r="F837" s="2">
        <v>71592</v>
      </c>
    </row>
    <row r="838" spans="1:6" x14ac:dyDescent="0.25">
      <c r="A838" t="s">
        <v>4062</v>
      </c>
      <c r="B838" t="s">
        <v>6166</v>
      </c>
      <c r="C838" t="s">
        <v>63</v>
      </c>
      <c r="D838" s="7">
        <v>0.05</v>
      </c>
      <c r="E838" s="2">
        <v>19750</v>
      </c>
      <c r="F838" s="2">
        <v>987.5</v>
      </c>
    </row>
    <row r="839" spans="1:6" x14ac:dyDescent="0.25">
      <c r="A839" t="s">
        <v>4049</v>
      </c>
      <c r="B839" t="s">
        <v>4241</v>
      </c>
      <c r="C839" t="s">
        <v>4051</v>
      </c>
      <c r="D839" s="7">
        <v>0.15</v>
      </c>
      <c r="E839" s="2">
        <v>9941.22</v>
      </c>
      <c r="F839" s="2">
        <v>1491.18</v>
      </c>
    </row>
    <row r="840" spans="1:6" x14ac:dyDescent="0.25">
      <c r="A840" t="s">
        <v>4049</v>
      </c>
      <c r="B840" t="s">
        <v>4242</v>
      </c>
      <c r="C840" t="s">
        <v>4051</v>
      </c>
      <c r="D840" s="7">
        <v>0.15</v>
      </c>
      <c r="E840" s="2">
        <v>17069.53</v>
      </c>
      <c r="F840" s="2">
        <v>2560.43</v>
      </c>
    </row>
    <row r="841" spans="1:6" x14ac:dyDescent="0.25">
      <c r="A841" t="s">
        <v>4052</v>
      </c>
      <c r="B841" t="s">
        <v>4053</v>
      </c>
      <c r="C841" t="s">
        <v>4054</v>
      </c>
      <c r="D841" s="7">
        <v>10</v>
      </c>
      <c r="E841" s="2">
        <v>4051.61</v>
      </c>
      <c r="F841" s="2">
        <v>405.16</v>
      </c>
    </row>
    <row r="842" spans="1:6" x14ac:dyDescent="0.25">
      <c r="A842" t="s">
        <v>4055</v>
      </c>
      <c r="D842" s="7"/>
      <c r="E842" s="2"/>
      <c r="F842" s="2">
        <f>SUBTOTAL(109,A_2_04_83[VALOR PARCIAL])</f>
      </c>
    </row>
    <row r="844" ht="30" customHeight="1" spans="1:6" x14ac:dyDescent="0.25">
      <c r="A844" s="5" t="s">
        <v>6585</v>
      </c>
      <c r="B844" s="5"/>
      <c r="C844" s="5"/>
      <c r="D844" s="5"/>
      <c r="E844" s="5"/>
      <c r="F844" s="5"/>
    </row>
    <row r="845" ht="42" customHeight="1" spans="1:6" x14ac:dyDescent="0.25">
      <c r="A845" s="6" t="s">
        <v>6586</v>
      </c>
      <c r="B845" s="6"/>
      <c r="C845" s="6"/>
      <c r="D845" s="6"/>
      <c r="E845" s="6"/>
      <c r="F845" s="6"/>
    </row>
    <row r="846" spans="1:6" x14ac:dyDescent="0.25">
      <c r="A846" t="s">
        <v>4044</v>
      </c>
      <c r="B846" t="s">
        <v>4045</v>
      </c>
      <c r="C846" t="s">
        <v>5</v>
      </c>
      <c r="D846" t="s">
        <v>4046</v>
      </c>
      <c r="E846" t="s">
        <v>4047</v>
      </c>
      <c r="F846" t="s">
        <v>4048</v>
      </c>
    </row>
    <row r="847" spans="1:6" x14ac:dyDescent="0.25">
      <c r="A847" t="s">
        <v>4062</v>
      </c>
      <c r="B847" t="s">
        <v>6587</v>
      </c>
      <c r="C847" t="s">
        <v>63</v>
      </c>
      <c r="D847" s="7">
        <v>1</v>
      </c>
      <c r="E847" s="2">
        <v>66823</v>
      </c>
      <c r="F847" s="2">
        <v>66823</v>
      </c>
    </row>
    <row r="848" spans="1:6" x14ac:dyDescent="0.25">
      <c r="A848" t="s">
        <v>4062</v>
      </c>
      <c r="B848" t="s">
        <v>6166</v>
      </c>
      <c r="C848" t="s">
        <v>63</v>
      </c>
      <c r="D848" s="7">
        <v>0.05</v>
      </c>
      <c r="E848" s="2">
        <v>19750</v>
      </c>
      <c r="F848" s="2">
        <v>987.5</v>
      </c>
    </row>
    <row r="849" spans="1:6" x14ac:dyDescent="0.25">
      <c r="A849" t="s">
        <v>4049</v>
      </c>
      <c r="B849" t="s">
        <v>4241</v>
      </c>
      <c r="C849" t="s">
        <v>4051</v>
      </c>
      <c r="D849" s="7">
        <v>0.15</v>
      </c>
      <c r="E849" s="2">
        <v>9941.22</v>
      </c>
      <c r="F849" s="2">
        <v>1491.18</v>
      </c>
    </row>
    <row r="850" spans="1:6" x14ac:dyDescent="0.25">
      <c r="A850" t="s">
        <v>4049</v>
      </c>
      <c r="B850" t="s">
        <v>4242</v>
      </c>
      <c r="C850" t="s">
        <v>4051</v>
      </c>
      <c r="D850" s="7">
        <v>0.15</v>
      </c>
      <c r="E850" s="2">
        <v>17069.53</v>
      </c>
      <c r="F850" s="2">
        <v>2560.43</v>
      </c>
    </row>
    <row r="851" spans="1:6" x14ac:dyDescent="0.25">
      <c r="A851" t="s">
        <v>4052</v>
      </c>
      <c r="B851" t="s">
        <v>4053</v>
      </c>
      <c r="C851" t="s">
        <v>4054</v>
      </c>
      <c r="D851" s="7">
        <v>10</v>
      </c>
      <c r="E851" s="2">
        <v>4051.61</v>
      </c>
      <c r="F851" s="2">
        <v>405.16</v>
      </c>
    </row>
    <row r="852" spans="1:6" x14ac:dyDescent="0.25">
      <c r="A852" t="s">
        <v>4055</v>
      </c>
      <c r="D852" s="7"/>
      <c r="E852" s="2"/>
      <c r="F852" s="2">
        <f>SUBTOTAL(109,A_2_04_84[VALOR PARCIAL])</f>
      </c>
    </row>
    <row r="854" ht="30" customHeight="1" spans="1:6" x14ac:dyDescent="0.25">
      <c r="A854" s="5" t="s">
        <v>6588</v>
      </c>
      <c r="B854" s="5"/>
      <c r="C854" s="5"/>
      <c r="D854" s="5"/>
      <c r="E854" s="5"/>
      <c r="F854" s="5"/>
    </row>
    <row r="855" ht="42" customHeight="1" spans="1:6" x14ac:dyDescent="0.25">
      <c r="A855" s="6" t="s">
        <v>6589</v>
      </c>
      <c r="B855" s="6"/>
      <c r="C855" s="6"/>
      <c r="D855" s="6"/>
      <c r="E855" s="6"/>
      <c r="F855" s="6"/>
    </row>
    <row r="856" spans="1:6" x14ac:dyDescent="0.25">
      <c r="A856" t="s">
        <v>4044</v>
      </c>
      <c r="B856" t="s">
        <v>4045</v>
      </c>
      <c r="C856" t="s">
        <v>5</v>
      </c>
      <c r="D856" t="s">
        <v>4046</v>
      </c>
      <c r="E856" t="s">
        <v>4047</v>
      </c>
      <c r="F856" t="s">
        <v>4048</v>
      </c>
    </row>
    <row r="857" spans="1:6" x14ac:dyDescent="0.25">
      <c r="A857" t="s">
        <v>4062</v>
      </c>
      <c r="B857" t="s">
        <v>6590</v>
      </c>
      <c r="C857" t="s">
        <v>63</v>
      </c>
      <c r="D857" s="7">
        <v>1</v>
      </c>
      <c r="E857" s="2">
        <v>75764</v>
      </c>
      <c r="F857" s="2">
        <v>75764</v>
      </c>
    </row>
    <row r="858" spans="1:6" x14ac:dyDescent="0.25">
      <c r="A858" t="s">
        <v>4062</v>
      </c>
      <c r="B858" t="s">
        <v>6166</v>
      </c>
      <c r="C858" t="s">
        <v>63</v>
      </c>
      <c r="D858" s="7">
        <v>0.05</v>
      </c>
      <c r="E858" s="2">
        <v>19750</v>
      </c>
      <c r="F858" s="2">
        <v>987.5</v>
      </c>
    </row>
    <row r="859" spans="1:6" x14ac:dyDescent="0.25">
      <c r="A859" t="s">
        <v>4049</v>
      </c>
      <c r="B859" t="s">
        <v>4241</v>
      </c>
      <c r="C859" t="s">
        <v>4051</v>
      </c>
      <c r="D859" s="7">
        <v>0.15</v>
      </c>
      <c r="E859" s="2">
        <v>9941.22</v>
      </c>
      <c r="F859" s="2">
        <v>1491.18</v>
      </c>
    </row>
    <row r="860" spans="1:6" x14ac:dyDescent="0.25">
      <c r="A860" t="s">
        <v>4049</v>
      </c>
      <c r="B860" t="s">
        <v>4242</v>
      </c>
      <c r="C860" t="s">
        <v>4051</v>
      </c>
      <c r="D860" s="7">
        <v>0.15</v>
      </c>
      <c r="E860" s="2">
        <v>17069.53</v>
      </c>
      <c r="F860" s="2">
        <v>2560.43</v>
      </c>
    </row>
    <row r="861" spans="1:6" x14ac:dyDescent="0.25">
      <c r="A861" t="s">
        <v>4052</v>
      </c>
      <c r="B861" t="s">
        <v>4053</v>
      </c>
      <c r="C861" t="s">
        <v>4054</v>
      </c>
      <c r="D861" s="7">
        <v>10</v>
      </c>
      <c r="E861" s="2">
        <v>4051.61</v>
      </c>
      <c r="F861" s="2">
        <v>405.16</v>
      </c>
    </row>
    <row r="862" spans="1:6" x14ac:dyDescent="0.25">
      <c r="A862" t="s">
        <v>4055</v>
      </c>
      <c r="D862" s="7"/>
      <c r="E862" s="2"/>
      <c r="F862" s="2">
        <f>SUBTOTAL(109,A_2_04_85[VALOR PARCIAL])</f>
      </c>
    </row>
    <row r="864" ht="30" customHeight="1" spans="1:6" x14ac:dyDescent="0.25">
      <c r="A864" s="5" t="s">
        <v>6591</v>
      </c>
      <c r="B864" s="5"/>
      <c r="C864" s="5"/>
      <c r="D864" s="5"/>
      <c r="E864" s="5"/>
      <c r="F864" s="5"/>
    </row>
    <row r="865" ht="42" customHeight="1" spans="1:6" x14ac:dyDescent="0.25">
      <c r="A865" s="6" t="s">
        <v>6592</v>
      </c>
      <c r="B865" s="6"/>
      <c r="C865" s="6"/>
      <c r="D865" s="6"/>
      <c r="E865" s="6"/>
      <c r="F865" s="6"/>
    </row>
    <row r="866" spans="1:6" x14ac:dyDescent="0.25">
      <c r="A866" t="s">
        <v>4044</v>
      </c>
      <c r="B866" t="s">
        <v>4045</v>
      </c>
      <c r="C866" t="s">
        <v>5</v>
      </c>
      <c r="D866" t="s">
        <v>4046</v>
      </c>
      <c r="E866" t="s">
        <v>4047</v>
      </c>
      <c r="F866" t="s">
        <v>4048</v>
      </c>
    </row>
    <row r="867" spans="1:6" x14ac:dyDescent="0.25">
      <c r="A867" t="s">
        <v>4062</v>
      </c>
      <c r="B867" t="s">
        <v>6593</v>
      </c>
      <c r="C867" t="s">
        <v>63</v>
      </c>
      <c r="D867" s="7">
        <v>1</v>
      </c>
      <c r="E867" s="2">
        <v>115068</v>
      </c>
      <c r="F867" s="2">
        <v>115068</v>
      </c>
    </row>
    <row r="868" spans="1:6" x14ac:dyDescent="0.25">
      <c r="A868" t="s">
        <v>4062</v>
      </c>
      <c r="B868" t="s">
        <v>6166</v>
      </c>
      <c r="C868" t="s">
        <v>63</v>
      </c>
      <c r="D868" s="7">
        <v>0.06</v>
      </c>
      <c r="E868" s="2">
        <v>19750</v>
      </c>
      <c r="F868" s="2">
        <v>1185</v>
      </c>
    </row>
    <row r="869" spans="1:6" x14ac:dyDescent="0.25">
      <c r="A869" t="s">
        <v>4049</v>
      </c>
      <c r="B869" t="s">
        <v>4241</v>
      </c>
      <c r="C869" t="s">
        <v>4051</v>
      </c>
      <c r="D869" s="7">
        <v>0.15</v>
      </c>
      <c r="E869" s="2">
        <v>9941.22</v>
      </c>
      <c r="F869" s="2">
        <v>1491.18</v>
      </c>
    </row>
    <row r="870" spans="1:6" x14ac:dyDescent="0.25">
      <c r="A870" t="s">
        <v>4049</v>
      </c>
      <c r="B870" t="s">
        <v>4242</v>
      </c>
      <c r="C870" t="s">
        <v>4051</v>
      </c>
      <c r="D870" s="7">
        <v>0.15</v>
      </c>
      <c r="E870" s="2">
        <v>17069.53</v>
      </c>
      <c r="F870" s="2">
        <v>2560.43</v>
      </c>
    </row>
    <row r="871" spans="1:6" x14ac:dyDescent="0.25">
      <c r="A871" t="s">
        <v>4052</v>
      </c>
      <c r="B871" t="s">
        <v>4053</v>
      </c>
      <c r="C871" t="s">
        <v>4054</v>
      </c>
      <c r="D871" s="7">
        <v>10</v>
      </c>
      <c r="E871" s="2">
        <v>4051.61</v>
      </c>
      <c r="F871" s="2">
        <v>405.16</v>
      </c>
    </row>
    <row r="872" spans="1:6" x14ac:dyDescent="0.25">
      <c r="A872" t="s">
        <v>4055</v>
      </c>
      <c r="D872" s="7"/>
      <c r="E872" s="2"/>
      <c r="F872" s="2">
        <f>SUBTOTAL(109,A_2_04_86[VALOR PARCIAL])</f>
      </c>
    </row>
    <row r="874" ht="30" customHeight="1" spans="1:6" x14ac:dyDescent="0.25">
      <c r="A874" s="5" t="s">
        <v>6594</v>
      </c>
      <c r="B874" s="5"/>
      <c r="C874" s="5"/>
      <c r="D874" s="5"/>
      <c r="E874" s="5"/>
      <c r="F874" s="5"/>
    </row>
    <row r="875" ht="42" customHeight="1" spans="1:6" x14ac:dyDescent="0.25">
      <c r="A875" s="6" t="s">
        <v>6595</v>
      </c>
      <c r="B875" s="6"/>
      <c r="C875" s="6"/>
      <c r="D875" s="6"/>
      <c r="E875" s="6"/>
      <c r="F875" s="6"/>
    </row>
    <row r="876" spans="1:6" x14ac:dyDescent="0.25">
      <c r="A876" t="s">
        <v>4044</v>
      </c>
      <c r="B876" t="s">
        <v>4045</v>
      </c>
      <c r="C876" t="s">
        <v>5</v>
      </c>
      <c r="D876" t="s">
        <v>4046</v>
      </c>
      <c r="E876" t="s">
        <v>4047</v>
      </c>
      <c r="F876" t="s">
        <v>4048</v>
      </c>
    </row>
    <row r="877" spans="1:6" x14ac:dyDescent="0.25">
      <c r="A877" t="s">
        <v>4062</v>
      </c>
      <c r="B877" t="s">
        <v>6596</v>
      </c>
      <c r="C877" t="s">
        <v>63</v>
      </c>
      <c r="D877" s="7">
        <v>1</v>
      </c>
      <c r="E877" s="2">
        <v>122623</v>
      </c>
      <c r="F877" s="2">
        <v>122623</v>
      </c>
    </row>
    <row r="878" spans="1:6" x14ac:dyDescent="0.25">
      <c r="A878" t="s">
        <v>4062</v>
      </c>
      <c r="B878" t="s">
        <v>6166</v>
      </c>
      <c r="C878" t="s">
        <v>63</v>
      </c>
      <c r="D878" s="7">
        <v>0.06</v>
      </c>
      <c r="E878" s="2">
        <v>19750</v>
      </c>
      <c r="F878" s="2">
        <v>1185</v>
      </c>
    </row>
    <row r="879" spans="1:6" x14ac:dyDescent="0.25">
      <c r="A879" t="s">
        <v>4049</v>
      </c>
      <c r="B879" t="s">
        <v>4241</v>
      </c>
      <c r="C879" t="s">
        <v>4051</v>
      </c>
      <c r="D879" s="7">
        <v>0.15</v>
      </c>
      <c r="E879" s="2">
        <v>9941.22</v>
      </c>
      <c r="F879" s="2">
        <v>1491.18</v>
      </c>
    </row>
    <row r="880" spans="1:6" x14ac:dyDescent="0.25">
      <c r="A880" t="s">
        <v>4049</v>
      </c>
      <c r="B880" t="s">
        <v>4242</v>
      </c>
      <c r="C880" t="s">
        <v>4051</v>
      </c>
      <c r="D880" s="7">
        <v>0.15</v>
      </c>
      <c r="E880" s="2">
        <v>17069.53</v>
      </c>
      <c r="F880" s="2">
        <v>2560.43</v>
      </c>
    </row>
    <row r="881" spans="1:6" x14ac:dyDescent="0.25">
      <c r="A881" t="s">
        <v>4052</v>
      </c>
      <c r="B881" t="s">
        <v>4053</v>
      </c>
      <c r="C881" t="s">
        <v>4054</v>
      </c>
      <c r="D881" s="7">
        <v>10</v>
      </c>
      <c r="E881" s="2">
        <v>4051.61</v>
      </c>
      <c r="F881" s="2">
        <v>405.16</v>
      </c>
    </row>
    <row r="882" spans="1:6" x14ac:dyDescent="0.25">
      <c r="A882" t="s">
        <v>4055</v>
      </c>
      <c r="D882" s="7"/>
      <c r="E882" s="2"/>
      <c r="F882" s="2">
        <f>SUBTOTAL(109,A_2_04_87[VALOR PARCIAL])</f>
      </c>
    </row>
    <row r="884" ht="30" customHeight="1" spans="1:6" x14ac:dyDescent="0.25">
      <c r="A884" s="5" t="s">
        <v>6597</v>
      </c>
      <c r="B884" s="5"/>
      <c r="C884" s="5"/>
      <c r="D884" s="5"/>
      <c r="E884" s="5"/>
      <c r="F884" s="5"/>
    </row>
    <row r="885" ht="42" customHeight="1" spans="1:6" x14ac:dyDescent="0.25">
      <c r="A885" s="6" t="s">
        <v>6598</v>
      </c>
      <c r="B885" s="6"/>
      <c r="C885" s="6"/>
      <c r="D885" s="6"/>
      <c r="E885" s="6"/>
      <c r="F885" s="6"/>
    </row>
    <row r="886" spans="1:6" x14ac:dyDescent="0.25">
      <c r="A886" t="s">
        <v>4044</v>
      </c>
      <c r="B886" t="s">
        <v>4045</v>
      </c>
      <c r="C886" t="s">
        <v>5</v>
      </c>
      <c r="D886" t="s">
        <v>4046</v>
      </c>
      <c r="E886" t="s">
        <v>4047</v>
      </c>
      <c r="F886" t="s">
        <v>4048</v>
      </c>
    </row>
    <row r="887" spans="1:6" x14ac:dyDescent="0.25">
      <c r="A887" t="s">
        <v>4062</v>
      </c>
      <c r="B887" t="s">
        <v>6599</v>
      </c>
      <c r="C887" t="s">
        <v>63</v>
      </c>
      <c r="D887" s="7">
        <v>1</v>
      </c>
      <c r="E887" s="2">
        <v>58827</v>
      </c>
      <c r="F887" s="2">
        <v>58827</v>
      </c>
    </row>
    <row r="888" spans="1:6" x14ac:dyDescent="0.25">
      <c r="A888" t="s">
        <v>4062</v>
      </c>
      <c r="B888" t="s">
        <v>6166</v>
      </c>
      <c r="C888" t="s">
        <v>63</v>
      </c>
      <c r="D888" s="7">
        <v>0.05</v>
      </c>
      <c r="E888" s="2">
        <v>19750</v>
      </c>
      <c r="F888" s="2">
        <v>987.5</v>
      </c>
    </row>
    <row r="889" spans="1:6" x14ac:dyDescent="0.25">
      <c r="A889" t="s">
        <v>4049</v>
      </c>
      <c r="B889" t="s">
        <v>4241</v>
      </c>
      <c r="C889" t="s">
        <v>4051</v>
      </c>
      <c r="D889" s="7">
        <v>0.15</v>
      </c>
      <c r="E889" s="2">
        <v>9941.22</v>
      </c>
      <c r="F889" s="2">
        <v>1491.18</v>
      </c>
    </row>
    <row r="890" spans="1:6" x14ac:dyDescent="0.25">
      <c r="A890" t="s">
        <v>4049</v>
      </c>
      <c r="B890" t="s">
        <v>4242</v>
      </c>
      <c r="C890" t="s">
        <v>4051</v>
      </c>
      <c r="D890" s="7">
        <v>0.15</v>
      </c>
      <c r="E890" s="2">
        <v>17069.53</v>
      </c>
      <c r="F890" s="2">
        <v>2560.43</v>
      </c>
    </row>
    <row r="891" spans="1:6" x14ac:dyDescent="0.25">
      <c r="A891" t="s">
        <v>4052</v>
      </c>
      <c r="B891" t="s">
        <v>4053</v>
      </c>
      <c r="C891" t="s">
        <v>4054</v>
      </c>
      <c r="D891" s="7">
        <v>10</v>
      </c>
      <c r="E891" s="2">
        <v>4051.61</v>
      </c>
      <c r="F891" s="2">
        <v>405.16</v>
      </c>
    </row>
    <row r="892" spans="1:6" x14ac:dyDescent="0.25">
      <c r="A892" t="s">
        <v>4055</v>
      </c>
      <c r="D892" s="7"/>
      <c r="E892" s="2"/>
      <c r="F892" s="2">
        <f>SUBTOTAL(109,A_2_04_88[VALOR PARCIAL])</f>
      </c>
    </row>
    <row r="894" ht="30" customHeight="1" spans="1:6" x14ac:dyDescent="0.25">
      <c r="A894" s="5" t="s">
        <v>6600</v>
      </c>
      <c r="B894" s="5"/>
      <c r="C894" s="5"/>
      <c r="D894" s="5"/>
      <c r="E894" s="5"/>
      <c r="F894" s="5"/>
    </row>
    <row r="895" ht="42" customHeight="1" spans="1:6" x14ac:dyDescent="0.25">
      <c r="A895" s="6" t="s">
        <v>6601</v>
      </c>
      <c r="B895" s="6"/>
      <c r="C895" s="6"/>
      <c r="D895" s="6"/>
      <c r="E895" s="6"/>
      <c r="F895" s="6"/>
    </row>
    <row r="896" spans="1:6" x14ac:dyDescent="0.25">
      <c r="A896" t="s">
        <v>4044</v>
      </c>
      <c r="B896" t="s">
        <v>4045</v>
      </c>
      <c r="C896" t="s">
        <v>5</v>
      </c>
      <c r="D896" t="s">
        <v>4046</v>
      </c>
      <c r="E896" t="s">
        <v>4047</v>
      </c>
      <c r="F896" t="s">
        <v>4048</v>
      </c>
    </row>
    <row r="897" spans="1:6" x14ac:dyDescent="0.25">
      <c r="A897" t="s">
        <v>4062</v>
      </c>
      <c r="B897" t="s">
        <v>6602</v>
      </c>
      <c r="C897" t="s">
        <v>63</v>
      </c>
      <c r="D897" s="7">
        <v>1</v>
      </c>
      <c r="E897" s="2">
        <v>39060</v>
      </c>
      <c r="F897" s="2">
        <v>39060</v>
      </c>
    </row>
    <row r="898" spans="1:6" x14ac:dyDescent="0.25">
      <c r="A898" t="s">
        <v>4062</v>
      </c>
      <c r="B898" t="s">
        <v>6166</v>
      </c>
      <c r="C898" t="s">
        <v>63</v>
      </c>
      <c r="D898" s="7">
        <v>0.06</v>
      </c>
      <c r="E898" s="2">
        <v>19750</v>
      </c>
      <c r="F898" s="2">
        <v>1185</v>
      </c>
    </row>
    <row r="899" spans="1:6" x14ac:dyDescent="0.25">
      <c r="A899" t="s">
        <v>4049</v>
      </c>
      <c r="B899" t="s">
        <v>4241</v>
      </c>
      <c r="C899" t="s">
        <v>4051</v>
      </c>
      <c r="D899" s="7">
        <v>0.15</v>
      </c>
      <c r="E899" s="2">
        <v>9941.22</v>
      </c>
      <c r="F899" s="2">
        <v>1491.18</v>
      </c>
    </row>
    <row r="900" spans="1:6" x14ac:dyDescent="0.25">
      <c r="A900" t="s">
        <v>4049</v>
      </c>
      <c r="B900" t="s">
        <v>4242</v>
      </c>
      <c r="C900" t="s">
        <v>4051</v>
      </c>
      <c r="D900" s="7">
        <v>0.15</v>
      </c>
      <c r="E900" s="2">
        <v>17069.53</v>
      </c>
      <c r="F900" s="2">
        <v>2560.43</v>
      </c>
    </row>
    <row r="901" spans="1:6" x14ac:dyDescent="0.25">
      <c r="A901" t="s">
        <v>4052</v>
      </c>
      <c r="B901" t="s">
        <v>4053</v>
      </c>
      <c r="C901" t="s">
        <v>4054</v>
      </c>
      <c r="D901" s="7">
        <v>10</v>
      </c>
      <c r="E901" s="2">
        <v>4051.61</v>
      </c>
      <c r="F901" s="2">
        <v>405.16</v>
      </c>
    </row>
    <row r="902" spans="1:6" x14ac:dyDescent="0.25">
      <c r="A902" t="s">
        <v>4055</v>
      </c>
      <c r="D902" s="7"/>
      <c r="E902" s="2"/>
      <c r="F902" s="2">
        <f>SUBTOTAL(109,A_2_04_89[VALOR PARCIAL])</f>
      </c>
    </row>
    <row r="904" ht="30" customHeight="1" spans="1:6" x14ac:dyDescent="0.25">
      <c r="A904" s="5" t="s">
        <v>6603</v>
      </c>
      <c r="B904" s="5"/>
      <c r="C904" s="5"/>
      <c r="D904" s="5"/>
      <c r="E904" s="5"/>
      <c r="F904" s="5"/>
    </row>
    <row r="905" ht="42" customHeight="1" spans="1:6" x14ac:dyDescent="0.25">
      <c r="A905" s="6" t="s">
        <v>6604</v>
      </c>
      <c r="B905" s="6"/>
      <c r="C905" s="6"/>
      <c r="D905" s="6"/>
      <c r="E905" s="6"/>
      <c r="F905" s="6"/>
    </row>
    <row r="906" spans="1:6" x14ac:dyDescent="0.25">
      <c r="A906" t="s">
        <v>4044</v>
      </c>
      <c r="B906" t="s">
        <v>4045</v>
      </c>
      <c r="C906" t="s">
        <v>5</v>
      </c>
      <c r="D906" t="s">
        <v>4046</v>
      </c>
      <c r="E906" t="s">
        <v>4047</v>
      </c>
      <c r="F906" t="s">
        <v>4048</v>
      </c>
    </row>
    <row r="907" spans="1:6" x14ac:dyDescent="0.25">
      <c r="A907" t="s">
        <v>4062</v>
      </c>
      <c r="B907" t="s">
        <v>6605</v>
      </c>
      <c r="C907" t="s">
        <v>63</v>
      </c>
      <c r="D907" s="7">
        <v>1</v>
      </c>
      <c r="E907" s="2">
        <v>29069</v>
      </c>
      <c r="F907" s="2">
        <v>29069</v>
      </c>
    </row>
    <row r="908" spans="1:6" x14ac:dyDescent="0.25">
      <c r="A908" t="s">
        <v>4062</v>
      </c>
      <c r="B908" t="s">
        <v>6166</v>
      </c>
      <c r="C908" t="s">
        <v>63</v>
      </c>
      <c r="D908" s="7">
        <v>0.01</v>
      </c>
      <c r="E908" s="2">
        <v>19750</v>
      </c>
      <c r="F908" s="2">
        <v>118.5</v>
      </c>
    </row>
    <row r="909" spans="1:6" x14ac:dyDescent="0.25">
      <c r="A909" t="s">
        <v>4049</v>
      </c>
      <c r="B909" t="s">
        <v>4241</v>
      </c>
      <c r="C909" t="s">
        <v>4051</v>
      </c>
      <c r="D909" s="7">
        <v>0.4</v>
      </c>
      <c r="E909" s="2">
        <v>9941.22</v>
      </c>
      <c r="F909" s="2">
        <v>3976.49</v>
      </c>
    </row>
    <row r="910" spans="1:6" x14ac:dyDescent="0.25">
      <c r="A910" t="s">
        <v>4049</v>
      </c>
      <c r="B910" t="s">
        <v>4242</v>
      </c>
      <c r="C910" t="s">
        <v>4051</v>
      </c>
      <c r="D910" s="7">
        <v>0.4</v>
      </c>
      <c r="E910" s="2">
        <v>17069.53</v>
      </c>
      <c r="F910" s="2">
        <v>6827.81</v>
      </c>
    </row>
    <row r="911" spans="1:6" x14ac:dyDescent="0.25">
      <c r="A911" t="s">
        <v>4052</v>
      </c>
      <c r="B911" t="s">
        <v>4053</v>
      </c>
      <c r="C911" t="s">
        <v>4054</v>
      </c>
      <c r="D911" s="7">
        <v>8</v>
      </c>
      <c r="E911" s="2">
        <v>10804.3</v>
      </c>
      <c r="F911" s="2">
        <v>864.34</v>
      </c>
    </row>
    <row r="912" spans="1:6" x14ac:dyDescent="0.25">
      <c r="A912" t="s">
        <v>4055</v>
      </c>
      <c r="D912" s="7"/>
      <c r="E912" s="2"/>
      <c r="F912" s="2">
        <f>SUBTOTAL(109,A_2_04_90[VALOR PARCIAL])</f>
      </c>
    </row>
    <row r="914" ht="30" customHeight="1" spans="1:6" x14ac:dyDescent="0.25">
      <c r="A914" s="5" t="s">
        <v>6606</v>
      </c>
      <c r="B914" s="5"/>
      <c r="C914" s="5"/>
      <c r="D914" s="5"/>
      <c r="E914" s="5"/>
      <c r="F914" s="5"/>
    </row>
    <row r="915" ht="42" customHeight="1" spans="1:6" x14ac:dyDescent="0.25">
      <c r="A915" s="6" t="s">
        <v>6607</v>
      </c>
      <c r="B915" s="6"/>
      <c r="C915" s="6"/>
      <c r="D915" s="6"/>
      <c r="E915" s="6"/>
      <c r="F915" s="6"/>
    </row>
    <row r="916" spans="1:6" x14ac:dyDescent="0.25">
      <c r="A916" t="s">
        <v>4044</v>
      </c>
      <c r="B916" t="s">
        <v>4045</v>
      </c>
      <c r="C916" t="s">
        <v>5</v>
      </c>
      <c r="D916" t="s">
        <v>4046</v>
      </c>
      <c r="E916" t="s">
        <v>4047</v>
      </c>
      <c r="F916" t="s">
        <v>4048</v>
      </c>
    </row>
    <row r="917" spans="1:6" x14ac:dyDescent="0.25">
      <c r="A917" t="s">
        <v>4062</v>
      </c>
      <c r="B917" t="s">
        <v>6608</v>
      </c>
      <c r="C917" t="s">
        <v>63</v>
      </c>
      <c r="D917" s="7">
        <v>1</v>
      </c>
      <c r="E917" s="2">
        <v>23621</v>
      </c>
      <c r="F917" s="2">
        <v>23621</v>
      </c>
    </row>
    <row r="918" spans="1:6" x14ac:dyDescent="0.25">
      <c r="A918" t="s">
        <v>4062</v>
      </c>
      <c r="B918" t="s">
        <v>6166</v>
      </c>
      <c r="C918" t="s">
        <v>63</v>
      </c>
      <c r="D918" s="7">
        <v>0.01</v>
      </c>
      <c r="E918" s="2">
        <v>19750</v>
      </c>
      <c r="F918" s="2">
        <v>118.5</v>
      </c>
    </row>
    <row r="919" spans="1:6" x14ac:dyDescent="0.25">
      <c r="A919" t="s">
        <v>4049</v>
      </c>
      <c r="B919" t="s">
        <v>4241</v>
      </c>
      <c r="C919" t="s">
        <v>4051</v>
      </c>
      <c r="D919" s="7">
        <v>0.4</v>
      </c>
      <c r="E919" s="2">
        <v>9941.22</v>
      </c>
      <c r="F919" s="2">
        <v>3976.49</v>
      </c>
    </row>
    <row r="920" spans="1:6" x14ac:dyDescent="0.25">
      <c r="A920" t="s">
        <v>4049</v>
      </c>
      <c r="B920" t="s">
        <v>4242</v>
      </c>
      <c r="C920" t="s">
        <v>4051</v>
      </c>
      <c r="D920" s="7">
        <v>0.4</v>
      </c>
      <c r="E920" s="2">
        <v>17069.53</v>
      </c>
      <c r="F920" s="2">
        <v>6827.81</v>
      </c>
    </row>
    <row r="921" spans="1:6" x14ac:dyDescent="0.25">
      <c r="A921" t="s">
        <v>4052</v>
      </c>
      <c r="B921" t="s">
        <v>4053</v>
      </c>
      <c r="C921" t="s">
        <v>4054</v>
      </c>
      <c r="D921" s="7">
        <v>5</v>
      </c>
      <c r="E921" s="2">
        <v>10804.3</v>
      </c>
      <c r="F921" s="2">
        <v>540.22</v>
      </c>
    </row>
    <row r="922" spans="1:6" x14ac:dyDescent="0.25">
      <c r="A922" t="s">
        <v>4055</v>
      </c>
      <c r="D922" s="7"/>
      <c r="E922" s="2"/>
      <c r="F922" s="2">
        <f>SUBTOTAL(109,A_2_04_91[VALOR PARCIAL])</f>
      </c>
    </row>
    <row r="924" ht="30" customHeight="1" spans="1:6" x14ac:dyDescent="0.25">
      <c r="A924" s="5" t="s">
        <v>6609</v>
      </c>
      <c r="B924" s="5"/>
      <c r="C924" s="5"/>
      <c r="D924" s="5"/>
      <c r="E924" s="5"/>
      <c r="F924" s="5"/>
    </row>
    <row r="925" ht="42" customHeight="1" spans="1:6" x14ac:dyDescent="0.25">
      <c r="A925" s="6" t="s">
        <v>6610</v>
      </c>
      <c r="B925" s="6"/>
      <c r="C925" s="6"/>
      <c r="D925" s="6"/>
      <c r="E925" s="6"/>
      <c r="F925" s="6"/>
    </row>
    <row r="926" spans="1:6" x14ac:dyDescent="0.25">
      <c r="A926" t="s">
        <v>4044</v>
      </c>
      <c r="B926" t="s">
        <v>4045</v>
      </c>
      <c r="C926" t="s">
        <v>5</v>
      </c>
      <c r="D926" t="s">
        <v>4046</v>
      </c>
      <c r="E926" t="s">
        <v>4047</v>
      </c>
      <c r="F926" t="s">
        <v>4048</v>
      </c>
    </row>
    <row r="927" spans="1:6" x14ac:dyDescent="0.25">
      <c r="A927" t="s">
        <v>4062</v>
      </c>
      <c r="B927" t="s">
        <v>6611</v>
      </c>
      <c r="C927" t="s">
        <v>63</v>
      </c>
      <c r="D927" s="7">
        <v>1</v>
      </c>
      <c r="E927" s="2">
        <v>496018</v>
      </c>
      <c r="F927" s="2">
        <v>496018</v>
      </c>
    </row>
    <row r="928" spans="1:6" x14ac:dyDescent="0.25">
      <c r="A928" t="s">
        <v>4062</v>
      </c>
      <c r="B928" t="s">
        <v>6166</v>
      </c>
      <c r="C928" t="s">
        <v>63</v>
      </c>
      <c r="D928" s="7">
        <v>0.01</v>
      </c>
      <c r="E928" s="2">
        <v>19750</v>
      </c>
      <c r="F928" s="2">
        <v>118.5</v>
      </c>
    </row>
    <row r="929" spans="1:6" x14ac:dyDescent="0.25">
      <c r="A929" t="s">
        <v>4049</v>
      </c>
      <c r="B929" t="s">
        <v>4241</v>
      </c>
      <c r="C929" t="s">
        <v>4051</v>
      </c>
      <c r="D929" s="7">
        <v>0.5</v>
      </c>
      <c r="E929" s="2">
        <v>9941.22</v>
      </c>
      <c r="F929" s="2">
        <v>4970.61</v>
      </c>
    </row>
    <row r="930" spans="1:6" x14ac:dyDescent="0.25">
      <c r="A930" t="s">
        <v>4049</v>
      </c>
      <c r="B930" t="s">
        <v>4242</v>
      </c>
      <c r="C930" t="s">
        <v>4051</v>
      </c>
      <c r="D930" s="7">
        <v>0.5</v>
      </c>
      <c r="E930" s="2">
        <v>17069.53</v>
      </c>
      <c r="F930" s="2">
        <v>8534.76</v>
      </c>
    </row>
    <row r="931" spans="1:6" x14ac:dyDescent="0.25">
      <c r="A931" t="s">
        <v>4052</v>
      </c>
      <c r="B931" t="s">
        <v>4053</v>
      </c>
      <c r="C931" t="s">
        <v>4054</v>
      </c>
      <c r="D931" s="7">
        <v>10</v>
      </c>
      <c r="E931" s="2">
        <v>13505.37</v>
      </c>
      <c r="F931" s="2">
        <v>1350.54</v>
      </c>
    </row>
    <row r="932" spans="1:6" x14ac:dyDescent="0.25">
      <c r="A932" t="s">
        <v>4055</v>
      </c>
      <c r="D932" s="7"/>
      <c r="E932" s="2"/>
      <c r="F932" s="2">
        <f>SUBTOTAL(109,A_2_04_92[VALOR PARCIAL])</f>
      </c>
    </row>
    <row r="934" ht="30" customHeight="1" spans="1:6" x14ac:dyDescent="0.25">
      <c r="A934" s="5" t="s">
        <v>6612</v>
      </c>
      <c r="B934" s="5"/>
      <c r="C934" s="5"/>
      <c r="D934" s="5"/>
      <c r="E934" s="5"/>
      <c r="F934" s="5"/>
    </row>
    <row r="935" ht="42" customHeight="1" spans="1:6" x14ac:dyDescent="0.25">
      <c r="A935" s="6" t="s">
        <v>6613</v>
      </c>
      <c r="B935" s="6"/>
      <c r="C935" s="6"/>
      <c r="D935" s="6"/>
      <c r="E935" s="6"/>
      <c r="F935" s="6"/>
    </row>
    <row r="936" spans="1:6" x14ac:dyDescent="0.25">
      <c r="A936" t="s">
        <v>4044</v>
      </c>
      <c r="B936" t="s">
        <v>4045</v>
      </c>
      <c r="C936" t="s">
        <v>5</v>
      </c>
      <c r="D936" t="s">
        <v>4046</v>
      </c>
      <c r="E936" t="s">
        <v>4047</v>
      </c>
      <c r="F936" t="s">
        <v>4048</v>
      </c>
    </row>
    <row r="937" spans="1:6" x14ac:dyDescent="0.25">
      <c r="A937" t="s">
        <v>4062</v>
      </c>
      <c r="B937" t="s">
        <v>6614</v>
      </c>
      <c r="C937" t="s">
        <v>63</v>
      </c>
      <c r="D937" s="7">
        <v>1</v>
      </c>
      <c r="E937" s="2">
        <v>840627</v>
      </c>
      <c r="F937" s="2">
        <v>840627</v>
      </c>
    </row>
    <row r="938" spans="1:6" x14ac:dyDescent="0.25">
      <c r="A938" t="s">
        <v>4062</v>
      </c>
      <c r="B938" t="s">
        <v>6166</v>
      </c>
      <c r="C938" t="s">
        <v>63</v>
      </c>
      <c r="D938" s="7">
        <v>0.01</v>
      </c>
      <c r="E938" s="2">
        <v>19750</v>
      </c>
      <c r="F938" s="2">
        <v>118.5</v>
      </c>
    </row>
    <row r="939" spans="1:6" x14ac:dyDescent="0.25">
      <c r="A939" t="s">
        <v>4049</v>
      </c>
      <c r="B939" t="s">
        <v>4241</v>
      </c>
      <c r="C939" t="s">
        <v>4051</v>
      </c>
      <c r="D939" s="7">
        <v>0.5</v>
      </c>
      <c r="E939" s="2">
        <v>9941.22</v>
      </c>
      <c r="F939" s="2">
        <v>4970.61</v>
      </c>
    </row>
    <row r="940" spans="1:6" x14ac:dyDescent="0.25">
      <c r="A940" t="s">
        <v>4049</v>
      </c>
      <c r="B940" t="s">
        <v>4242</v>
      </c>
      <c r="C940" t="s">
        <v>4051</v>
      </c>
      <c r="D940" s="7">
        <v>0.5</v>
      </c>
      <c r="E940" s="2">
        <v>17069.53</v>
      </c>
      <c r="F940" s="2">
        <v>8534.76</v>
      </c>
    </row>
    <row r="941" spans="1:6" x14ac:dyDescent="0.25">
      <c r="A941" t="s">
        <v>4052</v>
      </c>
      <c r="B941" t="s">
        <v>4053</v>
      </c>
      <c r="C941" t="s">
        <v>4054</v>
      </c>
      <c r="D941" s="7">
        <v>10</v>
      </c>
      <c r="E941" s="2">
        <v>13505.37</v>
      </c>
      <c r="F941" s="2">
        <v>1350.54</v>
      </c>
    </row>
    <row r="942" spans="1:6" x14ac:dyDescent="0.25">
      <c r="A942" t="s">
        <v>4055</v>
      </c>
      <c r="D942" s="7"/>
      <c r="E942" s="2"/>
      <c r="F942" s="2">
        <f>SUBTOTAL(109,A_2_04_93[VALOR PARCIAL])</f>
      </c>
    </row>
    <row r="944" ht="30" customHeight="1" spans="1:6" x14ac:dyDescent="0.25">
      <c r="A944" s="5" t="s">
        <v>6615</v>
      </c>
      <c r="B944" s="5"/>
      <c r="C944" s="5"/>
      <c r="D944" s="5"/>
      <c r="E944" s="5"/>
      <c r="F944" s="5"/>
    </row>
    <row r="945" ht="42" customHeight="1" spans="1:6" x14ac:dyDescent="0.25">
      <c r="A945" s="6" t="s">
        <v>6616</v>
      </c>
      <c r="B945" s="6"/>
      <c r="C945" s="6"/>
      <c r="D945" s="6"/>
      <c r="E945" s="6"/>
      <c r="F945" s="6"/>
    </row>
    <row r="946" spans="1:6" x14ac:dyDescent="0.25">
      <c r="A946" t="s">
        <v>4044</v>
      </c>
      <c r="B946" t="s">
        <v>4045</v>
      </c>
      <c r="C946" t="s">
        <v>5</v>
      </c>
      <c r="D946" t="s">
        <v>4046</v>
      </c>
      <c r="E946" t="s">
        <v>4047</v>
      </c>
      <c r="F946" t="s">
        <v>4048</v>
      </c>
    </row>
    <row r="947" spans="1:6" x14ac:dyDescent="0.25">
      <c r="A947" t="s">
        <v>4062</v>
      </c>
      <c r="B947" t="s">
        <v>6617</v>
      </c>
      <c r="C947" t="s">
        <v>63</v>
      </c>
      <c r="D947" s="7">
        <v>1</v>
      </c>
      <c r="E947" s="2">
        <v>39780</v>
      </c>
      <c r="F947" s="2">
        <v>39780</v>
      </c>
    </row>
    <row r="948" spans="1:6" x14ac:dyDescent="0.25">
      <c r="A948" t="s">
        <v>4062</v>
      </c>
      <c r="B948" t="s">
        <v>6166</v>
      </c>
      <c r="C948" t="s">
        <v>63</v>
      </c>
      <c r="D948" s="7">
        <v>0.01</v>
      </c>
      <c r="E948" s="2">
        <v>19750</v>
      </c>
      <c r="F948" s="2">
        <v>118.5</v>
      </c>
    </row>
    <row r="949" spans="1:6" x14ac:dyDescent="0.25">
      <c r="A949" t="s">
        <v>4049</v>
      </c>
      <c r="B949" t="s">
        <v>4241</v>
      </c>
      <c r="C949" t="s">
        <v>4051</v>
      </c>
      <c r="D949" s="7">
        <v>0.5</v>
      </c>
      <c r="E949" s="2">
        <v>9941.22</v>
      </c>
      <c r="F949" s="2">
        <v>4970.61</v>
      </c>
    </row>
    <row r="950" spans="1:6" x14ac:dyDescent="0.25">
      <c r="A950" t="s">
        <v>4049</v>
      </c>
      <c r="B950" t="s">
        <v>4242</v>
      </c>
      <c r="C950" t="s">
        <v>4051</v>
      </c>
      <c r="D950" s="7">
        <v>0.5</v>
      </c>
      <c r="E950" s="2">
        <v>17069.53</v>
      </c>
      <c r="F950" s="2">
        <v>8534.76</v>
      </c>
    </row>
    <row r="951" spans="1:6" x14ac:dyDescent="0.25">
      <c r="A951" t="s">
        <v>4052</v>
      </c>
      <c r="B951" t="s">
        <v>4053</v>
      </c>
      <c r="C951" t="s">
        <v>4054</v>
      </c>
      <c r="D951" s="7">
        <v>10</v>
      </c>
      <c r="E951" s="2">
        <v>13505.37</v>
      </c>
      <c r="F951" s="2">
        <v>1350.54</v>
      </c>
    </row>
    <row r="952" spans="1:6" x14ac:dyDescent="0.25">
      <c r="A952" t="s">
        <v>4055</v>
      </c>
      <c r="D952" s="7"/>
      <c r="E952" s="2"/>
      <c r="F952" s="2">
        <f>SUBTOTAL(109,A_2_04_94[VALOR PARCIAL])</f>
      </c>
    </row>
    <row r="954" ht="30" customHeight="1" spans="1:6" x14ac:dyDescent="0.25">
      <c r="A954" s="5" t="s">
        <v>6618</v>
      </c>
      <c r="B954" s="5"/>
      <c r="C954" s="5"/>
      <c r="D954" s="5"/>
      <c r="E954" s="5"/>
      <c r="F954" s="5"/>
    </row>
    <row r="955" ht="42" customHeight="1" spans="1:6" x14ac:dyDescent="0.25">
      <c r="A955" s="6" t="s">
        <v>6619</v>
      </c>
      <c r="B955" s="6"/>
      <c r="C955" s="6"/>
      <c r="D955" s="6"/>
      <c r="E955" s="6"/>
      <c r="F955" s="6"/>
    </row>
    <row r="956" spans="1:6" x14ac:dyDescent="0.25">
      <c r="A956" t="s">
        <v>4044</v>
      </c>
      <c r="B956" t="s">
        <v>4045</v>
      </c>
      <c r="C956" t="s">
        <v>5</v>
      </c>
      <c r="D956" t="s">
        <v>4046</v>
      </c>
      <c r="E956" t="s">
        <v>4047</v>
      </c>
      <c r="F956" t="s">
        <v>4048</v>
      </c>
    </row>
    <row r="957" spans="1:6" x14ac:dyDescent="0.25">
      <c r="A957" t="s">
        <v>4062</v>
      </c>
      <c r="B957" t="s">
        <v>6620</v>
      </c>
      <c r="C957" t="s">
        <v>63</v>
      </c>
      <c r="D957" s="7">
        <v>1</v>
      </c>
      <c r="E957" s="2">
        <v>66518</v>
      </c>
      <c r="F957" s="2">
        <v>66518</v>
      </c>
    </row>
    <row r="958" spans="1:6" x14ac:dyDescent="0.25">
      <c r="A958" t="s">
        <v>4062</v>
      </c>
      <c r="B958" t="s">
        <v>6166</v>
      </c>
      <c r="C958" t="s">
        <v>63</v>
      </c>
      <c r="D958" s="7">
        <v>0.01</v>
      </c>
      <c r="E958" s="2">
        <v>19750</v>
      </c>
      <c r="F958" s="2">
        <v>118.5</v>
      </c>
    </row>
    <row r="959" spans="1:6" x14ac:dyDescent="0.25">
      <c r="A959" t="s">
        <v>4049</v>
      </c>
      <c r="B959" t="s">
        <v>4241</v>
      </c>
      <c r="C959" t="s">
        <v>4051</v>
      </c>
      <c r="D959" s="7">
        <v>0.5</v>
      </c>
      <c r="E959" s="2">
        <v>9941.22</v>
      </c>
      <c r="F959" s="2">
        <v>4970.61</v>
      </c>
    </row>
    <row r="960" spans="1:6" x14ac:dyDescent="0.25">
      <c r="A960" t="s">
        <v>4049</v>
      </c>
      <c r="B960" t="s">
        <v>4242</v>
      </c>
      <c r="C960" t="s">
        <v>4051</v>
      </c>
      <c r="D960" s="7">
        <v>0.5</v>
      </c>
      <c r="E960" s="2">
        <v>17069.53</v>
      </c>
      <c r="F960" s="2">
        <v>8534.76</v>
      </c>
    </row>
    <row r="961" spans="1:6" x14ac:dyDescent="0.25">
      <c r="A961" t="s">
        <v>4052</v>
      </c>
      <c r="B961" t="s">
        <v>4053</v>
      </c>
      <c r="C961" t="s">
        <v>4054</v>
      </c>
      <c r="D961" s="7">
        <v>10</v>
      </c>
      <c r="E961" s="2">
        <v>13505.37</v>
      </c>
      <c r="F961" s="2">
        <v>1350.54</v>
      </c>
    </row>
    <row r="962" spans="1:6" x14ac:dyDescent="0.25">
      <c r="A962" t="s">
        <v>4055</v>
      </c>
      <c r="D962" s="7"/>
      <c r="E962" s="2"/>
      <c r="F962" s="2">
        <f>SUBTOTAL(109,A_2_04_95[VALOR PARCIAL])</f>
      </c>
    </row>
    <row r="964" ht="30" customHeight="1" spans="1:6" x14ac:dyDescent="0.25">
      <c r="A964" s="5" t="s">
        <v>6621</v>
      </c>
      <c r="B964" s="5"/>
      <c r="C964" s="5"/>
      <c r="D964" s="5"/>
      <c r="E964" s="5"/>
      <c r="F964" s="5"/>
    </row>
    <row r="965" ht="42" customHeight="1" spans="1:6" x14ac:dyDescent="0.25">
      <c r="A965" s="6" t="s">
        <v>6622</v>
      </c>
      <c r="B965" s="6"/>
      <c r="C965" s="6"/>
      <c r="D965" s="6"/>
      <c r="E965" s="6"/>
      <c r="F965" s="6"/>
    </row>
    <row r="966" spans="1:6" x14ac:dyDescent="0.25">
      <c r="A966" t="s">
        <v>4044</v>
      </c>
      <c r="B966" t="s">
        <v>4045</v>
      </c>
      <c r="C966" t="s">
        <v>5</v>
      </c>
      <c r="D966" t="s">
        <v>4046</v>
      </c>
      <c r="E966" t="s">
        <v>4047</v>
      </c>
      <c r="F966" t="s">
        <v>4048</v>
      </c>
    </row>
    <row r="967" spans="1:6" x14ac:dyDescent="0.25">
      <c r="A967" t="s">
        <v>4062</v>
      </c>
      <c r="B967" t="s">
        <v>6623</v>
      </c>
      <c r="C967" t="s">
        <v>63</v>
      </c>
      <c r="D967" s="7">
        <v>1</v>
      </c>
      <c r="E967" s="2">
        <v>154638</v>
      </c>
      <c r="F967" s="2">
        <v>154638</v>
      </c>
    </row>
    <row r="968" spans="1:6" x14ac:dyDescent="0.25">
      <c r="A968" t="s">
        <v>4062</v>
      </c>
      <c r="B968" t="s">
        <v>6166</v>
      </c>
      <c r="C968" t="s">
        <v>63</v>
      </c>
      <c r="D968" s="7">
        <v>0.01</v>
      </c>
      <c r="E968" s="2">
        <v>19750</v>
      </c>
      <c r="F968" s="2">
        <v>118.5</v>
      </c>
    </row>
    <row r="969" spans="1:6" x14ac:dyDescent="0.25">
      <c r="A969" t="s">
        <v>4049</v>
      </c>
      <c r="B969" t="s">
        <v>4241</v>
      </c>
      <c r="C969" t="s">
        <v>4051</v>
      </c>
      <c r="D969" s="7">
        <v>0.5</v>
      </c>
      <c r="E969" s="2">
        <v>9941.22</v>
      </c>
      <c r="F969" s="2">
        <v>4970.61</v>
      </c>
    </row>
    <row r="970" spans="1:6" x14ac:dyDescent="0.25">
      <c r="A970" t="s">
        <v>4049</v>
      </c>
      <c r="B970" t="s">
        <v>4242</v>
      </c>
      <c r="C970" t="s">
        <v>4051</v>
      </c>
      <c r="D970" s="7">
        <v>0.5</v>
      </c>
      <c r="E970" s="2">
        <v>17069.53</v>
      </c>
      <c r="F970" s="2">
        <v>8534.76</v>
      </c>
    </row>
    <row r="971" spans="1:6" x14ac:dyDescent="0.25">
      <c r="A971" t="s">
        <v>4052</v>
      </c>
      <c r="B971" t="s">
        <v>4053</v>
      </c>
      <c r="C971" t="s">
        <v>4054</v>
      </c>
      <c r="D971" s="7">
        <v>10</v>
      </c>
      <c r="E971" s="2">
        <v>13505.37</v>
      </c>
      <c r="F971" s="2">
        <v>1350.54</v>
      </c>
    </row>
    <row r="972" spans="1:6" x14ac:dyDescent="0.25">
      <c r="A972" t="s">
        <v>4055</v>
      </c>
      <c r="D972" s="7"/>
      <c r="E972" s="2"/>
      <c r="F972" s="2">
        <f>SUBTOTAL(109,A_2_04_96[VALOR PARCIAL])</f>
      </c>
    </row>
    <row r="974" ht="30" customHeight="1" spans="1:6" x14ac:dyDescent="0.25">
      <c r="A974" s="5" t="s">
        <v>6624</v>
      </c>
      <c r="B974" s="5"/>
      <c r="C974" s="5"/>
      <c r="D974" s="5"/>
      <c r="E974" s="5"/>
      <c r="F974" s="5"/>
    </row>
    <row r="975" ht="42" customHeight="1" spans="1:6" x14ac:dyDescent="0.25">
      <c r="A975" s="6" t="s">
        <v>6625</v>
      </c>
      <c r="B975" s="6"/>
      <c r="C975" s="6"/>
      <c r="D975" s="6"/>
      <c r="E975" s="6"/>
      <c r="F975" s="6"/>
    </row>
    <row r="976" spans="1:6" x14ac:dyDescent="0.25">
      <c r="A976" t="s">
        <v>4044</v>
      </c>
      <c r="B976" t="s">
        <v>4045</v>
      </c>
      <c r="C976" t="s">
        <v>5</v>
      </c>
      <c r="D976" t="s">
        <v>4046</v>
      </c>
      <c r="E976" t="s">
        <v>4047</v>
      </c>
      <c r="F976" t="s">
        <v>4048</v>
      </c>
    </row>
    <row r="977" spans="1:6" x14ac:dyDescent="0.25">
      <c r="A977" t="s">
        <v>4062</v>
      </c>
      <c r="B977" t="s">
        <v>6626</v>
      </c>
      <c r="C977" t="s">
        <v>63</v>
      </c>
      <c r="D977" s="7">
        <v>1</v>
      </c>
      <c r="E977" s="2">
        <v>284223</v>
      </c>
      <c r="F977" s="2">
        <v>284223</v>
      </c>
    </row>
    <row r="978" spans="1:6" x14ac:dyDescent="0.25">
      <c r="A978" t="s">
        <v>4062</v>
      </c>
      <c r="B978" t="s">
        <v>6166</v>
      </c>
      <c r="C978" t="s">
        <v>63</v>
      </c>
      <c r="D978" s="7">
        <v>0.01</v>
      </c>
      <c r="E978" s="2">
        <v>19750</v>
      </c>
      <c r="F978" s="2">
        <v>118.5</v>
      </c>
    </row>
    <row r="979" spans="1:6" x14ac:dyDescent="0.25">
      <c r="A979" t="s">
        <v>4049</v>
      </c>
      <c r="B979" t="s">
        <v>4241</v>
      </c>
      <c r="C979" t="s">
        <v>4051</v>
      </c>
      <c r="D979" s="7">
        <v>0.5</v>
      </c>
      <c r="E979" s="2">
        <v>9941.22</v>
      </c>
      <c r="F979" s="2">
        <v>4970.61</v>
      </c>
    </row>
    <row r="980" spans="1:6" x14ac:dyDescent="0.25">
      <c r="A980" t="s">
        <v>4049</v>
      </c>
      <c r="B980" t="s">
        <v>4242</v>
      </c>
      <c r="C980" t="s">
        <v>4051</v>
      </c>
      <c r="D980" s="7">
        <v>0.5</v>
      </c>
      <c r="E980" s="2">
        <v>17069.53</v>
      </c>
      <c r="F980" s="2">
        <v>8534.76</v>
      </c>
    </row>
    <row r="981" spans="1:6" x14ac:dyDescent="0.25">
      <c r="A981" t="s">
        <v>4052</v>
      </c>
      <c r="B981" t="s">
        <v>4053</v>
      </c>
      <c r="C981" t="s">
        <v>4054</v>
      </c>
      <c r="D981" s="7">
        <v>10</v>
      </c>
      <c r="E981" s="2">
        <v>13505.37</v>
      </c>
      <c r="F981" s="2">
        <v>1350.54</v>
      </c>
    </row>
    <row r="982" spans="1:6" x14ac:dyDescent="0.25">
      <c r="A982" t="s">
        <v>4055</v>
      </c>
      <c r="D982" s="7"/>
      <c r="E982" s="2"/>
      <c r="F982" s="2">
        <f>SUBTOTAL(109,A_2_04_97[VALOR PARCIAL])</f>
      </c>
    </row>
  </sheetData>
  <mergeCells count="194">
    <mergeCell ref="A4:F4"/>
    <mergeCell ref="A5:F5"/>
    <mergeCell ref="A13:F13"/>
    <mergeCell ref="A14:F14"/>
    <mergeCell ref="A24:F24"/>
    <mergeCell ref="A25:F25"/>
    <mergeCell ref="A35:F35"/>
    <mergeCell ref="A36:F36"/>
    <mergeCell ref="A46:F46"/>
    <mergeCell ref="A47:F47"/>
    <mergeCell ref="A57:F57"/>
    <mergeCell ref="A58:F58"/>
    <mergeCell ref="A67:F67"/>
    <mergeCell ref="A68:F68"/>
    <mergeCell ref="A77:F77"/>
    <mergeCell ref="A78:F78"/>
    <mergeCell ref="A87:F87"/>
    <mergeCell ref="A88:F88"/>
    <mergeCell ref="A96:F96"/>
    <mergeCell ref="A97:F97"/>
    <mergeCell ref="A106:F106"/>
    <mergeCell ref="A107:F107"/>
    <mergeCell ref="A116:F116"/>
    <mergeCell ref="A117:F117"/>
    <mergeCell ref="A126:F126"/>
    <mergeCell ref="A127:F127"/>
    <mergeCell ref="A136:F136"/>
    <mergeCell ref="A137:F137"/>
    <mergeCell ref="A146:F146"/>
    <mergeCell ref="A147:F147"/>
    <mergeCell ref="A156:F156"/>
    <mergeCell ref="A157:F157"/>
    <mergeCell ref="A166:F166"/>
    <mergeCell ref="A167:F167"/>
    <mergeCell ref="A176:F176"/>
    <mergeCell ref="A177:F177"/>
    <mergeCell ref="A186:F186"/>
    <mergeCell ref="A187:F187"/>
    <mergeCell ref="A196:F196"/>
    <mergeCell ref="A197:F197"/>
    <mergeCell ref="A206:F206"/>
    <mergeCell ref="A207:F207"/>
    <mergeCell ref="A216:F216"/>
    <mergeCell ref="A217:F217"/>
    <mergeCell ref="A226:F226"/>
    <mergeCell ref="A227:F227"/>
    <mergeCell ref="A236:F236"/>
    <mergeCell ref="A237:F237"/>
    <mergeCell ref="A246:F246"/>
    <mergeCell ref="A247:F247"/>
    <mergeCell ref="A256:F256"/>
    <mergeCell ref="A257:F257"/>
    <mergeCell ref="A266:F266"/>
    <mergeCell ref="A267:F267"/>
    <mergeCell ref="A276:F276"/>
    <mergeCell ref="A277:F277"/>
    <mergeCell ref="A286:F286"/>
    <mergeCell ref="A287:F287"/>
    <mergeCell ref="A296:F296"/>
    <mergeCell ref="A297:F297"/>
    <mergeCell ref="A306:F306"/>
    <mergeCell ref="A307:F307"/>
    <mergeCell ref="A316:F316"/>
    <mergeCell ref="A317:F317"/>
    <mergeCell ref="A327:F327"/>
    <mergeCell ref="A328:F328"/>
    <mergeCell ref="A338:F338"/>
    <mergeCell ref="A339:F339"/>
    <mergeCell ref="A349:F349"/>
    <mergeCell ref="A350:F350"/>
    <mergeCell ref="A359:F359"/>
    <mergeCell ref="A360:F360"/>
    <mergeCell ref="A369:F369"/>
    <mergeCell ref="A370:F370"/>
    <mergeCell ref="A379:F379"/>
    <mergeCell ref="A380:F380"/>
    <mergeCell ref="A389:F389"/>
    <mergeCell ref="A390:F390"/>
    <mergeCell ref="A398:F398"/>
    <mergeCell ref="A399:F399"/>
    <mergeCell ref="A407:F407"/>
    <mergeCell ref="A408:F408"/>
    <mergeCell ref="A416:F416"/>
    <mergeCell ref="A417:F417"/>
    <mergeCell ref="A425:F425"/>
    <mergeCell ref="A426:F426"/>
    <mergeCell ref="A434:F434"/>
    <mergeCell ref="A435:F435"/>
    <mergeCell ref="A443:F443"/>
    <mergeCell ref="A444:F444"/>
    <mergeCell ref="A452:F452"/>
    <mergeCell ref="A453:F453"/>
    <mergeCell ref="A461:F461"/>
    <mergeCell ref="A462:F462"/>
    <mergeCell ref="A470:F470"/>
    <mergeCell ref="A471:F471"/>
    <mergeCell ref="A479:F479"/>
    <mergeCell ref="A480:F480"/>
    <mergeCell ref="A488:F488"/>
    <mergeCell ref="A489:F489"/>
    <mergeCell ref="A503:F503"/>
    <mergeCell ref="A504:F504"/>
    <mergeCell ref="A512:F512"/>
    <mergeCell ref="A513:F513"/>
    <mergeCell ref="A521:F521"/>
    <mergeCell ref="A522:F522"/>
    <mergeCell ref="A530:F530"/>
    <mergeCell ref="A531:F531"/>
    <mergeCell ref="A539:F539"/>
    <mergeCell ref="A540:F540"/>
    <mergeCell ref="A552:F552"/>
    <mergeCell ref="A553:F553"/>
    <mergeCell ref="A565:F565"/>
    <mergeCell ref="A566:F566"/>
    <mergeCell ref="A578:F578"/>
    <mergeCell ref="A579:F579"/>
    <mergeCell ref="A587:F587"/>
    <mergeCell ref="A588:F588"/>
    <mergeCell ref="A596:F596"/>
    <mergeCell ref="A597:F597"/>
    <mergeCell ref="A605:F605"/>
    <mergeCell ref="A606:F606"/>
    <mergeCell ref="A614:F614"/>
    <mergeCell ref="A615:F615"/>
    <mergeCell ref="A623:F623"/>
    <mergeCell ref="A624:F624"/>
    <mergeCell ref="A632:F632"/>
    <mergeCell ref="A633:F633"/>
    <mergeCell ref="A641:F641"/>
    <mergeCell ref="A642:F642"/>
    <mergeCell ref="A651:F651"/>
    <mergeCell ref="A652:F652"/>
    <mergeCell ref="A662:F662"/>
    <mergeCell ref="A663:F663"/>
    <mergeCell ref="A672:F672"/>
    <mergeCell ref="A673:F673"/>
    <mergeCell ref="A682:F682"/>
    <mergeCell ref="A683:F683"/>
    <mergeCell ref="A693:F693"/>
    <mergeCell ref="A694:F694"/>
    <mergeCell ref="A703:F703"/>
    <mergeCell ref="A704:F704"/>
    <mergeCell ref="A713:F713"/>
    <mergeCell ref="A714:F714"/>
    <mergeCell ref="A724:F724"/>
    <mergeCell ref="A725:F725"/>
    <mergeCell ref="A735:F735"/>
    <mergeCell ref="A736:F736"/>
    <mergeCell ref="A746:F746"/>
    <mergeCell ref="A747:F747"/>
    <mergeCell ref="A757:F757"/>
    <mergeCell ref="A758:F758"/>
    <mergeCell ref="A768:F768"/>
    <mergeCell ref="A769:F769"/>
    <mergeCell ref="A779:F779"/>
    <mergeCell ref="A780:F780"/>
    <mergeCell ref="A790:F790"/>
    <mergeCell ref="A791:F791"/>
    <mergeCell ref="A801:F801"/>
    <mergeCell ref="A802:F802"/>
    <mergeCell ref="A812:F812"/>
    <mergeCell ref="A813:F813"/>
    <mergeCell ref="A823:F823"/>
    <mergeCell ref="A824:F824"/>
    <mergeCell ref="A834:F834"/>
    <mergeCell ref="A835:F835"/>
    <mergeCell ref="A844:F844"/>
    <mergeCell ref="A845:F845"/>
    <mergeCell ref="A854:F854"/>
    <mergeCell ref="A855:F855"/>
    <mergeCell ref="A864:F864"/>
    <mergeCell ref="A865:F865"/>
    <mergeCell ref="A874:F874"/>
    <mergeCell ref="A875:F875"/>
    <mergeCell ref="A884:F884"/>
    <mergeCell ref="A885:F885"/>
    <mergeCell ref="A894:F894"/>
    <mergeCell ref="A895:F895"/>
    <mergeCell ref="A904:F904"/>
    <mergeCell ref="A905:F905"/>
    <mergeCell ref="A914:F914"/>
    <mergeCell ref="A915:F915"/>
    <mergeCell ref="A924:F924"/>
    <mergeCell ref="A925:F925"/>
    <mergeCell ref="A934:F934"/>
    <mergeCell ref="A935:F935"/>
    <mergeCell ref="A944:F944"/>
    <mergeCell ref="A945:F945"/>
    <mergeCell ref="A954:F954"/>
    <mergeCell ref="A955:F955"/>
    <mergeCell ref="A964:F964"/>
    <mergeCell ref="A965:F965"/>
    <mergeCell ref="A974:F974"/>
    <mergeCell ref="A975:F975"/>
  </mergeCells>
  <pageMargins left="0.7" right="0.7" top="0.75" bottom="0.75" header="0.3" footer="0.3"/>
  <pageSetup orientation="portrait" horizontalDpi="4294967295" verticalDpi="4294967295" scale="100" fitToWidth="1" fitToHeight="1"/>
  <tableParts count="9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6627</v>
      </c>
    </row>
    <row r="2" spans="1:1" x14ac:dyDescent="0.25">
      <c r="A2" s="4" t="s">
        <v>6628</v>
      </c>
    </row>
    <row r="4" ht="30" customHeight="1" spans="1:6" x14ac:dyDescent="0.25">
      <c r="A4" s="5" t="s">
        <v>6629</v>
      </c>
      <c r="B4" s="5"/>
      <c r="C4" s="5"/>
      <c r="D4" s="5"/>
      <c r="E4" s="5"/>
      <c r="F4" s="5"/>
    </row>
    <row r="5" ht="42" customHeight="1" spans="1:6" x14ac:dyDescent="0.25">
      <c r="A5" s="6" t="s">
        <v>6630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2611</v>
      </c>
      <c r="C7" t="s">
        <v>63</v>
      </c>
      <c r="D7" s="7">
        <v>1</v>
      </c>
      <c r="E7" s="2">
        <v>215000</v>
      </c>
      <c r="F7" s="2">
        <v>215000</v>
      </c>
    </row>
    <row r="8" spans="1:6" x14ac:dyDescent="0.25">
      <c r="A8" t="s">
        <v>4055</v>
      </c>
      <c r="D8" s="7"/>
      <c r="E8" s="2"/>
      <c r="F8" s="2">
        <f>SUBTOTAL(109,A_2_05_01[VALOR PARCIAL])</f>
      </c>
    </row>
    <row r="10" ht="30" customHeight="1" spans="1:6" x14ac:dyDescent="0.25">
      <c r="A10" s="5" t="s">
        <v>6631</v>
      </c>
      <c r="B10" s="5"/>
      <c r="C10" s="5"/>
      <c r="D10" s="5"/>
      <c r="E10" s="5"/>
      <c r="F10" s="5"/>
    </row>
    <row r="11" ht="42" customHeight="1" spans="1:6" x14ac:dyDescent="0.25">
      <c r="A11" s="6" t="s">
        <v>6632</v>
      </c>
      <c r="B11" s="6"/>
      <c r="C11" s="6"/>
      <c r="D11" s="6"/>
      <c r="E11" s="6"/>
      <c r="F11" s="6"/>
    </row>
    <row r="12" spans="1:6" x14ac:dyDescent="0.25">
      <c r="A12" t="s">
        <v>4044</v>
      </c>
      <c r="B12" t="s">
        <v>4045</v>
      </c>
      <c r="C12" t="s">
        <v>5</v>
      </c>
      <c r="D12" t="s">
        <v>4046</v>
      </c>
      <c r="E12" t="s">
        <v>4047</v>
      </c>
      <c r="F12" t="s">
        <v>4048</v>
      </c>
    </row>
    <row r="13" spans="1:6" x14ac:dyDescent="0.25">
      <c r="A13" t="s">
        <v>4062</v>
      </c>
      <c r="B13" t="s">
        <v>4001</v>
      </c>
      <c r="C13" t="s">
        <v>34</v>
      </c>
      <c r="D13" s="7">
        <v>1</v>
      </c>
      <c r="E13" s="2">
        <v>450245.66</v>
      </c>
      <c r="F13" s="2">
        <v>450245.66</v>
      </c>
    </row>
    <row r="14" spans="1:6" x14ac:dyDescent="0.25">
      <c r="A14" t="s">
        <v>4049</v>
      </c>
      <c r="B14" t="s">
        <v>4050</v>
      </c>
      <c r="C14" t="s">
        <v>4051</v>
      </c>
      <c r="D14" s="7">
        <v>7</v>
      </c>
      <c r="E14" s="2">
        <v>9037.33</v>
      </c>
      <c r="F14" s="2">
        <v>63261.31</v>
      </c>
    </row>
    <row r="15" spans="1:6" x14ac:dyDescent="0.25">
      <c r="A15" t="s">
        <v>4049</v>
      </c>
      <c r="B15" t="s">
        <v>4073</v>
      </c>
      <c r="C15" t="s">
        <v>4051</v>
      </c>
      <c r="D15" s="7">
        <v>7</v>
      </c>
      <c r="E15" s="2">
        <v>15517.89</v>
      </c>
      <c r="F15" s="2">
        <v>108625.23</v>
      </c>
    </row>
    <row r="16" spans="1:6" x14ac:dyDescent="0.25">
      <c r="A16" t="s">
        <v>4052</v>
      </c>
      <c r="B16" t="s">
        <v>4053</v>
      </c>
      <c r="C16" t="s">
        <v>4054</v>
      </c>
      <c r="D16" s="7">
        <v>0.3</v>
      </c>
      <c r="E16" s="2">
        <v>171886.54</v>
      </c>
      <c r="F16" s="2">
        <v>515.66</v>
      </c>
    </row>
    <row r="17" spans="1:6" x14ac:dyDescent="0.25">
      <c r="A17" t="s">
        <v>4055</v>
      </c>
      <c r="D17" s="7"/>
      <c r="E17" s="2"/>
      <c r="F17" s="2">
        <f>SUBTOTAL(109,A_2_05_02[VALOR PARCIAL])</f>
      </c>
    </row>
    <row r="19" ht="30" customHeight="1" spans="1:6" x14ac:dyDescent="0.25">
      <c r="A19" s="5" t="s">
        <v>6633</v>
      </c>
      <c r="B19" s="5"/>
      <c r="C19" s="5"/>
      <c r="D19" s="5"/>
      <c r="E19" s="5"/>
      <c r="F19" s="5"/>
    </row>
    <row r="20" ht="42" customHeight="1" spans="1:6" x14ac:dyDescent="0.25">
      <c r="A20" s="6" t="s">
        <v>6634</v>
      </c>
      <c r="B20" s="6"/>
      <c r="C20" s="6"/>
      <c r="D20" s="6"/>
      <c r="E20" s="6"/>
      <c r="F20" s="6"/>
    </row>
    <row r="21" spans="1:6" x14ac:dyDescent="0.25">
      <c r="A21" t="s">
        <v>4044</v>
      </c>
      <c r="B21" t="s">
        <v>4045</v>
      </c>
      <c r="C21" t="s">
        <v>5</v>
      </c>
      <c r="D21" t="s">
        <v>4046</v>
      </c>
      <c r="E21" t="s">
        <v>4047</v>
      </c>
      <c r="F21" t="s">
        <v>4048</v>
      </c>
    </row>
    <row r="22" spans="1:6" x14ac:dyDescent="0.25">
      <c r="A22" t="s">
        <v>4062</v>
      </c>
      <c r="B22" t="s">
        <v>3205</v>
      </c>
      <c r="C22" t="s">
        <v>34</v>
      </c>
      <c r="D22" s="7">
        <v>0.26</v>
      </c>
      <c r="E22" s="2">
        <v>650668.16</v>
      </c>
      <c r="F22" s="2">
        <v>169173.72</v>
      </c>
    </row>
    <row r="23" spans="1:6" x14ac:dyDescent="0.25">
      <c r="A23" t="s">
        <v>4062</v>
      </c>
      <c r="B23" t="s">
        <v>2611</v>
      </c>
      <c r="C23" t="s">
        <v>63</v>
      </c>
      <c r="D23" s="7">
        <v>1</v>
      </c>
      <c r="E23" s="2">
        <v>215000</v>
      </c>
      <c r="F23" s="2">
        <v>215000</v>
      </c>
    </row>
    <row r="24" spans="1:6" x14ac:dyDescent="0.25">
      <c r="A24" t="s">
        <v>4062</v>
      </c>
      <c r="B24" t="s">
        <v>4031</v>
      </c>
      <c r="C24" t="s">
        <v>21</v>
      </c>
      <c r="D24" s="7">
        <v>3.1</v>
      </c>
      <c r="E24" s="2">
        <v>142134.84</v>
      </c>
      <c r="F24" s="2">
        <v>440618</v>
      </c>
    </row>
    <row r="25" spans="1:6" x14ac:dyDescent="0.25">
      <c r="A25" t="s">
        <v>4062</v>
      </c>
      <c r="B25" t="s">
        <v>2858</v>
      </c>
      <c r="C25" t="s">
        <v>63</v>
      </c>
      <c r="D25" s="7">
        <v>3</v>
      </c>
      <c r="E25" s="2">
        <v>6597.32</v>
      </c>
      <c r="F25" s="2">
        <v>19791.96</v>
      </c>
    </row>
    <row r="26" spans="1:6" x14ac:dyDescent="0.25">
      <c r="A26" t="s">
        <v>4049</v>
      </c>
      <c r="B26" t="s">
        <v>4176</v>
      </c>
      <c r="C26" t="s">
        <v>4177</v>
      </c>
      <c r="D26" s="7">
        <v>1.33</v>
      </c>
      <c r="E26" s="2">
        <v>72300.17</v>
      </c>
      <c r="F26" s="2">
        <v>96397.82</v>
      </c>
    </row>
    <row r="27" spans="1:6" x14ac:dyDescent="0.25">
      <c r="A27" t="s">
        <v>4049</v>
      </c>
      <c r="B27" t="s">
        <v>4313</v>
      </c>
      <c r="C27" t="s">
        <v>4177</v>
      </c>
      <c r="D27" s="7">
        <v>1.33</v>
      </c>
      <c r="E27" s="2">
        <v>124137.15</v>
      </c>
      <c r="F27" s="2">
        <v>165512.06</v>
      </c>
    </row>
    <row r="28" spans="1:6" x14ac:dyDescent="0.25">
      <c r="A28" t="s">
        <v>4052</v>
      </c>
      <c r="B28" t="s">
        <v>4053</v>
      </c>
      <c r="C28" t="s">
        <v>4054</v>
      </c>
      <c r="D28" s="7">
        <v>6.8</v>
      </c>
      <c r="E28" s="2">
        <v>261909.88</v>
      </c>
      <c r="F28" s="2">
        <v>17809.87</v>
      </c>
    </row>
    <row r="29" spans="1:6" x14ac:dyDescent="0.25">
      <c r="A29" t="s">
        <v>4055</v>
      </c>
      <c r="D29" s="7"/>
      <c r="E29" s="2"/>
      <c r="F29" s="2">
        <f>SUBTOTAL(109,A_2_05_03[VALOR PARCIAL])</f>
      </c>
    </row>
    <row r="31" ht="30" customHeight="1" spans="1:6" x14ac:dyDescent="0.25">
      <c r="A31" s="5" t="s">
        <v>6635</v>
      </c>
      <c r="B31" s="5"/>
      <c r="C31" s="5"/>
      <c r="D31" s="5"/>
      <c r="E31" s="5"/>
      <c r="F31" s="5"/>
    </row>
    <row r="32" ht="42" customHeight="1" spans="1:6" x14ac:dyDescent="0.25">
      <c r="A32" s="6" t="s">
        <v>6636</v>
      </c>
      <c r="B32" s="6"/>
      <c r="C32" s="6"/>
      <c r="D32" s="6"/>
      <c r="E32" s="6"/>
      <c r="F32" s="6"/>
    </row>
    <row r="33" spans="1:6" x14ac:dyDescent="0.25">
      <c r="A33" t="s">
        <v>4044</v>
      </c>
      <c r="B33" t="s">
        <v>4045</v>
      </c>
      <c r="C33" t="s">
        <v>5</v>
      </c>
      <c r="D33" t="s">
        <v>4046</v>
      </c>
      <c r="E33" t="s">
        <v>4047</v>
      </c>
      <c r="F33" t="s">
        <v>4048</v>
      </c>
    </row>
    <row r="34" spans="1:6" x14ac:dyDescent="0.25">
      <c r="A34" t="s">
        <v>4062</v>
      </c>
      <c r="B34" t="s">
        <v>2611</v>
      </c>
      <c r="C34" t="s">
        <v>63</v>
      </c>
      <c r="D34" s="7">
        <v>1</v>
      </c>
      <c r="E34" s="2">
        <v>215000</v>
      </c>
      <c r="F34" s="2">
        <v>215000</v>
      </c>
    </row>
    <row r="35" spans="1:6" x14ac:dyDescent="0.25">
      <c r="A35" t="s">
        <v>4062</v>
      </c>
      <c r="B35" t="s">
        <v>4031</v>
      </c>
      <c r="C35" t="s">
        <v>21</v>
      </c>
      <c r="D35" s="7">
        <v>9.5</v>
      </c>
      <c r="E35" s="2">
        <v>142134.84</v>
      </c>
      <c r="F35" s="2">
        <v>1350280.98</v>
      </c>
    </row>
    <row r="36" spans="1:6" x14ac:dyDescent="0.25">
      <c r="A36" t="s">
        <v>4062</v>
      </c>
      <c r="B36" t="s">
        <v>2858</v>
      </c>
      <c r="C36" t="s">
        <v>63</v>
      </c>
      <c r="D36" s="7">
        <v>5</v>
      </c>
      <c r="E36" s="2">
        <v>6597.32</v>
      </c>
      <c r="F36" s="2">
        <v>32986.6</v>
      </c>
    </row>
    <row r="37" spans="1:6" x14ac:dyDescent="0.25">
      <c r="A37" t="s">
        <v>4062</v>
      </c>
      <c r="B37" t="s">
        <v>3221</v>
      </c>
      <c r="C37" t="s">
        <v>34</v>
      </c>
      <c r="D37" s="7">
        <v>0.35</v>
      </c>
      <c r="E37" s="2">
        <v>541179.04</v>
      </c>
      <c r="F37" s="2">
        <v>189412.66</v>
      </c>
    </row>
    <row r="38" spans="1:6" x14ac:dyDescent="0.25">
      <c r="A38" t="s">
        <v>4049</v>
      </c>
      <c r="B38" t="s">
        <v>4176</v>
      </c>
      <c r="C38" t="s">
        <v>4177</v>
      </c>
      <c r="D38" s="7">
        <v>2.5</v>
      </c>
      <c r="E38" s="2">
        <v>72300.17</v>
      </c>
      <c r="F38" s="2">
        <v>180750.42</v>
      </c>
    </row>
    <row r="39" spans="1:6" x14ac:dyDescent="0.25">
      <c r="A39" t="s">
        <v>4049</v>
      </c>
      <c r="B39" t="s">
        <v>4313</v>
      </c>
      <c r="C39" t="s">
        <v>4177</v>
      </c>
      <c r="D39" s="7">
        <v>2.5</v>
      </c>
      <c r="E39" s="2">
        <v>124137.15</v>
      </c>
      <c r="F39" s="2">
        <v>310342.88</v>
      </c>
    </row>
    <row r="40" spans="1:6" x14ac:dyDescent="0.25">
      <c r="A40" t="s">
        <v>4052</v>
      </c>
      <c r="B40" t="s">
        <v>4053</v>
      </c>
      <c r="C40" t="s">
        <v>4054</v>
      </c>
      <c r="D40" s="7">
        <v>6.8</v>
      </c>
      <c r="E40" s="2">
        <v>491093.3</v>
      </c>
      <c r="F40" s="2">
        <v>33394.34</v>
      </c>
    </row>
    <row r="41" spans="1:6" x14ac:dyDescent="0.25">
      <c r="A41" t="s">
        <v>4055</v>
      </c>
      <c r="D41" s="7"/>
      <c r="E41" s="2"/>
      <c r="F41" s="2">
        <f>SUBTOTAL(109,A_2_05_04[VALOR PARCIAL])</f>
      </c>
    </row>
    <row r="43" ht="30" customHeight="1" spans="1:6" x14ac:dyDescent="0.25">
      <c r="A43" s="5" t="s">
        <v>6637</v>
      </c>
      <c r="B43" s="5"/>
      <c r="C43" s="5"/>
      <c r="D43" s="5"/>
      <c r="E43" s="5"/>
      <c r="F43" s="5"/>
    </row>
    <row r="44" ht="42" customHeight="1" spans="1:6" x14ac:dyDescent="0.25">
      <c r="A44" s="6" t="s">
        <v>6638</v>
      </c>
      <c r="B44" s="6"/>
      <c r="C44" s="6"/>
      <c r="D44" s="6"/>
      <c r="E44" s="6"/>
      <c r="F44" s="6"/>
    </row>
    <row r="45" spans="1:6" x14ac:dyDescent="0.25">
      <c r="A45" t="s">
        <v>4044</v>
      </c>
      <c r="B45" t="s">
        <v>4045</v>
      </c>
      <c r="C45" t="s">
        <v>5</v>
      </c>
      <c r="D45" t="s">
        <v>4046</v>
      </c>
      <c r="E45" t="s">
        <v>4047</v>
      </c>
      <c r="F45" t="s">
        <v>4048</v>
      </c>
    </row>
    <row r="46" spans="1:6" x14ac:dyDescent="0.25">
      <c r="A46" t="s">
        <v>4062</v>
      </c>
      <c r="B46" t="s">
        <v>2611</v>
      </c>
      <c r="C46" t="s">
        <v>63</v>
      </c>
      <c r="D46" s="7">
        <v>1</v>
      </c>
      <c r="E46" s="2">
        <v>215000</v>
      </c>
      <c r="F46" s="2">
        <v>215000</v>
      </c>
    </row>
    <row r="47" spans="1:6" x14ac:dyDescent="0.25">
      <c r="A47" t="s">
        <v>4062</v>
      </c>
      <c r="B47" t="s">
        <v>4031</v>
      </c>
      <c r="C47" t="s">
        <v>21</v>
      </c>
      <c r="D47" s="7">
        <v>5.7</v>
      </c>
      <c r="E47" s="2">
        <v>142134.84</v>
      </c>
      <c r="F47" s="2">
        <v>810168.59</v>
      </c>
    </row>
    <row r="48" spans="1:6" x14ac:dyDescent="0.25">
      <c r="A48" t="s">
        <v>4062</v>
      </c>
      <c r="B48" t="s">
        <v>2858</v>
      </c>
      <c r="C48" t="s">
        <v>63</v>
      </c>
      <c r="D48" s="7">
        <v>5</v>
      </c>
      <c r="E48" s="2">
        <v>6597.32</v>
      </c>
      <c r="F48" s="2">
        <v>32986.6</v>
      </c>
    </row>
    <row r="49" spans="1:6" x14ac:dyDescent="0.25">
      <c r="A49" t="s">
        <v>4062</v>
      </c>
      <c r="B49" t="s">
        <v>3221</v>
      </c>
      <c r="C49" t="s">
        <v>34</v>
      </c>
      <c r="D49" s="7">
        <v>0.35</v>
      </c>
      <c r="E49" s="2">
        <v>541179.04</v>
      </c>
      <c r="F49" s="2">
        <v>189412.66</v>
      </c>
    </row>
    <row r="50" spans="1:6" x14ac:dyDescent="0.25">
      <c r="A50" t="s">
        <v>4049</v>
      </c>
      <c r="B50" t="s">
        <v>4176</v>
      </c>
      <c r="C50" t="s">
        <v>4177</v>
      </c>
      <c r="D50" s="7">
        <v>2.5</v>
      </c>
      <c r="E50" s="2">
        <v>72300.17</v>
      </c>
      <c r="F50" s="2">
        <v>180750.42</v>
      </c>
    </row>
    <row r="51" spans="1:6" x14ac:dyDescent="0.25">
      <c r="A51" t="s">
        <v>4049</v>
      </c>
      <c r="B51" t="s">
        <v>4313</v>
      </c>
      <c r="C51" t="s">
        <v>4177</v>
      </c>
      <c r="D51" s="7">
        <v>2.5</v>
      </c>
      <c r="E51" s="2">
        <v>124137.15</v>
      </c>
      <c r="F51" s="2">
        <v>310342.88</v>
      </c>
    </row>
    <row r="52" spans="1:6" x14ac:dyDescent="0.25">
      <c r="A52" t="s">
        <v>4052</v>
      </c>
      <c r="B52" t="s">
        <v>4053</v>
      </c>
      <c r="C52" t="s">
        <v>4054</v>
      </c>
      <c r="D52" s="7">
        <v>6.8</v>
      </c>
      <c r="E52" s="2">
        <v>491093.3</v>
      </c>
      <c r="F52" s="2">
        <v>33394.34</v>
      </c>
    </row>
    <row r="53" spans="1:6" x14ac:dyDescent="0.25">
      <c r="A53" t="s">
        <v>4055</v>
      </c>
      <c r="D53" s="7"/>
      <c r="E53" s="2"/>
      <c r="F53" s="2">
        <f>SUBTOTAL(109,A_2_05_05[VALOR PARCIAL])</f>
      </c>
    </row>
    <row r="55" ht="30" customHeight="1" spans="1:6" x14ac:dyDescent="0.25">
      <c r="A55" s="5" t="s">
        <v>6639</v>
      </c>
      <c r="B55" s="5"/>
      <c r="C55" s="5"/>
      <c r="D55" s="5"/>
      <c r="E55" s="5"/>
      <c r="F55" s="5"/>
    </row>
    <row r="56" ht="42" customHeight="1" spans="1:6" x14ac:dyDescent="0.25">
      <c r="A56" s="6" t="s">
        <v>6640</v>
      </c>
      <c r="B56" s="6"/>
      <c r="C56" s="6"/>
      <c r="D56" s="6"/>
      <c r="E56" s="6"/>
      <c r="F56" s="6"/>
    </row>
    <row r="57" spans="1:6" x14ac:dyDescent="0.25">
      <c r="A57" t="s">
        <v>4044</v>
      </c>
      <c r="B57" t="s">
        <v>4045</v>
      </c>
      <c r="C57" t="s">
        <v>5</v>
      </c>
      <c r="D57" t="s">
        <v>4046</v>
      </c>
      <c r="E57" t="s">
        <v>4047</v>
      </c>
      <c r="F57" t="s">
        <v>4048</v>
      </c>
    </row>
    <row r="58" spans="1:6" x14ac:dyDescent="0.25">
      <c r="A58" t="s">
        <v>4062</v>
      </c>
      <c r="B58" t="s">
        <v>2611</v>
      </c>
      <c r="C58" t="s">
        <v>63</v>
      </c>
      <c r="D58" s="7">
        <v>1</v>
      </c>
      <c r="E58" s="2">
        <v>215000</v>
      </c>
      <c r="F58" s="2">
        <v>215000</v>
      </c>
    </row>
    <row r="59" spans="1:6" x14ac:dyDescent="0.25">
      <c r="A59" t="s">
        <v>4062</v>
      </c>
      <c r="B59" t="s">
        <v>4031</v>
      </c>
      <c r="C59" t="s">
        <v>21</v>
      </c>
      <c r="D59" s="7">
        <v>3.1</v>
      </c>
      <c r="E59" s="2">
        <v>142134.84</v>
      </c>
      <c r="F59" s="2">
        <v>440618</v>
      </c>
    </row>
    <row r="60" spans="1:6" x14ac:dyDescent="0.25">
      <c r="A60" t="s">
        <v>4062</v>
      </c>
      <c r="B60" t="s">
        <v>2858</v>
      </c>
      <c r="C60" t="s">
        <v>63</v>
      </c>
      <c r="D60" s="7">
        <v>3</v>
      </c>
      <c r="E60" s="2">
        <v>6597.32</v>
      </c>
      <c r="F60" s="2">
        <v>19791.96</v>
      </c>
    </row>
    <row r="61" spans="1:6" x14ac:dyDescent="0.25">
      <c r="A61" t="s">
        <v>4062</v>
      </c>
      <c r="B61" t="s">
        <v>3221</v>
      </c>
      <c r="C61" t="s">
        <v>34</v>
      </c>
      <c r="D61" s="7">
        <v>0.35</v>
      </c>
      <c r="E61" s="2">
        <v>541179.04</v>
      </c>
      <c r="F61" s="2">
        <v>189412.66</v>
      </c>
    </row>
    <row r="62" spans="1:6" x14ac:dyDescent="0.25">
      <c r="A62" t="s">
        <v>4049</v>
      </c>
      <c r="B62" t="s">
        <v>4176</v>
      </c>
      <c r="C62" t="s">
        <v>4177</v>
      </c>
      <c r="D62" s="7">
        <v>1.5</v>
      </c>
      <c r="E62" s="2">
        <v>72300.17</v>
      </c>
      <c r="F62" s="2">
        <v>108450.26</v>
      </c>
    </row>
    <row r="63" spans="1:6" x14ac:dyDescent="0.25">
      <c r="A63" t="s">
        <v>4049</v>
      </c>
      <c r="B63" t="s">
        <v>4313</v>
      </c>
      <c r="C63" t="s">
        <v>4177</v>
      </c>
      <c r="D63" s="7">
        <v>1.5</v>
      </c>
      <c r="E63" s="2">
        <v>124137.15</v>
      </c>
      <c r="F63" s="2">
        <v>186205.72</v>
      </c>
    </row>
    <row r="64" spans="1:6" x14ac:dyDescent="0.25">
      <c r="A64" t="s">
        <v>4052</v>
      </c>
      <c r="B64" t="s">
        <v>4053</v>
      </c>
      <c r="C64" t="s">
        <v>4054</v>
      </c>
      <c r="D64" s="7">
        <v>6.8</v>
      </c>
      <c r="E64" s="2">
        <v>294655.98</v>
      </c>
      <c r="F64" s="2">
        <v>20036.61</v>
      </c>
    </row>
    <row r="65" spans="1:6" x14ac:dyDescent="0.25">
      <c r="A65" t="s">
        <v>4055</v>
      </c>
      <c r="D65" s="7"/>
      <c r="E65" s="2"/>
      <c r="F65" s="2">
        <f>SUBTOTAL(109,A_2_05_06[VALOR PARCIAL])</f>
      </c>
    </row>
    <row r="67" ht="30" customHeight="1" spans="1:6" x14ac:dyDescent="0.25">
      <c r="A67" s="5" t="s">
        <v>6641</v>
      </c>
      <c r="B67" s="5"/>
      <c r="C67" s="5"/>
      <c r="D67" s="5"/>
      <c r="E67" s="5"/>
      <c r="F67" s="5"/>
    </row>
    <row r="68" ht="42" customHeight="1" spans="1:6" x14ac:dyDescent="0.25">
      <c r="A68" s="6" t="s">
        <v>6642</v>
      </c>
      <c r="B68" s="6"/>
      <c r="C68" s="6"/>
      <c r="D68" s="6"/>
      <c r="E68" s="6"/>
      <c r="F68" s="6"/>
    </row>
    <row r="69" spans="1:6" x14ac:dyDescent="0.25">
      <c r="A69" t="s">
        <v>4044</v>
      </c>
      <c r="B69" t="s">
        <v>4045</v>
      </c>
      <c r="C69" t="s">
        <v>5</v>
      </c>
      <c r="D69" t="s">
        <v>4046</v>
      </c>
      <c r="E69" t="s">
        <v>4047</v>
      </c>
      <c r="F69" t="s">
        <v>4048</v>
      </c>
    </row>
    <row r="70" spans="1:6" x14ac:dyDescent="0.25">
      <c r="A70" t="s">
        <v>4062</v>
      </c>
      <c r="B70" t="s">
        <v>3205</v>
      </c>
      <c r="C70" t="s">
        <v>34</v>
      </c>
      <c r="D70" s="7">
        <v>0.5</v>
      </c>
      <c r="E70" s="2">
        <v>650668.16</v>
      </c>
      <c r="F70" s="2">
        <v>325334.08</v>
      </c>
    </row>
    <row r="71" spans="1:6" x14ac:dyDescent="0.25">
      <c r="A71" t="s">
        <v>4062</v>
      </c>
      <c r="B71" t="s">
        <v>2611</v>
      </c>
      <c r="C71" t="s">
        <v>63</v>
      </c>
      <c r="D71" s="7">
        <v>1</v>
      </c>
      <c r="E71" s="2">
        <v>215000</v>
      </c>
      <c r="F71" s="2">
        <v>215000</v>
      </c>
    </row>
    <row r="72" spans="1:6" x14ac:dyDescent="0.25">
      <c r="A72" t="s">
        <v>4062</v>
      </c>
      <c r="B72" t="s">
        <v>4031</v>
      </c>
      <c r="C72" t="s">
        <v>21</v>
      </c>
      <c r="D72" s="7">
        <v>16.9</v>
      </c>
      <c r="E72" s="2">
        <v>142134.84</v>
      </c>
      <c r="F72" s="2">
        <v>2402078.8</v>
      </c>
    </row>
    <row r="73" spans="1:6" x14ac:dyDescent="0.25">
      <c r="A73" t="s">
        <v>4062</v>
      </c>
      <c r="B73" t="s">
        <v>2858</v>
      </c>
      <c r="C73" t="s">
        <v>63</v>
      </c>
      <c r="D73" s="7">
        <v>11</v>
      </c>
      <c r="E73" s="2">
        <v>6597.32</v>
      </c>
      <c r="F73" s="2">
        <v>72570.52</v>
      </c>
    </row>
    <row r="74" spans="1:6" x14ac:dyDescent="0.25">
      <c r="A74" t="s">
        <v>4049</v>
      </c>
      <c r="B74" t="s">
        <v>4176</v>
      </c>
      <c r="C74" t="s">
        <v>4177</v>
      </c>
      <c r="D74" s="7">
        <v>2.5</v>
      </c>
      <c r="E74" s="2">
        <v>72300.17</v>
      </c>
      <c r="F74" s="2">
        <v>180750.42</v>
      </c>
    </row>
    <row r="75" spans="1:6" x14ac:dyDescent="0.25">
      <c r="A75" t="s">
        <v>4049</v>
      </c>
      <c r="B75" t="s">
        <v>4313</v>
      </c>
      <c r="C75" t="s">
        <v>4177</v>
      </c>
      <c r="D75" s="7">
        <v>2.5</v>
      </c>
      <c r="E75" s="2">
        <v>124137.15</v>
      </c>
      <c r="F75" s="2">
        <v>310342.88</v>
      </c>
    </row>
    <row r="76" spans="1:6" x14ac:dyDescent="0.25">
      <c r="A76" t="s">
        <v>4052</v>
      </c>
      <c r="B76" t="s">
        <v>4053</v>
      </c>
      <c r="C76" t="s">
        <v>4054</v>
      </c>
      <c r="D76" s="7">
        <v>6.6</v>
      </c>
      <c r="E76" s="2">
        <v>491093.3</v>
      </c>
      <c r="F76" s="2">
        <v>32412.16</v>
      </c>
    </row>
    <row r="77" spans="1:6" x14ac:dyDescent="0.25">
      <c r="A77" t="s">
        <v>4055</v>
      </c>
      <c r="D77" s="7"/>
      <c r="E77" s="2"/>
      <c r="F77" s="2">
        <f>SUBTOTAL(109,A_2_05_07[VALOR PARCIAL])</f>
      </c>
    </row>
    <row r="79" ht="30" customHeight="1" spans="1:6" x14ac:dyDescent="0.25">
      <c r="A79" s="5" t="s">
        <v>6643</v>
      </c>
      <c r="B79" s="5"/>
      <c r="C79" s="5"/>
      <c r="D79" s="5"/>
      <c r="E79" s="5"/>
      <c r="F79" s="5"/>
    </row>
    <row r="80" ht="42" customHeight="1" spans="1:6" x14ac:dyDescent="0.25">
      <c r="A80" s="6" t="s">
        <v>6644</v>
      </c>
      <c r="B80" s="6"/>
      <c r="C80" s="6"/>
      <c r="D80" s="6"/>
      <c r="E80" s="6"/>
      <c r="F80" s="6"/>
    </row>
    <row r="81" spans="1:6" x14ac:dyDescent="0.25">
      <c r="A81" t="s">
        <v>4044</v>
      </c>
      <c r="B81" t="s">
        <v>4045</v>
      </c>
      <c r="C81" t="s">
        <v>5</v>
      </c>
      <c r="D81" t="s">
        <v>4046</v>
      </c>
      <c r="E81" t="s">
        <v>4047</v>
      </c>
      <c r="F81" t="s">
        <v>4048</v>
      </c>
    </row>
    <row r="82" spans="1:6" x14ac:dyDescent="0.25">
      <c r="A82" t="s">
        <v>4062</v>
      </c>
      <c r="B82" t="s">
        <v>6645</v>
      </c>
      <c r="C82" t="s">
        <v>63</v>
      </c>
      <c r="D82" s="7">
        <v>2</v>
      </c>
      <c r="E82" s="2">
        <v>2766.67</v>
      </c>
      <c r="F82" s="2">
        <v>5533.34</v>
      </c>
    </row>
    <row r="83" spans="1:6" x14ac:dyDescent="0.25">
      <c r="A83" t="s">
        <v>4062</v>
      </c>
      <c r="B83" t="s">
        <v>6646</v>
      </c>
      <c r="C83" t="s">
        <v>63</v>
      </c>
      <c r="D83" s="7">
        <v>2</v>
      </c>
      <c r="E83" s="2">
        <v>1967</v>
      </c>
      <c r="F83" s="2">
        <v>3934</v>
      </c>
    </row>
    <row r="84" spans="1:6" x14ac:dyDescent="0.25">
      <c r="A84" t="s">
        <v>4062</v>
      </c>
      <c r="B84" t="s">
        <v>6647</v>
      </c>
      <c r="C84" t="s">
        <v>42</v>
      </c>
      <c r="D84" s="7">
        <v>1.2</v>
      </c>
      <c r="E84" s="2">
        <v>10770</v>
      </c>
      <c r="F84" s="2">
        <v>12924</v>
      </c>
    </row>
    <row r="85" spans="1:6" x14ac:dyDescent="0.25">
      <c r="A85" t="s">
        <v>4062</v>
      </c>
      <c r="B85" t="s">
        <v>4659</v>
      </c>
      <c r="C85" t="s">
        <v>4377</v>
      </c>
      <c r="D85" s="7">
        <v>0.1</v>
      </c>
      <c r="E85" s="2">
        <v>31500</v>
      </c>
      <c r="F85" s="2">
        <v>3150</v>
      </c>
    </row>
    <row r="86" spans="1:6" x14ac:dyDescent="0.25">
      <c r="A86" t="s">
        <v>4062</v>
      </c>
      <c r="B86" t="s">
        <v>4376</v>
      </c>
      <c r="C86" t="s">
        <v>4377</v>
      </c>
      <c r="D86" s="7">
        <v>0.1</v>
      </c>
      <c r="E86" s="2">
        <v>72237.67</v>
      </c>
      <c r="F86" s="2">
        <v>7223.77</v>
      </c>
    </row>
    <row r="87" spans="1:6" x14ac:dyDescent="0.25">
      <c r="A87" t="s">
        <v>4049</v>
      </c>
      <c r="B87" t="s">
        <v>4241</v>
      </c>
      <c r="C87" t="s">
        <v>4051</v>
      </c>
      <c r="D87" s="7">
        <v>0.4</v>
      </c>
      <c r="E87" s="2">
        <v>9941.22</v>
      </c>
      <c r="F87" s="2">
        <v>3976.49</v>
      </c>
    </row>
    <row r="88" spans="1:6" x14ac:dyDescent="0.25">
      <c r="A88" t="s">
        <v>4049</v>
      </c>
      <c r="B88" t="s">
        <v>4242</v>
      </c>
      <c r="C88" t="s">
        <v>4051</v>
      </c>
      <c r="D88" s="7">
        <v>0.4</v>
      </c>
      <c r="E88" s="2">
        <v>17069.53</v>
      </c>
      <c r="F88" s="2">
        <v>6827.81</v>
      </c>
    </row>
    <row r="89" spans="1:6" x14ac:dyDescent="0.25">
      <c r="A89" t="s">
        <v>4052</v>
      </c>
      <c r="B89" t="s">
        <v>4053</v>
      </c>
      <c r="C89" t="s">
        <v>4054</v>
      </c>
      <c r="D89" s="7">
        <v>5</v>
      </c>
      <c r="E89" s="2">
        <v>10804.3</v>
      </c>
      <c r="F89" s="2">
        <v>540.22</v>
      </c>
    </row>
    <row r="90" spans="1:6" x14ac:dyDescent="0.25">
      <c r="A90" t="s">
        <v>4055</v>
      </c>
      <c r="D90" s="7"/>
      <c r="E90" s="2"/>
      <c r="F90" s="2">
        <f>SUBTOTAL(109,A_2_05_08[VALOR PARCIAL])</f>
      </c>
    </row>
    <row r="92" ht="30" customHeight="1" spans="1:6" x14ac:dyDescent="0.25">
      <c r="A92" s="5" t="s">
        <v>6648</v>
      </c>
      <c r="B92" s="5"/>
      <c r="C92" s="5"/>
      <c r="D92" s="5"/>
      <c r="E92" s="5"/>
      <c r="F92" s="5"/>
    </row>
    <row r="93" ht="42" customHeight="1" spans="1:6" x14ac:dyDescent="0.25">
      <c r="A93" s="6" t="s">
        <v>6649</v>
      </c>
      <c r="B93" s="6"/>
      <c r="C93" s="6"/>
      <c r="D93" s="6"/>
      <c r="E93" s="6"/>
      <c r="F93" s="6"/>
    </row>
    <row r="94" spans="1:6" x14ac:dyDescent="0.25">
      <c r="A94" t="s">
        <v>4044</v>
      </c>
      <c r="B94" t="s">
        <v>4045</v>
      </c>
      <c r="C94" t="s">
        <v>5</v>
      </c>
      <c r="D94" t="s">
        <v>4046</v>
      </c>
      <c r="E94" t="s">
        <v>4047</v>
      </c>
      <c r="F94" t="s">
        <v>4048</v>
      </c>
    </row>
    <row r="95" spans="1:6" x14ac:dyDescent="0.25">
      <c r="A95" t="s">
        <v>4062</v>
      </c>
      <c r="B95" t="s">
        <v>4380</v>
      </c>
      <c r="C95" t="s">
        <v>42</v>
      </c>
      <c r="D95" s="7">
        <v>1</v>
      </c>
      <c r="E95" s="2">
        <v>16665</v>
      </c>
      <c r="F95" s="2">
        <v>16665</v>
      </c>
    </row>
    <row r="96" spans="1:6" x14ac:dyDescent="0.25">
      <c r="A96" t="s">
        <v>4062</v>
      </c>
      <c r="B96" t="s">
        <v>4386</v>
      </c>
      <c r="C96" t="s">
        <v>42</v>
      </c>
      <c r="D96" s="7">
        <v>0.5</v>
      </c>
      <c r="E96" s="2">
        <v>23228</v>
      </c>
      <c r="F96" s="2">
        <v>11614</v>
      </c>
    </row>
    <row r="97" spans="1:6" x14ac:dyDescent="0.25">
      <c r="A97" t="s">
        <v>4062</v>
      </c>
      <c r="B97" t="s">
        <v>4663</v>
      </c>
      <c r="C97" t="s">
        <v>63</v>
      </c>
      <c r="D97" s="7">
        <v>3</v>
      </c>
      <c r="E97" s="2">
        <v>5259</v>
      </c>
      <c r="F97" s="2">
        <v>15777</v>
      </c>
    </row>
    <row r="98" spans="1:6" x14ac:dyDescent="0.25">
      <c r="A98" t="s">
        <v>4062</v>
      </c>
      <c r="B98" t="s">
        <v>4658</v>
      </c>
      <c r="C98" t="s">
        <v>63</v>
      </c>
      <c r="D98" s="7">
        <v>2</v>
      </c>
      <c r="E98" s="2">
        <v>13724.66</v>
      </c>
      <c r="F98" s="2">
        <v>27449.32</v>
      </c>
    </row>
    <row r="99" spans="1:6" x14ac:dyDescent="0.25">
      <c r="A99" t="s">
        <v>4062</v>
      </c>
      <c r="B99" t="s">
        <v>4659</v>
      </c>
      <c r="C99" t="s">
        <v>4377</v>
      </c>
      <c r="D99" s="7">
        <v>0.05</v>
      </c>
      <c r="E99" s="2">
        <v>31500</v>
      </c>
      <c r="F99" s="2">
        <v>1575</v>
      </c>
    </row>
    <row r="100" spans="1:6" x14ac:dyDescent="0.25">
      <c r="A100" t="s">
        <v>4062</v>
      </c>
      <c r="B100" t="s">
        <v>4376</v>
      </c>
      <c r="C100" t="s">
        <v>4377</v>
      </c>
      <c r="D100" s="7">
        <v>0.05</v>
      </c>
      <c r="E100" s="2">
        <v>72237.67</v>
      </c>
      <c r="F100" s="2">
        <v>3611.88</v>
      </c>
    </row>
    <row r="101" spans="1:6" x14ac:dyDescent="0.25">
      <c r="A101" t="s">
        <v>4049</v>
      </c>
      <c r="B101" t="s">
        <v>4241</v>
      </c>
      <c r="C101" t="s">
        <v>4051</v>
      </c>
      <c r="D101" s="7">
        <v>0.4</v>
      </c>
      <c r="E101" s="2">
        <v>9941.22</v>
      </c>
      <c r="F101" s="2">
        <v>3976.49</v>
      </c>
    </row>
    <row r="102" spans="1:6" x14ac:dyDescent="0.25">
      <c r="A102" t="s">
        <v>4049</v>
      </c>
      <c r="B102" t="s">
        <v>4242</v>
      </c>
      <c r="C102" t="s">
        <v>4051</v>
      </c>
      <c r="D102" s="7">
        <v>0.4</v>
      </c>
      <c r="E102" s="2">
        <v>17069.53</v>
      </c>
      <c r="F102" s="2">
        <v>6827.81</v>
      </c>
    </row>
    <row r="103" spans="1:6" x14ac:dyDescent="0.25">
      <c r="A103" t="s">
        <v>4052</v>
      </c>
      <c r="B103" t="s">
        <v>4053</v>
      </c>
      <c r="C103" t="s">
        <v>4054</v>
      </c>
      <c r="D103" s="7">
        <v>5</v>
      </c>
      <c r="E103" s="2">
        <v>10804.3</v>
      </c>
      <c r="F103" s="2">
        <v>540.22</v>
      </c>
    </row>
    <row r="104" spans="1:6" x14ac:dyDescent="0.25">
      <c r="A104" t="s">
        <v>4055</v>
      </c>
      <c r="D104" s="7"/>
      <c r="E104" s="2"/>
      <c r="F104" s="2">
        <f>SUBTOTAL(109,A_2_05_09[VALOR PARCIAL])</f>
      </c>
    </row>
    <row r="106" ht="30" customHeight="1" spans="1:6" x14ac:dyDescent="0.25">
      <c r="A106" s="5" t="s">
        <v>6650</v>
      </c>
      <c r="B106" s="5"/>
      <c r="C106" s="5"/>
      <c r="D106" s="5"/>
      <c r="E106" s="5"/>
      <c r="F106" s="5"/>
    </row>
    <row r="107" ht="42" customHeight="1" spans="1:6" x14ac:dyDescent="0.25">
      <c r="A107" s="6" t="s">
        <v>6651</v>
      </c>
      <c r="B107" s="6"/>
      <c r="C107" s="6"/>
      <c r="D107" s="6"/>
      <c r="E107" s="6"/>
      <c r="F107" s="6"/>
    </row>
    <row r="108" spans="1:6" x14ac:dyDescent="0.25">
      <c r="A108" t="s">
        <v>4044</v>
      </c>
      <c r="B108" t="s">
        <v>4045</v>
      </c>
      <c r="C108" t="s">
        <v>5</v>
      </c>
      <c r="D108" t="s">
        <v>4046</v>
      </c>
      <c r="E108" t="s">
        <v>4047</v>
      </c>
      <c r="F108" t="s">
        <v>4048</v>
      </c>
    </row>
    <row r="109" spans="1:6" x14ac:dyDescent="0.25">
      <c r="A109" t="s">
        <v>4062</v>
      </c>
      <c r="B109" t="s">
        <v>6652</v>
      </c>
      <c r="C109" t="s">
        <v>63</v>
      </c>
      <c r="D109" s="7">
        <v>1</v>
      </c>
      <c r="E109" s="2">
        <v>6309</v>
      </c>
      <c r="F109" s="2">
        <v>6309</v>
      </c>
    </row>
    <row r="110" spans="1:6" x14ac:dyDescent="0.25">
      <c r="A110" t="s">
        <v>4062</v>
      </c>
      <c r="B110" t="s">
        <v>4659</v>
      </c>
      <c r="C110" t="s">
        <v>4377</v>
      </c>
      <c r="D110" s="7">
        <v>0</v>
      </c>
      <c r="E110" s="2">
        <v>31500</v>
      </c>
      <c r="F110" s="2">
        <v>126</v>
      </c>
    </row>
    <row r="111" spans="1:6" x14ac:dyDescent="0.25">
      <c r="A111" t="s">
        <v>4062</v>
      </c>
      <c r="B111" t="s">
        <v>4376</v>
      </c>
      <c r="C111" t="s">
        <v>4377</v>
      </c>
      <c r="D111" s="7">
        <v>0</v>
      </c>
      <c r="E111" s="2">
        <v>72237.67</v>
      </c>
      <c r="F111" s="2">
        <v>288.95</v>
      </c>
    </row>
    <row r="112" spans="1:6" x14ac:dyDescent="0.25">
      <c r="A112" t="s">
        <v>4049</v>
      </c>
      <c r="B112" t="s">
        <v>4241</v>
      </c>
      <c r="C112" t="s">
        <v>4051</v>
      </c>
      <c r="D112" s="7">
        <v>0.02</v>
      </c>
      <c r="E112" s="2">
        <v>9941.22</v>
      </c>
      <c r="F112" s="2">
        <v>198.82</v>
      </c>
    </row>
    <row r="113" spans="1:6" x14ac:dyDescent="0.25">
      <c r="A113" t="s">
        <v>4049</v>
      </c>
      <c r="B113" t="s">
        <v>4242</v>
      </c>
      <c r="C113" t="s">
        <v>4051</v>
      </c>
      <c r="D113" s="7">
        <v>0.02</v>
      </c>
      <c r="E113" s="2">
        <v>17069.53</v>
      </c>
      <c r="F113" s="2">
        <v>341.39</v>
      </c>
    </row>
    <row r="114" spans="1:6" x14ac:dyDescent="0.25">
      <c r="A114" t="s">
        <v>4052</v>
      </c>
      <c r="B114" t="s">
        <v>4053</v>
      </c>
      <c r="C114" t="s">
        <v>4054</v>
      </c>
      <c r="D114" s="7">
        <v>3.4</v>
      </c>
      <c r="E114" s="2">
        <v>540.21</v>
      </c>
      <c r="F114" s="2">
        <v>18.37</v>
      </c>
    </row>
    <row r="115" spans="1:6" x14ac:dyDescent="0.25">
      <c r="A115" t="s">
        <v>4055</v>
      </c>
      <c r="D115" s="7"/>
      <c r="E115" s="2"/>
      <c r="F115" s="2">
        <f>SUBTOTAL(109,A_2_05_10[VALOR PARCIAL])</f>
      </c>
    </row>
    <row r="117" ht="30" customHeight="1" spans="1:6" x14ac:dyDescent="0.25">
      <c r="A117" s="5" t="s">
        <v>6653</v>
      </c>
      <c r="B117" s="5"/>
      <c r="C117" s="5"/>
      <c r="D117" s="5"/>
      <c r="E117" s="5"/>
      <c r="F117" s="5"/>
    </row>
    <row r="118" ht="42" customHeight="1" spans="1:6" x14ac:dyDescent="0.25">
      <c r="A118" s="6" t="s">
        <v>6654</v>
      </c>
      <c r="B118" s="6"/>
      <c r="C118" s="6"/>
      <c r="D118" s="6"/>
      <c r="E118" s="6"/>
      <c r="F118" s="6"/>
    </row>
    <row r="119" spans="1:6" x14ac:dyDescent="0.25">
      <c r="A119" t="s">
        <v>4044</v>
      </c>
      <c r="B119" t="s">
        <v>4045</v>
      </c>
      <c r="C119" t="s">
        <v>5</v>
      </c>
      <c r="D119" t="s">
        <v>4046</v>
      </c>
      <c r="E119" t="s">
        <v>4047</v>
      </c>
      <c r="F119" t="s">
        <v>4048</v>
      </c>
    </row>
    <row r="120" spans="1:6" x14ac:dyDescent="0.25">
      <c r="A120" t="s">
        <v>4062</v>
      </c>
      <c r="B120" t="s">
        <v>6655</v>
      </c>
      <c r="C120" t="s">
        <v>63</v>
      </c>
      <c r="D120" s="7">
        <v>1</v>
      </c>
      <c r="E120" s="2">
        <v>13743</v>
      </c>
      <c r="F120" s="2">
        <v>13743</v>
      </c>
    </row>
    <row r="121" spans="1:6" x14ac:dyDescent="0.25">
      <c r="A121" t="s">
        <v>4062</v>
      </c>
      <c r="B121" t="s">
        <v>4659</v>
      </c>
      <c r="C121" t="s">
        <v>4377</v>
      </c>
      <c r="D121" s="7">
        <v>0.02</v>
      </c>
      <c r="E121" s="2">
        <v>31500</v>
      </c>
      <c r="F121" s="2">
        <v>504</v>
      </c>
    </row>
    <row r="122" spans="1:6" x14ac:dyDescent="0.25">
      <c r="A122" t="s">
        <v>4062</v>
      </c>
      <c r="B122" t="s">
        <v>4376</v>
      </c>
      <c r="C122" t="s">
        <v>4377</v>
      </c>
      <c r="D122" s="7">
        <v>0.02</v>
      </c>
      <c r="E122" s="2">
        <v>72237.67</v>
      </c>
      <c r="F122" s="2">
        <v>1155.8</v>
      </c>
    </row>
    <row r="123" spans="1:6" x14ac:dyDescent="0.25">
      <c r="A123" t="s">
        <v>4049</v>
      </c>
      <c r="B123" t="s">
        <v>4241</v>
      </c>
      <c r="C123" t="s">
        <v>4051</v>
      </c>
      <c r="D123" s="7">
        <v>0.02</v>
      </c>
      <c r="E123" s="2">
        <v>9941.22</v>
      </c>
      <c r="F123" s="2">
        <v>198.82</v>
      </c>
    </row>
    <row r="124" spans="1:6" x14ac:dyDescent="0.25">
      <c r="A124" t="s">
        <v>4049</v>
      </c>
      <c r="B124" t="s">
        <v>4242</v>
      </c>
      <c r="C124" t="s">
        <v>4051</v>
      </c>
      <c r="D124" s="7">
        <v>0.02</v>
      </c>
      <c r="E124" s="2">
        <v>17069.53</v>
      </c>
      <c r="F124" s="2">
        <v>341.39</v>
      </c>
    </row>
    <row r="125" spans="1:6" x14ac:dyDescent="0.25">
      <c r="A125" t="s">
        <v>4052</v>
      </c>
      <c r="B125" t="s">
        <v>4053</v>
      </c>
      <c r="C125" t="s">
        <v>4054</v>
      </c>
      <c r="D125" s="7">
        <v>3.4</v>
      </c>
      <c r="E125" s="2">
        <v>540.21</v>
      </c>
      <c r="F125" s="2">
        <v>18.37</v>
      </c>
    </row>
    <row r="126" spans="1:6" x14ac:dyDescent="0.25">
      <c r="A126" t="s">
        <v>4055</v>
      </c>
      <c r="D126" s="7"/>
      <c r="E126" s="2"/>
      <c r="F126" s="2">
        <f>SUBTOTAL(109,A_2_05_11[VALOR PARCIAL])</f>
      </c>
    </row>
    <row r="128" ht="30" customHeight="1" spans="1:6" x14ac:dyDescent="0.25">
      <c r="A128" s="5" t="s">
        <v>6656</v>
      </c>
      <c r="B128" s="5"/>
      <c r="C128" s="5"/>
      <c r="D128" s="5"/>
      <c r="E128" s="5"/>
      <c r="F128" s="5"/>
    </row>
    <row r="129" ht="42" customHeight="1" spans="1:6" x14ac:dyDescent="0.25">
      <c r="A129" s="6" t="s">
        <v>6657</v>
      </c>
      <c r="B129" s="6"/>
      <c r="C129" s="6"/>
      <c r="D129" s="6"/>
      <c r="E129" s="6"/>
      <c r="F129" s="6"/>
    </row>
    <row r="130" spans="1:6" x14ac:dyDescent="0.25">
      <c r="A130" t="s">
        <v>4044</v>
      </c>
      <c r="B130" t="s">
        <v>4045</v>
      </c>
      <c r="C130" t="s">
        <v>5</v>
      </c>
      <c r="D130" t="s">
        <v>4046</v>
      </c>
      <c r="E130" t="s">
        <v>4047</v>
      </c>
      <c r="F130" t="s">
        <v>4048</v>
      </c>
    </row>
    <row r="131" spans="1:6" x14ac:dyDescent="0.25">
      <c r="A131" t="s">
        <v>4062</v>
      </c>
      <c r="B131" t="s">
        <v>6658</v>
      </c>
      <c r="C131" t="s">
        <v>63</v>
      </c>
      <c r="D131" s="7">
        <v>1</v>
      </c>
      <c r="E131" s="2">
        <v>20245</v>
      </c>
      <c r="F131" s="2">
        <v>20245</v>
      </c>
    </row>
    <row r="132" spans="1:6" x14ac:dyDescent="0.25">
      <c r="A132" t="s">
        <v>4062</v>
      </c>
      <c r="B132" t="s">
        <v>4659</v>
      </c>
      <c r="C132" t="s">
        <v>4377</v>
      </c>
      <c r="D132" s="7">
        <v>0.03</v>
      </c>
      <c r="E132" s="2">
        <v>31500</v>
      </c>
      <c r="F132" s="2">
        <v>787.5</v>
      </c>
    </row>
    <row r="133" spans="1:6" x14ac:dyDescent="0.25">
      <c r="A133" t="s">
        <v>4062</v>
      </c>
      <c r="B133" t="s">
        <v>4376</v>
      </c>
      <c r="C133" t="s">
        <v>4377</v>
      </c>
      <c r="D133" s="7">
        <v>0.03</v>
      </c>
      <c r="E133" s="2">
        <v>72237.67</v>
      </c>
      <c r="F133" s="2">
        <v>1805.94</v>
      </c>
    </row>
    <row r="134" spans="1:6" x14ac:dyDescent="0.25">
      <c r="A134" t="s">
        <v>4049</v>
      </c>
      <c r="B134" t="s">
        <v>4241</v>
      </c>
      <c r="C134" t="s">
        <v>4051</v>
      </c>
      <c r="D134" s="7">
        <v>0.02</v>
      </c>
      <c r="E134" s="2">
        <v>9941.22</v>
      </c>
      <c r="F134" s="2">
        <v>198.82</v>
      </c>
    </row>
    <row r="135" spans="1:6" x14ac:dyDescent="0.25">
      <c r="A135" t="s">
        <v>4049</v>
      </c>
      <c r="B135" t="s">
        <v>4242</v>
      </c>
      <c r="C135" t="s">
        <v>4051</v>
      </c>
      <c r="D135" s="7">
        <v>0.02</v>
      </c>
      <c r="E135" s="2">
        <v>17069.53</v>
      </c>
      <c r="F135" s="2">
        <v>341.39</v>
      </c>
    </row>
    <row r="136" spans="1:6" x14ac:dyDescent="0.25">
      <c r="A136" t="s">
        <v>4052</v>
      </c>
      <c r="B136" t="s">
        <v>4053</v>
      </c>
      <c r="C136" t="s">
        <v>4054</v>
      </c>
      <c r="D136" s="7">
        <v>3.4</v>
      </c>
      <c r="E136" s="2">
        <v>540.21</v>
      </c>
      <c r="F136" s="2">
        <v>18.37</v>
      </c>
    </row>
    <row r="137" spans="1:6" x14ac:dyDescent="0.25">
      <c r="A137" t="s">
        <v>4055</v>
      </c>
      <c r="D137" s="7"/>
      <c r="E137" s="2"/>
      <c r="F137" s="2">
        <f>SUBTOTAL(109,A_2_05_12[VALOR PARCIAL])</f>
      </c>
    </row>
    <row r="139" ht="30" customHeight="1" spans="1:6" x14ac:dyDescent="0.25">
      <c r="A139" s="5" t="s">
        <v>6659</v>
      </c>
      <c r="B139" s="5"/>
      <c r="C139" s="5"/>
      <c r="D139" s="5"/>
      <c r="E139" s="5"/>
      <c r="F139" s="5"/>
    </row>
    <row r="140" ht="42" customHeight="1" spans="1:6" x14ac:dyDescent="0.25">
      <c r="A140" s="6" t="s">
        <v>6660</v>
      </c>
      <c r="B140" s="6"/>
      <c r="C140" s="6"/>
      <c r="D140" s="6"/>
      <c r="E140" s="6"/>
      <c r="F140" s="6"/>
    </row>
    <row r="141" spans="1:6" x14ac:dyDescent="0.25">
      <c r="A141" t="s">
        <v>4044</v>
      </c>
      <c r="B141" t="s">
        <v>4045</v>
      </c>
      <c r="C141" t="s">
        <v>5</v>
      </c>
      <c r="D141" t="s">
        <v>4046</v>
      </c>
      <c r="E141" t="s">
        <v>4047</v>
      </c>
      <c r="F141" t="s">
        <v>4048</v>
      </c>
    </row>
    <row r="142" spans="1:6" x14ac:dyDescent="0.25">
      <c r="A142" t="s">
        <v>4062</v>
      </c>
      <c r="B142" t="s">
        <v>6661</v>
      </c>
      <c r="C142" t="s">
        <v>63</v>
      </c>
      <c r="D142" s="7">
        <v>1</v>
      </c>
      <c r="E142" s="2">
        <v>53199</v>
      </c>
      <c r="F142" s="2">
        <v>53199</v>
      </c>
    </row>
    <row r="143" spans="1:6" x14ac:dyDescent="0.25">
      <c r="A143" t="s">
        <v>4062</v>
      </c>
      <c r="B143" t="s">
        <v>4659</v>
      </c>
      <c r="C143" t="s">
        <v>4377</v>
      </c>
      <c r="D143" s="7">
        <v>0.04</v>
      </c>
      <c r="E143" s="2">
        <v>31500</v>
      </c>
      <c r="F143" s="2">
        <v>1260</v>
      </c>
    </row>
    <row r="144" spans="1:6" x14ac:dyDescent="0.25">
      <c r="A144" t="s">
        <v>4062</v>
      </c>
      <c r="B144" t="s">
        <v>4376</v>
      </c>
      <c r="C144" t="s">
        <v>4377</v>
      </c>
      <c r="D144" s="7">
        <v>0.04</v>
      </c>
      <c r="E144" s="2">
        <v>72237.67</v>
      </c>
      <c r="F144" s="2">
        <v>2889.51</v>
      </c>
    </row>
    <row r="145" spans="1:6" x14ac:dyDescent="0.25">
      <c r="A145" t="s">
        <v>4049</v>
      </c>
      <c r="B145" t="s">
        <v>4241</v>
      </c>
      <c r="C145" t="s">
        <v>4051</v>
      </c>
      <c r="D145" s="7">
        <v>0.05</v>
      </c>
      <c r="E145" s="2">
        <v>9941.22</v>
      </c>
      <c r="F145" s="2">
        <v>497.06</v>
      </c>
    </row>
    <row r="146" spans="1:6" x14ac:dyDescent="0.25">
      <c r="A146" t="s">
        <v>4049</v>
      </c>
      <c r="B146" t="s">
        <v>4242</v>
      </c>
      <c r="C146" t="s">
        <v>4051</v>
      </c>
      <c r="D146" s="7">
        <v>0.05</v>
      </c>
      <c r="E146" s="2">
        <v>17069.53</v>
      </c>
      <c r="F146" s="2">
        <v>853.48</v>
      </c>
    </row>
    <row r="147" spans="1:6" x14ac:dyDescent="0.25">
      <c r="A147" t="s">
        <v>4052</v>
      </c>
      <c r="B147" t="s">
        <v>4053</v>
      </c>
      <c r="C147" t="s">
        <v>4054</v>
      </c>
      <c r="D147" s="7">
        <v>3.4</v>
      </c>
      <c r="E147" s="2">
        <v>1350.54</v>
      </c>
      <c r="F147" s="2">
        <v>45.92</v>
      </c>
    </row>
    <row r="148" spans="1:6" x14ac:dyDescent="0.25">
      <c r="A148" t="s">
        <v>4055</v>
      </c>
      <c r="D148" s="7"/>
      <c r="E148" s="2"/>
      <c r="F148" s="2">
        <f>SUBTOTAL(109,A_2_05_13[VALOR PARCIAL])</f>
      </c>
    </row>
    <row r="150" ht="30" customHeight="1" spans="1:6" x14ac:dyDescent="0.25">
      <c r="A150" s="5" t="s">
        <v>6662</v>
      </c>
      <c r="B150" s="5"/>
      <c r="C150" s="5"/>
      <c r="D150" s="5"/>
      <c r="E150" s="5"/>
      <c r="F150" s="5"/>
    </row>
    <row r="151" ht="42" customHeight="1" spans="1:6" x14ac:dyDescent="0.25">
      <c r="A151" s="6" t="s">
        <v>6663</v>
      </c>
      <c r="B151" s="6"/>
      <c r="C151" s="6"/>
      <c r="D151" s="6"/>
      <c r="E151" s="6"/>
      <c r="F151" s="6"/>
    </row>
    <row r="152" spans="1:6" x14ac:dyDescent="0.25">
      <c r="A152" t="s">
        <v>4044</v>
      </c>
      <c r="B152" t="s">
        <v>4045</v>
      </c>
      <c r="C152" t="s">
        <v>5</v>
      </c>
      <c r="D152" t="s">
        <v>4046</v>
      </c>
      <c r="E152" t="s">
        <v>4047</v>
      </c>
      <c r="F152" t="s">
        <v>4048</v>
      </c>
    </row>
    <row r="153" spans="1:6" x14ac:dyDescent="0.25">
      <c r="A153" t="s">
        <v>4062</v>
      </c>
      <c r="B153" t="s">
        <v>6664</v>
      </c>
      <c r="C153" t="s">
        <v>63</v>
      </c>
      <c r="D153" s="7">
        <v>1</v>
      </c>
      <c r="E153" s="2">
        <v>2226574</v>
      </c>
      <c r="F153" s="2">
        <v>2226574</v>
      </c>
    </row>
    <row r="154" spans="1:6" x14ac:dyDescent="0.25">
      <c r="A154" t="s">
        <v>4049</v>
      </c>
      <c r="B154" t="s">
        <v>4241</v>
      </c>
      <c r="C154" t="s">
        <v>4051</v>
      </c>
      <c r="D154" s="7">
        <v>3</v>
      </c>
      <c r="E154" s="2">
        <v>9941.22</v>
      </c>
      <c r="F154" s="2">
        <v>29823.66</v>
      </c>
    </row>
    <row r="155" spans="1:6" x14ac:dyDescent="0.25">
      <c r="A155" t="s">
        <v>4049</v>
      </c>
      <c r="B155" t="s">
        <v>4242</v>
      </c>
      <c r="C155" t="s">
        <v>4051</v>
      </c>
      <c r="D155" s="7">
        <v>1.5</v>
      </c>
      <c r="E155" s="2">
        <v>17069.53</v>
      </c>
      <c r="F155" s="2">
        <v>25604.29</v>
      </c>
    </row>
    <row r="156" spans="1:6" x14ac:dyDescent="0.25">
      <c r="A156" t="s">
        <v>4052</v>
      </c>
      <c r="B156" t="s">
        <v>4053</v>
      </c>
      <c r="C156" t="s">
        <v>4054</v>
      </c>
      <c r="D156" s="7">
        <v>10</v>
      </c>
      <c r="E156" s="2">
        <v>55427.95</v>
      </c>
      <c r="F156" s="2">
        <v>5542.8</v>
      </c>
    </row>
    <row r="157" spans="1:6" x14ac:dyDescent="0.25">
      <c r="A157" t="s">
        <v>4055</v>
      </c>
      <c r="D157" s="7"/>
      <c r="E157" s="2"/>
      <c r="F157" s="2">
        <f>SUBTOTAL(109,A_2_05_14[VALOR PARCIAL])</f>
      </c>
    </row>
    <row r="159" ht="30" customHeight="1" spans="1:6" x14ac:dyDescent="0.25">
      <c r="A159" s="5" t="s">
        <v>6665</v>
      </c>
      <c r="B159" s="5"/>
      <c r="C159" s="5"/>
      <c r="D159" s="5"/>
      <c r="E159" s="5"/>
      <c r="F159" s="5"/>
    </row>
    <row r="160" ht="42" customHeight="1" spans="1:6" x14ac:dyDescent="0.25">
      <c r="A160" s="6" t="s">
        <v>6666</v>
      </c>
      <c r="B160" s="6"/>
      <c r="C160" s="6"/>
      <c r="D160" s="6"/>
      <c r="E160" s="6"/>
      <c r="F160" s="6"/>
    </row>
    <row r="161" spans="1:6" x14ac:dyDescent="0.25">
      <c r="A161" t="s">
        <v>4044</v>
      </c>
      <c r="B161" t="s">
        <v>4045</v>
      </c>
      <c r="C161" t="s">
        <v>5</v>
      </c>
      <c r="D161" t="s">
        <v>4046</v>
      </c>
      <c r="E161" t="s">
        <v>4047</v>
      </c>
      <c r="F161" t="s">
        <v>4048</v>
      </c>
    </row>
    <row r="162" spans="1:6" x14ac:dyDescent="0.25">
      <c r="A162" t="s">
        <v>4062</v>
      </c>
      <c r="B162" t="s">
        <v>6667</v>
      </c>
      <c r="C162" t="s">
        <v>63</v>
      </c>
      <c r="D162" s="7">
        <v>1</v>
      </c>
      <c r="E162" s="2">
        <v>2368138</v>
      </c>
      <c r="F162" s="2">
        <v>2368138</v>
      </c>
    </row>
    <row r="163" spans="1:6" x14ac:dyDescent="0.25">
      <c r="A163" t="s">
        <v>4049</v>
      </c>
      <c r="B163" t="s">
        <v>4241</v>
      </c>
      <c r="C163" t="s">
        <v>4051</v>
      </c>
      <c r="D163" s="7">
        <v>3</v>
      </c>
      <c r="E163" s="2">
        <v>9941.22</v>
      </c>
      <c r="F163" s="2">
        <v>29823.66</v>
      </c>
    </row>
    <row r="164" spans="1:6" x14ac:dyDescent="0.25">
      <c r="A164" t="s">
        <v>4049</v>
      </c>
      <c r="B164" t="s">
        <v>4242</v>
      </c>
      <c r="C164" t="s">
        <v>4051</v>
      </c>
      <c r="D164" s="7">
        <v>1.5</v>
      </c>
      <c r="E164" s="2">
        <v>17069.53</v>
      </c>
      <c r="F164" s="2">
        <v>25604.29</v>
      </c>
    </row>
    <row r="165" spans="1:6" x14ac:dyDescent="0.25">
      <c r="A165" t="s">
        <v>4052</v>
      </c>
      <c r="B165" t="s">
        <v>4053</v>
      </c>
      <c r="C165" t="s">
        <v>4054</v>
      </c>
      <c r="D165" s="7">
        <v>10</v>
      </c>
      <c r="E165" s="2">
        <v>55427.95</v>
      </c>
      <c r="F165" s="2">
        <v>5542.8</v>
      </c>
    </row>
    <row r="166" spans="1:6" x14ac:dyDescent="0.25">
      <c r="A166" t="s">
        <v>4055</v>
      </c>
      <c r="D166" s="7"/>
      <c r="E166" s="2"/>
      <c r="F166" s="2">
        <f>SUBTOTAL(109,A_2_05_15[VALOR PARCIAL])</f>
      </c>
    </row>
    <row r="168" ht="30" customHeight="1" spans="1:6" x14ac:dyDescent="0.25">
      <c r="A168" s="5" t="s">
        <v>6668</v>
      </c>
      <c r="B168" s="5"/>
      <c r="C168" s="5"/>
      <c r="D168" s="5"/>
      <c r="E168" s="5"/>
      <c r="F168" s="5"/>
    </row>
    <row r="169" ht="42" customHeight="1" spans="1:6" x14ac:dyDescent="0.25">
      <c r="A169" s="6" t="s">
        <v>6669</v>
      </c>
      <c r="B169" s="6"/>
      <c r="C169" s="6"/>
      <c r="D169" s="6"/>
      <c r="E169" s="6"/>
      <c r="F169" s="6"/>
    </row>
    <row r="170" spans="1:6" x14ac:dyDescent="0.25">
      <c r="A170" t="s">
        <v>4044</v>
      </c>
      <c r="B170" t="s">
        <v>4045</v>
      </c>
      <c r="C170" t="s">
        <v>5</v>
      </c>
      <c r="D170" t="s">
        <v>4046</v>
      </c>
      <c r="E170" t="s">
        <v>4047</v>
      </c>
      <c r="F170" t="s">
        <v>4048</v>
      </c>
    </row>
    <row r="171" spans="1:6" x14ac:dyDescent="0.25">
      <c r="A171" t="s">
        <v>4062</v>
      </c>
      <c r="B171" t="s">
        <v>6670</v>
      </c>
      <c r="C171" t="s">
        <v>63</v>
      </c>
      <c r="D171" s="7">
        <v>1</v>
      </c>
      <c r="E171" s="2">
        <v>2446665</v>
      </c>
      <c r="F171" s="2">
        <v>2446665</v>
      </c>
    </row>
    <row r="172" spans="1:6" x14ac:dyDescent="0.25">
      <c r="A172" t="s">
        <v>4049</v>
      </c>
      <c r="B172" t="s">
        <v>4241</v>
      </c>
      <c r="C172" t="s">
        <v>4051</v>
      </c>
      <c r="D172" s="7">
        <v>3</v>
      </c>
      <c r="E172" s="2">
        <v>9941.22</v>
      </c>
      <c r="F172" s="2">
        <v>29823.66</v>
      </c>
    </row>
    <row r="173" spans="1:6" x14ac:dyDescent="0.25">
      <c r="A173" t="s">
        <v>4049</v>
      </c>
      <c r="B173" t="s">
        <v>4242</v>
      </c>
      <c r="C173" t="s">
        <v>4051</v>
      </c>
      <c r="D173" s="7">
        <v>1.5</v>
      </c>
      <c r="E173" s="2">
        <v>17069.53</v>
      </c>
      <c r="F173" s="2">
        <v>25604.29</v>
      </c>
    </row>
    <row r="174" spans="1:6" x14ac:dyDescent="0.25">
      <c r="A174" t="s">
        <v>4052</v>
      </c>
      <c r="B174" t="s">
        <v>4053</v>
      </c>
      <c r="C174" t="s">
        <v>4054</v>
      </c>
      <c r="D174" s="7">
        <v>10</v>
      </c>
      <c r="E174" s="2">
        <v>55427.95</v>
      </c>
      <c r="F174" s="2">
        <v>5542.8</v>
      </c>
    </row>
    <row r="175" spans="1:6" x14ac:dyDescent="0.25">
      <c r="A175" t="s">
        <v>4055</v>
      </c>
      <c r="D175" s="7"/>
      <c r="E175" s="2"/>
      <c r="F175" s="2">
        <f>SUBTOTAL(109,A_2_05_16[VALOR PARCIAL])</f>
      </c>
    </row>
    <row r="177" ht="30" customHeight="1" spans="1:6" x14ac:dyDescent="0.25">
      <c r="A177" s="5" t="s">
        <v>6671</v>
      </c>
      <c r="B177" s="5"/>
      <c r="C177" s="5"/>
      <c r="D177" s="5"/>
      <c r="E177" s="5"/>
      <c r="F177" s="5"/>
    </row>
    <row r="178" ht="42" customHeight="1" spans="1:6" x14ac:dyDescent="0.25">
      <c r="A178" s="6" t="s">
        <v>6672</v>
      </c>
      <c r="B178" s="6"/>
      <c r="C178" s="6"/>
      <c r="D178" s="6"/>
      <c r="E178" s="6"/>
      <c r="F178" s="6"/>
    </row>
    <row r="179" spans="1:6" x14ac:dyDescent="0.25">
      <c r="A179" t="s">
        <v>4044</v>
      </c>
      <c r="B179" t="s">
        <v>4045</v>
      </c>
      <c r="C179" t="s">
        <v>5</v>
      </c>
      <c r="D179" t="s">
        <v>4046</v>
      </c>
      <c r="E179" t="s">
        <v>4047</v>
      </c>
      <c r="F179" t="s">
        <v>4048</v>
      </c>
    </row>
    <row r="180" spans="1:6" x14ac:dyDescent="0.25">
      <c r="A180" t="s">
        <v>4062</v>
      </c>
      <c r="B180" t="s">
        <v>6673</v>
      </c>
      <c r="C180" t="s">
        <v>63</v>
      </c>
      <c r="D180" s="7">
        <v>1</v>
      </c>
      <c r="E180" s="2">
        <v>2225810</v>
      </c>
      <c r="F180" s="2">
        <v>2225810</v>
      </c>
    </row>
    <row r="181" spans="1:6" x14ac:dyDescent="0.25">
      <c r="A181" t="s">
        <v>4049</v>
      </c>
      <c r="B181" t="s">
        <v>4241</v>
      </c>
      <c r="C181" t="s">
        <v>4051</v>
      </c>
      <c r="D181" s="7">
        <v>3</v>
      </c>
      <c r="E181" s="2">
        <v>9941.22</v>
      </c>
      <c r="F181" s="2">
        <v>29823.66</v>
      </c>
    </row>
    <row r="182" spans="1:6" x14ac:dyDescent="0.25">
      <c r="A182" t="s">
        <v>4049</v>
      </c>
      <c r="B182" t="s">
        <v>4242</v>
      </c>
      <c r="C182" t="s">
        <v>4051</v>
      </c>
      <c r="D182" s="7">
        <v>1.5</v>
      </c>
      <c r="E182" s="2">
        <v>17069.53</v>
      </c>
      <c r="F182" s="2">
        <v>25604.29</v>
      </c>
    </row>
    <row r="183" spans="1:6" x14ac:dyDescent="0.25">
      <c r="A183" t="s">
        <v>4052</v>
      </c>
      <c r="B183" t="s">
        <v>4053</v>
      </c>
      <c r="C183" t="s">
        <v>4054</v>
      </c>
      <c r="D183" s="7">
        <v>10</v>
      </c>
      <c r="E183" s="2">
        <v>55427.95</v>
      </c>
      <c r="F183" s="2">
        <v>5542.8</v>
      </c>
    </row>
    <row r="184" spans="1:6" x14ac:dyDescent="0.25">
      <c r="A184" t="s">
        <v>4055</v>
      </c>
      <c r="D184" s="7"/>
      <c r="E184" s="2"/>
      <c r="F184" s="2">
        <f>SUBTOTAL(109,A_2_05_17[VALOR PARCIAL])</f>
      </c>
    </row>
    <row r="186" ht="30" customHeight="1" spans="1:6" x14ac:dyDescent="0.25">
      <c r="A186" s="5" t="s">
        <v>6674</v>
      </c>
      <c r="B186" s="5"/>
      <c r="C186" s="5"/>
      <c r="D186" s="5"/>
      <c r="E186" s="5"/>
      <c r="F186" s="5"/>
    </row>
    <row r="187" ht="42" customHeight="1" spans="1:6" x14ac:dyDescent="0.25">
      <c r="A187" s="6" t="s">
        <v>6675</v>
      </c>
      <c r="B187" s="6"/>
      <c r="C187" s="6"/>
      <c r="D187" s="6"/>
      <c r="E187" s="6"/>
      <c r="F187" s="6"/>
    </row>
    <row r="188" spans="1:6" x14ac:dyDescent="0.25">
      <c r="A188" t="s">
        <v>4044</v>
      </c>
      <c r="B188" t="s">
        <v>4045</v>
      </c>
      <c r="C188" t="s">
        <v>5</v>
      </c>
      <c r="D188" t="s">
        <v>4046</v>
      </c>
      <c r="E188" t="s">
        <v>4047</v>
      </c>
      <c r="F188" t="s">
        <v>4048</v>
      </c>
    </row>
    <row r="189" spans="1:6" x14ac:dyDescent="0.25">
      <c r="A189" t="s">
        <v>4062</v>
      </c>
      <c r="B189" t="s">
        <v>6676</v>
      </c>
      <c r="C189" t="s">
        <v>63</v>
      </c>
      <c r="D189" s="7">
        <v>1</v>
      </c>
      <c r="E189" s="2">
        <v>2319606</v>
      </c>
      <c r="F189" s="2">
        <v>2319606</v>
      </c>
    </row>
    <row r="190" spans="1:6" x14ac:dyDescent="0.25">
      <c r="A190" t="s">
        <v>4049</v>
      </c>
      <c r="B190" t="s">
        <v>4241</v>
      </c>
      <c r="C190" t="s">
        <v>4051</v>
      </c>
      <c r="D190" s="7">
        <v>3</v>
      </c>
      <c r="E190" s="2">
        <v>9941.22</v>
      </c>
      <c r="F190" s="2">
        <v>29823.66</v>
      </c>
    </row>
    <row r="191" spans="1:6" x14ac:dyDescent="0.25">
      <c r="A191" t="s">
        <v>4049</v>
      </c>
      <c r="B191" t="s">
        <v>4242</v>
      </c>
      <c r="C191" t="s">
        <v>4051</v>
      </c>
      <c r="D191" s="7">
        <v>1.5</v>
      </c>
      <c r="E191" s="2">
        <v>17069.53</v>
      </c>
      <c r="F191" s="2">
        <v>25604.29</v>
      </c>
    </row>
    <row r="192" spans="1:6" x14ac:dyDescent="0.25">
      <c r="A192" t="s">
        <v>4052</v>
      </c>
      <c r="B192" t="s">
        <v>4053</v>
      </c>
      <c r="C192" t="s">
        <v>4054</v>
      </c>
      <c r="D192" s="7">
        <v>10</v>
      </c>
      <c r="E192" s="2">
        <v>55427.95</v>
      </c>
      <c r="F192" s="2">
        <v>5542.8</v>
      </c>
    </row>
    <row r="193" spans="1:6" x14ac:dyDescent="0.25">
      <c r="A193" t="s">
        <v>4055</v>
      </c>
      <c r="D193" s="7"/>
      <c r="E193" s="2"/>
      <c r="F193" s="2">
        <f>SUBTOTAL(109,A_2_05_18[VALOR PARCIAL])</f>
      </c>
    </row>
    <row r="195" ht="30" customHeight="1" spans="1:6" x14ac:dyDescent="0.25">
      <c r="A195" s="5" t="s">
        <v>6677</v>
      </c>
      <c r="B195" s="5"/>
      <c r="C195" s="5"/>
      <c r="D195" s="5"/>
      <c r="E195" s="5"/>
      <c r="F195" s="5"/>
    </row>
    <row r="196" ht="42" customHeight="1" spans="1:6" x14ac:dyDescent="0.25">
      <c r="A196" s="6" t="s">
        <v>6678</v>
      </c>
      <c r="B196" s="6"/>
      <c r="C196" s="6"/>
      <c r="D196" s="6"/>
      <c r="E196" s="6"/>
      <c r="F196" s="6"/>
    </row>
    <row r="197" spans="1:6" x14ac:dyDescent="0.25">
      <c r="A197" t="s">
        <v>4044</v>
      </c>
      <c r="B197" t="s">
        <v>4045</v>
      </c>
      <c r="C197" t="s">
        <v>5</v>
      </c>
      <c r="D197" t="s">
        <v>4046</v>
      </c>
      <c r="E197" t="s">
        <v>4047</v>
      </c>
      <c r="F197" t="s">
        <v>4048</v>
      </c>
    </row>
    <row r="198" spans="1:6" x14ac:dyDescent="0.25">
      <c r="A198" t="s">
        <v>4062</v>
      </c>
      <c r="B198" t="s">
        <v>6679</v>
      </c>
      <c r="C198" t="s">
        <v>63</v>
      </c>
      <c r="D198" s="7">
        <v>1</v>
      </c>
      <c r="E198" s="2">
        <v>2445606</v>
      </c>
      <c r="F198" s="2">
        <v>2445606</v>
      </c>
    </row>
    <row r="199" spans="1:6" x14ac:dyDescent="0.25">
      <c r="A199" t="s">
        <v>4049</v>
      </c>
      <c r="B199" t="s">
        <v>4241</v>
      </c>
      <c r="C199" t="s">
        <v>4051</v>
      </c>
      <c r="D199" s="7">
        <v>3</v>
      </c>
      <c r="E199" s="2">
        <v>9941.22</v>
      </c>
      <c r="F199" s="2">
        <v>29823.66</v>
      </c>
    </row>
    <row r="200" spans="1:6" x14ac:dyDescent="0.25">
      <c r="A200" t="s">
        <v>4049</v>
      </c>
      <c r="B200" t="s">
        <v>4242</v>
      </c>
      <c r="C200" t="s">
        <v>4051</v>
      </c>
      <c r="D200" s="7">
        <v>1.5</v>
      </c>
      <c r="E200" s="2">
        <v>17069.53</v>
      </c>
      <c r="F200" s="2">
        <v>25604.29</v>
      </c>
    </row>
    <row r="201" spans="1:6" x14ac:dyDescent="0.25">
      <c r="A201" t="s">
        <v>4052</v>
      </c>
      <c r="B201" t="s">
        <v>4053</v>
      </c>
      <c r="C201" t="s">
        <v>4054</v>
      </c>
      <c r="D201" s="7">
        <v>10</v>
      </c>
      <c r="E201" s="2">
        <v>55427.95</v>
      </c>
      <c r="F201" s="2">
        <v>5542.8</v>
      </c>
    </row>
    <row r="202" spans="1:6" x14ac:dyDescent="0.25">
      <c r="A202" t="s">
        <v>4055</v>
      </c>
      <c r="D202" s="7"/>
      <c r="E202" s="2"/>
      <c r="F202" s="2">
        <f>SUBTOTAL(109,A_2_05_19[VALOR PARCIAL])</f>
      </c>
    </row>
    <row r="204" ht="30" customHeight="1" spans="1:6" x14ac:dyDescent="0.25">
      <c r="A204" s="5" t="s">
        <v>6680</v>
      </c>
      <c r="B204" s="5"/>
      <c r="C204" s="5"/>
      <c r="D204" s="5"/>
      <c r="E204" s="5"/>
      <c r="F204" s="5"/>
    </row>
    <row r="205" ht="42" customHeight="1" spans="1:6" x14ac:dyDescent="0.25">
      <c r="A205" s="6" t="s">
        <v>6681</v>
      </c>
      <c r="B205" s="6"/>
      <c r="C205" s="6"/>
      <c r="D205" s="6"/>
      <c r="E205" s="6"/>
      <c r="F205" s="6"/>
    </row>
    <row r="206" spans="1:6" x14ac:dyDescent="0.25">
      <c r="A206" t="s">
        <v>4044</v>
      </c>
      <c r="B206" t="s">
        <v>4045</v>
      </c>
      <c r="C206" t="s">
        <v>5</v>
      </c>
      <c r="D206" t="s">
        <v>4046</v>
      </c>
      <c r="E206" t="s">
        <v>4047</v>
      </c>
      <c r="F206" t="s">
        <v>4048</v>
      </c>
    </row>
    <row r="207" spans="1:6" x14ac:dyDescent="0.25">
      <c r="A207" t="s">
        <v>4062</v>
      </c>
      <c r="B207" t="s">
        <v>6682</v>
      </c>
      <c r="C207" t="s">
        <v>63</v>
      </c>
      <c r="D207" s="7">
        <v>1</v>
      </c>
      <c r="E207" s="2">
        <v>2561465</v>
      </c>
      <c r="F207" s="2">
        <v>2561465</v>
      </c>
    </row>
    <row r="208" spans="1:6" x14ac:dyDescent="0.25">
      <c r="A208" t="s">
        <v>4049</v>
      </c>
      <c r="B208" t="s">
        <v>4241</v>
      </c>
      <c r="C208" t="s">
        <v>4051</v>
      </c>
      <c r="D208" s="7">
        <v>3</v>
      </c>
      <c r="E208" s="2">
        <v>9941.22</v>
      </c>
      <c r="F208" s="2">
        <v>29823.66</v>
      </c>
    </row>
    <row r="209" spans="1:6" x14ac:dyDescent="0.25">
      <c r="A209" t="s">
        <v>4049</v>
      </c>
      <c r="B209" t="s">
        <v>4242</v>
      </c>
      <c r="C209" t="s">
        <v>4051</v>
      </c>
      <c r="D209" s="7">
        <v>1.5</v>
      </c>
      <c r="E209" s="2">
        <v>17069.53</v>
      </c>
      <c r="F209" s="2">
        <v>25604.29</v>
      </c>
    </row>
    <row r="210" spans="1:6" x14ac:dyDescent="0.25">
      <c r="A210" t="s">
        <v>4052</v>
      </c>
      <c r="B210" t="s">
        <v>4053</v>
      </c>
      <c r="C210" t="s">
        <v>4054</v>
      </c>
      <c r="D210" s="7">
        <v>10</v>
      </c>
      <c r="E210" s="2">
        <v>55427.95</v>
      </c>
      <c r="F210" s="2">
        <v>5542.8</v>
      </c>
    </row>
    <row r="211" spans="1:6" x14ac:dyDescent="0.25">
      <c r="A211" t="s">
        <v>4055</v>
      </c>
      <c r="D211" s="7"/>
      <c r="E211" s="2"/>
      <c r="F211" s="2">
        <f>SUBTOTAL(109,A_2_05_20[VALOR PARCIAL])</f>
      </c>
    </row>
    <row r="213" ht="30" customHeight="1" spans="1:6" x14ac:dyDescent="0.25">
      <c r="A213" s="5" t="s">
        <v>6683</v>
      </c>
      <c r="B213" s="5"/>
      <c r="C213" s="5"/>
      <c r="D213" s="5"/>
      <c r="E213" s="5"/>
      <c r="F213" s="5"/>
    </row>
    <row r="214" ht="42" customHeight="1" spans="1:6" x14ac:dyDescent="0.25">
      <c r="A214" s="6" t="s">
        <v>6684</v>
      </c>
      <c r="B214" s="6"/>
      <c r="C214" s="6"/>
      <c r="D214" s="6"/>
      <c r="E214" s="6"/>
      <c r="F214" s="6"/>
    </row>
    <row r="215" spans="1:6" x14ac:dyDescent="0.25">
      <c r="A215" t="s">
        <v>4044</v>
      </c>
      <c r="B215" t="s">
        <v>4045</v>
      </c>
      <c r="C215" t="s">
        <v>5</v>
      </c>
      <c r="D215" t="s">
        <v>4046</v>
      </c>
      <c r="E215" t="s">
        <v>4047</v>
      </c>
      <c r="F215" t="s">
        <v>4048</v>
      </c>
    </row>
    <row r="216" spans="1:6" x14ac:dyDescent="0.25">
      <c r="A216" t="s">
        <v>4062</v>
      </c>
      <c r="B216" t="s">
        <v>6685</v>
      </c>
      <c r="C216" t="s">
        <v>63</v>
      </c>
      <c r="D216" s="7">
        <v>1</v>
      </c>
      <c r="E216" s="2">
        <v>2846475</v>
      </c>
      <c r="F216" s="2">
        <v>2846475</v>
      </c>
    </row>
    <row r="217" spans="1:6" x14ac:dyDescent="0.25">
      <c r="A217" t="s">
        <v>4049</v>
      </c>
      <c r="B217" t="s">
        <v>4241</v>
      </c>
      <c r="C217" t="s">
        <v>4051</v>
      </c>
      <c r="D217" s="7">
        <v>3</v>
      </c>
      <c r="E217" s="2">
        <v>9941.22</v>
      </c>
      <c r="F217" s="2">
        <v>29823.66</v>
      </c>
    </row>
    <row r="218" spans="1:6" x14ac:dyDescent="0.25">
      <c r="A218" t="s">
        <v>4049</v>
      </c>
      <c r="B218" t="s">
        <v>4242</v>
      </c>
      <c r="C218" t="s">
        <v>4051</v>
      </c>
      <c r="D218" s="7">
        <v>1.5</v>
      </c>
      <c r="E218" s="2">
        <v>17069.53</v>
      </c>
      <c r="F218" s="2">
        <v>25604.29</v>
      </c>
    </row>
    <row r="219" spans="1:6" x14ac:dyDescent="0.25">
      <c r="A219" t="s">
        <v>4052</v>
      </c>
      <c r="B219" t="s">
        <v>4053</v>
      </c>
      <c r="C219" t="s">
        <v>4054</v>
      </c>
      <c r="D219" s="7">
        <v>10</v>
      </c>
      <c r="E219" s="2">
        <v>55427.95</v>
      </c>
      <c r="F219" s="2">
        <v>5542.8</v>
      </c>
    </row>
    <row r="220" spans="1:6" x14ac:dyDescent="0.25">
      <c r="A220" t="s">
        <v>4055</v>
      </c>
      <c r="D220" s="7"/>
      <c r="E220" s="2"/>
      <c r="F220" s="2">
        <f>SUBTOTAL(109,A_2_05_21[VALOR PARCIAL])</f>
      </c>
    </row>
    <row r="222" ht="30" customHeight="1" spans="1:6" x14ac:dyDescent="0.25">
      <c r="A222" s="5" t="s">
        <v>6686</v>
      </c>
      <c r="B222" s="5"/>
      <c r="C222" s="5"/>
      <c r="D222" s="5"/>
      <c r="E222" s="5"/>
      <c r="F222" s="5"/>
    </row>
    <row r="223" ht="42" customHeight="1" spans="1:6" x14ac:dyDescent="0.25">
      <c r="A223" s="6" t="s">
        <v>6687</v>
      </c>
      <c r="B223" s="6"/>
      <c r="C223" s="6"/>
      <c r="D223" s="6"/>
      <c r="E223" s="6"/>
      <c r="F223" s="6"/>
    </row>
    <row r="224" spans="1:6" x14ac:dyDescent="0.25">
      <c r="A224" t="s">
        <v>4044</v>
      </c>
      <c r="B224" t="s">
        <v>4045</v>
      </c>
      <c r="C224" t="s">
        <v>5</v>
      </c>
      <c r="D224" t="s">
        <v>4046</v>
      </c>
      <c r="E224" t="s">
        <v>4047</v>
      </c>
      <c r="F224" t="s">
        <v>4048</v>
      </c>
    </row>
    <row r="225" spans="1:6" x14ac:dyDescent="0.25">
      <c r="A225" t="s">
        <v>4062</v>
      </c>
      <c r="B225" t="s">
        <v>6688</v>
      </c>
      <c r="C225" t="s">
        <v>63</v>
      </c>
      <c r="D225" s="7">
        <v>1</v>
      </c>
      <c r="E225" s="2">
        <v>3001050</v>
      </c>
      <c r="F225" s="2">
        <v>3001050</v>
      </c>
    </row>
    <row r="226" spans="1:6" x14ac:dyDescent="0.25">
      <c r="A226" t="s">
        <v>4049</v>
      </c>
      <c r="B226" t="s">
        <v>4241</v>
      </c>
      <c r="C226" t="s">
        <v>4051</v>
      </c>
      <c r="D226" s="7">
        <v>3</v>
      </c>
      <c r="E226" s="2">
        <v>9941.22</v>
      </c>
      <c r="F226" s="2">
        <v>29823.66</v>
      </c>
    </row>
    <row r="227" spans="1:6" x14ac:dyDescent="0.25">
      <c r="A227" t="s">
        <v>4049</v>
      </c>
      <c r="B227" t="s">
        <v>4242</v>
      </c>
      <c r="C227" t="s">
        <v>4051</v>
      </c>
      <c r="D227" s="7">
        <v>1.5</v>
      </c>
      <c r="E227" s="2">
        <v>17069.53</v>
      </c>
      <c r="F227" s="2">
        <v>25604.29</v>
      </c>
    </row>
    <row r="228" spans="1:6" x14ac:dyDescent="0.25">
      <c r="A228" t="s">
        <v>4052</v>
      </c>
      <c r="B228" t="s">
        <v>4053</v>
      </c>
      <c r="C228" t="s">
        <v>4054</v>
      </c>
      <c r="D228" s="7">
        <v>10</v>
      </c>
      <c r="E228" s="2">
        <v>55427.95</v>
      </c>
      <c r="F228" s="2">
        <v>5542.8</v>
      </c>
    </row>
    <row r="229" spans="1:6" x14ac:dyDescent="0.25">
      <c r="A229" t="s">
        <v>4055</v>
      </c>
      <c r="D229" s="7"/>
      <c r="E229" s="2"/>
      <c r="F229" s="2">
        <f>SUBTOTAL(109,A_2_05_22[VALOR PARCIAL])</f>
      </c>
    </row>
    <row r="231" ht="30" customHeight="1" spans="1:6" x14ac:dyDescent="0.25">
      <c r="A231" s="5" t="s">
        <v>6689</v>
      </c>
      <c r="B231" s="5"/>
      <c r="C231" s="5"/>
      <c r="D231" s="5"/>
      <c r="E231" s="5"/>
      <c r="F231" s="5"/>
    </row>
    <row r="232" ht="42" customHeight="1" spans="1:6" x14ac:dyDescent="0.25">
      <c r="A232" s="6" t="s">
        <v>6690</v>
      </c>
      <c r="B232" s="6"/>
      <c r="C232" s="6"/>
      <c r="D232" s="6"/>
      <c r="E232" s="6"/>
      <c r="F232" s="6"/>
    </row>
    <row r="233" spans="1:6" x14ac:dyDescent="0.25">
      <c r="A233" t="s">
        <v>4044</v>
      </c>
      <c r="B233" t="s">
        <v>4045</v>
      </c>
      <c r="C233" t="s">
        <v>5</v>
      </c>
      <c r="D233" t="s">
        <v>4046</v>
      </c>
      <c r="E233" t="s">
        <v>4047</v>
      </c>
      <c r="F233" t="s">
        <v>4048</v>
      </c>
    </row>
    <row r="234" spans="1:6" x14ac:dyDescent="0.25">
      <c r="A234" t="s">
        <v>4062</v>
      </c>
      <c r="B234" t="s">
        <v>6691</v>
      </c>
      <c r="C234" t="s">
        <v>63</v>
      </c>
      <c r="D234" s="7">
        <v>1</v>
      </c>
      <c r="E234" s="2">
        <v>2104904</v>
      </c>
      <c r="F234" s="2">
        <v>2104904</v>
      </c>
    </row>
    <row r="235" spans="1:6" x14ac:dyDescent="0.25">
      <c r="A235" t="s">
        <v>4049</v>
      </c>
      <c r="B235" t="s">
        <v>4241</v>
      </c>
      <c r="C235" t="s">
        <v>4051</v>
      </c>
      <c r="D235" s="7">
        <v>3</v>
      </c>
      <c r="E235" s="2">
        <v>9941.22</v>
      </c>
      <c r="F235" s="2">
        <v>29823.66</v>
      </c>
    </row>
    <row r="236" spans="1:6" x14ac:dyDescent="0.25">
      <c r="A236" t="s">
        <v>4049</v>
      </c>
      <c r="B236" t="s">
        <v>4242</v>
      </c>
      <c r="C236" t="s">
        <v>4051</v>
      </c>
      <c r="D236" s="7">
        <v>1.5</v>
      </c>
      <c r="E236" s="2">
        <v>17069.53</v>
      </c>
      <c r="F236" s="2">
        <v>25604.29</v>
      </c>
    </row>
    <row r="237" spans="1:6" x14ac:dyDescent="0.25">
      <c r="A237" t="s">
        <v>4052</v>
      </c>
      <c r="B237" t="s">
        <v>4053</v>
      </c>
      <c r="C237" t="s">
        <v>4054</v>
      </c>
      <c r="D237" s="7">
        <v>10</v>
      </c>
      <c r="E237" s="2">
        <v>55427.95</v>
      </c>
      <c r="F237" s="2">
        <v>5542.8</v>
      </c>
    </row>
    <row r="238" spans="1:6" x14ac:dyDescent="0.25">
      <c r="A238" t="s">
        <v>4055</v>
      </c>
      <c r="D238" s="7"/>
      <c r="E238" s="2"/>
      <c r="F238" s="2">
        <f>SUBTOTAL(109,A_2_05_23[VALOR PARCIAL])</f>
      </c>
    </row>
    <row r="240" ht="30" customHeight="1" spans="1:6" x14ac:dyDescent="0.25">
      <c r="A240" s="5" t="s">
        <v>6692</v>
      </c>
      <c r="B240" s="5"/>
      <c r="C240" s="5"/>
      <c r="D240" s="5"/>
      <c r="E240" s="5"/>
      <c r="F240" s="5"/>
    </row>
    <row r="241" ht="42" customHeight="1" spans="1:6" x14ac:dyDescent="0.25">
      <c r="A241" s="6" t="s">
        <v>6693</v>
      </c>
      <c r="B241" s="6"/>
      <c r="C241" s="6"/>
      <c r="D241" s="6"/>
      <c r="E241" s="6"/>
      <c r="F241" s="6"/>
    </row>
    <row r="242" spans="1:6" x14ac:dyDescent="0.25">
      <c r="A242" t="s">
        <v>4044</v>
      </c>
      <c r="B242" t="s">
        <v>4045</v>
      </c>
      <c r="C242" t="s">
        <v>5</v>
      </c>
      <c r="D242" t="s">
        <v>4046</v>
      </c>
      <c r="E242" t="s">
        <v>4047</v>
      </c>
      <c r="F242" t="s">
        <v>4048</v>
      </c>
    </row>
    <row r="243" spans="1:6" x14ac:dyDescent="0.25">
      <c r="A243" t="s">
        <v>4062</v>
      </c>
      <c r="B243" t="s">
        <v>6694</v>
      </c>
      <c r="C243" t="s">
        <v>63</v>
      </c>
      <c r="D243" s="7">
        <v>1</v>
      </c>
      <c r="E243" s="2">
        <v>2129458</v>
      </c>
      <c r="F243" s="2">
        <v>2129458</v>
      </c>
    </row>
    <row r="244" spans="1:6" x14ac:dyDescent="0.25">
      <c r="A244" t="s">
        <v>4049</v>
      </c>
      <c r="B244" t="s">
        <v>4241</v>
      </c>
      <c r="C244" t="s">
        <v>4051</v>
      </c>
      <c r="D244" s="7">
        <v>3</v>
      </c>
      <c r="E244" s="2">
        <v>9941.22</v>
      </c>
      <c r="F244" s="2">
        <v>29823.66</v>
      </c>
    </row>
    <row r="245" spans="1:6" x14ac:dyDescent="0.25">
      <c r="A245" t="s">
        <v>4049</v>
      </c>
      <c r="B245" t="s">
        <v>4242</v>
      </c>
      <c r="C245" t="s">
        <v>4051</v>
      </c>
      <c r="D245" s="7">
        <v>1.5</v>
      </c>
      <c r="E245" s="2">
        <v>17069.53</v>
      </c>
      <c r="F245" s="2">
        <v>25604.29</v>
      </c>
    </row>
    <row r="246" spans="1:6" x14ac:dyDescent="0.25">
      <c r="A246" t="s">
        <v>4052</v>
      </c>
      <c r="B246" t="s">
        <v>4053</v>
      </c>
      <c r="C246" t="s">
        <v>4054</v>
      </c>
      <c r="D246" s="7">
        <v>10</v>
      </c>
      <c r="E246" s="2">
        <v>55427.95</v>
      </c>
      <c r="F246" s="2">
        <v>5542.8</v>
      </c>
    </row>
    <row r="247" spans="1:6" x14ac:dyDescent="0.25">
      <c r="A247" t="s">
        <v>4055</v>
      </c>
      <c r="D247" s="7"/>
      <c r="E247" s="2"/>
      <c r="F247" s="2">
        <f>SUBTOTAL(109,A_2_05_24[VALOR PARCIAL])</f>
      </c>
    </row>
    <row r="249" ht="30" customHeight="1" spans="1:6" x14ac:dyDescent="0.25">
      <c r="A249" s="5" t="s">
        <v>6695</v>
      </c>
      <c r="B249" s="5"/>
      <c r="C249" s="5"/>
      <c r="D249" s="5"/>
      <c r="E249" s="5"/>
      <c r="F249" s="5"/>
    </row>
    <row r="250" ht="42" customHeight="1" spans="1:6" x14ac:dyDescent="0.25">
      <c r="A250" s="6" t="s">
        <v>6696</v>
      </c>
      <c r="B250" s="6"/>
      <c r="C250" s="6"/>
      <c r="D250" s="6"/>
      <c r="E250" s="6"/>
      <c r="F250" s="6"/>
    </row>
    <row r="251" spans="1:6" x14ac:dyDescent="0.25">
      <c r="A251" t="s">
        <v>4044</v>
      </c>
      <c r="B251" t="s">
        <v>4045</v>
      </c>
      <c r="C251" t="s">
        <v>5</v>
      </c>
      <c r="D251" t="s">
        <v>4046</v>
      </c>
      <c r="E251" t="s">
        <v>4047</v>
      </c>
      <c r="F251" t="s">
        <v>4048</v>
      </c>
    </row>
    <row r="252" spans="1:6" x14ac:dyDescent="0.25">
      <c r="A252" t="s">
        <v>4062</v>
      </c>
      <c r="B252" t="s">
        <v>6697</v>
      </c>
      <c r="C252" t="s">
        <v>63</v>
      </c>
      <c r="D252" s="7">
        <v>1</v>
      </c>
      <c r="E252" s="2">
        <v>2186656</v>
      </c>
      <c r="F252" s="2">
        <v>2186656</v>
      </c>
    </row>
    <row r="253" spans="1:6" x14ac:dyDescent="0.25">
      <c r="A253" t="s">
        <v>4049</v>
      </c>
      <c r="B253" t="s">
        <v>4241</v>
      </c>
      <c r="C253" t="s">
        <v>4051</v>
      </c>
      <c r="D253" s="7">
        <v>3</v>
      </c>
      <c r="E253" s="2">
        <v>9941.22</v>
      </c>
      <c r="F253" s="2">
        <v>29823.66</v>
      </c>
    </row>
    <row r="254" spans="1:6" x14ac:dyDescent="0.25">
      <c r="A254" t="s">
        <v>4049</v>
      </c>
      <c r="B254" t="s">
        <v>4242</v>
      </c>
      <c r="C254" t="s">
        <v>4051</v>
      </c>
      <c r="D254" s="7">
        <v>1.5</v>
      </c>
      <c r="E254" s="2">
        <v>17069.53</v>
      </c>
      <c r="F254" s="2">
        <v>25604.29</v>
      </c>
    </row>
    <row r="255" spans="1:6" x14ac:dyDescent="0.25">
      <c r="A255" t="s">
        <v>4052</v>
      </c>
      <c r="B255" t="s">
        <v>4053</v>
      </c>
      <c r="C255" t="s">
        <v>4054</v>
      </c>
      <c r="D255" s="7">
        <v>10</v>
      </c>
      <c r="E255" s="2">
        <v>55427.95</v>
      </c>
      <c r="F255" s="2">
        <v>5542.8</v>
      </c>
    </row>
    <row r="256" spans="1:6" x14ac:dyDescent="0.25">
      <c r="A256" t="s">
        <v>4055</v>
      </c>
      <c r="D256" s="7"/>
      <c r="E256" s="2"/>
      <c r="F256" s="2">
        <f>SUBTOTAL(109,A_2_05_25[VALOR PARCIAL])</f>
      </c>
    </row>
    <row r="258" ht="30" customHeight="1" spans="1:6" x14ac:dyDescent="0.25">
      <c r="A258" s="5" t="s">
        <v>6698</v>
      </c>
      <c r="B258" s="5"/>
      <c r="C258" s="5"/>
      <c r="D258" s="5"/>
      <c r="E258" s="5"/>
      <c r="F258" s="5"/>
    </row>
    <row r="259" ht="42" customHeight="1" spans="1:6" x14ac:dyDescent="0.25">
      <c r="A259" s="6" t="s">
        <v>6699</v>
      </c>
      <c r="B259" s="6"/>
      <c r="C259" s="6"/>
      <c r="D259" s="6"/>
      <c r="E259" s="6"/>
      <c r="F259" s="6"/>
    </row>
    <row r="260" spans="1:6" x14ac:dyDescent="0.25">
      <c r="A260" t="s">
        <v>4044</v>
      </c>
      <c r="B260" t="s">
        <v>4045</v>
      </c>
      <c r="C260" t="s">
        <v>5</v>
      </c>
      <c r="D260" t="s">
        <v>4046</v>
      </c>
      <c r="E260" t="s">
        <v>4047</v>
      </c>
      <c r="F260" t="s">
        <v>4048</v>
      </c>
    </row>
    <row r="261" spans="1:6" x14ac:dyDescent="0.25">
      <c r="A261" t="s">
        <v>4062</v>
      </c>
      <c r="B261" t="s">
        <v>6700</v>
      </c>
      <c r="C261" t="s">
        <v>63</v>
      </c>
      <c r="D261" s="7">
        <v>1</v>
      </c>
      <c r="E261" s="2">
        <v>2444731</v>
      </c>
      <c r="F261" s="2">
        <v>2444731</v>
      </c>
    </row>
    <row r="262" spans="1:6" x14ac:dyDescent="0.25">
      <c r="A262" t="s">
        <v>4049</v>
      </c>
      <c r="B262" t="s">
        <v>4241</v>
      </c>
      <c r="C262" t="s">
        <v>4051</v>
      </c>
      <c r="D262" s="7">
        <v>3</v>
      </c>
      <c r="E262" s="2">
        <v>9941.22</v>
      </c>
      <c r="F262" s="2">
        <v>29823.66</v>
      </c>
    </row>
    <row r="263" spans="1:6" x14ac:dyDescent="0.25">
      <c r="A263" t="s">
        <v>4049</v>
      </c>
      <c r="B263" t="s">
        <v>4242</v>
      </c>
      <c r="C263" t="s">
        <v>4051</v>
      </c>
      <c r="D263" s="7">
        <v>1.5</v>
      </c>
      <c r="E263" s="2">
        <v>17069.53</v>
      </c>
      <c r="F263" s="2">
        <v>25604.29</v>
      </c>
    </row>
    <row r="264" spans="1:6" x14ac:dyDescent="0.25">
      <c r="A264" t="s">
        <v>4052</v>
      </c>
      <c r="B264" t="s">
        <v>4053</v>
      </c>
      <c r="C264" t="s">
        <v>4054</v>
      </c>
      <c r="D264" s="7">
        <v>10</v>
      </c>
      <c r="E264" s="2">
        <v>55427.95</v>
      </c>
      <c r="F264" s="2">
        <v>5542.8</v>
      </c>
    </row>
    <row r="265" spans="1:6" x14ac:dyDescent="0.25">
      <c r="A265" t="s">
        <v>4055</v>
      </c>
      <c r="D265" s="7"/>
      <c r="E265" s="2"/>
      <c r="F265" s="2">
        <f>SUBTOTAL(109,A_2_05_26[VALOR PARCIAL])</f>
      </c>
    </row>
    <row r="267" ht="30" customHeight="1" spans="1:6" x14ac:dyDescent="0.25">
      <c r="A267" s="5" t="s">
        <v>6701</v>
      </c>
      <c r="B267" s="5"/>
      <c r="C267" s="5"/>
      <c r="D267" s="5"/>
      <c r="E267" s="5"/>
      <c r="F267" s="5"/>
    </row>
    <row r="268" ht="42" customHeight="1" spans="1:6" x14ac:dyDescent="0.25">
      <c r="A268" s="6" t="s">
        <v>6702</v>
      </c>
      <c r="B268" s="6"/>
      <c r="C268" s="6"/>
      <c r="D268" s="6"/>
      <c r="E268" s="6"/>
      <c r="F268" s="6"/>
    </row>
    <row r="269" spans="1:6" x14ac:dyDescent="0.25">
      <c r="A269" t="s">
        <v>4044</v>
      </c>
      <c r="B269" t="s">
        <v>4045</v>
      </c>
      <c r="C269" t="s">
        <v>5</v>
      </c>
      <c r="D269" t="s">
        <v>4046</v>
      </c>
      <c r="E269" t="s">
        <v>4047</v>
      </c>
      <c r="F269" t="s">
        <v>4048</v>
      </c>
    </row>
    <row r="270" spans="1:6" x14ac:dyDescent="0.25">
      <c r="A270" t="s">
        <v>4062</v>
      </c>
      <c r="B270" t="s">
        <v>6703</v>
      </c>
      <c r="C270" t="s">
        <v>63</v>
      </c>
      <c r="D270" s="7">
        <v>1</v>
      </c>
      <c r="E270" s="2">
        <v>2679521</v>
      </c>
      <c r="F270" s="2">
        <v>2679521</v>
      </c>
    </row>
    <row r="271" spans="1:6" x14ac:dyDescent="0.25">
      <c r="A271" t="s">
        <v>4049</v>
      </c>
      <c r="B271" t="s">
        <v>4241</v>
      </c>
      <c r="C271" t="s">
        <v>4051</v>
      </c>
      <c r="D271" s="7">
        <v>3</v>
      </c>
      <c r="E271" s="2">
        <v>9941.22</v>
      </c>
      <c r="F271" s="2">
        <v>29823.66</v>
      </c>
    </row>
    <row r="272" spans="1:6" x14ac:dyDescent="0.25">
      <c r="A272" t="s">
        <v>4049</v>
      </c>
      <c r="B272" t="s">
        <v>4242</v>
      </c>
      <c r="C272" t="s">
        <v>4051</v>
      </c>
      <c r="D272" s="7">
        <v>1.5</v>
      </c>
      <c r="E272" s="2">
        <v>17069.53</v>
      </c>
      <c r="F272" s="2">
        <v>25604.29</v>
      </c>
    </row>
    <row r="273" spans="1:6" x14ac:dyDescent="0.25">
      <c r="A273" t="s">
        <v>4052</v>
      </c>
      <c r="B273" t="s">
        <v>4053</v>
      </c>
      <c r="C273" t="s">
        <v>4054</v>
      </c>
      <c r="D273" s="7">
        <v>10</v>
      </c>
      <c r="E273" s="2">
        <v>55427.95</v>
      </c>
      <c r="F273" s="2">
        <v>5542.8</v>
      </c>
    </row>
    <row r="274" spans="1:6" x14ac:dyDescent="0.25">
      <c r="A274" t="s">
        <v>4055</v>
      </c>
      <c r="D274" s="7"/>
      <c r="E274" s="2"/>
      <c r="F274" s="2">
        <f>SUBTOTAL(109,A_2_05_27[VALOR PARCIAL])</f>
      </c>
    </row>
    <row r="276" ht="30" customHeight="1" spans="1:6" x14ac:dyDescent="0.25">
      <c r="A276" s="5" t="s">
        <v>6704</v>
      </c>
      <c r="B276" s="5"/>
      <c r="C276" s="5"/>
      <c r="D276" s="5"/>
      <c r="E276" s="5"/>
      <c r="F276" s="5"/>
    </row>
    <row r="277" ht="42" customHeight="1" spans="1:6" x14ac:dyDescent="0.25">
      <c r="A277" s="6" t="s">
        <v>6705</v>
      </c>
      <c r="B277" s="6"/>
      <c r="C277" s="6"/>
      <c r="D277" s="6"/>
      <c r="E277" s="6"/>
      <c r="F277" s="6"/>
    </row>
    <row r="278" spans="1:6" x14ac:dyDescent="0.25">
      <c r="A278" t="s">
        <v>4044</v>
      </c>
      <c r="B278" t="s">
        <v>4045</v>
      </c>
      <c r="C278" t="s">
        <v>5</v>
      </c>
      <c r="D278" t="s">
        <v>4046</v>
      </c>
      <c r="E278" t="s">
        <v>4047</v>
      </c>
      <c r="F278" t="s">
        <v>4048</v>
      </c>
    </row>
    <row r="279" spans="1:6" x14ac:dyDescent="0.25">
      <c r="A279" t="s">
        <v>4062</v>
      </c>
      <c r="B279" t="s">
        <v>6706</v>
      </c>
      <c r="C279" t="s">
        <v>63</v>
      </c>
      <c r="D279" s="7">
        <v>1</v>
      </c>
      <c r="E279" s="2">
        <v>2807279</v>
      </c>
      <c r="F279" s="2">
        <v>2807279</v>
      </c>
    </row>
    <row r="280" spans="1:6" x14ac:dyDescent="0.25">
      <c r="A280" t="s">
        <v>4049</v>
      </c>
      <c r="B280" t="s">
        <v>4241</v>
      </c>
      <c r="C280" t="s">
        <v>4051</v>
      </c>
      <c r="D280" s="7">
        <v>3</v>
      </c>
      <c r="E280" s="2">
        <v>9941.22</v>
      </c>
      <c r="F280" s="2">
        <v>29823.66</v>
      </c>
    </row>
    <row r="281" spans="1:6" x14ac:dyDescent="0.25">
      <c r="A281" t="s">
        <v>4049</v>
      </c>
      <c r="B281" t="s">
        <v>4242</v>
      </c>
      <c r="C281" t="s">
        <v>4051</v>
      </c>
      <c r="D281" s="7">
        <v>1.5</v>
      </c>
      <c r="E281" s="2">
        <v>17069.53</v>
      </c>
      <c r="F281" s="2">
        <v>25604.29</v>
      </c>
    </row>
    <row r="282" spans="1:6" x14ac:dyDescent="0.25">
      <c r="A282" t="s">
        <v>4052</v>
      </c>
      <c r="B282" t="s">
        <v>4053</v>
      </c>
      <c r="C282" t="s">
        <v>4054</v>
      </c>
      <c r="D282" s="7">
        <v>10</v>
      </c>
      <c r="E282" s="2">
        <v>55427.95</v>
      </c>
      <c r="F282" s="2">
        <v>5542.8</v>
      </c>
    </row>
    <row r="283" spans="1:6" x14ac:dyDescent="0.25">
      <c r="A283" t="s">
        <v>4055</v>
      </c>
      <c r="D283" s="7"/>
      <c r="E283" s="2"/>
      <c r="F283" s="2">
        <f>SUBTOTAL(109,A_2_05_28[VALOR PARCIAL])</f>
      </c>
    </row>
    <row r="285" ht="30" customHeight="1" spans="1:6" x14ac:dyDescent="0.25">
      <c r="A285" s="5" t="s">
        <v>6707</v>
      </c>
      <c r="B285" s="5"/>
      <c r="C285" s="5"/>
      <c r="D285" s="5"/>
      <c r="E285" s="5"/>
      <c r="F285" s="5"/>
    </row>
    <row r="286" ht="42" customHeight="1" spans="1:6" x14ac:dyDescent="0.25">
      <c r="A286" s="6" t="s">
        <v>6705</v>
      </c>
      <c r="B286" s="6"/>
      <c r="C286" s="6"/>
      <c r="D286" s="6"/>
      <c r="E286" s="6"/>
      <c r="F286" s="6"/>
    </row>
    <row r="287" spans="1:6" x14ac:dyDescent="0.25">
      <c r="A287" t="s">
        <v>4044</v>
      </c>
      <c r="B287" t="s">
        <v>4045</v>
      </c>
      <c r="C287" t="s">
        <v>5</v>
      </c>
      <c r="D287" t="s">
        <v>4046</v>
      </c>
      <c r="E287" t="s">
        <v>4047</v>
      </c>
      <c r="F287" t="s">
        <v>4048</v>
      </c>
    </row>
    <row r="288" spans="1:6" x14ac:dyDescent="0.25">
      <c r="A288" t="s">
        <v>4062</v>
      </c>
      <c r="B288" t="s">
        <v>6706</v>
      </c>
      <c r="C288" t="s">
        <v>63</v>
      </c>
      <c r="D288" s="7">
        <v>1</v>
      </c>
      <c r="E288" s="2">
        <v>2807279</v>
      </c>
      <c r="F288" s="2">
        <v>2807279</v>
      </c>
    </row>
    <row r="289" spans="1:6" x14ac:dyDescent="0.25">
      <c r="A289" t="s">
        <v>4049</v>
      </c>
      <c r="B289" t="s">
        <v>4241</v>
      </c>
      <c r="C289" t="s">
        <v>4051</v>
      </c>
      <c r="D289" s="7">
        <v>3</v>
      </c>
      <c r="E289" s="2">
        <v>9941.22</v>
      </c>
      <c r="F289" s="2">
        <v>29823.66</v>
      </c>
    </row>
    <row r="290" spans="1:6" x14ac:dyDescent="0.25">
      <c r="A290" t="s">
        <v>4049</v>
      </c>
      <c r="B290" t="s">
        <v>4242</v>
      </c>
      <c r="C290" t="s">
        <v>4051</v>
      </c>
      <c r="D290" s="7">
        <v>1.5</v>
      </c>
      <c r="E290" s="2">
        <v>17069.53</v>
      </c>
      <c r="F290" s="2">
        <v>25604.29</v>
      </c>
    </row>
    <row r="291" spans="1:6" x14ac:dyDescent="0.25">
      <c r="A291" t="s">
        <v>4052</v>
      </c>
      <c r="B291" t="s">
        <v>4053</v>
      </c>
      <c r="C291" t="s">
        <v>4054</v>
      </c>
      <c r="D291" s="7">
        <v>10</v>
      </c>
      <c r="E291" s="2">
        <v>55427.95</v>
      </c>
      <c r="F291" s="2">
        <v>5542.8</v>
      </c>
    </row>
    <row r="292" spans="1:6" x14ac:dyDescent="0.25">
      <c r="A292" t="s">
        <v>4055</v>
      </c>
      <c r="D292" s="7"/>
      <c r="E292" s="2"/>
      <c r="F292" s="2">
        <f>SUBTOTAL(109,A_2_05_29[VALOR PARCIAL])</f>
      </c>
    </row>
    <row r="294" ht="30" customHeight="1" spans="1:6" x14ac:dyDescent="0.25">
      <c r="A294" s="5" t="s">
        <v>6708</v>
      </c>
      <c r="B294" s="5"/>
      <c r="C294" s="5"/>
      <c r="D294" s="5"/>
      <c r="E294" s="5"/>
      <c r="F294" s="5"/>
    </row>
    <row r="295" ht="42" customHeight="1" spans="1:6" x14ac:dyDescent="0.25">
      <c r="A295" s="6" t="s">
        <v>6709</v>
      </c>
      <c r="B295" s="6"/>
      <c r="C295" s="6"/>
      <c r="D295" s="6"/>
      <c r="E295" s="6"/>
      <c r="F295" s="6"/>
    </row>
    <row r="296" spans="1:6" x14ac:dyDescent="0.25">
      <c r="A296" t="s">
        <v>4044</v>
      </c>
      <c r="B296" t="s">
        <v>4045</v>
      </c>
      <c r="C296" t="s">
        <v>5</v>
      </c>
      <c r="D296" t="s">
        <v>4046</v>
      </c>
      <c r="E296" t="s">
        <v>4047</v>
      </c>
      <c r="F296" t="s">
        <v>4048</v>
      </c>
    </row>
    <row r="297" spans="1:6" x14ac:dyDescent="0.25">
      <c r="A297" t="s">
        <v>4062</v>
      </c>
      <c r="B297" t="s">
        <v>6710</v>
      </c>
      <c r="C297" t="s">
        <v>63</v>
      </c>
      <c r="D297" s="7">
        <v>1</v>
      </c>
      <c r="E297" s="2">
        <v>544330</v>
      </c>
      <c r="F297" s="2">
        <v>544330</v>
      </c>
    </row>
    <row r="298" spans="1:6" x14ac:dyDescent="0.25">
      <c r="A298" t="s">
        <v>4062</v>
      </c>
      <c r="B298" t="s">
        <v>4659</v>
      </c>
      <c r="C298" t="s">
        <v>4377</v>
      </c>
      <c r="D298" s="7">
        <v>0</v>
      </c>
      <c r="E298" s="2">
        <v>31500</v>
      </c>
      <c r="F298" s="2">
        <v>126</v>
      </c>
    </row>
    <row r="299" spans="1:6" x14ac:dyDescent="0.25">
      <c r="A299" t="s">
        <v>4062</v>
      </c>
      <c r="B299" t="s">
        <v>4376</v>
      </c>
      <c r="C299" t="s">
        <v>4377</v>
      </c>
      <c r="D299" s="7">
        <v>0</v>
      </c>
      <c r="E299" s="2">
        <v>72237.67</v>
      </c>
      <c r="F299" s="2">
        <v>288.95</v>
      </c>
    </row>
    <row r="300" spans="1:6" x14ac:dyDescent="0.25">
      <c r="A300" t="s">
        <v>4049</v>
      </c>
      <c r="B300" t="s">
        <v>4241</v>
      </c>
      <c r="C300" t="s">
        <v>4051</v>
      </c>
      <c r="D300" s="7">
        <v>0.05</v>
      </c>
      <c r="E300" s="2">
        <v>9941.22</v>
      </c>
      <c r="F300" s="2">
        <v>497.06</v>
      </c>
    </row>
    <row r="301" spans="1:6" x14ac:dyDescent="0.25">
      <c r="A301" t="s">
        <v>4049</v>
      </c>
      <c r="B301" t="s">
        <v>4242</v>
      </c>
      <c r="C301" t="s">
        <v>4051</v>
      </c>
      <c r="D301" s="7">
        <v>0.05</v>
      </c>
      <c r="E301" s="2">
        <v>17069.53</v>
      </c>
      <c r="F301" s="2">
        <v>853.48</v>
      </c>
    </row>
    <row r="302" spans="1:6" x14ac:dyDescent="0.25">
      <c r="A302" t="s">
        <v>4052</v>
      </c>
      <c r="B302" t="s">
        <v>4053</v>
      </c>
      <c r="C302" t="s">
        <v>4054</v>
      </c>
      <c r="D302" s="7">
        <v>3.4</v>
      </c>
      <c r="E302" s="2">
        <v>1350.54</v>
      </c>
      <c r="F302" s="2">
        <v>45.92</v>
      </c>
    </row>
    <row r="303" spans="1:6" x14ac:dyDescent="0.25">
      <c r="A303" t="s">
        <v>4055</v>
      </c>
      <c r="D303" s="7"/>
      <c r="E303" s="2"/>
      <c r="F303" s="2">
        <f>SUBTOTAL(109,A_2_05_30[VALOR PARCIAL])</f>
      </c>
    </row>
    <row r="305" ht="30" customHeight="1" spans="1:6" x14ac:dyDescent="0.25">
      <c r="A305" s="5" t="s">
        <v>6711</v>
      </c>
      <c r="B305" s="5"/>
      <c r="C305" s="5"/>
      <c r="D305" s="5"/>
      <c r="E305" s="5"/>
      <c r="F305" s="5"/>
    </row>
    <row r="306" ht="42" customHeight="1" spans="1:6" x14ac:dyDescent="0.25">
      <c r="A306" s="6" t="s">
        <v>6712</v>
      </c>
      <c r="B306" s="6"/>
      <c r="C306" s="6"/>
      <c r="D306" s="6"/>
      <c r="E306" s="6"/>
      <c r="F306" s="6"/>
    </row>
    <row r="307" spans="1:6" x14ac:dyDescent="0.25">
      <c r="A307" t="s">
        <v>4044</v>
      </c>
      <c r="B307" t="s">
        <v>4045</v>
      </c>
      <c r="C307" t="s">
        <v>5</v>
      </c>
      <c r="D307" t="s">
        <v>4046</v>
      </c>
      <c r="E307" t="s">
        <v>4047</v>
      </c>
      <c r="F307" t="s">
        <v>4048</v>
      </c>
    </row>
    <row r="308" spans="1:6" x14ac:dyDescent="0.25">
      <c r="A308" t="s">
        <v>4062</v>
      </c>
      <c r="B308" t="s">
        <v>6713</v>
      </c>
      <c r="C308" t="s">
        <v>63</v>
      </c>
      <c r="D308" s="7">
        <v>1</v>
      </c>
      <c r="E308" s="2">
        <v>3055</v>
      </c>
      <c r="F308" s="2">
        <v>3055</v>
      </c>
    </row>
    <row r="309" spans="1:6" x14ac:dyDescent="0.25">
      <c r="A309" t="s">
        <v>4062</v>
      </c>
      <c r="B309" t="s">
        <v>4659</v>
      </c>
      <c r="C309" t="s">
        <v>4377</v>
      </c>
      <c r="D309" s="7">
        <v>0</v>
      </c>
      <c r="E309" s="2">
        <v>31500</v>
      </c>
      <c r="F309" s="2">
        <v>126</v>
      </c>
    </row>
    <row r="310" spans="1:6" x14ac:dyDescent="0.25">
      <c r="A310" t="s">
        <v>4062</v>
      </c>
      <c r="B310" t="s">
        <v>4376</v>
      </c>
      <c r="C310" t="s">
        <v>4377</v>
      </c>
      <c r="D310" s="7">
        <v>0</v>
      </c>
      <c r="E310" s="2">
        <v>72237.67</v>
      </c>
      <c r="F310" s="2">
        <v>288.95</v>
      </c>
    </row>
    <row r="311" spans="1:6" x14ac:dyDescent="0.25">
      <c r="A311" t="s">
        <v>4049</v>
      </c>
      <c r="B311" t="s">
        <v>4241</v>
      </c>
      <c r="C311" t="s">
        <v>4051</v>
      </c>
      <c r="D311" s="7">
        <v>0.05</v>
      </c>
      <c r="E311" s="2">
        <v>9941.22</v>
      </c>
      <c r="F311" s="2">
        <v>497.06</v>
      </c>
    </row>
    <row r="312" spans="1:6" x14ac:dyDescent="0.25">
      <c r="A312" t="s">
        <v>4049</v>
      </c>
      <c r="B312" t="s">
        <v>4242</v>
      </c>
      <c r="C312" t="s">
        <v>4051</v>
      </c>
      <c r="D312" s="7">
        <v>0.05</v>
      </c>
      <c r="E312" s="2">
        <v>17069.53</v>
      </c>
      <c r="F312" s="2">
        <v>853.48</v>
      </c>
    </row>
    <row r="313" spans="1:6" x14ac:dyDescent="0.25">
      <c r="A313" t="s">
        <v>4052</v>
      </c>
      <c r="B313" t="s">
        <v>4053</v>
      </c>
      <c r="C313" t="s">
        <v>4054</v>
      </c>
      <c r="D313" s="7">
        <v>3.4</v>
      </c>
      <c r="E313" s="2">
        <v>1350.54</v>
      </c>
      <c r="F313" s="2">
        <v>45.92</v>
      </c>
    </row>
    <row r="314" spans="1:6" x14ac:dyDescent="0.25">
      <c r="A314" t="s">
        <v>4055</v>
      </c>
      <c r="D314" s="7"/>
      <c r="E314" s="2"/>
      <c r="F314" s="2">
        <f>SUBTOTAL(109,A_2_05_31[VALOR PARCIAL])</f>
      </c>
    </row>
    <row r="316" ht="30" customHeight="1" spans="1:6" x14ac:dyDescent="0.25">
      <c r="A316" s="5" t="s">
        <v>6714</v>
      </c>
      <c r="B316" s="5"/>
      <c r="C316" s="5"/>
      <c r="D316" s="5"/>
      <c r="E316" s="5"/>
      <c r="F316" s="5"/>
    </row>
    <row r="317" ht="42" customHeight="1" spans="1:6" x14ac:dyDescent="0.25">
      <c r="A317" s="6" t="s">
        <v>6715</v>
      </c>
      <c r="B317" s="6"/>
      <c r="C317" s="6"/>
      <c r="D317" s="6"/>
      <c r="E317" s="6"/>
      <c r="F317" s="6"/>
    </row>
    <row r="318" spans="1:6" x14ac:dyDescent="0.25">
      <c r="A318" t="s">
        <v>4044</v>
      </c>
      <c r="B318" t="s">
        <v>4045</v>
      </c>
      <c r="C318" t="s">
        <v>5</v>
      </c>
      <c r="D318" t="s">
        <v>4046</v>
      </c>
      <c r="E318" t="s">
        <v>4047</v>
      </c>
      <c r="F318" t="s">
        <v>4048</v>
      </c>
    </row>
    <row r="319" spans="1:6" x14ac:dyDescent="0.25">
      <c r="A319" t="s">
        <v>4062</v>
      </c>
      <c r="B319" t="s">
        <v>6716</v>
      </c>
      <c r="C319" t="s">
        <v>63</v>
      </c>
      <c r="D319" s="7">
        <v>1</v>
      </c>
      <c r="E319" s="2">
        <v>7079.5</v>
      </c>
      <c r="F319" s="2">
        <v>7079.5</v>
      </c>
    </row>
    <row r="320" spans="1:6" x14ac:dyDescent="0.25">
      <c r="A320" t="s">
        <v>4062</v>
      </c>
      <c r="B320" t="s">
        <v>4659</v>
      </c>
      <c r="C320" t="s">
        <v>4377</v>
      </c>
      <c r="D320" s="7">
        <v>0</v>
      </c>
      <c r="E320" s="2">
        <v>31500</v>
      </c>
      <c r="F320" s="2">
        <v>126</v>
      </c>
    </row>
    <row r="321" spans="1:6" x14ac:dyDescent="0.25">
      <c r="A321" t="s">
        <v>4062</v>
      </c>
      <c r="B321" t="s">
        <v>4376</v>
      </c>
      <c r="C321" t="s">
        <v>4377</v>
      </c>
      <c r="D321" s="7">
        <v>0</v>
      </c>
      <c r="E321" s="2">
        <v>72237.67</v>
      </c>
      <c r="F321" s="2">
        <v>288.95</v>
      </c>
    </row>
    <row r="322" spans="1:6" x14ac:dyDescent="0.25">
      <c r="A322" t="s">
        <v>4049</v>
      </c>
      <c r="B322" t="s">
        <v>4241</v>
      </c>
      <c r="C322" t="s">
        <v>4051</v>
      </c>
      <c r="D322" s="7">
        <v>0.05</v>
      </c>
      <c r="E322" s="2">
        <v>9941.22</v>
      </c>
      <c r="F322" s="2">
        <v>497.06</v>
      </c>
    </row>
    <row r="323" spans="1:6" x14ac:dyDescent="0.25">
      <c r="A323" t="s">
        <v>4049</v>
      </c>
      <c r="B323" t="s">
        <v>4242</v>
      </c>
      <c r="C323" t="s">
        <v>4051</v>
      </c>
      <c r="D323" s="7">
        <v>0.05</v>
      </c>
      <c r="E323" s="2">
        <v>17069.53</v>
      </c>
      <c r="F323" s="2">
        <v>853.48</v>
      </c>
    </row>
    <row r="324" spans="1:6" x14ac:dyDescent="0.25">
      <c r="A324" t="s">
        <v>4052</v>
      </c>
      <c r="B324" t="s">
        <v>4053</v>
      </c>
      <c r="C324" t="s">
        <v>4054</v>
      </c>
      <c r="D324" s="7">
        <v>3.4</v>
      </c>
      <c r="E324" s="2">
        <v>1350.54</v>
      </c>
      <c r="F324" s="2">
        <v>45.92</v>
      </c>
    </row>
    <row r="325" spans="1:6" x14ac:dyDescent="0.25">
      <c r="A325" t="s">
        <v>4055</v>
      </c>
      <c r="D325" s="7"/>
      <c r="E325" s="2"/>
      <c r="F325" s="2">
        <f>SUBTOTAL(109,A_2_05_32[VALOR PARCIAL])</f>
      </c>
    </row>
    <row r="327" ht="30" customHeight="1" spans="1:6" x14ac:dyDescent="0.25">
      <c r="A327" s="5" t="s">
        <v>6717</v>
      </c>
      <c r="B327" s="5"/>
      <c r="C327" s="5"/>
      <c r="D327" s="5"/>
      <c r="E327" s="5"/>
      <c r="F327" s="5"/>
    </row>
    <row r="328" ht="42" customHeight="1" spans="1:6" x14ac:dyDescent="0.25">
      <c r="A328" s="6" t="s">
        <v>6718</v>
      </c>
      <c r="B328" s="6"/>
      <c r="C328" s="6"/>
      <c r="D328" s="6"/>
      <c r="E328" s="6"/>
      <c r="F328" s="6"/>
    </row>
    <row r="329" spans="1:6" x14ac:dyDescent="0.25">
      <c r="A329" t="s">
        <v>4044</v>
      </c>
      <c r="B329" t="s">
        <v>4045</v>
      </c>
      <c r="C329" t="s">
        <v>5</v>
      </c>
      <c r="D329" t="s">
        <v>4046</v>
      </c>
      <c r="E329" t="s">
        <v>4047</v>
      </c>
      <c r="F329" t="s">
        <v>4048</v>
      </c>
    </row>
    <row r="330" spans="1:6" x14ac:dyDescent="0.25">
      <c r="A330" t="s">
        <v>4062</v>
      </c>
      <c r="B330" t="s">
        <v>6719</v>
      </c>
      <c r="C330" t="s">
        <v>63</v>
      </c>
      <c r="D330" s="7">
        <v>1</v>
      </c>
      <c r="E330" s="2">
        <v>12197</v>
      </c>
      <c r="F330" s="2">
        <v>12197</v>
      </c>
    </row>
    <row r="331" spans="1:6" x14ac:dyDescent="0.25">
      <c r="A331" t="s">
        <v>4062</v>
      </c>
      <c r="B331" t="s">
        <v>4659</v>
      </c>
      <c r="C331" t="s">
        <v>4377</v>
      </c>
      <c r="D331" s="7">
        <v>0</v>
      </c>
      <c r="E331" s="2">
        <v>31500</v>
      </c>
      <c r="F331" s="2">
        <v>126</v>
      </c>
    </row>
    <row r="332" spans="1:6" x14ac:dyDescent="0.25">
      <c r="A332" t="s">
        <v>4062</v>
      </c>
      <c r="B332" t="s">
        <v>4376</v>
      </c>
      <c r="C332" t="s">
        <v>4377</v>
      </c>
      <c r="D332" s="7">
        <v>0</v>
      </c>
      <c r="E332" s="2">
        <v>72237.67</v>
      </c>
      <c r="F332" s="2">
        <v>288.95</v>
      </c>
    </row>
    <row r="333" spans="1:6" x14ac:dyDescent="0.25">
      <c r="A333" t="s">
        <v>4049</v>
      </c>
      <c r="B333" t="s">
        <v>4241</v>
      </c>
      <c r="C333" t="s">
        <v>4051</v>
      </c>
      <c r="D333" s="7">
        <v>0.05</v>
      </c>
      <c r="E333" s="2">
        <v>9941.22</v>
      </c>
      <c r="F333" s="2">
        <v>497.06</v>
      </c>
    </row>
    <row r="334" spans="1:6" x14ac:dyDescent="0.25">
      <c r="A334" t="s">
        <v>4049</v>
      </c>
      <c r="B334" t="s">
        <v>4242</v>
      </c>
      <c r="C334" t="s">
        <v>4051</v>
      </c>
      <c r="D334" s="7">
        <v>0.05</v>
      </c>
      <c r="E334" s="2">
        <v>17069.53</v>
      </c>
      <c r="F334" s="2">
        <v>853.48</v>
      </c>
    </row>
    <row r="335" spans="1:6" x14ac:dyDescent="0.25">
      <c r="A335" t="s">
        <v>4052</v>
      </c>
      <c r="B335" t="s">
        <v>4053</v>
      </c>
      <c r="C335" t="s">
        <v>4054</v>
      </c>
      <c r="D335" s="7">
        <v>3.4</v>
      </c>
      <c r="E335" s="2">
        <v>1350.54</v>
      </c>
      <c r="F335" s="2">
        <v>45.92</v>
      </c>
    </row>
    <row r="336" spans="1:6" x14ac:dyDescent="0.25">
      <c r="A336" t="s">
        <v>4055</v>
      </c>
      <c r="D336" s="7"/>
      <c r="E336" s="2"/>
      <c r="F336" s="2">
        <f>SUBTOTAL(109,A_2_05_33[VALOR PARCIAL])</f>
      </c>
    </row>
    <row r="338" ht="30" customHeight="1" spans="1:6" x14ac:dyDescent="0.25">
      <c r="A338" s="5" t="s">
        <v>6720</v>
      </c>
      <c r="B338" s="5"/>
      <c r="C338" s="5"/>
      <c r="D338" s="5"/>
      <c r="E338" s="5"/>
      <c r="F338" s="5"/>
    </row>
    <row r="339" ht="42" customHeight="1" spans="1:6" x14ac:dyDescent="0.25">
      <c r="A339" s="6" t="s">
        <v>6721</v>
      </c>
      <c r="B339" s="6"/>
      <c r="C339" s="6"/>
      <c r="D339" s="6"/>
      <c r="E339" s="6"/>
      <c r="F339" s="6"/>
    </row>
    <row r="340" spans="1:6" x14ac:dyDescent="0.25">
      <c r="A340" t="s">
        <v>4044</v>
      </c>
      <c r="B340" t="s">
        <v>4045</v>
      </c>
      <c r="C340" t="s">
        <v>5</v>
      </c>
      <c r="D340" t="s">
        <v>4046</v>
      </c>
      <c r="E340" t="s">
        <v>4047</v>
      </c>
      <c r="F340" t="s">
        <v>4048</v>
      </c>
    </row>
    <row r="341" spans="1:6" x14ac:dyDescent="0.25">
      <c r="A341" t="s">
        <v>4062</v>
      </c>
      <c r="B341" t="s">
        <v>6722</v>
      </c>
      <c r="C341" t="s">
        <v>63</v>
      </c>
      <c r="D341" s="7">
        <v>1</v>
      </c>
      <c r="E341" s="2">
        <v>104205</v>
      </c>
      <c r="F341" s="2">
        <v>104205</v>
      </c>
    </row>
    <row r="342" spans="1:6" x14ac:dyDescent="0.25">
      <c r="A342" t="s">
        <v>4062</v>
      </c>
      <c r="B342" t="s">
        <v>4659</v>
      </c>
      <c r="C342" t="s">
        <v>4377</v>
      </c>
      <c r="D342" s="7">
        <v>0.04</v>
      </c>
      <c r="E342" s="2">
        <v>31500</v>
      </c>
      <c r="F342" s="2">
        <v>1260</v>
      </c>
    </row>
    <row r="343" spans="1:6" x14ac:dyDescent="0.25">
      <c r="A343" t="s">
        <v>4062</v>
      </c>
      <c r="B343" t="s">
        <v>4376</v>
      </c>
      <c r="C343" t="s">
        <v>4377</v>
      </c>
      <c r="D343" s="7">
        <v>0.04</v>
      </c>
      <c r="E343" s="2">
        <v>72237.67</v>
      </c>
      <c r="F343" s="2">
        <v>2889.51</v>
      </c>
    </row>
    <row r="344" spans="1:6" x14ac:dyDescent="0.25">
      <c r="A344" t="s">
        <v>4049</v>
      </c>
      <c r="B344" t="s">
        <v>4241</v>
      </c>
      <c r="C344" t="s">
        <v>4051</v>
      </c>
      <c r="D344" s="7">
        <v>0.16</v>
      </c>
      <c r="E344" s="2">
        <v>9941.22</v>
      </c>
      <c r="F344" s="2">
        <v>1590.6</v>
      </c>
    </row>
    <row r="345" spans="1:6" x14ac:dyDescent="0.25">
      <c r="A345" t="s">
        <v>4049</v>
      </c>
      <c r="B345" t="s">
        <v>4242</v>
      </c>
      <c r="C345" t="s">
        <v>4051</v>
      </c>
      <c r="D345" s="7">
        <v>0.16</v>
      </c>
      <c r="E345" s="2">
        <v>17069.53</v>
      </c>
      <c r="F345" s="2">
        <v>2731.12</v>
      </c>
    </row>
    <row r="346" spans="1:6" x14ac:dyDescent="0.25">
      <c r="A346" t="s">
        <v>4052</v>
      </c>
      <c r="B346" t="s">
        <v>4053</v>
      </c>
      <c r="C346" t="s">
        <v>4054</v>
      </c>
      <c r="D346" s="7">
        <v>3.4</v>
      </c>
      <c r="E346" s="2">
        <v>4321.72</v>
      </c>
      <c r="F346" s="2">
        <v>146.94</v>
      </c>
    </row>
    <row r="347" spans="1:6" x14ac:dyDescent="0.25">
      <c r="A347" t="s">
        <v>4055</v>
      </c>
      <c r="D347" s="7"/>
      <c r="E347" s="2"/>
      <c r="F347" s="2">
        <f>SUBTOTAL(109,A_2_05_34[VALOR PARCIAL])</f>
      </c>
    </row>
    <row r="349" ht="30" customHeight="1" spans="1:6" x14ac:dyDescent="0.25">
      <c r="A349" s="5" t="s">
        <v>6723</v>
      </c>
      <c r="B349" s="5"/>
      <c r="C349" s="5"/>
      <c r="D349" s="5"/>
      <c r="E349" s="5"/>
      <c r="F349" s="5"/>
    </row>
    <row r="350" ht="42" customHeight="1" spans="1:6" x14ac:dyDescent="0.25">
      <c r="A350" s="6" t="s">
        <v>6724</v>
      </c>
      <c r="B350" s="6"/>
      <c r="C350" s="6"/>
      <c r="D350" s="6"/>
      <c r="E350" s="6"/>
      <c r="F350" s="6"/>
    </row>
    <row r="351" spans="1:6" x14ac:dyDescent="0.25">
      <c r="A351" t="s">
        <v>4044</v>
      </c>
      <c r="B351" t="s">
        <v>4045</v>
      </c>
      <c r="C351" t="s">
        <v>5</v>
      </c>
      <c r="D351" t="s">
        <v>4046</v>
      </c>
      <c r="E351" t="s">
        <v>4047</v>
      </c>
      <c r="F351" t="s">
        <v>4048</v>
      </c>
    </row>
    <row r="352" spans="1:6" x14ac:dyDescent="0.25">
      <c r="A352" t="s">
        <v>4062</v>
      </c>
      <c r="B352" t="s">
        <v>6725</v>
      </c>
      <c r="C352" t="s">
        <v>63</v>
      </c>
      <c r="D352" s="7">
        <v>1</v>
      </c>
      <c r="E352" s="2">
        <v>180125</v>
      </c>
      <c r="F352" s="2">
        <v>180125</v>
      </c>
    </row>
    <row r="353" spans="1:6" x14ac:dyDescent="0.25">
      <c r="A353" t="s">
        <v>4062</v>
      </c>
      <c r="B353" t="s">
        <v>4659</v>
      </c>
      <c r="C353" t="s">
        <v>4377</v>
      </c>
      <c r="D353" s="7">
        <v>0</v>
      </c>
      <c r="E353" s="2">
        <v>31500</v>
      </c>
      <c r="F353" s="2">
        <v>126</v>
      </c>
    </row>
    <row r="354" spans="1:6" x14ac:dyDescent="0.25">
      <c r="A354" t="s">
        <v>4062</v>
      </c>
      <c r="B354" t="s">
        <v>4376</v>
      </c>
      <c r="C354" t="s">
        <v>4377</v>
      </c>
      <c r="D354" s="7">
        <v>0</v>
      </c>
      <c r="E354" s="2">
        <v>72237.67</v>
      </c>
      <c r="F354" s="2">
        <v>288.95</v>
      </c>
    </row>
    <row r="355" spans="1:6" x14ac:dyDescent="0.25">
      <c r="A355" t="s">
        <v>4049</v>
      </c>
      <c r="B355" t="s">
        <v>4241</v>
      </c>
      <c r="C355" t="s">
        <v>4051</v>
      </c>
      <c r="D355" s="7">
        <v>0.05</v>
      </c>
      <c r="E355" s="2">
        <v>9941.22</v>
      </c>
      <c r="F355" s="2">
        <v>497.06</v>
      </c>
    </row>
    <row r="356" spans="1:6" x14ac:dyDescent="0.25">
      <c r="A356" t="s">
        <v>4049</v>
      </c>
      <c r="B356" t="s">
        <v>4242</v>
      </c>
      <c r="C356" t="s">
        <v>4051</v>
      </c>
      <c r="D356" s="7">
        <v>0.05</v>
      </c>
      <c r="E356" s="2">
        <v>17069.53</v>
      </c>
      <c r="F356" s="2">
        <v>853.48</v>
      </c>
    </row>
    <row r="357" spans="1:6" x14ac:dyDescent="0.25">
      <c r="A357" t="s">
        <v>4052</v>
      </c>
      <c r="B357" t="s">
        <v>4053</v>
      </c>
      <c r="C357" t="s">
        <v>4054</v>
      </c>
      <c r="D357" s="7">
        <v>3.4</v>
      </c>
      <c r="E357" s="2">
        <v>1350.54</v>
      </c>
      <c r="F357" s="2">
        <v>45.92</v>
      </c>
    </row>
    <row r="358" spans="1:6" x14ac:dyDescent="0.25">
      <c r="A358" t="s">
        <v>4055</v>
      </c>
      <c r="D358" s="7"/>
      <c r="E358" s="2"/>
      <c r="F358" s="2">
        <f>SUBTOTAL(109,A_2_05_35[VALOR PARCIAL])</f>
      </c>
    </row>
    <row r="360" ht="30" customHeight="1" spans="1:6" x14ac:dyDescent="0.25">
      <c r="A360" s="5" t="s">
        <v>6726</v>
      </c>
      <c r="B360" s="5"/>
      <c r="C360" s="5"/>
      <c r="D360" s="5"/>
      <c r="E360" s="5"/>
      <c r="F360" s="5"/>
    </row>
    <row r="361" ht="42" customHeight="1" spans="1:6" x14ac:dyDescent="0.25">
      <c r="A361" s="6" t="s">
        <v>6727</v>
      </c>
      <c r="B361" s="6"/>
      <c r="C361" s="6"/>
      <c r="D361" s="6"/>
      <c r="E361" s="6"/>
      <c r="F361" s="6"/>
    </row>
    <row r="362" spans="1:6" x14ac:dyDescent="0.25">
      <c r="A362" t="s">
        <v>4044</v>
      </c>
      <c r="B362" t="s">
        <v>4045</v>
      </c>
      <c r="C362" t="s">
        <v>5</v>
      </c>
      <c r="D362" t="s">
        <v>4046</v>
      </c>
      <c r="E362" t="s">
        <v>4047</v>
      </c>
      <c r="F362" t="s">
        <v>4048</v>
      </c>
    </row>
    <row r="363" spans="1:6" x14ac:dyDescent="0.25">
      <c r="A363" t="s">
        <v>4062</v>
      </c>
      <c r="B363" t="s">
        <v>6728</v>
      </c>
      <c r="C363" t="s">
        <v>63</v>
      </c>
      <c r="D363" s="7">
        <v>1</v>
      </c>
      <c r="E363" s="2">
        <v>803524</v>
      </c>
      <c r="F363" s="2">
        <v>803524</v>
      </c>
    </row>
    <row r="364" spans="1:6" x14ac:dyDescent="0.25">
      <c r="A364" t="s">
        <v>4062</v>
      </c>
      <c r="B364" t="s">
        <v>6166</v>
      </c>
      <c r="C364" t="s">
        <v>63</v>
      </c>
      <c r="D364" s="7">
        <v>0.8</v>
      </c>
      <c r="E364" s="2">
        <v>19750</v>
      </c>
      <c r="F364" s="2">
        <v>15800</v>
      </c>
    </row>
    <row r="365" spans="1:6" x14ac:dyDescent="0.25">
      <c r="A365" t="s">
        <v>4049</v>
      </c>
      <c r="B365" t="s">
        <v>4241</v>
      </c>
      <c r="C365" t="s">
        <v>4051</v>
      </c>
      <c r="D365" s="7">
        <v>1</v>
      </c>
      <c r="E365" s="2">
        <v>9941.22</v>
      </c>
      <c r="F365" s="2">
        <v>9941.22</v>
      </c>
    </row>
    <row r="366" spans="1:6" x14ac:dyDescent="0.25">
      <c r="A366" t="s">
        <v>4049</v>
      </c>
      <c r="B366" t="s">
        <v>4242</v>
      </c>
      <c r="C366" t="s">
        <v>4051</v>
      </c>
      <c r="D366" s="7">
        <v>0.5</v>
      </c>
      <c r="E366" s="2">
        <v>17069.53</v>
      </c>
      <c r="F366" s="2">
        <v>8534.76</v>
      </c>
    </row>
    <row r="367" spans="1:6" x14ac:dyDescent="0.25">
      <c r="A367" t="s">
        <v>4052</v>
      </c>
      <c r="B367" t="s">
        <v>4053</v>
      </c>
      <c r="C367" t="s">
        <v>4054</v>
      </c>
      <c r="D367" s="7">
        <v>10</v>
      </c>
      <c r="E367" s="2">
        <v>18475.98</v>
      </c>
      <c r="F367" s="2">
        <v>1847.6</v>
      </c>
    </row>
    <row r="368" spans="1:6" x14ac:dyDescent="0.25">
      <c r="A368" t="s">
        <v>4055</v>
      </c>
      <c r="D368" s="7"/>
      <c r="E368" s="2"/>
      <c r="F368" s="2">
        <f>SUBTOTAL(109,A_2_05_36[VALOR PARCIAL])</f>
      </c>
    </row>
    <row r="370" ht="30" customHeight="1" spans="1:6" x14ac:dyDescent="0.25">
      <c r="A370" s="5" t="s">
        <v>6729</v>
      </c>
      <c r="B370" s="5"/>
      <c r="C370" s="5"/>
      <c r="D370" s="5"/>
      <c r="E370" s="5"/>
      <c r="F370" s="5"/>
    </row>
    <row r="371" ht="42" customHeight="1" spans="1:6" x14ac:dyDescent="0.25">
      <c r="A371" s="6" t="s">
        <v>6730</v>
      </c>
      <c r="B371" s="6"/>
      <c r="C371" s="6"/>
      <c r="D371" s="6"/>
      <c r="E371" s="6"/>
      <c r="F371" s="6"/>
    </row>
    <row r="372" spans="1:6" x14ac:dyDescent="0.25">
      <c r="A372" t="s">
        <v>4044</v>
      </c>
      <c r="B372" t="s">
        <v>4045</v>
      </c>
      <c r="C372" t="s">
        <v>5</v>
      </c>
      <c r="D372" t="s">
        <v>4046</v>
      </c>
      <c r="E372" t="s">
        <v>4047</v>
      </c>
      <c r="F372" t="s">
        <v>4048</v>
      </c>
    </row>
    <row r="373" spans="1:6" x14ac:dyDescent="0.25">
      <c r="A373" t="s">
        <v>4062</v>
      </c>
      <c r="B373" t="s">
        <v>6731</v>
      </c>
      <c r="C373" t="s">
        <v>63</v>
      </c>
      <c r="D373" s="7">
        <v>1</v>
      </c>
      <c r="E373" s="2">
        <v>822875</v>
      </c>
      <c r="F373" s="2">
        <v>822875</v>
      </c>
    </row>
    <row r="374" spans="1:6" x14ac:dyDescent="0.25">
      <c r="A374" t="s">
        <v>4062</v>
      </c>
      <c r="B374" t="s">
        <v>6166</v>
      </c>
      <c r="C374" t="s">
        <v>63</v>
      </c>
      <c r="D374" s="7">
        <v>0.8</v>
      </c>
      <c r="E374" s="2">
        <v>19750</v>
      </c>
      <c r="F374" s="2">
        <v>15800</v>
      </c>
    </row>
    <row r="375" spans="1:6" x14ac:dyDescent="0.25">
      <c r="A375" t="s">
        <v>4049</v>
      </c>
      <c r="B375" t="s">
        <v>4241</v>
      </c>
      <c r="C375" t="s">
        <v>4051</v>
      </c>
      <c r="D375" s="7">
        <v>1</v>
      </c>
      <c r="E375" s="2">
        <v>9941.22</v>
      </c>
      <c r="F375" s="2">
        <v>9941.22</v>
      </c>
    </row>
    <row r="376" spans="1:6" x14ac:dyDescent="0.25">
      <c r="A376" t="s">
        <v>4049</v>
      </c>
      <c r="B376" t="s">
        <v>4242</v>
      </c>
      <c r="C376" t="s">
        <v>4051</v>
      </c>
      <c r="D376" s="7">
        <v>0.5</v>
      </c>
      <c r="E376" s="2">
        <v>17069.53</v>
      </c>
      <c r="F376" s="2">
        <v>8534.76</v>
      </c>
    </row>
    <row r="377" spans="1:6" x14ac:dyDescent="0.25">
      <c r="A377" t="s">
        <v>4052</v>
      </c>
      <c r="B377" t="s">
        <v>4053</v>
      </c>
      <c r="C377" t="s">
        <v>4054</v>
      </c>
      <c r="D377" s="7">
        <v>10</v>
      </c>
      <c r="E377" s="2">
        <v>18475.98</v>
      </c>
      <c r="F377" s="2">
        <v>1847.6</v>
      </c>
    </row>
    <row r="378" spans="1:6" x14ac:dyDescent="0.25">
      <c r="A378" t="s">
        <v>4055</v>
      </c>
      <c r="D378" s="7"/>
      <c r="E378" s="2"/>
      <c r="F378" s="2">
        <f>SUBTOTAL(109,A_2_05_37[VALOR PARCIAL])</f>
      </c>
    </row>
    <row r="380" ht="30" customHeight="1" spans="1:6" x14ac:dyDescent="0.25">
      <c r="A380" s="5" t="s">
        <v>6732</v>
      </c>
      <c r="B380" s="5"/>
      <c r="C380" s="5"/>
      <c r="D380" s="5"/>
      <c r="E380" s="5"/>
      <c r="F380" s="5"/>
    </row>
    <row r="381" ht="42" customHeight="1" spans="1:6" x14ac:dyDescent="0.25">
      <c r="A381" s="6" t="s">
        <v>6733</v>
      </c>
      <c r="B381" s="6"/>
      <c r="C381" s="6"/>
      <c r="D381" s="6"/>
      <c r="E381" s="6"/>
      <c r="F381" s="6"/>
    </row>
    <row r="382" spans="1:6" x14ac:dyDescent="0.25">
      <c r="A382" t="s">
        <v>4044</v>
      </c>
      <c r="B382" t="s">
        <v>4045</v>
      </c>
      <c r="C382" t="s">
        <v>5</v>
      </c>
      <c r="D382" t="s">
        <v>4046</v>
      </c>
      <c r="E382" t="s">
        <v>4047</v>
      </c>
      <c r="F382" t="s">
        <v>4048</v>
      </c>
    </row>
    <row r="383" spans="1:6" x14ac:dyDescent="0.25">
      <c r="A383" t="s">
        <v>4062</v>
      </c>
      <c r="B383" t="s">
        <v>6734</v>
      </c>
      <c r="C383" t="s">
        <v>63</v>
      </c>
      <c r="D383" s="7">
        <v>1</v>
      </c>
      <c r="E383" s="2">
        <v>1103527</v>
      </c>
      <c r="F383" s="2">
        <v>1103527</v>
      </c>
    </row>
    <row r="384" spans="1:6" x14ac:dyDescent="0.25">
      <c r="A384" t="s">
        <v>4062</v>
      </c>
      <c r="B384" t="s">
        <v>6166</v>
      </c>
      <c r="C384" t="s">
        <v>63</v>
      </c>
      <c r="D384" s="7">
        <v>0.8</v>
      </c>
      <c r="E384" s="2">
        <v>19750</v>
      </c>
      <c r="F384" s="2">
        <v>15800</v>
      </c>
    </row>
    <row r="385" spans="1:6" x14ac:dyDescent="0.25">
      <c r="A385" t="s">
        <v>4049</v>
      </c>
      <c r="B385" t="s">
        <v>4241</v>
      </c>
      <c r="C385" t="s">
        <v>4051</v>
      </c>
      <c r="D385" s="7">
        <v>3</v>
      </c>
      <c r="E385" s="2">
        <v>9941.22</v>
      </c>
      <c r="F385" s="2">
        <v>29823.66</v>
      </c>
    </row>
    <row r="386" spans="1:6" x14ac:dyDescent="0.25">
      <c r="A386" t="s">
        <v>4049</v>
      </c>
      <c r="B386" t="s">
        <v>4242</v>
      </c>
      <c r="C386" t="s">
        <v>4051</v>
      </c>
      <c r="D386" s="7">
        <v>1.5</v>
      </c>
      <c r="E386" s="2">
        <v>17069.53</v>
      </c>
      <c r="F386" s="2">
        <v>25604.29</v>
      </c>
    </row>
    <row r="387" spans="1:6" x14ac:dyDescent="0.25">
      <c r="A387" t="s">
        <v>4052</v>
      </c>
      <c r="B387" t="s">
        <v>4053</v>
      </c>
      <c r="C387" t="s">
        <v>4054</v>
      </c>
      <c r="D387" s="7">
        <v>10</v>
      </c>
      <c r="E387" s="2">
        <v>55427.95</v>
      </c>
      <c r="F387" s="2">
        <v>5542.8</v>
      </c>
    </row>
    <row r="388" spans="1:6" x14ac:dyDescent="0.25">
      <c r="A388" t="s">
        <v>4055</v>
      </c>
      <c r="D388" s="7"/>
      <c r="E388" s="2"/>
      <c r="F388" s="2">
        <f>SUBTOTAL(109,A_2_05_38[VALOR PARCIAL])</f>
      </c>
    </row>
    <row r="390" ht="30" customHeight="1" spans="1:6" x14ac:dyDescent="0.25">
      <c r="A390" s="5" t="s">
        <v>6735</v>
      </c>
      <c r="B390" s="5"/>
      <c r="C390" s="5"/>
      <c r="D390" s="5"/>
      <c r="E390" s="5"/>
      <c r="F390" s="5"/>
    </row>
    <row r="391" ht="42" customHeight="1" spans="1:6" x14ac:dyDescent="0.25">
      <c r="A391" s="6" t="s">
        <v>6736</v>
      </c>
      <c r="B391" s="6"/>
      <c r="C391" s="6"/>
      <c r="D391" s="6"/>
      <c r="E391" s="6"/>
      <c r="F391" s="6"/>
    </row>
    <row r="392" spans="1:6" x14ac:dyDescent="0.25">
      <c r="A392" t="s">
        <v>4044</v>
      </c>
      <c r="B392" t="s">
        <v>4045</v>
      </c>
      <c r="C392" t="s">
        <v>5</v>
      </c>
      <c r="D392" t="s">
        <v>4046</v>
      </c>
      <c r="E392" t="s">
        <v>4047</v>
      </c>
      <c r="F392" t="s">
        <v>4048</v>
      </c>
    </row>
    <row r="393" spans="1:6" x14ac:dyDescent="0.25">
      <c r="A393" t="s">
        <v>4062</v>
      </c>
      <c r="B393" t="s">
        <v>6737</v>
      </c>
      <c r="C393" t="s">
        <v>63</v>
      </c>
      <c r="D393" s="7">
        <v>1</v>
      </c>
      <c r="E393" s="2">
        <v>1275548</v>
      </c>
      <c r="F393" s="2">
        <v>1275548</v>
      </c>
    </row>
    <row r="394" spans="1:6" x14ac:dyDescent="0.25">
      <c r="A394" t="s">
        <v>4062</v>
      </c>
      <c r="B394" t="s">
        <v>6166</v>
      </c>
      <c r="C394" t="s">
        <v>63</v>
      </c>
      <c r="D394" s="7">
        <v>0.8</v>
      </c>
      <c r="E394" s="2">
        <v>19750</v>
      </c>
      <c r="F394" s="2">
        <v>15800</v>
      </c>
    </row>
    <row r="395" spans="1:6" x14ac:dyDescent="0.25">
      <c r="A395" t="s">
        <v>4049</v>
      </c>
      <c r="B395" t="s">
        <v>4241</v>
      </c>
      <c r="C395" t="s">
        <v>4051</v>
      </c>
      <c r="D395" s="7">
        <v>3</v>
      </c>
      <c r="E395" s="2">
        <v>9941.22</v>
      </c>
      <c r="F395" s="2">
        <v>29823.66</v>
      </c>
    </row>
    <row r="396" spans="1:6" x14ac:dyDescent="0.25">
      <c r="A396" t="s">
        <v>4049</v>
      </c>
      <c r="B396" t="s">
        <v>4242</v>
      </c>
      <c r="C396" t="s">
        <v>4051</v>
      </c>
      <c r="D396" s="7">
        <v>1.5</v>
      </c>
      <c r="E396" s="2">
        <v>17069.53</v>
      </c>
      <c r="F396" s="2">
        <v>25604.29</v>
      </c>
    </row>
    <row r="397" spans="1:6" x14ac:dyDescent="0.25">
      <c r="A397" t="s">
        <v>4052</v>
      </c>
      <c r="B397" t="s">
        <v>4053</v>
      </c>
      <c r="C397" t="s">
        <v>4054</v>
      </c>
      <c r="D397" s="7">
        <v>10</v>
      </c>
      <c r="E397" s="2">
        <v>55427.95</v>
      </c>
      <c r="F397" s="2">
        <v>5542.8</v>
      </c>
    </row>
    <row r="398" spans="1:6" x14ac:dyDescent="0.25">
      <c r="A398" t="s">
        <v>4055</v>
      </c>
      <c r="D398" s="7"/>
      <c r="E398" s="2"/>
      <c r="F398" s="2">
        <f>SUBTOTAL(109,A_2_05_39[VALOR PARCIAL])</f>
      </c>
    </row>
    <row r="400" ht="30" customHeight="1" spans="1:6" x14ac:dyDescent="0.25">
      <c r="A400" s="5" t="s">
        <v>6738</v>
      </c>
      <c r="B400" s="5"/>
      <c r="C400" s="5"/>
      <c r="D400" s="5"/>
      <c r="E400" s="5"/>
      <c r="F400" s="5"/>
    </row>
    <row r="401" ht="42" customHeight="1" spans="1:6" x14ac:dyDescent="0.25">
      <c r="A401" s="6" t="s">
        <v>6739</v>
      </c>
      <c r="B401" s="6"/>
      <c r="C401" s="6"/>
      <c r="D401" s="6"/>
      <c r="E401" s="6"/>
      <c r="F401" s="6"/>
    </row>
    <row r="402" spans="1:6" x14ac:dyDescent="0.25">
      <c r="A402" t="s">
        <v>4044</v>
      </c>
      <c r="B402" t="s">
        <v>4045</v>
      </c>
      <c r="C402" t="s">
        <v>5</v>
      </c>
      <c r="D402" t="s">
        <v>4046</v>
      </c>
      <c r="E402" t="s">
        <v>4047</v>
      </c>
      <c r="F402" t="s">
        <v>4048</v>
      </c>
    </row>
    <row r="403" spans="1:6" x14ac:dyDescent="0.25">
      <c r="A403" t="s">
        <v>4062</v>
      </c>
      <c r="B403" t="s">
        <v>6740</v>
      </c>
      <c r="C403" t="s">
        <v>63</v>
      </c>
      <c r="D403" s="7">
        <v>1</v>
      </c>
      <c r="E403" s="2">
        <v>1427561</v>
      </c>
      <c r="F403" s="2">
        <v>1427561</v>
      </c>
    </row>
    <row r="404" spans="1:6" x14ac:dyDescent="0.25">
      <c r="A404" t="s">
        <v>4062</v>
      </c>
      <c r="B404" t="s">
        <v>6166</v>
      </c>
      <c r="C404" t="s">
        <v>63</v>
      </c>
      <c r="D404" s="7">
        <v>0.8</v>
      </c>
      <c r="E404" s="2">
        <v>19750</v>
      </c>
      <c r="F404" s="2">
        <v>15800</v>
      </c>
    </row>
    <row r="405" spans="1:6" x14ac:dyDescent="0.25">
      <c r="A405" t="s">
        <v>4049</v>
      </c>
      <c r="B405" t="s">
        <v>4241</v>
      </c>
      <c r="C405" t="s">
        <v>4051</v>
      </c>
      <c r="D405" s="7">
        <v>3</v>
      </c>
      <c r="E405" s="2">
        <v>9941.22</v>
      </c>
      <c r="F405" s="2">
        <v>29823.66</v>
      </c>
    </row>
    <row r="406" spans="1:6" x14ac:dyDescent="0.25">
      <c r="A406" t="s">
        <v>4049</v>
      </c>
      <c r="B406" t="s">
        <v>4242</v>
      </c>
      <c r="C406" t="s">
        <v>4051</v>
      </c>
      <c r="D406" s="7">
        <v>1.5</v>
      </c>
      <c r="E406" s="2">
        <v>17069.53</v>
      </c>
      <c r="F406" s="2">
        <v>25604.29</v>
      </c>
    </row>
    <row r="407" spans="1:6" x14ac:dyDescent="0.25">
      <c r="A407" t="s">
        <v>4052</v>
      </c>
      <c r="B407" t="s">
        <v>4053</v>
      </c>
      <c r="C407" t="s">
        <v>4054</v>
      </c>
      <c r="D407" s="7">
        <v>10</v>
      </c>
      <c r="E407" s="2">
        <v>55427.95</v>
      </c>
      <c r="F407" s="2">
        <v>5542.8</v>
      </c>
    </row>
    <row r="408" spans="1:6" x14ac:dyDescent="0.25">
      <c r="A408" t="s">
        <v>4055</v>
      </c>
      <c r="D408" s="7"/>
      <c r="E408" s="2"/>
      <c r="F408" s="2">
        <f>SUBTOTAL(109,A_2_05_40[VALOR PARCIAL])</f>
      </c>
    </row>
    <row r="410" ht="30" customHeight="1" spans="1:6" x14ac:dyDescent="0.25">
      <c r="A410" s="5" t="s">
        <v>6741</v>
      </c>
      <c r="B410" s="5"/>
      <c r="C410" s="5"/>
      <c r="D410" s="5"/>
      <c r="E410" s="5"/>
      <c r="F410" s="5"/>
    </row>
    <row r="411" ht="42" customHeight="1" spans="1:6" x14ac:dyDescent="0.25">
      <c r="A411" s="6" t="s">
        <v>6742</v>
      </c>
      <c r="B411" s="6"/>
      <c r="C411" s="6"/>
      <c r="D411" s="6"/>
      <c r="E411" s="6"/>
      <c r="F411" s="6"/>
    </row>
    <row r="412" spans="1:6" x14ac:dyDescent="0.25">
      <c r="A412" t="s">
        <v>4044</v>
      </c>
      <c r="B412" t="s">
        <v>4045</v>
      </c>
      <c r="C412" t="s">
        <v>5</v>
      </c>
      <c r="D412" t="s">
        <v>4046</v>
      </c>
      <c r="E412" t="s">
        <v>4047</v>
      </c>
      <c r="F412" t="s">
        <v>4048</v>
      </c>
    </row>
    <row r="413" spans="1:6" x14ac:dyDescent="0.25">
      <c r="A413" t="s">
        <v>4062</v>
      </c>
      <c r="B413" t="s">
        <v>6743</v>
      </c>
      <c r="C413" t="s">
        <v>63</v>
      </c>
      <c r="D413" s="7">
        <v>1</v>
      </c>
      <c r="E413" s="2">
        <v>1612746</v>
      </c>
      <c r="F413" s="2">
        <v>1612746</v>
      </c>
    </row>
    <row r="414" spans="1:6" x14ac:dyDescent="0.25">
      <c r="A414" t="s">
        <v>4062</v>
      </c>
      <c r="B414" t="s">
        <v>6166</v>
      </c>
      <c r="C414" t="s">
        <v>63</v>
      </c>
      <c r="D414" s="7">
        <v>0.8</v>
      </c>
      <c r="E414" s="2">
        <v>19750</v>
      </c>
      <c r="F414" s="2">
        <v>15800</v>
      </c>
    </row>
    <row r="415" spans="1:6" x14ac:dyDescent="0.25">
      <c r="A415" t="s">
        <v>4049</v>
      </c>
      <c r="B415" t="s">
        <v>4241</v>
      </c>
      <c r="C415" t="s">
        <v>4051</v>
      </c>
      <c r="D415" s="7">
        <v>3</v>
      </c>
      <c r="E415" s="2">
        <v>9941.22</v>
      </c>
      <c r="F415" s="2">
        <v>29823.66</v>
      </c>
    </row>
    <row r="416" spans="1:6" x14ac:dyDescent="0.25">
      <c r="A416" t="s">
        <v>4049</v>
      </c>
      <c r="B416" t="s">
        <v>4242</v>
      </c>
      <c r="C416" t="s">
        <v>4051</v>
      </c>
      <c r="D416" s="7">
        <v>1.5</v>
      </c>
      <c r="E416" s="2">
        <v>17069.53</v>
      </c>
      <c r="F416" s="2">
        <v>25604.29</v>
      </c>
    </row>
    <row r="417" spans="1:6" x14ac:dyDescent="0.25">
      <c r="A417" t="s">
        <v>4052</v>
      </c>
      <c r="B417" t="s">
        <v>4053</v>
      </c>
      <c r="C417" t="s">
        <v>4054</v>
      </c>
      <c r="D417" s="7">
        <v>10</v>
      </c>
      <c r="E417" s="2">
        <v>55427.95</v>
      </c>
      <c r="F417" s="2">
        <v>5542.8</v>
      </c>
    </row>
    <row r="418" spans="1:6" x14ac:dyDescent="0.25">
      <c r="A418" t="s">
        <v>4055</v>
      </c>
      <c r="D418" s="7"/>
      <c r="E418" s="2"/>
      <c r="F418" s="2">
        <f>SUBTOTAL(109,A_2_05_41[VALOR PARCIAL])</f>
      </c>
    </row>
    <row r="420" ht="30" customHeight="1" spans="1:6" x14ac:dyDescent="0.25">
      <c r="A420" s="5" t="s">
        <v>6744</v>
      </c>
      <c r="B420" s="5"/>
      <c r="C420" s="5"/>
      <c r="D420" s="5"/>
      <c r="E420" s="5"/>
      <c r="F420" s="5"/>
    </row>
    <row r="421" ht="42" customHeight="1" spans="1:6" x14ac:dyDescent="0.25">
      <c r="A421" s="6" t="s">
        <v>6745</v>
      </c>
      <c r="B421" s="6"/>
      <c r="C421" s="6"/>
      <c r="D421" s="6"/>
      <c r="E421" s="6"/>
      <c r="F421" s="6"/>
    </row>
    <row r="422" spans="1:6" x14ac:dyDescent="0.25">
      <c r="A422" t="s">
        <v>4044</v>
      </c>
      <c r="B422" t="s">
        <v>4045</v>
      </c>
      <c r="C422" t="s">
        <v>5</v>
      </c>
      <c r="D422" t="s">
        <v>4046</v>
      </c>
      <c r="E422" t="s">
        <v>4047</v>
      </c>
      <c r="F422" t="s">
        <v>4048</v>
      </c>
    </row>
    <row r="423" spans="1:6" x14ac:dyDescent="0.25">
      <c r="A423" t="s">
        <v>4062</v>
      </c>
      <c r="B423" t="s">
        <v>6746</v>
      </c>
      <c r="C423" t="s">
        <v>63</v>
      </c>
      <c r="D423" s="7">
        <v>1</v>
      </c>
      <c r="E423" s="2">
        <v>1764783</v>
      </c>
      <c r="F423" s="2">
        <v>1764783</v>
      </c>
    </row>
    <row r="424" spans="1:6" x14ac:dyDescent="0.25">
      <c r="A424" t="s">
        <v>4062</v>
      </c>
      <c r="B424" t="s">
        <v>6166</v>
      </c>
      <c r="C424" t="s">
        <v>63</v>
      </c>
      <c r="D424" s="7">
        <v>0.8</v>
      </c>
      <c r="E424" s="2">
        <v>19750</v>
      </c>
      <c r="F424" s="2">
        <v>15800</v>
      </c>
    </row>
    <row r="425" spans="1:6" x14ac:dyDescent="0.25">
      <c r="A425" t="s">
        <v>4049</v>
      </c>
      <c r="B425" t="s">
        <v>4241</v>
      </c>
      <c r="C425" t="s">
        <v>4051</v>
      </c>
      <c r="D425" s="7">
        <v>3</v>
      </c>
      <c r="E425" s="2">
        <v>9941.22</v>
      </c>
      <c r="F425" s="2">
        <v>29823.66</v>
      </c>
    </row>
    <row r="426" spans="1:6" x14ac:dyDescent="0.25">
      <c r="A426" t="s">
        <v>4049</v>
      </c>
      <c r="B426" t="s">
        <v>4242</v>
      </c>
      <c r="C426" t="s">
        <v>4051</v>
      </c>
      <c r="D426" s="7">
        <v>1.5</v>
      </c>
      <c r="E426" s="2">
        <v>17069.53</v>
      </c>
      <c r="F426" s="2">
        <v>25604.29</v>
      </c>
    </row>
    <row r="427" spans="1:6" x14ac:dyDescent="0.25">
      <c r="A427" t="s">
        <v>4052</v>
      </c>
      <c r="B427" t="s">
        <v>4053</v>
      </c>
      <c r="C427" t="s">
        <v>4054</v>
      </c>
      <c r="D427" s="7">
        <v>10</v>
      </c>
      <c r="E427" s="2">
        <v>55427.95</v>
      </c>
      <c r="F427" s="2">
        <v>5542.8</v>
      </c>
    </row>
    <row r="428" spans="1:6" x14ac:dyDescent="0.25">
      <c r="A428" t="s">
        <v>4055</v>
      </c>
      <c r="D428" s="7"/>
      <c r="E428" s="2"/>
      <c r="F428" s="2">
        <f>SUBTOTAL(109,A_2_05_42[VALOR PARCIAL])</f>
      </c>
    </row>
    <row r="430" ht="30" customHeight="1" spans="1:6" x14ac:dyDescent="0.25">
      <c r="A430" s="5" t="s">
        <v>6747</v>
      </c>
      <c r="B430" s="5"/>
      <c r="C430" s="5"/>
      <c r="D430" s="5"/>
      <c r="E430" s="5"/>
      <c r="F430" s="5"/>
    </row>
    <row r="431" ht="42" customHeight="1" spans="1:6" x14ac:dyDescent="0.25">
      <c r="A431" s="6" t="s">
        <v>6748</v>
      </c>
      <c r="B431" s="6"/>
      <c r="C431" s="6"/>
      <c r="D431" s="6"/>
      <c r="E431" s="6"/>
      <c r="F431" s="6"/>
    </row>
    <row r="432" spans="1:6" x14ac:dyDescent="0.25">
      <c r="A432" t="s">
        <v>4044</v>
      </c>
      <c r="B432" t="s">
        <v>4045</v>
      </c>
      <c r="C432" t="s">
        <v>5</v>
      </c>
      <c r="D432" t="s">
        <v>4046</v>
      </c>
      <c r="E432" t="s">
        <v>4047</v>
      </c>
      <c r="F432" t="s">
        <v>4048</v>
      </c>
    </row>
    <row r="433" spans="1:6" x14ac:dyDescent="0.25">
      <c r="A433" t="s">
        <v>4062</v>
      </c>
      <c r="B433" t="s">
        <v>6749</v>
      </c>
      <c r="C433" t="s">
        <v>63</v>
      </c>
      <c r="D433" s="7">
        <v>1</v>
      </c>
      <c r="E433" s="2">
        <v>2059274</v>
      </c>
      <c r="F433" s="2">
        <v>2059274</v>
      </c>
    </row>
    <row r="434" spans="1:6" x14ac:dyDescent="0.25">
      <c r="A434" t="s">
        <v>4062</v>
      </c>
      <c r="B434" t="s">
        <v>6166</v>
      </c>
      <c r="C434" t="s">
        <v>63</v>
      </c>
      <c r="D434" s="7">
        <v>0.8</v>
      </c>
      <c r="E434" s="2">
        <v>19750</v>
      </c>
      <c r="F434" s="2">
        <v>15800</v>
      </c>
    </row>
    <row r="435" spans="1:6" x14ac:dyDescent="0.25">
      <c r="A435" t="s">
        <v>4049</v>
      </c>
      <c r="B435" t="s">
        <v>4241</v>
      </c>
      <c r="C435" t="s">
        <v>4051</v>
      </c>
      <c r="D435" s="7">
        <v>3</v>
      </c>
      <c r="E435" s="2">
        <v>9941.22</v>
      </c>
      <c r="F435" s="2">
        <v>29823.66</v>
      </c>
    </row>
    <row r="436" spans="1:6" x14ac:dyDescent="0.25">
      <c r="A436" t="s">
        <v>4049</v>
      </c>
      <c r="B436" t="s">
        <v>4242</v>
      </c>
      <c r="C436" t="s">
        <v>4051</v>
      </c>
      <c r="D436" s="7">
        <v>1.5</v>
      </c>
      <c r="E436" s="2">
        <v>17069.53</v>
      </c>
      <c r="F436" s="2">
        <v>25604.29</v>
      </c>
    </row>
    <row r="437" spans="1:6" x14ac:dyDescent="0.25">
      <c r="A437" t="s">
        <v>4052</v>
      </c>
      <c r="B437" t="s">
        <v>4053</v>
      </c>
      <c r="C437" t="s">
        <v>4054</v>
      </c>
      <c r="D437" s="7">
        <v>10</v>
      </c>
      <c r="E437" s="2">
        <v>55427.95</v>
      </c>
      <c r="F437" s="2">
        <v>5542.8</v>
      </c>
    </row>
    <row r="438" spans="1:6" x14ac:dyDescent="0.25">
      <c r="A438" t="s">
        <v>4055</v>
      </c>
      <c r="D438" s="7"/>
      <c r="E438" s="2"/>
      <c r="F438" s="2">
        <f>SUBTOTAL(109,A_2_05_43[VALOR PARCIAL])</f>
      </c>
    </row>
    <row r="440" ht="30" customHeight="1" spans="1:6" x14ac:dyDescent="0.25">
      <c r="A440" s="5" t="s">
        <v>6750</v>
      </c>
      <c r="B440" s="5"/>
      <c r="C440" s="5"/>
      <c r="D440" s="5"/>
      <c r="E440" s="5"/>
      <c r="F440" s="5"/>
    </row>
    <row r="441" ht="42" customHeight="1" spans="1:6" x14ac:dyDescent="0.25">
      <c r="A441" s="6" t="s">
        <v>6751</v>
      </c>
      <c r="B441" s="6"/>
      <c r="C441" s="6"/>
      <c r="D441" s="6"/>
      <c r="E441" s="6"/>
      <c r="F441" s="6"/>
    </row>
    <row r="442" spans="1:6" x14ac:dyDescent="0.25">
      <c r="A442" t="s">
        <v>4044</v>
      </c>
      <c r="B442" t="s">
        <v>4045</v>
      </c>
      <c r="C442" t="s">
        <v>5</v>
      </c>
      <c r="D442" t="s">
        <v>4046</v>
      </c>
      <c r="E442" t="s">
        <v>4047</v>
      </c>
      <c r="F442" t="s">
        <v>4048</v>
      </c>
    </row>
    <row r="443" spans="1:6" x14ac:dyDescent="0.25">
      <c r="A443" t="s">
        <v>4062</v>
      </c>
      <c r="B443" t="s">
        <v>6752</v>
      </c>
      <c r="C443" t="s">
        <v>63</v>
      </c>
      <c r="D443" s="7">
        <v>1</v>
      </c>
      <c r="E443" s="2">
        <v>2439609</v>
      </c>
      <c r="F443" s="2">
        <v>2439609</v>
      </c>
    </row>
    <row r="444" spans="1:6" x14ac:dyDescent="0.25">
      <c r="A444" t="s">
        <v>4062</v>
      </c>
      <c r="B444" t="s">
        <v>6166</v>
      </c>
      <c r="C444" t="s">
        <v>63</v>
      </c>
      <c r="D444" s="7">
        <v>0.8</v>
      </c>
      <c r="E444" s="2">
        <v>19750</v>
      </c>
      <c r="F444" s="2">
        <v>15800</v>
      </c>
    </row>
    <row r="445" spans="1:6" x14ac:dyDescent="0.25">
      <c r="A445" t="s">
        <v>4049</v>
      </c>
      <c r="B445" t="s">
        <v>4241</v>
      </c>
      <c r="C445" t="s">
        <v>4051</v>
      </c>
      <c r="D445" s="7">
        <v>3</v>
      </c>
      <c r="E445" s="2">
        <v>9941.22</v>
      </c>
      <c r="F445" s="2">
        <v>29823.66</v>
      </c>
    </row>
    <row r="446" spans="1:6" x14ac:dyDescent="0.25">
      <c r="A446" t="s">
        <v>4049</v>
      </c>
      <c r="B446" t="s">
        <v>4242</v>
      </c>
      <c r="C446" t="s">
        <v>4051</v>
      </c>
      <c r="D446" s="7">
        <v>1.5</v>
      </c>
      <c r="E446" s="2">
        <v>17069.53</v>
      </c>
      <c r="F446" s="2">
        <v>25604.29</v>
      </c>
    </row>
    <row r="447" spans="1:6" x14ac:dyDescent="0.25">
      <c r="A447" t="s">
        <v>4052</v>
      </c>
      <c r="B447" t="s">
        <v>4053</v>
      </c>
      <c r="C447" t="s">
        <v>4054</v>
      </c>
      <c r="D447" s="7">
        <v>10</v>
      </c>
      <c r="E447" s="2">
        <v>55427.95</v>
      </c>
      <c r="F447" s="2">
        <v>5542.8</v>
      </c>
    </row>
    <row r="448" spans="1:6" x14ac:dyDescent="0.25">
      <c r="A448" t="s">
        <v>4055</v>
      </c>
      <c r="D448" s="7"/>
      <c r="E448" s="2"/>
      <c r="F448" s="2">
        <f>SUBTOTAL(109,A_2_05_44[VALOR PARCIAL])</f>
      </c>
    </row>
    <row r="450" ht="30" customHeight="1" spans="1:6" x14ac:dyDescent="0.25">
      <c r="A450" s="5" t="s">
        <v>6753</v>
      </c>
      <c r="B450" s="5"/>
      <c r="C450" s="5"/>
      <c r="D450" s="5"/>
      <c r="E450" s="5"/>
      <c r="F450" s="5"/>
    </row>
    <row r="451" ht="42" customHeight="1" spans="1:6" x14ac:dyDescent="0.25">
      <c r="A451" s="6" t="s">
        <v>6754</v>
      </c>
      <c r="B451" s="6"/>
      <c r="C451" s="6"/>
      <c r="D451" s="6"/>
      <c r="E451" s="6"/>
      <c r="F451" s="6"/>
    </row>
    <row r="452" spans="1:6" x14ac:dyDescent="0.25">
      <c r="A452" t="s">
        <v>4044</v>
      </c>
      <c r="B452" t="s">
        <v>4045</v>
      </c>
      <c r="C452" t="s">
        <v>5</v>
      </c>
      <c r="D452" t="s">
        <v>4046</v>
      </c>
      <c r="E452" t="s">
        <v>4047</v>
      </c>
      <c r="F452" t="s">
        <v>4048</v>
      </c>
    </row>
    <row r="453" spans="1:6" x14ac:dyDescent="0.25">
      <c r="A453" t="s">
        <v>4062</v>
      </c>
      <c r="B453" t="s">
        <v>6755</v>
      </c>
      <c r="C453" t="s">
        <v>63</v>
      </c>
      <c r="D453" s="7">
        <v>1</v>
      </c>
      <c r="E453" s="2">
        <v>2591642</v>
      </c>
      <c r="F453" s="2">
        <v>2591642</v>
      </c>
    </row>
    <row r="454" spans="1:6" x14ac:dyDescent="0.25">
      <c r="A454" t="s">
        <v>4062</v>
      </c>
      <c r="B454" t="s">
        <v>6166</v>
      </c>
      <c r="C454" t="s">
        <v>63</v>
      </c>
      <c r="D454" s="7">
        <v>0.8</v>
      </c>
      <c r="E454" s="2">
        <v>19750</v>
      </c>
      <c r="F454" s="2">
        <v>15800</v>
      </c>
    </row>
    <row r="455" spans="1:6" x14ac:dyDescent="0.25">
      <c r="A455" t="s">
        <v>4049</v>
      </c>
      <c r="B455" t="s">
        <v>4241</v>
      </c>
      <c r="C455" t="s">
        <v>4051</v>
      </c>
      <c r="D455" s="7">
        <v>3</v>
      </c>
      <c r="E455" s="2">
        <v>9941.22</v>
      </c>
      <c r="F455" s="2">
        <v>29823.66</v>
      </c>
    </row>
    <row r="456" spans="1:6" x14ac:dyDescent="0.25">
      <c r="A456" t="s">
        <v>4049</v>
      </c>
      <c r="B456" t="s">
        <v>4242</v>
      </c>
      <c r="C456" t="s">
        <v>4051</v>
      </c>
      <c r="D456" s="7">
        <v>1.5</v>
      </c>
      <c r="E456" s="2">
        <v>17069.53</v>
      </c>
      <c r="F456" s="2">
        <v>25604.29</v>
      </c>
    </row>
    <row r="457" spans="1:6" x14ac:dyDescent="0.25">
      <c r="A457" t="s">
        <v>4052</v>
      </c>
      <c r="B457" t="s">
        <v>4053</v>
      </c>
      <c r="C457" t="s">
        <v>4054</v>
      </c>
      <c r="D457" s="7">
        <v>10</v>
      </c>
      <c r="E457" s="2">
        <v>55427.95</v>
      </c>
      <c r="F457" s="2">
        <v>5542.8</v>
      </c>
    </row>
    <row r="458" spans="1:6" x14ac:dyDescent="0.25">
      <c r="A458" t="s">
        <v>4055</v>
      </c>
      <c r="D458" s="7"/>
      <c r="E458" s="2"/>
      <c r="F458" s="2">
        <f>SUBTOTAL(109,A_2_05_45[VALOR PARCIAL])</f>
      </c>
    </row>
    <row r="460" ht="30" customHeight="1" spans="1:6" x14ac:dyDescent="0.25">
      <c r="A460" s="5" t="s">
        <v>6756</v>
      </c>
      <c r="B460" s="5"/>
      <c r="C460" s="5"/>
      <c r="D460" s="5"/>
      <c r="E460" s="5"/>
      <c r="F460" s="5"/>
    </row>
    <row r="461" ht="42" customHeight="1" spans="1:6" x14ac:dyDescent="0.25">
      <c r="A461" s="6" t="s">
        <v>6757</v>
      </c>
      <c r="B461" s="6"/>
      <c r="C461" s="6"/>
      <c r="D461" s="6"/>
      <c r="E461" s="6"/>
      <c r="F461" s="6"/>
    </row>
    <row r="462" spans="1:6" x14ac:dyDescent="0.25">
      <c r="A462" t="s">
        <v>4044</v>
      </c>
      <c r="B462" t="s">
        <v>4045</v>
      </c>
      <c r="C462" t="s">
        <v>5</v>
      </c>
      <c r="D462" t="s">
        <v>4046</v>
      </c>
      <c r="E462" t="s">
        <v>4047</v>
      </c>
      <c r="F462" t="s">
        <v>4048</v>
      </c>
    </row>
    <row r="463" spans="1:6" x14ac:dyDescent="0.25">
      <c r="A463" t="s">
        <v>4062</v>
      </c>
      <c r="B463" t="s">
        <v>6758</v>
      </c>
      <c r="C463" t="s">
        <v>63</v>
      </c>
      <c r="D463" s="7">
        <v>1</v>
      </c>
      <c r="E463" s="2">
        <v>2943370</v>
      </c>
      <c r="F463" s="2">
        <v>2943370</v>
      </c>
    </row>
    <row r="464" spans="1:6" x14ac:dyDescent="0.25">
      <c r="A464" t="s">
        <v>4062</v>
      </c>
      <c r="B464" t="s">
        <v>6166</v>
      </c>
      <c r="C464" t="s">
        <v>63</v>
      </c>
      <c r="D464" s="7">
        <v>0.8</v>
      </c>
      <c r="E464" s="2">
        <v>19750</v>
      </c>
      <c r="F464" s="2">
        <v>15800</v>
      </c>
    </row>
    <row r="465" spans="1:6" x14ac:dyDescent="0.25">
      <c r="A465" t="s">
        <v>4049</v>
      </c>
      <c r="B465" t="s">
        <v>4241</v>
      </c>
      <c r="C465" t="s">
        <v>4051</v>
      </c>
      <c r="D465" s="7">
        <v>3</v>
      </c>
      <c r="E465" s="2">
        <v>9941.22</v>
      </c>
      <c r="F465" s="2">
        <v>29823.66</v>
      </c>
    </row>
    <row r="466" spans="1:6" x14ac:dyDescent="0.25">
      <c r="A466" t="s">
        <v>4049</v>
      </c>
      <c r="B466" t="s">
        <v>4242</v>
      </c>
      <c r="C466" t="s">
        <v>4051</v>
      </c>
      <c r="D466" s="7">
        <v>1.5</v>
      </c>
      <c r="E466" s="2">
        <v>17069.53</v>
      </c>
      <c r="F466" s="2">
        <v>25604.29</v>
      </c>
    </row>
    <row r="467" spans="1:6" x14ac:dyDescent="0.25">
      <c r="A467" t="s">
        <v>4052</v>
      </c>
      <c r="B467" t="s">
        <v>4053</v>
      </c>
      <c r="C467" t="s">
        <v>4054</v>
      </c>
      <c r="D467" s="7">
        <v>10</v>
      </c>
      <c r="E467" s="2">
        <v>55427.95</v>
      </c>
      <c r="F467" s="2">
        <v>5542.8</v>
      </c>
    </row>
    <row r="468" spans="1:6" x14ac:dyDescent="0.25">
      <c r="A468" t="s">
        <v>4055</v>
      </c>
      <c r="D468" s="7"/>
      <c r="E468" s="2"/>
      <c r="F468" s="2">
        <f>SUBTOTAL(109,A_2_05_46[VALOR PARCIAL])</f>
      </c>
    </row>
    <row r="470" ht="30" customHeight="1" spans="1:6" x14ac:dyDescent="0.25">
      <c r="A470" s="5" t="s">
        <v>6759</v>
      </c>
      <c r="B470" s="5"/>
      <c r="C470" s="5"/>
      <c r="D470" s="5"/>
      <c r="E470" s="5"/>
      <c r="F470" s="5"/>
    </row>
    <row r="471" ht="42" customHeight="1" spans="1:6" x14ac:dyDescent="0.25">
      <c r="A471" s="6" t="s">
        <v>6760</v>
      </c>
      <c r="B471" s="6"/>
      <c r="C471" s="6"/>
      <c r="D471" s="6"/>
      <c r="E471" s="6"/>
      <c r="F471" s="6"/>
    </row>
    <row r="472" spans="1:6" x14ac:dyDescent="0.25">
      <c r="A472" t="s">
        <v>4044</v>
      </c>
      <c r="B472" t="s">
        <v>4045</v>
      </c>
      <c r="C472" t="s">
        <v>5</v>
      </c>
      <c r="D472" t="s">
        <v>4046</v>
      </c>
      <c r="E472" t="s">
        <v>4047</v>
      </c>
      <c r="F472" t="s">
        <v>4048</v>
      </c>
    </row>
    <row r="473" spans="1:6" x14ac:dyDescent="0.25">
      <c r="A473" t="s">
        <v>4062</v>
      </c>
      <c r="B473" t="s">
        <v>6761</v>
      </c>
      <c r="C473" t="s">
        <v>63</v>
      </c>
      <c r="D473" s="7">
        <v>1</v>
      </c>
      <c r="E473" s="2">
        <v>3095391</v>
      </c>
      <c r="F473" s="2">
        <v>3095391</v>
      </c>
    </row>
    <row r="474" spans="1:6" x14ac:dyDescent="0.25">
      <c r="A474" t="s">
        <v>4062</v>
      </c>
      <c r="B474" t="s">
        <v>6166</v>
      </c>
      <c r="C474" t="s">
        <v>63</v>
      </c>
      <c r="D474" s="7">
        <v>0.8</v>
      </c>
      <c r="E474" s="2">
        <v>19750</v>
      </c>
      <c r="F474" s="2">
        <v>15800</v>
      </c>
    </row>
    <row r="475" spans="1:6" x14ac:dyDescent="0.25">
      <c r="A475" t="s">
        <v>4049</v>
      </c>
      <c r="B475" t="s">
        <v>4241</v>
      </c>
      <c r="C475" t="s">
        <v>4051</v>
      </c>
      <c r="D475" s="7">
        <v>3</v>
      </c>
      <c r="E475" s="2">
        <v>9941.22</v>
      </c>
      <c r="F475" s="2">
        <v>29823.66</v>
      </c>
    </row>
    <row r="476" spans="1:6" x14ac:dyDescent="0.25">
      <c r="A476" t="s">
        <v>4049</v>
      </c>
      <c r="B476" t="s">
        <v>4242</v>
      </c>
      <c r="C476" t="s">
        <v>4051</v>
      </c>
      <c r="D476" s="7">
        <v>1.5</v>
      </c>
      <c r="E476" s="2">
        <v>17069.53</v>
      </c>
      <c r="F476" s="2">
        <v>25604.29</v>
      </c>
    </row>
    <row r="477" spans="1:6" x14ac:dyDescent="0.25">
      <c r="A477" t="s">
        <v>4052</v>
      </c>
      <c r="B477" t="s">
        <v>4053</v>
      </c>
      <c r="C477" t="s">
        <v>4054</v>
      </c>
      <c r="D477" s="7">
        <v>10</v>
      </c>
      <c r="E477" s="2">
        <v>55427.95</v>
      </c>
      <c r="F477" s="2">
        <v>5542.8</v>
      </c>
    </row>
    <row r="478" spans="1:6" x14ac:dyDescent="0.25">
      <c r="A478" t="s">
        <v>4055</v>
      </c>
      <c r="D478" s="7"/>
      <c r="E478" s="2"/>
      <c r="F478" s="2">
        <f>SUBTOTAL(109,A_2_05_47[VALOR PARCIAL])</f>
      </c>
    </row>
    <row r="480" ht="30" customHeight="1" spans="1:6" x14ac:dyDescent="0.25">
      <c r="A480" s="5" t="s">
        <v>6762</v>
      </c>
      <c r="B480" s="5"/>
      <c r="C480" s="5"/>
      <c r="D480" s="5"/>
      <c r="E480" s="5"/>
      <c r="F480" s="5"/>
    </row>
    <row r="481" ht="42" customHeight="1" spans="1:6" x14ac:dyDescent="0.25">
      <c r="A481" s="6" t="s">
        <v>6763</v>
      </c>
      <c r="B481" s="6"/>
      <c r="C481" s="6"/>
      <c r="D481" s="6"/>
      <c r="E481" s="6"/>
      <c r="F481" s="6"/>
    </row>
    <row r="482" spans="1:6" x14ac:dyDescent="0.25">
      <c r="A482" t="s">
        <v>4044</v>
      </c>
      <c r="B482" t="s">
        <v>4045</v>
      </c>
      <c r="C482" t="s">
        <v>5</v>
      </c>
      <c r="D482" t="s">
        <v>4046</v>
      </c>
      <c r="E482" t="s">
        <v>4047</v>
      </c>
      <c r="F482" t="s">
        <v>4048</v>
      </c>
    </row>
    <row r="483" spans="1:6" x14ac:dyDescent="0.25">
      <c r="A483" t="s">
        <v>4062</v>
      </c>
      <c r="B483" t="s">
        <v>6764</v>
      </c>
      <c r="C483" t="s">
        <v>63</v>
      </c>
      <c r="D483" s="7">
        <v>1</v>
      </c>
      <c r="E483" s="2">
        <v>689524</v>
      </c>
      <c r="F483" s="2">
        <v>689524</v>
      </c>
    </row>
    <row r="484" spans="1:6" x14ac:dyDescent="0.25">
      <c r="A484" t="s">
        <v>4062</v>
      </c>
      <c r="B484" t="s">
        <v>6166</v>
      </c>
      <c r="C484" t="s">
        <v>63</v>
      </c>
      <c r="D484" s="7">
        <v>0.8</v>
      </c>
      <c r="E484" s="2">
        <v>19750</v>
      </c>
      <c r="F484" s="2">
        <v>15800</v>
      </c>
    </row>
    <row r="485" spans="1:6" x14ac:dyDescent="0.25">
      <c r="A485" t="s">
        <v>4049</v>
      </c>
      <c r="B485" t="s">
        <v>4241</v>
      </c>
      <c r="C485" t="s">
        <v>4051</v>
      </c>
      <c r="D485" s="7">
        <v>3</v>
      </c>
      <c r="E485" s="2">
        <v>9941.22</v>
      </c>
      <c r="F485" s="2">
        <v>29823.66</v>
      </c>
    </row>
    <row r="486" spans="1:6" x14ac:dyDescent="0.25">
      <c r="A486" t="s">
        <v>4049</v>
      </c>
      <c r="B486" t="s">
        <v>4242</v>
      </c>
      <c r="C486" t="s">
        <v>4051</v>
      </c>
      <c r="D486" s="7">
        <v>1.5</v>
      </c>
      <c r="E486" s="2">
        <v>17069.53</v>
      </c>
      <c r="F486" s="2">
        <v>25604.29</v>
      </c>
    </row>
    <row r="487" spans="1:6" x14ac:dyDescent="0.25">
      <c r="A487" t="s">
        <v>4052</v>
      </c>
      <c r="B487" t="s">
        <v>4053</v>
      </c>
      <c r="C487" t="s">
        <v>4054</v>
      </c>
      <c r="D487" s="7">
        <v>10</v>
      </c>
      <c r="E487" s="2">
        <v>55427.95</v>
      </c>
      <c r="F487" s="2">
        <v>5542.8</v>
      </c>
    </row>
    <row r="488" spans="1:6" x14ac:dyDescent="0.25">
      <c r="A488" t="s">
        <v>4055</v>
      </c>
      <c r="D488" s="7"/>
      <c r="E488" s="2"/>
      <c r="F488" s="2">
        <f>SUBTOTAL(109,A_2_05_48[VALOR PARCIAL])</f>
      </c>
    </row>
    <row r="490" ht="30" customHeight="1" spans="1:6" x14ac:dyDescent="0.25">
      <c r="A490" s="5" t="s">
        <v>6765</v>
      </c>
      <c r="B490" s="5"/>
      <c r="C490" s="5"/>
      <c r="D490" s="5"/>
      <c r="E490" s="5"/>
      <c r="F490" s="5"/>
    </row>
    <row r="491" ht="42" customHeight="1" spans="1:6" x14ac:dyDescent="0.25">
      <c r="A491" s="6" t="s">
        <v>6766</v>
      </c>
      <c r="B491" s="6"/>
      <c r="C491" s="6"/>
      <c r="D491" s="6"/>
      <c r="E491" s="6"/>
      <c r="F491" s="6"/>
    </row>
    <row r="492" spans="1:6" x14ac:dyDescent="0.25">
      <c r="A492" t="s">
        <v>4044</v>
      </c>
      <c r="B492" t="s">
        <v>4045</v>
      </c>
      <c r="C492" t="s">
        <v>5</v>
      </c>
      <c r="D492" t="s">
        <v>4046</v>
      </c>
      <c r="E492" t="s">
        <v>4047</v>
      </c>
      <c r="F492" t="s">
        <v>4048</v>
      </c>
    </row>
    <row r="493" spans="1:6" x14ac:dyDescent="0.25">
      <c r="A493" t="s">
        <v>4062</v>
      </c>
      <c r="B493" t="s">
        <v>6767</v>
      </c>
      <c r="C493" t="s">
        <v>63</v>
      </c>
      <c r="D493" s="7">
        <v>1</v>
      </c>
      <c r="E493" s="2">
        <v>928716</v>
      </c>
      <c r="F493" s="2">
        <v>928716</v>
      </c>
    </row>
    <row r="494" spans="1:6" x14ac:dyDescent="0.25">
      <c r="A494" t="s">
        <v>4062</v>
      </c>
      <c r="B494" t="s">
        <v>6166</v>
      </c>
      <c r="C494" t="s">
        <v>63</v>
      </c>
      <c r="D494" s="7">
        <v>0.8</v>
      </c>
      <c r="E494" s="2">
        <v>19750</v>
      </c>
      <c r="F494" s="2">
        <v>15800</v>
      </c>
    </row>
    <row r="495" spans="1:6" x14ac:dyDescent="0.25">
      <c r="A495" t="s">
        <v>4049</v>
      </c>
      <c r="B495" t="s">
        <v>4241</v>
      </c>
      <c r="C495" t="s">
        <v>4051</v>
      </c>
      <c r="D495" s="7">
        <v>3</v>
      </c>
      <c r="E495" s="2">
        <v>9941.22</v>
      </c>
      <c r="F495" s="2">
        <v>29823.66</v>
      </c>
    </row>
    <row r="496" spans="1:6" x14ac:dyDescent="0.25">
      <c r="A496" t="s">
        <v>4049</v>
      </c>
      <c r="B496" t="s">
        <v>4242</v>
      </c>
      <c r="C496" t="s">
        <v>4051</v>
      </c>
      <c r="D496" s="7">
        <v>1.5</v>
      </c>
      <c r="E496" s="2">
        <v>17069.53</v>
      </c>
      <c r="F496" s="2">
        <v>25604.29</v>
      </c>
    </row>
    <row r="497" spans="1:6" x14ac:dyDescent="0.25">
      <c r="A497" t="s">
        <v>4052</v>
      </c>
      <c r="B497" t="s">
        <v>4053</v>
      </c>
      <c r="C497" t="s">
        <v>4054</v>
      </c>
      <c r="D497" s="7">
        <v>10</v>
      </c>
      <c r="E497" s="2">
        <v>55427.95</v>
      </c>
      <c r="F497" s="2">
        <v>5542.8</v>
      </c>
    </row>
    <row r="498" spans="1:6" x14ac:dyDescent="0.25">
      <c r="A498" t="s">
        <v>4055</v>
      </c>
      <c r="D498" s="7"/>
      <c r="E498" s="2"/>
      <c r="F498" s="2">
        <f>SUBTOTAL(109,A_2_05_49[VALOR PARCIAL])</f>
      </c>
    </row>
    <row r="500" ht="30" customHeight="1" spans="1:6" x14ac:dyDescent="0.25">
      <c r="A500" s="5" t="s">
        <v>6768</v>
      </c>
      <c r="B500" s="5"/>
      <c r="C500" s="5"/>
      <c r="D500" s="5"/>
      <c r="E500" s="5"/>
      <c r="F500" s="5"/>
    </row>
    <row r="501" ht="42" customHeight="1" spans="1:6" x14ac:dyDescent="0.25">
      <c r="A501" s="6" t="s">
        <v>6769</v>
      </c>
      <c r="B501" s="6"/>
      <c r="C501" s="6"/>
      <c r="D501" s="6"/>
      <c r="E501" s="6"/>
      <c r="F501" s="6"/>
    </row>
    <row r="502" spans="1:6" x14ac:dyDescent="0.25">
      <c r="A502" t="s">
        <v>4044</v>
      </c>
      <c r="B502" t="s">
        <v>4045</v>
      </c>
      <c r="C502" t="s">
        <v>5</v>
      </c>
      <c r="D502" t="s">
        <v>4046</v>
      </c>
      <c r="E502" t="s">
        <v>4047</v>
      </c>
      <c r="F502" t="s">
        <v>4048</v>
      </c>
    </row>
    <row r="503" spans="1:6" x14ac:dyDescent="0.25">
      <c r="A503" t="s">
        <v>4062</v>
      </c>
      <c r="B503" t="s">
        <v>6770</v>
      </c>
      <c r="C503" t="s">
        <v>63</v>
      </c>
      <c r="D503" s="7">
        <v>1</v>
      </c>
      <c r="E503" s="2">
        <v>16161</v>
      </c>
      <c r="F503" s="2">
        <v>16161</v>
      </c>
    </row>
    <row r="504" spans="1:6" x14ac:dyDescent="0.25">
      <c r="A504" t="s">
        <v>4062</v>
      </c>
      <c r="B504" t="s">
        <v>4659</v>
      </c>
      <c r="C504" t="s">
        <v>4377</v>
      </c>
      <c r="D504" s="7">
        <v>0.03</v>
      </c>
      <c r="E504" s="2">
        <v>31500</v>
      </c>
      <c r="F504" s="2">
        <v>787.5</v>
      </c>
    </row>
    <row r="505" spans="1:6" x14ac:dyDescent="0.25">
      <c r="A505" t="s">
        <v>4062</v>
      </c>
      <c r="B505" t="s">
        <v>4376</v>
      </c>
      <c r="C505" t="s">
        <v>4377</v>
      </c>
      <c r="D505" s="7">
        <v>0.03</v>
      </c>
      <c r="E505" s="2">
        <v>72237.67</v>
      </c>
      <c r="F505" s="2">
        <v>1805.94</v>
      </c>
    </row>
    <row r="506" spans="1:6" x14ac:dyDescent="0.25">
      <c r="A506" t="s">
        <v>4049</v>
      </c>
      <c r="B506" t="s">
        <v>4241</v>
      </c>
      <c r="C506" t="s">
        <v>4051</v>
      </c>
      <c r="D506" s="7">
        <v>0.15</v>
      </c>
      <c r="E506" s="2">
        <v>9941.22</v>
      </c>
      <c r="F506" s="2">
        <v>1491.18</v>
      </c>
    </row>
    <row r="507" spans="1:6" x14ac:dyDescent="0.25">
      <c r="A507" t="s">
        <v>4049</v>
      </c>
      <c r="B507" t="s">
        <v>4242</v>
      </c>
      <c r="C507" t="s">
        <v>4051</v>
      </c>
      <c r="D507" s="7">
        <v>0.15</v>
      </c>
      <c r="E507" s="2">
        <v>17069.53</v>
      </c>
      <c r="F507" s="2">
        <v>2560.43</v>
      </c>
    </row>
    <row r="508" spans="1:6" x14ac:dyDescent="0.25">
      <c r="A508" t="s">
        <v>4052</v>
      </c>
      <c r="B508" t="s">
        <v>4053</v>
      </c>
      <c r="C508" t="s">
        <v>4054</v>
      </c>
      <c r="D508" s="7">
        <v>7</v>
      </c>
      <c r="E508" s="2">
        <v>4051.61</v>
      </c>
      <c r="F508" s="2">
        <v>283.61</v>
      </c>
    </row>
    <row r="509" spans="1:6" x14ac:dyDescent="0.25">
      <c r="A509" t="s">
        <v>4055</v>
      </c>
      <c r="D509" s="7"/>
      <c r="E509" s="2"/>
      <c r="F509" s="2">
        <f>SUBTOTAL(109,A_2_05_50[VALOR PARCIAL])</f>
      </c>
    </row>
    <row r="511" ht="30" customHeight="1" spans="1:6" x14ac:dyDescent="0.25">
      <c r="A511" s="5" t="s">
        <v>6771</v>
      </c>
      <c r="B511" s="5"/>
      <c r="C511" s="5"/>
      <c r="D511" s="5"/>
      <c r="E511" s="5"/>
      <c r="F511" s="5"/>
    </row>
    <row r="512" ht="42" customHeight="1" spans="1:6" x14ac:dyDescent="0.25">
      <c r="A512" s="6" t="s">
        <v>6772</v>
      </c>
      <c r="B512" s="6"/>
      <c r="C512" s="6"/>
      <c r="D512" s="6"/>
      <c r="E512" s="6"/>
      <c r="F512" s="6"/>
    </row>
    <row r="513" spans="1:6" x14ac:dyDescent="0.25">
      <c r="A513" t="s">
        <v>4044</v>
      </c>
      <c r="B513" t="s">
        <v>4045</v>
      </c>
      <c r="C513" t="s">
        <v>5</v>
      </c>
      <c r="D513" t="s">
        <v>4046</v>
      </c>
      <c r="E513" t="s">
        <v>4047</v>
      </c>
      <c r="F513" t="s">
        <v>4048</v>
      </c>
    </row>
    <row r="514" spans="1:6" x14ac:dyDescent="0.25">
      <c r="A514" t="s">
        <v>4062</v>
      </c>
      <c r="B514" t="s">
        <v>6773</v>
      </c>
      <c r="C514" t="s">
        <v>63</v>
      </c>
      <c r="D514" s="7">
        <v>1</v>
      </c>
      <c r="E514" s="2">
        <v>887</v>
      </c>
      <c r="F514" s="2">
        <v>887</v>
      </c>
    </row>
    <row r="515" spans="1:6" x14ac:dyDescent="0.25">
      <c r="A515" t="s">
        <v>4062</v>
      </c>
      <c r="B515" t="s">
        <v>6774</v>
      </c>
      <c r="C515" t="s">
        <v>63</v>
      </c>
      <c r="D515" s="7">
        <v>1</v>
      </c>
      <c r="E515" s="2">
        <v>371528.14</v>
      </c>
      <c r="F515" s="2">
        <v>371528.14</v>
      </c>
    </row>
    <row r="516" spans="1:6" x14ac:dyDescent="0.25">
      <c r="A516" t="s">
        <v>4049</v>
      </c>
      <c r="B516" t="s">
        <v>4241</v>
      </c>
      <c r="C516" t="s">
        <v>4051</v>
      </c>
      <c r="D516" s="7">
        <v>0.6</v>
      </c>
      <c r="E516" s="2">
        <v>9941.22</v>
      </c>
      <c r="F516" s="2">
        <v>5964.73</v>
      </c>
    </row>
    <row r="517" spans="1:6" x14ac:dyDescent="0.25">
      <c r="A517" t="s">
        <v>4049</v>
      </c>
      <c r="B517" t="s">
        <v>4242</v>
      </c>
      <c r="C517" t="s">
        <v>4051</v>
      </c>
      <c r="D517" s="7">
        <v>0.6</v>
      </c>
      <c r="E517" s="2">
        <v>17069.53</v>
      </c>
      <c r="F517" s="2">
        <v>10241.72</v>
      </c>
    </row>
    <row r="518" spans="1:6" x14ac:dyDescent="0.25">
      <c r="A518" t="s">
        <v>4052</v>
      </c>
      <c r="B518" t="s">
        <v>5729</v>
      </c>
      <c r="C518" t="s">
        <v>287</v>
      </c>
      <c r="D518" s="7">
        <v>0.6</v>
      </c>
      <c r="E518" s="2">
        <v>3510.83</v>
      </c>
      <c r="F518" s="2">
        <v>2106.5</v>
      </c>
    </row>
    <row r="519" spans="1:6" x14ac:dyDescent="0.25">
      <c r="A519" t="s">
        <v>4052</v>
      </c>
      <c r="B519" t="s">
        <v>4053</v>
      </c>
      <c r="C519" t="s">
        <v>4054</v>
      </c>
      <c r="D519" s="7">
        <v>10</v>
      </c>
      <c r="E519" s="2">
        <v>16206.45</v>
      </c>
      <c r="F519" s="2">
        <v>1620.64</v>
      </c>
    </row>
    <row r="520" spans="1:6" x14ac:dyDescent="0.25">
      <c r="A520" t="s">
        <v>4055</v>
      </c>
      <c r="D520" s="7"/>
      <c r="E520" s="2"/>
      <c r="F520" s="2">
        <f>SUBTOTAL(109,A_2_05_51[VALOR PARCIAL])</f>
      </c>
    </row>
    <row r="522" ht="30" customHeight="1" spans="1:6" x14ac:dyDescent="0.25">
      <c r="A522" s="5" t="s">
        <v>6775</v>
      </c>
      <c r="B522" s="5"/>
      <c r="C522" s="5"/>
      <c r="D522" s="5"/>
      <c r="E522" s="5"/>
      <c r="F522" s="5"/>
    </row>
    <row r="523" ht="42" customHeight="1" spans="1:6" x14ac:dyDescent="0.25">
      <c r="A523" s="6" t="s">
        <v>6776</v>
      </c>
      <c r="B523" s="6"/>
      <c r="C523" s="6"/>
      <c r="D523" s="6"/>
      <c r="E523" s="6"/>
      <c r="F523" s="6"/>
    </row>
    <row r="524" spans="1:6" x14ac:dyDescent="0.25">
      <c r="A524" t="s">
        <v>4044</v>
      </c>
      <c r="B524" t="s">
        <v>4045</v>
      </c>
      <c r="C524" t="s">
        <v>5</v>
      </c>
      <c r="D524" t="s">
        <v>4046</v>
      </c>
      <c r="E524" t="s">
        <v>4047</v>
      </c>
      <c r="F524" t="s">
        <v>4048</v>
      </c>
    </row>
    <row r="525" spans="1:6" x14ac:dyDescent="0.25">
      <c r="A525" t="s">
        <v>4062</v>
      </c>
      <c r="B525" t="s">
        <v>4352</v>
      </c>
      <c r="C525" t="s">
        <v>42</v>
      </c>
      <c r="D525" s="7">
        <v>1.03</v>
      </c>
      <c r="E525" s="2">
        <v>31353</v>
      </c>
      <c r="F525" s="2">
        <v>32293.59</v>
      </c>
    </row>
    <row r="526" spans="1:6" x14ac:dyDescent="0.25">
      <c r="A526" t="s">
        <v>4062</v>
      </c>
      <c r="B526" t="s">
        <v>4353</v>
      </c>
      <c r="C526" t="s">
        <v>63</v>
      </c>
      <c r="D526" s="7">
        <v>0.17</v>
      </c>
      <c r="E526" s="2">
        <v>27711</v>
      </c>
      <c r="F526" s="2">
        <v>4710.87</v>
      </c>
    </row>
    <row r="527" spans="1:6" x14ac:dyDescent="0.25">
      <c r="A527" t="s">
        <v>4062</v>
      </c>
      <c r="B527" t="s">
        <v>4659</v>
      </c>
      <c r="C527" t="s">
        <v>4377</v>
      </c>
      <c r="D527" s="7">
        <v>0.04</v>
      </c>
      <c r="E527" s="2">
        <v>31500</v>
      </c>
      <c r="F527" s="2">
        <v>1260</v>
      </c>
    </row>
    <row r="528" spans="1:6" x14ac:dyDescent="0.25">
      <c r="A528" t="s">
        <v>4062</v>
      </c>
      <c r="B528" t="s">
        <v>4376</v>
      </c>
      <c r="C528" t="s">
        <v>4377</v>
      </c>
      <c r="D528" s="7">
        <v>0.04</v>
      </c>
      <c r="E528" s="2">
        <v>72237.67</v>
      </c>
      <c r="F528" s="2">
        <v>2889.51</v>
      </c>
    </row>
    <row r="529" spans="1:6" x14ac:dyDescent="0.25">
      <c r="A529" t="s">
        <v>4049</v>
      </c>
      <c r="B529" t="s">
        <v>4176</v>
      </c>
      <c r="C529" t="s">
        <v>4177</v>
      </c>
      <c r="D529" s="7">
        <v>0.05</v>
      </c>
      <c r="E529" s="2">
        <v>72300.17</v>
      </c>
      <c r="F529" s="2">
        <v>3759.61</v>
      </c>
    </row>
    <row r="530" spans="1:6" x14ac:dyDescent="0.25">
      <c r="A530" t="s">
        <v>4049</v>
      </c>
      <c r="B530" t="s">
        <v>4223</v>
      </c>
      <c r="C530" t="s">
        <v>4051</v>
      </c>
      <c r="D530" s="7">
        <v>0.01</v>
      </c>
      <c r="E530" s="2">
        <v>52807.59</v>
      </c>
      <c r="F530" s="2">
        <v>528.08</v>
      </c>
    </row>
    <row r="531" spans="1:6" x14ac:dyDescent="0.25">
      <c r="A531" t="s">
        <v>4049</v>
      </c>
      <c r="B531" t="s">
        <v>4313</v>
      </c>
      <c r="C531" t="s">
        <v>4177</v>
      </c>
      <c r="D531" s="7">
        <v>0.05</v>
      </c>
      <c r="E531" s="2">
        <v>124137.15</v>
      </c>
      <c r="F531" s="2">
        <v>6455.13</v>
      </c>
    </row>
    <row r="532" spans="1:6" x14ac:dyDescent="0.25">
      <c r="A532" t="s">
        <v>4052</v>
      </c>
      <c r="B532" t="s">
        <v>4053</v>
      </c>
      <c r="C532" t="s">
        <v>4054</v>
      </c>
      <c r="D532" s="7">
        <v>7.1</v>
      </c>
      <c r="E532" s="2">
        <v>10742.82</v>
      </c>
      <c r="F532" s="2">
        <v>762.74</v>
      </c>
    </row>
    <row r="533" spans="1:6" x14ac:dyDescent="0.25">
      <c r="A533" t="s">
        <v>4055</v>
      </c>
      <c r="D533" s="7"/>
      <c r="E533" s="2"/>
      <c r="F533" s="2">
        <f>SUBTOTAL(109,A_2_05_52[VALOR PARCIAL])</f>
      </c>
    </row>
    <row r="535" ht="30" customHeight="1" spans="1:6" x14ac:dyDescent="0.25">
      <c r="A535" s="5" t="s">
        <v>6777</v>
      </c>
      <c r="B535" s="5"/>
      <c r="C535" s="5"/>
      <c r="D535" s="5"/>
      <c r="E535" s="5"/>
      <c r="F535" s="5"/>
    </row>
    <row r="536" ht="42" customHeight="1" spans="1:6" x14ac:dyDescent="0.25">
      <c r="A536" s="6" t="s">
        <v>6778</v>
      </c>
      <c r="B536" s="6"/>
      <c r="C536" s="6"/>
      <c r="D536" s="6"/>
      <c r="E536" s="6"/>
      <c r="F536" s="6"/>
    </row>
    <row r="537" spans="1:6" x14ac:dyDescent="0.25">
      <c r="A537" t="s">
        <v>4044</v>
      </c>
      <c r="B537" t="s">
        <v>4045</v>
      </c>
      <c r="C537" t="s">
        <v>5</v>
      </c>
      <c r="D537" t="s">
        <v>4046</v>
      </c>
      <c r="E537" t="s">
        <v>4047</v>
      </c>
      <c r="F537" t="s">
        <v>4048</v>
      </c>
    </row>
    <row r="538" spans="1:6" x14ac:dyDescent="0.25">
      <c r="A538" t="s">
        <v>4062</v>
      </c>
      <c r="B538" t="s">
        <v>6779</v>
      </c>
      <c r="C538" t="s">
        <v>42</v>
      </c>
      <c r="D538" s="7">
        <v>1.03</v>
      </c>
      <c r="E538" s="2">
        <v>68773</v>
      </c>
      <c r="F538" s="2">
        <v>70836.19</v>
      </c>
    </row>
    <row r="539" spans="1:6" x14ac:dyDescent="0.25">
      <c r="A539" t="s">
        <v>4062</v>
      </c>
      <c r="B539" t="s">
        <v>6780</v>
      </c>
      <c r="C539" t="s">
        <v>63</v>
      </c>
      <c r="D539" s="7">
        <v>0.17</v>
      </c>
      <c r="E539" s="2">
        <v>130218</v>
      </c>
      <c r="F539" s="2">
        <v>22137.06</v>
      </c>
    </row>
    <row r="540" spans="1:6" x14ac:dyDescent="0.25">
      <c r="A540" t="s">
        <v>4062</v>
      </c>
      <c r="B540" t="s">
        <v>4354</v>
      </c>
      <c r="C540" t="s">
        <v>4171</v>
      </c>
      <c r="D540" s="7">
        <v>1.5</v>
      </c>
      <c r="E540" s="2">
        <v>1148</v>
      </c>
      <c r="F540" s="2">
        <v>1722</v>
      </c>
    </row>
    <row r="541" spans="1:6" x14ac:dyDescent="0.25">
      <c r="A541" t="s">
        <v>4049</v>
      </c>
      <c r="B541" t="s">
        <v>4176</v>
      </c>
      <c r="C541" t="s">
        <v>4177</v>
      </c>
      <c r="D541" s="7">
        <v>0.1</v>
      </c>
      <c r="E541" s="2">
        <v>72300.17</v>
      </c>
      <c r="F541" s="2">
        <v>7230.02</v>
      </c>
    </row>
    <row r="542" spans="1:6" x14ac:dyDescent="0.25">
      <c r="A542" t="s">
        <v>4049</v>
      </c>
      <c r="B542" t="s">
        <v>4223</v>
      </c>
      <c r="C542" t="s">
        <v>4051</v>
      </c>
      <c r="D542" s="7">
        <v>0.02</v>
      </c>
      <c r="E542" s="2">
        <v>52807.59</v>
      </c>
      <c r="F542" s="2">
        <v>881.89</v>
      </c>
    </row>
    <row r="543" spans="1:6" x14ac:dyDescent="0.25">
      <c r="A543" t="s">
        <v>4049</v>
      </c>
      <c r="B543" t="s">
        <v>4313</v>
      </c>
      <c r="C543" t="s">
        <v>4177</v>
      </c>
      <c r="D543" s="7">
        <v>0.1</v>
      </c>
      <c r="E543" s="2">
        <v>124137.15</v>
      </c>
      <c r="F543" s="2">
        <v>12413.72</v>
      </c>
    </row>
    <row r="544" spans="1:6" x14ac:dyDescent="0.25">
      <c r="A544" t="s">
        <v>4052</v>
      </c>
      <c r="B544" t="s">
        <v>4053</v>
      </c>
      <c r="C544" t="s">
        <v>4054</v>
      </c>
      <c r="D544" s="7">
        <v>7.1</v>
      </c>
      <c r="E544" s="2">
        <v>20525.63</v>
      </c>
      <c r="F544" s="2">
        <v>1457.32</v>
      </c>
    </row>
    <row r="545" spans="1:6" x14ac:dyDescent="0.25">
      <c r="A545" t="s">
        <v>4055</v>
      </c>
      <c r="D545" s="7"/>
      <c r="E545" s="2"/>
      <c r="F545" s="2">
        <f>SUBTOTAL(109,A_2_05_53[VALOR PARCIAL])</f>
      </c>
    </row>
    <row r="547" ht="30" customHeight="1" spans="1:6" x14ac:dyDescent="0.25">
      <c r="A547" s="5" t="s">
        <v>6781</v>
      </c>
      <c r="B547" s="5"/>
      <c r="C547" s="5"/>
      <c r="D547" s="5"/>
      <c r="E547" s="5"/>
      <c r="F547" s="5"/>
    </row>
    <row r="548" ht="42" customHeight="1" spans="1:6" x14ac:dyDescent="0.25">
      <c r="A548" s="6" t="s">
        <v>6782</v>
      </c>
      <c r="B548" s="6"/>
      <c r="C548" s="6"/>
      <c r="D548" s="6"/>
      <c r="E548" s="6"/>
      <c r="F548" s="6"/>
    </row>
    <row r="549" spans="1:6" x14ac:dyDescent="0.25">
      <c r="A549" t="s">
        <v>4044</v>
      </c>
      <c r="B549" t="s">
        <v>4045</v>
      </c>
      <c r="C549" t="s">
        <v>5</v>
      </c>
      <c r="D549" t="s">
        <v>4046</v>
      </c>
      <c r="E549" t="s">
        <v>4047</v>
      </c>
      <c r="F549" t="s">
        <v>4048</v>
      </c>
    </row>
    <row r="550" spans="1:6" x14ac:dyDescent="0.25">
      <c r="A550" t="s">
        <v>4062</v>
      </c>
      <c r="B550" t="s">
        <v>6783</v>
      </c>
      <c r="C550" t="s">
        <v>42</v>
      </c>
      <c r="D550" s="7">
        <v>1.03</v>
      </c>
      <c r="E550" s="2">
        <v>96813</v>
      </c>
      <c r="F550" s="2">
        <v>99717.39</v>
      </c>
    </row>
    <row r="551" spans="1:6" x14ac:dyDescent="0.25">
      <c r="A551" t="s">
        <v>4062</v>
      </c>
      <c r="B551" t="s">
        <v>6784</v>
      </c>
      <c r="C551" t="s">
        <v>63</v>
      </c>
      <c r="D551" s="7">
        <v>0.17</v>
      </c>
      <c r="E551" s="2">
        <v>222778</v>
      </c>
      <c r="F551" s="2">
        <v>37872.26</v>
      </c>
    </row>
    <row r="552" spans="1:6" x14ac:dyDescent="0.25">
      <c r="A552" t="s">
        <v>4062</v>
      </c>
      <c r="B552" t="s">
        <v>4659</v>
      </c>
      <c r="C552" t="s">
        <v>4377</v>
      </c>
      <c r="D552" s="7">
        <v>0.06</v>
      </c>
      <c r="E552" s="2">
        <v>31500</v>
      </c>
      <c r="F552" s="2">
        <v>1890</v>
      </c>
    </row>
    <row r="553" spans="1:6" x14ac:dyDescent="0.25">
      <c r="A553" t="s">
        <v>4062</v>
      </c>
      <c r="B553" t="s">
        <v>4376</v>
      </c>
      <c r="C553" t="s">
        <v>4377</v>
      </c>
      <c r="D553" s="7">
        <v>0.06</v>
      </c>
      <c r="E553" s="2">
        <v>72237.67</v>
      </c>
      <c r="F553" s="2">
        <v>4334.26</v>
      </c>
    </row>
    <row r="554" spans="1:6" x14ac:dyDescent="0.25">
      <c r="A554" t="s">
        <v>4049</v>
      </c>
      <c r="B554" t="s">
        <v>4176</v>
      </c>
      <c r="C554" t="s">
        <v>4177</v>
      </c>
      <c r="D554" s="7">
        <v>0.11</v>
      </c>
      <c r="E554" s="2">
        <v>72300.17</v>
      </c>
      <c r="F554" s="2">
        <v>7953.02</v>
      </c>
    </row>
    <row r="555" spans="1:6" x14ac:dyDescent="0.25">
      <c r="A555" t="s">
        <v>4049</v>
      </c>
      <c r="B555" t="s">
        <v>4223</v>
      </c>
      <c r="C555" t="s">
        <v>4051</v>
      </c>
      <c r="D555" s="7">
        <v>0.02</v>
      </c>
      <c r="E555" s="2">
        <v>52807.59</v>
      </c>
      <c r="F555" s="2">
        <v>881.89</v>
      </c>
    </row>
    <row r="556" spans="1:6" x14ac:dyDescent="0.25">
      <c r="A556" t="s">
        <v>4049</v>
      </c>
      <c r="B556" t="s">
        <v>4313</v>
      </c>
      <c r="C556" t="s">
        <v>4177</v>
      </c>
      <c r="D556" s="7">
        <v>0.11</v>
      </c>
      <c r="E556" s="2">
        <v>124137.15</v>
      </c>
      <c r="F556" s="2">
        <v>13655.09</v>
      </c>
    </row>
    <row r="557" spans="1:6" x14ac:dyDescent="0.25">
      <c r="A557" t="s">
        <v>4052</v>
      </c>
      <c r="B557" t="s">
        <v>4053</v>
      </c>
      <c r="C557" t="s">
        <v>4054</v>
      </c>
      <c r="D557" s="7">
        <v>7.1</v>
      </c>
      <c r="E557" s="2">
        <v>22490</v>
      </c>
      <c r="F557" s="2">
        <v>1596.79</v>
      </c>
    </row>
    <row r="558" spans="1:6" x14ac:dyDescent="0.25">
      <c r="A558" t="s">
        <v>4055</v>
      </c>
      <c r="D558" s="7"/>
      <c r="E558" s="2"/>
      <c r="F558" s="2">
        <f>SUBTOTAL(109,A_2_05_54[VALOR PARCIAL])</f>
      </c>
    </row>
    <row r="560" ht="30" customHeight="1" spans="1:6" x14ac:dyDescent="0.25">
      <c r="A560" s="5" t="s">
        <v>6785</v>
      </c>
      <c r="B560" s="5"/>
      <c r="C560" s="5"/>
      <c r="D560" s="5"/>
      <c r="E560" s="5"/>
      <c r="F560" s="5"/>
    </row>
    <row r="561" ht="42" customHeight="1" spans="1:6" x14ac:dyDescent="0.25">
      <c r="A561" s="6" t="s">
        <v>6786</v>
      </c>
      <c r="B561" s="6"/>
      <c r="C561" s="6"/>
      <c r="D561" s="6"/>
      <c r="E561" s="6"/>
      <c r="F561" s="6"/>
    </row>
    <row r="562" spans="1:6" x14ac:dyDescent="0.25">
      <c r="A562" t="s">
        <v>4044</v>
      </c>
      <c r="B562" t="s">
        <v>4045</v>
      </c>
      <c r="C562" t="s">
        <v>5</v>
      </c>
      <c r="D562" t="s">
        <v>4046</v>
      </c>
      <c r="E562" t="s">
        <v>4047</v>
      </c>
      <c r="F562" t="s">
        <v>4048</v>
      </c>
    </row>
    <row r="563" spans="1:6" x14ac:dyDescent="0.25">
      <c r="A563" t="s">
        <v>4062</v>
      </c>
      <c r="B563" t="s">
        <v>6787</v>
      </c>
      <c r="C563" t="s">
        <v>42</v>
      </c>
      <c r="D563" s="7">
        <v>1.03</v>
      </c>
      <c r="E563" s="2">
        <v>118959</v>
      </c>
      <c r="F563" s="2">
        <v>122527.77</v>
      </c>
    </row>
    <row r="564" spans="1:6" x14ac:dyDescent="0.25">
      <c r="A564" t="s">
        <v>4062</v>
      </c>
      <c r="B564" t="s">
        <v>6788</v>
      </c>
      <c r="C564" t="s">
        <v>63</v>
      </c>
      <c r="D564" s="7">
        <v>0.17</v>
      </c>
      <c r="E564" s="2">
        <v>292192</v>
      </c>
      <c r="F564" s="2">
        <v>49672.64</v>
      </c>
    </row>
    <row r="565" spans="1:6" x14ac:dyDescent="0.25">
      <c r="A565" t="s">
        <v>4062</v>
      </c>
      <c r="B565" t="s">
        <v>4354</v>
      </c>
      <c r="C565" t="s">
        <v>4171</v>
      </c>
      <c r="D565" s="7">
        <v>1.5</v>
      </c>
      <c r="E565" s="2">
        <v>1148</v>
      </c>
      <c r="F565" s="2">
        <v>1722</v>
      </c>
    </row>
    <row r="566" spans="1:6" x14ac:dyDescent="0.25">
      <c r="A566" t="s">
        <v>4049</v>
      </c>
      <c r="B566" t="s">
        <v>4176</v>
      </c>
      <c r="C566" t="s">
        <v>4177</v>
      </c>
      <c r="D566" s="7">
        <v>0.11</v>
      </c>
      <c r="E566" s="2">
        <v>72300.17</v>
      </c>
      <c r="F566" s="2">
        <v>7953.02</v>
      </c>
    </row>
    <row r="567" spans="1:6" x14ac:dyDescent="0.25">
      <c r="A567" t="s">
        <v>4049</v>
      </c>
      <c r="B567" t="s">
        <v>4223</v>
      </c>
      <c r="C567" t="s">
        <v>4051</v>
      </c>
      <c r="D567" s="7">
        <v>0.02</v>
      </c>
      <c r="E567" s="2">
        <v>52807.59</v>
      </c>
      <c r="F567" s="2">
        <v>881.89</v>
      </c>
    </row>
    <row r="568" spans="1:6" x14ac:dyDescent="0.25">
      <c r="A568" t="s">
        <v>4049</v>
      </c>
      <c r="B568" t="s">
        <v>4313</v>
      </c>
      <c r="C568" t="s">
        <v>4177</v>
      </c>
      <c r="D568" s="7">
        <v>0.11</v>
      </c>
      <c r="E568" s="2">
        <v>124137.15</v>
      </c>
      <c r="F568" s="2">
        <v>13655.09</v>
      </c>
    </row>
    <row r="569" spans="1:6" x14ac:dyDescent="0.25">
      <c r="A569" t="s">
        <v>4052</v>
      </c>
      <c r="B569" t="s">
        <v>4053</v>
      </c>
      <c r="C569" t="s">
        <v>4054</v>
      </c>
      <c r="D569" s="7">
        <v>7.1</v>
      </c>
      <c r="E569" s="2">
        <v>22490</v>
      </c>
      <c r="F569" s="2">
        <v>1596.79</v>
      </c>
    </row>
    <row r="570" spans="1:6" x14ac:dyDescent="0.25">
      <c r="A570" t="s">
        <v>4055</v>
      </c>
      <c r="D570" s="7"/>
      <c r="E570" s="2"/>
      <c r="F570" s="2">
        <f>SUBTOTAL(109,A_2_05_55[VALOR PARCIAL])</f>
      </c>
    </row>
    <row r="572" ht="30" customHeight="1" spans="1:6" x14ac:dyDescent="0.25">
      <c r="A572" s="5" t="s">
        <v>6789</v>
      </c>
      <c r="B572" s="5"/>
      <c r="C572" s="5"/>
      <c r="D572" s="5"/>
      <c r="E572" s="5"/>
      <c r="F572" s="5"/>
    </row>
    <row r="573" ht="42" customHeight="1" spans="1:6" x14ac:dyDescent="0.25">
      <c r="A573" s="6" t="s">
        <v>6790</v>
      </c>
      <c r="B573" s="6"/>
      <c r="C573" s="6"/>
      <c r="D573" s="6"/>
      <c r="E573" s="6"/>
      <c r="F573" s="6"/>
    </row>
    <row r="574" spans="1:6" x14ac:dyDescent="0.25">
      <c r="A574" t="s">
        <v>4044</v>
      </c>
      <c r="B574" t="s">
        <v>4045</v>
      </c>
      <c r="C574" t="s">
        <v>5</v>
      </c>
      <c r="D574" t="s">
        <v>4046</v>
      </c>
      <c r="E574" t="s">
        <v>4047</v>
      </c>
      <c r="F574" t="s">
        <v>4048</v>
      </c>
    </row>
    <row r="575" spans="1:6" x14ac:dyDescent="0.25">
      <c r="A575" t="s">
        <v>4062</v>
      </c>
      <c r="B575" t="s">
        <v>6791</v>
      </c>
      <c r="C575" t="s">
        <v>42</v>
      </c>
      <c r="D575" s="7">
        <v>1.03</v>
      </c>
      <c r="E575" s="2">
        <v>163843.13</v>
      </c>
      <c r="F575" s="2">
        <v>168758.42</v>
      </c>
    </row>
    <row r="576" spans="1:6" x14ac:dyDescent="0.25">
      <c r="A576" t="s">
        <v>4062</v>
      </c>
      <c r="B576" t="s">
        <v>6792</v>
      </c>
      <c r="C576" t="s">
        <v>63</v>
      </c>
      <c r="D576" s="7">
        <v>0.17</v>
      </c>
      <c r="E576" s="2">
        <v>339644</v>
      </c>
      <c r="F576" s="2">
        <v>57739.48</v>
      </c>
    </row>
    <row r="577" spans="1:6" x14ac:dyDescent="0.25">
      <c r="A577" t="s">
        <v>4062</v>
      </c>
      <c r="B577" t="s">
        <v>4354</v>
      </c>
      <c r="C577" t="s">
        <v>4171</v>
      </c>
      <c r="D577" s="7">
        <v>1.5</v>
      </c>
      <c r="E577" s="2">
        <v>1148</v>
      </c>
      <c r="F577" s="2">
        <v>1722</v>
      </c>
    </row>
    <row r="578" spans="1:6" x14ac:dyDescent="0.25">
      <c r="A578" t="s">
        <v>4049</v>
      </c>
      <c r="B578" t="s">
        <v>4176</v>
      </c>
      <c r="C578" t="s">
        <v>4177</v>
      </c>
      <c r="D578" s="7">
        <v>0.13</v>
      </c>
      <c r="E578" s="2">
        <v>72300.17</v>
      </c>
      <c r="F578" s="2">
        <v>9399.02</v>
      </c>
    </row>
    <row r="579" spans="1:6" x14ac:dyDescent="0.25">
      <c r="A579" t="s">
        <v>4049</v>
      </c>
      <c r="B579" t="s">
        <v>4223</v>
      </c>
      <c r="C579" t="s">
        <v>4051</v>
      </c>
      <c r="D579" s="7">
        <v>0.01</v>
      </c>
      <c r="E579" s="2">
        <v>52807.59</v>
      </c>
      <c r="F579" s="2">
        <v>528.08</v>
      </c>
    </row>
    <row r="580" spans="1:6" x14ac:dyDescent="0.25">
      <c r="A580" t="s">
        <v>4049</v>
      </c>
      <c r="B580" t="s">
        <v>4313</v>
      </c>
      <c r="C580" t="s">
        <v>4177</v>
      </c>
      <c r="D580" s="7">
        <v>0.13</v>
      </c>
      <c r="E580" s="2">
        <v>124137.15</v>
      </c>
      <c r="F580" s="2">
        <v>16137.83</v>
      </c>
    </row>
    <row r="581" spans="1:6" x14ac:dyDescent="0.25">
      <c r="A581" t="s">
        <v>4052</v>
      </c>
      <c r="B581" t="s">
        <v>4053</v>
      </c>
      <c r="C581" t="s">
        <v>4054</v>
      </c>
      <c r="D581" s="7">
        <v>7.1</v>
      </c>
      <c r="E581" s="2">
        <v>26064.93</v>
      </c>
      <c r="F581" s="2">
        <v>1850.61</v>
      </c>
    </row>
    <row r="582" spans="1:6" x14ac:dyDescent="0.25">
      <c r="A582" t="s">
        <v>4055</v>
      </c>
      <c r="D582" s="7"/>
      <c r="E582" s="2"/>
      <c r="F582" s="2">
        <f>SUBTOTAL(109,A_2_05_56[VALOR PARCIAL])</f>
      </c>
    </row>
    <row r="584" ht="30" customHeight="1" spans="1:6" x14ac:dyDescent="0.25">
      <c r="A584" s="5" t="s">
        <v>6793</v>
      </c>
      <c r="B584" s="5"/>
      <c r="C584" s="5"/>
      <c r="D584" s="5"/>
      <c r="E584" s="5"/>
      <c r="F584" s="5"/>
    </row>
    <row r="585" ht="42" customHeight="1" spans="1:6" x14ac:dyDescent="0.25">
      <c r="A585" s="6" t="s">
        <v>6794</v>
      </c>
      <c r="B585" s="6"/>
      <c r="C585" s="6"/>
      <c r="D585" s="6"/>
      <c r="E585" s="6"/>
      <c r="F585" s="6"/>
    </row>
    <row r="586" spans="1:6" x14ac:dyDescent="0.25">
      <c r="A586" t="s">
        <v>4044</v>
      </c>
      <c r="B586" t="s">
        <v>4045</v>
      </c>
      <c r="C586" t="s">
        <v>5</v>
      </c>
      <c r="D586" t="s">
        <v>4046</v>
      </c>
      <c r="E586" t="s">
        <v>4047</v>
      </c>
      <c r="F586" t="s">
        <v>4048</v>
      </c>
    </row>
    <row r="587" spans="1:6" x14ac:dyDescent="0.25">
      <c r="A587" t="s">
        <v>4062</v>
      </c>
      <c r="B587" t="s">
        <v>6795</v>
      </c>
      <c r="C587" t="s">
        <v>42</v>
      </c>
      <c r="D587" s="7">
        <v>1.05</v>
      </c>
      <c r="E587" s="2">
        <v>214491.65</v>
      </c>
      <c r="F587" s="2">
        <v>225216.23</v>
      </c>
    </row>
    <row r="588" spans="1:6" x14ac:dyDescent="0.25">
      <c r="A588" t="s">
        <v>4062</v>
      </c>
      <c r="B588" t="s">
        <v>6796</v>
      </c>
      <c r="C588" t="s">
        <v>63</v>
      </c>
      <c r="D588" s="7">
        <v>0.17</v>
      </c>
      <c r="E588" s="2">
        <v>357325</v>
      </c>
      <c r="F588" s="2">
        <v>60745.25</v>
      </c>
    </row>
    <row r="589" spans="1:6" x14ac:dyDescent="0.25">
      <c r="A589" t="s">
        <v>4062</v>
      </c>
      <c r="B589" t="s">
        <v>4354</v>
      </c>
      <c r="C589" t="s">
        <v>4171</v>
      </c>
      <c r="D589" s="7">
        <v>1.5</v>
      </c>
      <c r="E589" s="2">
        <v>1148</v>
      </c>
      <c r="F589" s="2">
        <v>1722</v>
      </c>
    </row>
    <row r="590" spans="1:6" x14ac:dyDescent="0.25">
      <c r="A590" t="s">
        <v>4049</v>
      </c>
      <c r="B590" t="s">
        <v>4176</v>
      </c>
      <c r="C590" t="s">
        <v>4177</v>
      </c>
      <c r="D590" s="7">
        <v>0.13</v>
      </c>
      <c r="E590" s="2">
        <v>72300.17</v>
      </c>
      <c r="F590" s="2">
        <v>9399.02</v>
      </c>
    </row>
    <row r="591" spans="1:6" x14ac:dyDescent="0.25">
      <c r="A591" t="s">
        <v>4049</v>
      </c>
      <c r="B591" t="s">
        <v>4223</v>
      </c>
      <c r="C591" t="s">
        <v>4051</v>
      </c>
      <c r="D591" s="7">
        <v>0.01</v>
      </c>
      <c r="E591" s="2">
        <v>52807.59</v>
      </c>
      <c r="F591" s="2">
        <v>528.08</v>
      </c>
    </row>
    <row r="592" spans="1:6" x14ac:dyDescent="0.25">
      <c r="A592" t="s">
        <v>4049</v>
      </c>
      <c r="B592" t="s">
        <v>4313</v>
      </c>
      <c r="C592" t="s">
        <v>4177</v>
      </c>
      <c r="D592" s="7">
        <v>0.13</v>
      </c>
      <c r="E592" s="2">
        <v>124137.15</v>
      </c>
      <c r="F592" s="2">
        <v>16137.83</v>
      </c>
    </row>
    <row r="593" spans="1:6" x14ac:dyDescent="0.25">
      <c r="A593" t="s">
        <v>4052</v>
      </c>
      <c r="B593" t="s">
        <v>4053</v>
      </c>
      <c r="C593" t="s">
        <v>4054</v>
      </c>
      <c r="D593" s="7">
        <v>7.1</v>
      </c>
      <c r="E593" s="2">
        <v>26064.93</v>
      </c>
      <c r="F593" s="2">
        <v>1850.61</v>
      </c>
    </row>
    <row r="594" spans="1:6" x14ac:dyDescent="0.25">
      <c r="A594" t="s">
        <v>4055</v>
      </c>
      <c r="D594" s="7"/>
      <c r="E594" s="2"/>
      <c r="F594" s="2">
        <f>SUBTOTAL(109,A_2_05_57[VALOR PARCIAL])</f>
      </c>
    </row>
    <row r="596" ht="30" customHeight="1" spans="1:6" x14ac:dyDescent="0.25">
      <c r="A596" s="5" t="s">
        <v>6797</v>
      </c>
      <c r="B596" s="5"/>
      <c r="C596" s="5"/>
      <c r="D596" s="5"/>
      <c r="E596" s="5"/>
      <c r="F596" s="5"/>
    </row>
    <row r="597" ht="42" customHeight="1" spans="1:6" x14ac:dyDescent="0.25">
      <c r="A597" s="6" t="s">
        <v>6798</v>
      </c>
      <c r="B597" s="6"/>
      <c r="C597" s="6"/>
      <c r="D597" s="6"/>
      <c r="E597" s="6"/>
      <c r="F597" s="6"/>
    </row>
    <row r="598" spans="1:6" x14ac:dyDescent="0.25">
      <c r="A598" t="s">
        <v>4044</v>
      </c>
      <c r="B598" t="s">
        <v>4045</v>
      </c>
      <c r="C598" t="s">
        <v>5</v>
      </c>
      <c r="D598" t="s">
        <v>4046</v>
      </c>
      <c r="E598" t="s">
        <v>4047</v>
      </c>
      <c r="F598" t="s">
        <v>4048</v>
      </c>
    </row>
    <row r="599" spans="1:6" x14ac:dyDescent="0.25">
      <c r="A599" t="s">
        <v>4062</v>
      </c>
      <c r="B599" t="s">
        <v>4357</v>
      </c>
      <c r="C599" t="s">
        <v>42</v>
      </c>
      <c r="D599" s="7">
        <v>1.03</v>
      </c>
      <c r="E599" s="2">
        <v>16806.55</v>
      </c>
      <c r="F599" s="2">
        <v>17310.75</v>
      </c>
    </row>
    <row r="600" spans="1:6" x14ac:dyDescent="0.25">
      <c r="A600" t="s">
        <v>4062</v>
      </c>
      <c r="B600" t="s">
        <v>4358</v>
      </c>
      <c r="C600" t="s">
        <v>4359</v>
      </c>
      <c r="D600" s="7">
        <v>0.17</v>
      </c>
      <c r="E600" s="2">
        <v>11434</v>
      </c>
      <c r="F600" s="2">
        <v>1943.78</v>
      </c>
    </row>
    <row r="601" spans="1:6" x14ac:dyDescent="0.25">
      <c r="A601" t="s">
        <v>4062</v>
      </c>
      <c r="B601" t="s">
        <v>4354</v>
      </c>
      <c r="C601" t="s">
        <v>4171</v>
      </c>
      <c r="D601" s="7">
        <v>1.1</v>
      </c>
      <c r="E601" s="2">
        <v>1148</v>
      </c>
      <c r="F601" s="2">
        <v>1262.8</v>
      </c>
    </row>
    <row r="602" spans="1:6" x14ac:dyDescent="0.25">
      <c r="A602" t="s">
        <v>4049</v>
      </c>
      <c r="B602" t="s">
        <v>4176</v>
      </c>
      <c r="C602" t="s">
        <v>4177</v>
      </c>
      <c r="D602" s="7">
        <v>0.04</v>
      </c>
      <c r="E602" s="2">
        <v>72300.17</v>
      </c>
      <c r="F602" s="2">
        <v>2530.51</v>
      </c>
    </row>
    <row r="603" spans="1:6" x14ac:dyDescent="0.25">
      <c r="A603" t="s">
        <v>4049</v>
      </c>
      <c r="B603" t="s">
        <v>4223</v>
      </c>
      <c r="C603" t="s">
        <v>4051</v>
      </c>
      <c r="D603" s="7">
        <v>0.01</v>
      </c>
      <c r="E603" s="2">
        <v>52807.59</v>
      </c>
      <c r="F603" s="2">
        <v>528.08</v>
      </c>
    </row>
    <row r="604" spans="1:6" x14ac:dyDescent="0.25">
      <c r="A604" t="s">
        <v>4049</v>
      </c>
      <c r="B604" t="s">
        <v>4313</v>
      </c>
      <c r="C604" t="s">
        <v>4177</v>
      </c>
      <c r="D604" s="7">
        <v>0.04</v>
      </c>
      <c r="E604" s="2">
        <v>124137.15</v>
      </c>
      <c r="F604" s="2">
        <v>4344.8</v>
      </c>
    </row>
    <row r="605" spans="1:6" x14ac:dyDescent="0.25">
      <c r="A605" t="s">
        <v>4052</v>
      </c>
      <c r="B605" t="s">
        <v>4053</v>
      </c>
      <c r="C605" t="s">
        <v>4054</v>
      </c>
      <c r="D605" s="7">
        <v>7.1</v>
      </c>
      <c r="E605" s="2">
        <v>7403.39</v>
      </c>
      <c r="F605" s="2">
        <v>525.64</v>
      </c>
    </row>
    <row r="606" spans="1:6" x14ac:dyDescent="0.25">
      <c r="A606" t="s">
        <v>4055</v>
      </c>
      <c r="D606" s="7"/>
      <c r="E606" s="2"/>
      <c r="F606" s="2">
        <f>SUBTOTAL(109,A_2_05_58[VALOR PARCIAL])</f>
      </c>
    </row>
    <row r="608" ht="30" customHeight="1" spans="1:6" x14ac:dyDescent="0.25">
      <c r="A608" s="5" t="s">
        <v>6799</v>
      </c>
      <c r="B608" s="5"/>
      <c r="C608" s="5"/>
      <c r="D608" s="5"/>
      <c r="E608" s="5"/>
      <c r="F608" s="5"/>
    </row>
    <row r="609" ht="42" customHeight="1" spans="1:6" x14ac:dyDescent="0.25">
      <c r="A609" s="6" t="s">
        <v>6800</v>
      </c>
      <c r="B609" s="6"/>
      <c r="C609" s="6"/>
      <c r="D609" s="6"/>
      <c r="E609" s="6"/>
      <c r="F609" s="6"/>
    </row>
    <row r="610" spans="1:6" x14ac:dyDescent="0.25">
      <c r="A610" t="s">
        <v>4044</v>
      </c>
      <c r="B610" t="s">
        <v>4045</v>
      </c>
      <c r="C610" t="s">
        <v>5</v>
      </c>
      <c r="D610" t="s">
        <v>4046</v>
      </c>
      <c r="E610" t="s">
        <v>4047</v>
      </c>
      <c r="F610" t="s">
        <v>4048</v>
      </c>
    </row>
    <row r="611" spans="1:6" x14ac:dyDescent="0.25">
      <c r="A611" t="s">
        <v>4062</v>
      </c>
      <c r="B611" t="s">
        <v>6801</v>
      </c>
      <c r="C611" t="s">
        <v>42</v>
      </c>
      <c r="D611" s="7">
        <v>1.03</v>
      </c>
      <c r="E611" s="2">
        <v>43377.33</v>
      </c>
      <c r="F611" s="2">
        <v>44678.65</v>
      </c>
    </row>
    <row r="612" spans="1:6" x14ac:dyDescent="0.25">
      <c r="A612" t="s">
        <v>4062</v>
      </c>
      <c r="B612" t="s">
        <v>6802</v>
      </c>
      <c r="C612" t="s">
        <v>63</v>
      </c>
      <c r="D612" s="7">
        <v>0.17</v>
      </c>
      <c r="E612" s="2">
        <v>45805</v>
      </c>
      <c r="F612" s="2">
        <v>7786.85</v>
      </c>
    </row>
    <row r="613" spans="1:6" x14ac:dyDescent="0.25">
      <c r="A613" t="s">
        <v>4062</v>
      </c>
      <c r="B613" t="s">
        <v>4659</v>
      </c>
      <c r="C613" t="s">
        <v>4377</v>
      </c>
      <c r="D613" s="7">
        <v>0.07</v>
      </c>
      <c r="E613" s="2">
        <v>31500</v>
      </c>
      <c r="F613" s="2">
        <v>2047.5</v>
      </c>
    </row>
    <row r="614" spans="1:6" x14ac:dyDescent="0.25">
      <c r="A614" t="s">
        <v>4062</v>
      </c>
      <c r="B614" t="s">
        <v>4376</v>
      </c>
      <c r="C614" t="s">
        <v>4377</v>
      </c>
      <c r="D614" s="7">
        <v>0.07</v>
      </c>
      <c r="E614" s="2">
        <v>72237.67</v>
      </c>
      <c r="F614" s="2">
        <v>4695.45</v>
      </c>
    </row>
    <row r="615" spans="1:6" x14ac:dyDescent="0.25">
      <c r="A615" t="s">
        <v>4049</v>
      </c>
      <c r="B615" t="s">
        <v>4176</v>
      </c>
      <c r="C615" t="s">
        <v>4177</v>
      </c>
      <c r="D615" s="7">
        <v>0.05</v>
      </c>
      <c r="E615" s="2">
        <v>72300.17</v>
      </c>
      <c r="F615" s="2">
        <v>3759.61</v>
      </c>
    </row>
    <row r="616" spans="1:6" x14ac:dyDescent="0.25">
      <c r="A616" t="s">
        <v>4049</v>
      </c>
      <c r="B616" t="s">
        <v>4223</v>
      </c>
      <c r="C616" t="s">
        <v>4051</v>
      </c>
      <c r="D616" s="7">
        <v>0.01</v>
      </c>
      <c r="E616" s="2">
        <v>52807.59</v>
      </c>
      <c r="F616" s="2">
        <v>528.08</v>
      </c>
    </row>
    <row r="617" spans="1:6" x14ac:dyDescent="0.25">
      <c r="A617" t="s">
        <v>4049</v>
      </c>
      <c r="B617" t="s">
        <v>4313</v>
      </c>
      <c r="C617" t="s">
        <v>4177</v>
      </c>
      <c r="D617" s="7">
        <v>0.05</v>
      </c>
      <c r="E617" s="2">
        <v>124137.15</v>
      </c>
      <c r="F617" s="2">
        <v>6455.13</v>
      </c>
    </row>
    <row r="618" spans="1:6" x14ac:dyDescent="0.25">
      <c r="A618" t="s">
        <v>4052</v>
      </c>
      <c r="B618" t="s">
        <v>4053</v>
      </c>
      <c r="C618" t="s">
        <v>4054</v>
      </c>
      <c r="D618" s="7">
        <v>7.1</v>
      </c>
      <c r="E618" s="2">
        <v>10742.82</v>
      </c>
      <c r="F618" s="2">
        <v>762.74</v>
      </c>
    </row>
    <row r="619" spans="1:6" x14ac:dyDescent="0.25">
      <c r="A619" t="s">
        <v>4055</v>
      </c>
      <c r="D619" s="7"/>
      <c r="E619" s="2"/>
      <c r="F619" s="2">
        <f>SUBTOTAL(109,A_2_05_59[VALOR PARCIAL])</f>
      </c>
    </row>
    <row r="621" ht="30" customHeight="1" spans="1:6" x14ac:dyDescent="0.25">
      <c r="A621" s="5" t="s">
        <v>6803</v>
      </c>
      <c r="B621" s="5"/>
      <c r="C621" s="5"/>
      <c r="D621" s="5"/>
      <c r="E621" s="5"/>
      <c r="F621" s="5"/>
    </row>
    <row r="622" ht="42" customHeight="1" spans="1:6" x14ac:dyDescent="0.25">
      <c r="A622" s="6" t="s">
        <v>6804</v>
      </c>
      <c r="B622" s="6"/>
      <c r="C622" s="6"/>
      <c r="D622" s="6"/>
      <c r="E622" s="6"/>
      <c r="F622" s="6"/>
    </row>
    <row r="623" spans="1:6" x14ac:dyDescent="0.25">
      <c r="A623" t="s">
        <v>4044</v>
      </c>
      <c r="B623" t="s">
        <v>4045</v>
      </c>
      <c r="C623" t="s">
        <v>5</v>
      </c>
      <c r="D623" t="s">
        <v>4046</v>
      </c>
      <c r="E623" t="s">
        <v>4047</v>
      </c>
      <c r="F623" t="s">
        <v>4048</v>
      </c>
    </row>
    <row r="624" spans="1:6" x14ac:dyDescent="0.25">
      <c r="A624" t="s">
        <v>4062</v>
      </c>
      <c r="B624" t="s">
        <v>6805</v>
      </c>
      <c r="C624" t="s">
        <v>42</v>
      </c>
      <c r="D624" s="7">
        <v>1</v>
      </c>
      <c r="E624" s="2">
        <v>425817</v>
      </c>
      <c r="F624" s="2">
        <v>425817</v>
      </c>
    </row>
    <row r="625" spans="1:6" x14ac:dyDescent="0.25">
      <c r="A625" t="s">
        <v>4062</v>
      </c>
      <c r="B625" t="s">
        <v>6166</v>
      </c>
      <c r="C625" t="s">
        <v>63</v>
      </c>
      <c r="D625" s="7">
        <v>0.05</v>
      </c>
      <c r="E625" s="2">
        <v>19750</v>
      </c>
      <c r="F625" s="2">
        <v>987.5</v>
      </c>
    </row>
    <row r="626" spans="1:6" x14ac:dyDescent="0.25">
      <c r="A626" t="s">
        <v>4049</v>
      </c>
      <c r="B626" t="s">
        <v>4050</v>
      </c>
      <c r="C626" t="s">
        <v>4051</v>
      </c>
      <c r="D626" s="7">
        <v>0.6</v>
      </c>
      <c r="E626" s="2">
        <v>9037.33</v>
      </c>
      <c r="F626" s="2">
        <v>5422.4</v>
      </c>
    </row>
    <row r="627" spans="1:6" x14ac:dyDescent="0.25">
      <c r="A627" t="s">
        <v>4049</v>
      </c>
      <c r="B627" t="s">
        <v>4241</v>
      </c>
      <c r="C627" t="s">
        <v>4051</v>
      </c>
      <c r="D627" s="7">
        <v>0.6</v>
      </c>
      <c r="E627" s="2">
        <v>9941.22</v>
      </c>
      <c r="F627" s="2">
        <v>5964.73</v>
      </c>
    </row>
    <row r="628" spans="1:6" x14ac:dyDescent="0.25">
      <c r="A628" t="s">
        <v>4049</v>
      </c>
      <c r="B628" t="s">
        <v>4242</v>
      </c>
      <c r="C628" t="s">
        <v>4051</v>
      </c>
      <c r="D628" s="7">
        <v>0.6</v>
      </c>
      <c r="E628" s="2">
        <v>17069.53</v>
      </c>
      <c r="F628" s="2">
        <v>10241.72</v>
      </c>
    </row>
    <row r="629" spans="1:6" x14ac:dyDescent="0.25">
      <c r="A629" t="s">
        <v>4052</v>
      </c>
      <c r="B629" t="s">
        <v>4053</v>
      </c>
      <c r="C629" t="s">
        <v>4054</v>
      </c>
      <c r="D629" s="7">
        <v>7.1</v>
      </c>
      <c r="E629" s="2">
        <v>21628.85</v>
      </c>
      <c r="F629" s="2">
        <v>1535.65</v>
      </c>
    </row>
    <row r="630" spans="1:6" x14ac:dyDescent="0.25">
      <c r="A630" t="s">
        <v>4055</v>
      </c>
      <c r="D630" s="7"/>
      <c r="E630" s="2"/>
      <c r="F630" s="2">
        <f>SUBTOTAL(109,A_2_05_60[VALOR PARCIAL])</f>
      </c>
    </row>
    <row r="632" ht="30" customHeight="1" spans="1:6" x14ac:dyDescent="0.25">
      <c r="A632" s="5" t="s">
        <v>6806</v>
      </c>
      <c r="B632" s="5"/>
      <c r="C632" s="5"/>
      <c r="D632" s="5"/>
      <c r="E632" s="5"/>
      <c r="F632" s="5"/>
    </row>
    <row r="633" ht="42" customHeight="1" spans="1:6" x14ac:dyDescent="0.25">
      <c r="A633" s="6" t="s">
        <v>6807</v>
      </c>
      <c r="B633" s="6"/>
      <c r="C633" s="6"/>
      <c r="D633" s="6"/>
      <c r="E633" s="6"/>
      <c r="F633" s="6"/>
    </row>
    <row r="634" spans="1:6" x14ac:dyDescent="0.25">
      <c r="A634" t="s">
        <v>4044</v>
      </c>
      <c r="B634" t="s">
        <v>4045</v>
      </c>
      <c r="C634" t="s">
        <v>5</v>
      </c>
      <c r="D634" t="s">
        <v>4046</v>
      </c>
      <c r="E634" t="s">
        <v>4047</v>
      </c>
      <c r="F634" t="s">
        <v>4048</v>
      </c>
    </row>
    <row r="635" spans="1:6" x14ac:dyDescent="0.25">
      <c r="A635" t="s">
        <v>4062</v>
      </c>
      <c r="B635" t="s">
        <v>6808</v>
      </c>
      <c r="C635" t="s">
        <v>42</v>
      </c>
      <c r="D635" s="7">
        <v>1</v>
      </c>
      <c r="E635" s="2">
        <v>1147752</v>
      </c>
      <c r="F635" s="2">
        <v>1147752</v>
      </c>
    </row>
    <row r="636" spans="1:6" x14ac:dyDescent="0.25">
      <c r="A636" t="s">
        <v>4062</v>
      </c>
      <c r="B636" t="s">
        <v>6166</v>
      </c>
      <c r="C636" t="s">
        <v>63</v>
      </c>
      <c r="D636" s="7">
        <v>0.05</v>
      </c>
      <c r="E636" s="2">
        <v>19750</v>
      </c>
      <c r="F636" s="2">
        <v>987.5</v>
      </c>
    </row>
    <row r="637" spans="1:6" x14ac:dyDescent="0.25">
      <c r="A637" t="s">
        <v>4049</v>
      </c>
      <c r="B637" t="s">
        <v>4050</v>
      </c>
      <c r="C637" t="s">
        <v>4051</v>
      </c>
      <c r="D637" s="7">
        <v>0.6</v>
      </c>
      <c r="E637" s="2">
        <v>9037.33</v>
      </c>
      <c r="F637" s="2">
        <v>5422.4</v>
      </c>
    </row>
    <row r="638" spans="1:6" x14ac:dyDescent="0.25">
      <c r="A638" t="s">
        <v>4049</v>
      </c>
      <c r="B638" t="s">
        <v>4241</v>
      </c>
      <c r="C638" t="s">
        <v>4051</v>
      </c>
      <c r="D638" s="7">
        <v>0.6</v>
      </c>
      <c r="E638" s="2">
        <v>9941.22</v>
      </c>
      <c r="F638" s="2">
        <v>5964.73</v>
      </c>
    </row>
    <row r="639" spans="1:6" x14ac:dyDescent="0.25">
      <c r="A639" t="s">
        <v>4049</v>
      </c>
      <c r="B639" t="s">
        <v>4242</v>
      </c>
      <c r="C639" t="s">
        <v>4051</v>
      </c>
      <c r="D639" s="7">
        <v>0.6</v>
      </c>
      <c r="E639" s="2">
        <v>17069.53</v>
      </c>
      <c r="F639" s="2">
        <v>10241.72</v>
      </c>
    </row>
    <row r="640" spans="1:6" x14ac:dyDescent="0.25">
      <c r="A640" t="s">
        <v>4052</v>
      </c>
      <c r="B640" t="s">
        <v>4053</v>
      </c>
      <c r="C640" t="s">
        <v>4054</v>
      </c>
      <c r="D640" s="7">
        <v>7.1</v>
      </c>
      <c r="E640" s="2">
        <v>21628.85</v>
      </c>
      <c r="F640" s="2">
        <v>1535.65</v>
      </c>
    </row>
    <row r="641" spans="1:6" x14ac:dyDescent="0.25">
      <c r="A641" t="s">
        <v>4055</v>
      </c>
      <c r="D641" s="7"/>
      <c r="E641" s="2"/>
      <c r="F641" s="2">
        <f>SUBTOTAL(109,A_2_05_61[VALOR PARCIAL])</f>
      </c>
    </row>
    <row r="643" ht="30" customHeight="1" spans="1:6" x14ac:dyDescent="0.25">
      <c r="A643" s="5" t="s">
        <v>6809</v>
      </c>
      <c r="B643" s="5"/>
      <c r="C643" s="5"/>
      <c r="D643" s="5"/>
      <c r="E643" s="5"/>
      <c r="F643" s="5"/>
    </row>
    <row r="644" ht="42" customHeight="1" spans="1:6" x14ac:dyDescent="0.25">
      <c r="A644" s="6" t="s">
        <v>6810</v>
      </c>
      <c r="B644" s="6"/>
      <c r="C644" s="6"/>
      <c r="D644" s="6"/>
      <c r="E644" s="6"/>
      <c r="F644" s="6"/>
    </row>
    <row r="645" spans="1:6" x14ac:dyDescent="0.25">
      <c r="A645" t="s">
        <v>4044</v>
      </c>
      <c r="B645" t="s">
        <v>4045</v>
      </c>
      <c r="C645" t="s">
        <v>5</v>
      </c>
      <c r="D645" t="s">
        <v>4046</v>
      </c>
      <c r="E645" t="s">
        <v>4047</v>
      </c>
      <c r="F645" t="s">
        <v>4048</v>
      </c>
    </row>
    <row r="646" spans="1:6" x14ac:dyDescent="0.25">
      <c r="A646" t="s">
        <v>4062</v>
      </c>
      <c r="B646" t="s">
        <v>6811</v>
      </c>
      <c r="C646" t="s">
        <v>42</v>
      </c>
      <c r="D646" s="7">
        <v>1</v>
      </c>
      <c r="E646" s="2">
        <v>1807852</v>
      </c>
      <c r="F646" s="2">
        <v>1807852</v>
      </c>
    </row>
    <row r="647" spans="1:6" x14ac:dyDescent="0.25">
      <c r="A647" t="s">
        <v>4062</v>
      </c>
      <c r="B647" t="s">
        <v>6166</v>
      </c>
      <c r="C647" t="s">
        <v>63</v>
      </c>
      <c r="D647" s="7">
        <v>0.05</v>
      </c>
      <c r="E647" s="2">
        <v>19750</v>
      </c>
      <c r="F647" s="2">
        <v>987.5</v>
      </c>
    </row>
    <row r="648" spans="1:6" x14ac:dyDescent="0.25">
      <c r="A648" t="s">
        <v>4049</v>
      </c>
      <c r="B648" t="s">
        <v>4050</v>
      </c>
      <c r="C648" t="s">
        <v>4051</v>
      </c>
      <c r="D648" s="7">
        <v>0.6</v>
      </c>
      <c r="E648" s="2">
        <v>9037.33</v>
      </c>
      <c r="F648" s="2">
        <v>5422.4</v>
      </c>
    </row>
    <row r="649" spans="1:6" x14ac:dyDescent="0.25">
      <c r="A649" t="s">
        <v>4049</v>
      </c>
      <c r="B649" t="s">
        <v>4241</v>
      </c>
      <c r="C649" t="s">
        <v>4051</v>
      </c>
      <c r="D649" s="7">
        <v>0.6</v>
      </c>
      <c r="E649" s="2">
        <v>9941.22</v>
      </c>
      <c r="F649" s="2">
        <v>5964.73</v>
      </c>
    </row>
    <row r="650" spans="1:6" x14ac:dyDescent="0.25">
      <c r="A650" t="s">
        <v>4049</v>
      </c>
      <c r="B650" t="s">
        <v>4242</v>
      </c>
      <c r="C650" t="s">
        <v>4051</v>
      </c>
      <c r="D650" s="7">
        <v>0.6</v>
      </c>
      <c r="E650" s="2">
        <v>17069.53</v>
      </c>
      <c r="F650" s="2">
        <v>10241.72</v>
      </c>
    </row>
    <row r="651" spans="1:6" x14ac:dyDescent="0.25">
      <c r="A651" t="s">
        <v>4052</v>
      </c>
      <c r="B651" t="s">
        <v>4053</v>
      </c>
      <c r="C651" t="s">
        <v>4054</v>
      </c>
      <c r="D651" s="7">
        <v>7.1</v>
      </c>
      <c r="E651" s="2">
        <v>21628.85</v>
      </c>
      <c r="F651" s="2">
        <v>1535.65</v>
      </c>
    </row>
    <row r="652" spans="1:6" x14ac:dyDescent="0.25">
      <c r="A652" t="s">
        <v>4055</v>
      </c>
      <c r="D652" s="7"/>
      <c r="E652" s="2"/>
      <c r="F652" s="2">
        <f>SUBTOTAL(109,A_2_05_62[VALOR PARCIAL])</f>
      </c>
    </row>
    <row r="654" ht="30" customHeight="1" spans="1:6" x14ac:dyDescent="0.25">
      <c r="A654" s="5" t="s">
        <v>6812</v>
      </c>
      <c r="B654" s="5"/>
      <c r="C654" s="5"/>
      <c r="D654" s="5"/>
      <c r="E654" s="5"/>
      <c r="F654" s="5"/>
    </row>
    <row r="655" ht="42" customHeight="1" spans="1:6" x14ac:dyDescent="0.25">
      <c r="A655" s="6" t="s">
        <v>6813</v>
      </c>
      <c r="B655" s="6"/>
      <c r="C655" s="6"/>
      <c r="D655" s="6"/>
      <c r="E655" s="6"/>
      <c r="F655" s="6"/>
    </row>
    <row r="656" spans="1:6" x14ac:dyDescent="0.25">
      <c r="A656" t="s">
        <v>4044</v>
      </c>
      <c r="B656" t="s">
        <v>4045</v>
      </c>
      <c r="C656" t="s">
        <v>5</v>
      </c>
      <c r="D656" t="s">
        <v>4046</v>
      </c>
      <c r="E656" t="s">
        <v>4047</v>
      </c>
      <c r="F656" t="s">
        <v>4048</v>
      </c>
    </row>
    <row r="657" spans="1:6" x14ac:dyDescent="0.25">
      <c r="A657" t="s">
        <v>4062</v>
      </c>
      <c r="B657" t="s">
        <v>6814</v>
      </c>
      <c r="C657" t="s">
        <v>63</v>
      </c>
      <c r="D657" s="7">
        <v>0.17</v>
      </c>
      <c r="E657" s="2">
        <v>11259</v>
      </c>
      <c r="F657" s="2">
        <v>1914.03</v>
      </c>
    </row>
    <row r="658" spans="1:6" x14ac:dyDescent="0.25">
      <c r="A658" t="s">
        <v>4062</v>
      </c>
      <c r="B658" t="s">
        <v>6815</v>
      </c>
      <c r="C658" t="s">
        <v>42</v>
      </c>
      <c r="D658" s="7">
        <v>1.03</v>
      </c>
      <c r="E658" s="2">
        <v>24031.18</v>
      </c>
      <c r="F658" s="2">
        <v>24752.12</v>
      </c>
    </row>
    <row r="659" spans="1:6" x14ac:dyDescent="0.25">
      <c r="A659" t="s">
        <v>4062</v>
      </c>
      <c r="B659" t="s">
        <v>4659</v>
      </c>
      <c r="C659" t="s">
        <v>4377</v>
      </c>
      <c r="D659" s="7">
        <v>0.01</v>
      </c>
      <c r="E659" s="2">
        <v>31500</v>
      </c>
      <c r="F659" s="2">
        <v>196.88</v>
      </c>
    </row>
    <row r="660" spans="1:6" x14ac:dyDescent="0.25">
      <c r="A660" t="s">
        <v>4062</v>
      </c>
      <c r="B660" t="s">
        <v>4376</v>
      </c>
      <c r="C660" t="s">
        <v>4377</v>
      </c>
      <c r="D660" s="7">
        <v>0.01</v>
      </c>
      <c r="E660" s="2">
        <v>72237.67</v>
      </c>
      <c r="F660" s="2">
        <v>451.49</v>
      </c>
    </row>
    <row r="661" spans="1:6" x14ac:dyDescent="0.25">
      <c r="A661" t="s">
        <v>4049</v>
      </c>
      <c r="B661" t="s">
        <v>4176</v>
      </c>
      <c r="C661" t="s">
        <v>4177</v>
      </c>
      <c r="D661" s="7">
        <v>0.05</v>
      </c>
      <c r="E661" s="2">
        <v>72300.17</v>
      </c>
      <c r="F661" s="2">
        <v>3615.01</v>
      </c>
    </row>
    <row r="662" spans="1:6" x14ac:dyDescent="0.25">
      <c r="A662" t="s">
        <v>4049</v>
      </c>
      <c r="B662" t="s">
        <v>4223</v>
      </c>
      <c r="C662" t="s">
        <v>4051</v>
      </c>
      <c r="D662" s="7">
        <v>0.02</v>
      </c>
      <c r="E662" s="2">
        <v>52807.59</v>
      </c>
      <c r="F662" s="2">
        <v>792.11</v>
      </c>
    </row>
    <row r="663" spans="1:6" x14ac:dyDescent="0.25">
      <c r="A663" t="s">
        <v>4049</v>
      </c>
      <c r="B663" t="s">
        <v>4313</v>
      </c>
      <c r="C663" t="s">
        <v>4177</v>
      </c>
      <c r="D663" s="7">
        <v>0.05</v>
      </c>
      <c r="E663" s="2">
        <v>124137.15</v>
      </c>
      <c r="F663" s="2">
        <v>6206.86</v>
      </c>
    </row>
    <row r="664" spans="1:6" x14ac:dyDescent="0.25">
      <c r="A664" t="s">
        <v>4052</v>
      </c>
      <c r="B664" t="s">
        <v>4053</v>
      </c>
      <c r="C664" t="s">
        <v>4054</v>
      </c>
      <c r="D664" s="7">
        <v>7.1</v>
      </c>
      <c r="E664" s="2">
        <v>10613.98</v>
      </c>
      <c r="F664" s="2">
        <v>753.59</v>
      </c>
    </row>
    <row r="665" spans="1:6" x14ac:dyDescent="0.25">
      <c r="A665" t="s">
        <v>4055</v>
      </c>
      <c r="D665" s="7"/>
      <c r="E665" s="2"/>
      <c r="F665" s="2">
        <f>SUBTOTAL(109,A_2_05_63[VALOR PARCIAL])</f>
      </c>
    </row>
    <row r="667" ht="30" customHeight="1" spans="1:6" x14ac:dyDescent="0.25">
      <c r="A667" s="5" t="s">
        <v>6816</v>
      </c>
      <c r="B667" s="5"/>
      <c r="C667" s="5"/>
      <c r="D667" s="5"/>
      <c r="E667" s="5"/>
      <c r="F667" s="5"/>
    </row>
    <row r="668" ht="42" customHeight="1" spans="1:6" x14ac:dyDescent="0.25">
      <c r="A668" s="6" t="s">
        <v>6817</v>
      </c>
      <c r="B668" s="6"/>
      <c r="C668" s="6"/>
      <c r="D668" s="6"/>
      <c r="E668" s="6"/>
      <c r="F668" s="6"/>
    </row>
    <row r="669" spans="1:6" x14ac:dyDescent="0.25">
      <c r="A669" t="s">
        <v>4044</v>
      </c>
      <c r="B669" t="s">
        <v>4045</v>
      </c>
      <c r="C669" t="s">
        <v>5</v>
      </c>
      <c r="D669" t="s">
        <v>4046</v>
      </c>
      <c r="E669" t="s">
        <v>4047</v>
      </c>
      <c r="F669" t="s">
        <v>4048</v>
      </c>
    </row>
    <row r="670" spans="1:6" x14ac:dyDescent="0.25">
      <c r="A670" t="s">
        <v>4062</v>
      </c>
      <c r="B670" t="s">
        <v>6818</v>
      </c>
      <c r="C670" t="s">
        <v>63</v>
      </c>
      <c r="D670" s="7">
        <v>0.17</v>
      </c>
      <c r="E670" s="2">
        <v>31158.5</v>
      </c>
      <c r="F670" s="2">
        <v>5296.95</v>
      </c>
    </row>
    <row r="671" spans="1:6" x14ac:dyDescent="0.25">
      <c r="A671" t="s">
        <v>4062</v>
      </c>
      <c r="B671" t="s">
        <v>6819</v>
      </c>
      <c r="C671" t="s">
        <v>42</v>
      </c>
      <c r="D671" s="7">
        <v>1.03</v>
      </c>
      <c r="E671" s="2">
        <v>49179</v>
      </c>
      <c r="F671" s="2">
        <v>50654.37</v>
      </c>
    </row>
    <row r="672" spans="1:6" x14ac:dyDescent="0.25">
      <c r="A672" t="s">
        <v>4062</v>
      </c>
      <c r="B672" t="s">
        <v>4354</v>
      </c>
      <c r="C672" t="s">
        <v>4171</v>
      </c>
      <c r="D672" s="7">
        <v>1</v>
      </c>
      <c r="E672" s="2">
        <v>1148</v>
      </c>
      <c r="F672" s="2">
        <v>1148</v>
      </c>
    </row>
    <row r="673" spans="1:6" x14ac:dyDescent="0.25">
      <c r="A673" t="s">
        <v>4049</v>
      </c>
      <c r="B673" t="s">
        <v>4176</v>
      </c>
      <c r="C673" t="s">
        <v>4177</v>
      </c>
      <c r="D673" s="7">
        <v>0.05</v>
      </c>
      <c r="E673" s="2">
        <v>72300.17</v>
      </c>
      <c r="F673" s="2">
        <v>3615.01</v>
      </c>
    </row>
    <row r="674" spans="1:6" x14ac:dyDescent="0.25">
      <c r="A674" t="s">
        <v>4049</v>
      </c>
      <c r="B674" t="s">
        <v>4223</v>
      </c>
      <c r="C674" t="s">
        <v>4051</v>
      </c>
      <c r="D674" s="7">
        <v>0.02</v>
      </c>
      <c r="E674" s="2">
        <v>52807.59</v>
      </c>
      <c r="F674" s="2">
        <v>792.11</v>
      </c>
    </row>
    <row r="675" spans="1:6" x14ac:dyDescent="0.25">
      <c r="A675" t="s">
        <v>4049</v>
      </c>
      <c r="B675" t="s">
        <v>4313</v>
      </c>
      <c r="C675" t="s">
        <v>4177</v>
      </c>
      <c r="D675" s="7">
        <v>0.05</v>
      </c>
      <c r="E675" s="2">
        <v>124137.15</v>
      </c>
      <c r="F675" s="2">
        <v>6206.86</v>
      </c>
    </row>
    <row r="676" spans="1:6" x14ac:dyDescent="0.25">
      <c r="A676" t="s">
        <v>4052</v>
      </c>
      <c r="B676" t="s">
        <v>4053</v>
      </c>
      <c r="C676" t="s">
        <v>4054</v>
      </c>
      <c r="D676" s="7">
        <v>7.1</v>
      </c>
      <c r="E676" s="2">
        <v>10613.98</v>
      </c>
      <c r="F676" s="2">
        <v>753.59</v>
      </c>
    </row>
    <row r="677" spans="1:6" x14ac:dyDescent="0.25">
      <c r="A677" t="s">
        <v>4055</v>
      </c>
      <c r="D677" s="7"/>
      <c r="E677" s="2"/>
      <c r="F677" s="2">
        <f>SUBTOTAL(109,A_2_05_64[VALOR PARCIAL])</f>
      </c>
    </row>
    <row r="679" ht="30" customHeight="1" spans="1:6" x14ac:dyDescent="0.25">
      <c r="A679" s="5" t="s">
        <v>6820</v>
      </c>
      <c r="B679" s="5"/>
      <c r="C679" s="5"/>
      <c r="D679" s="5"/>
      <c r="E679" s="5"/>
      <c r="F679" s="5"/>
    </row>
    <row r="680" ht="42" customHeight="1" spans="1:6" x14ac:dyDescent="0.25">
      <c r="A680" s="6" t="s">
        <v>6821</v>
      </c>
      <c r="B680" s="6"/>
      <c r="C680" s="6"/>
      <c r="D680" s="6"/>
      <c r="E680" s="6"/>
      <c r="F680" s="6"/>
    </row>
    <row r="681" spans="1:6" x14ac:dyDescent="0.25">
      <c r="A681" t="s">
        <v>4044</v>
      </c>
      <c r="B681" t="s">
        <v>4045</v>
      </c>
      <c r="C681" t="s">
        <v>5</v>
      </c>
      <c r="D681" t="s">
        <v>4046</v>
      </c>
      <c r="E681" t="s">
        <v>4047</v>
      </c>
      <c r="F681" t="s">
        <v>4048</v>
      </c>
    </row>
    <row r="682" spans="1:6" x14ac:dyDescent="0.25">
      <c r="A682" t="s">
        <v>4062</v>
      </c>
      <c r="B682" t="s">
        <v>6822</v>
      </c>
      <c r="C682" t="s">
        <v>63</v>
      </c>
      <c r="D682" s="7">
        <v>0.17</v>
      </c>
      <c r="E682" s="2">
        <v>89694</v>
      </c>
      <c r="F682" s="2">
        <v>15247.98</v>
      </c>
    </row>
    <row r="683" spans="1:6" x14ac:dyDescent="0.25">
      <c r="A683" t="s">
        <v>4062</v>
      </c>
      <c r="B683" t="s">
        <v>6823</v>
      </c>
      <c r="C683" t="s">
        <v>42</v>
      </c>
      <c r="D683" s="7">
        <v>1.03</v>
      </c>
      <c r="E683" s="2">
        <v>88472.9</v>
      </c>
      <c r="F683" s="2">
        <v>91127.09</v>
      </c>
    </row>
    <row r="684" spans="1:6" x14ac:dyDescent="0.25">
      <c r="A684" t="s">
        <v>4062</v>
      </c>
      <c r="B684" t="s">
        <v>4354</v>
      </c>
      <c r="C684" t="s">
        <v>4171</v>
      </c>
      <c r="D684" s="7">
        <v>1</v>
      </c>
      <c r="E684" s="2">
        <v>1148</v>
      </c>
      <c r="F684" s="2">
        <v>1148</v>
      </c>
    </row>
    <row r="685" spans="1:6" x14ac:dyDescent="0.25">
      <c r="A685" t="s">
        <v>4049</v>
      </c>
      <c r="B685" t="s">
        <v>4176</v>
      </c>
      <c r="C685" t="s">
        <v>4177</v>
      </c>
      <c r="D685" s="7">
        <v>0.05</v>
      </c>
      <c r="E685" s="2">
        <v>72300.17</v>
      </c>
      <c r="F685" s="2">
        <v>3615.01</v>
      </c>
    </row>
    <row r="686" spans="1:6" x14ac:dyDescent="0.25">
      <c r="A686" t="s">
        <v>4049</v>
      </c>
      <c r="B686" t="s">
        <v>4223</v>
      </c>
      <c r="C686" t="s">
        <v>4051</v>
      </c>
      <c r="D686" s="7">
        <v>0.01</v>
      </c>
      <c r="E686" s="2">
        <v>52807.59</v>
      </c>
      <c r="F686" s="2">
        <v>660.09</v>
      </c>
    </row>
    <row r="687" spans="1:6" x14ac:dyDescent="0.25">
      <c r="A687" t="s">
        <v>4049</v>
      </c>
      <c r="B687" t="s">
        <v>4313</v>
      </c>
      <c r="C687" t="s">
        <v>4177</v>
      </c>
      <c r="D687" s="7">
        <v>0.03</v>
      </c>
      <c r="E687" s="2">
        <v>124137.15</v>
      </c>
      <c r="F687" s="2">
        <v>3103.43</v>
      </c>
    </row>
    <row r="688" spans="1:6" x14ac:dyDescent="0.25">
      <c r="A688" t="s">
        <v>4052</v>
      </c>
      <c r="B688" t="s">
        <v>4053</v>
      </c>
      <c r="C688" t="s">
        <v>4054</v>
      </c>
      <c r="D688" s="7">
        <v>7.1</v>
      </c>
      <c r="E688" s="2">
        <v>7378.53</v>
      </c>
      <c r="F688" s="2">
        <v>523.88</v>
      </c>
    </row>
    <row r="689" spans="1:6" x14ac:dyDescent="0.25">
      <c r="A689" t="s">
        <v>4055</v>
      </c>
      <c r="D689" s="7"/>
      <c r="E689" s="2"/>
      <c r="F689" s="2">
        <f>SUBTOTAL(109,A_2_05_65[VALOR PARCIAL])</f>
      </c>
    </row>
    <row r="691" ht="30" customHeight="1" spans="1:6" x14ac:dyDescent="0.25">
      <c r="A691" s="5" t="s">
        <v>6824</v>
      </c>
      <c r="B691" s="5"/>
      <c r="C691" s="5"/>
      <c r="D691" s="5"/>
      <c r="E691" s="5"/>
      <c r="F691" s="5"/>
    </row>
    <row r="692" ht="42" customHeight="1" spans="1:6" x14ac:dyDescent="0.25">
      <c r="A692" s="6" t="s">
        <v>6825</v>
      </c>
      <c r="B692" s="6"/>
      <c r="C692" s="6"/>
      <c r="D692" s="6"/>
      <c r="E692" s="6"/>
      <c r="F692" s="6"/>
    </row>
    <row r="693" spans="1:6" x14ac:dyDescent="0.25">
      <c r="A693" t="s">
        <v>4044</v>
      </c>
      <c r="B693" t="s">
        <v>4045</v>
      </c>
      <c r="C693" t="s">
        <v>5</v>
      </c>
      <c r="D693" t="s">
        <v>4046</v>
      </c>
      <c r="E693" t="s">
        <v>4047</v>
      </c>
      <c r="F693" t="s">
        <v>4048</v>
      </c>
    </row>
    <row r="694" spans="1:6" x14ac:dyDescent="0.25">
      <c r="A694" t="s">
        <v>4062</v>
      </c>
      <c r="B694" t="s">
        <v>6826</v>
      </c>
      <c r="C694" t="s">
        <v>63</v>
      </c>
      <c r="D694" s="7">
        <v>1</v>
      </c>
      <c r="E694" s="2">
        <v>21316</v>
      </c>
      <c r="F694" s="2">
        <v>21316</v>
      </c>
    </row>
    <row r="695" spans="1:6" x14ac:dyDescent="0.25">
      <c r="A695" t="s">
        <v>4062</v>
      </c>
      <c r="B695" t="s">
        <v>4659</v>
      </c>
      <c r="C695" t="s">
        <v>4377</v>
      </c>
      <c r="D695" s="7">
        <v>0.03</v>
      </c>
      <c r="E695" s="2">
        <v>31500</v>
      </c>
      <c r="F695" s="2">
        <v>787.5</v>
      </c>
    </row>
    <row r="696" spans="1:6" x14ac:dyDescent="0.25">
      <c r="A696" t="s">
        <v>4062</v>
      </c>
      <c r="B696" t="s">
        <v>4376</v>
      </c>
      <c r="C696" t="s">
        <v>4377</v>
      </c>
      <c r="D696" s="7">
        <v>0.03</v>
      </c>
      <c r="E696" s="2">
        <v>72237.67</v>
      </c>
      <c r="F696" s="2">
        <v>1805.94</v>
      </c>
    </row>
    <row r="697" spans="1:6" x14ac:dyDescent="0.25">
      <c r="A697" t="s">
        <v>4049</v>
      </c>
      <c r="B697" t="s">
        <v>4241</v>
      </c>
      <c r="C697" t="s">
        <v>4051</v>
      </c>
      <c r="D697" s="7">
        <v>0.02</v>
      </c>
      <c r="E697" s="2">
        <v>9941.22</v>
      </c>
      <c r="F697" s="2">
        <v>198.82</v>
      </c>
    </row>
    <row r="698" spans="1:6" x14ac:dyDescent="0.25">
      <c r="A698" t="s">
        <v>4049</v>
      </c>
      <c r="B698" t="s">
        <v>4242</v>
      </c>
      <c r="C698" t="s">
        <v>4051</v>
      </c>
      <c r="D698" s="7">
        <v>0.02</v>
      </c>
      <c r="E698" s="2">
        <v>17069.53</v>
      </c>
      <c r="F698" s="2">
        <v>341.39</v>
      </c>
    </row>
    <row r="699" spans="1:6" x14ac:dyDescent="0.25">
      <c r="A699" t="s">
        <v>4052</v>
      </c>
      <c r="B699" t="s">
        <v>4053</v>
      </c>
      <c r="C699" t="s">
        <v>4054</v>
      </c>
      <c r="D699" s="7">
        <v>3.4</v>
      </c>
      <c r="E699" s="2">
        <v>540.21</v>
      </c>
      <c r="F699" s="2">
        <v>18.37</v>
      </c>
    </row>
    <row r="700" spans="1:6" x14ac:dyDescent="0.25">
      <c r="A700" t="s">
        <v>4055</v>
      </c>
      <c r="D700" s="7"/>
      <c r="E700" s="2"/>
      <c r="F700" s="2">
        <f>SUBTOTAL(109,A_2_05_66[VALOR PARCIAL])</f>
      </c>
    </row>
    <row r="702" ht="30" customHeight="1" spans="1:6" x14ac:dyDescent="0.25">
      <c r="A702" s="5" t="s">
        <v>6827</v>
      </c>
      <c r="B702" s="5"/>
      <c r="C702" s="5"/>
      <c r="D702" s="5"/>
      <c r="E702" s="5"/>
      <c r="F702" s="5"/>
    </row>
    <row r="703" ht="42" customHeight="1" spans="1:6" x14ac:dyDescent="0.25">
      <c r="A703" s="6" t="s">
        <v>6828</v>
      </c>
      <c r="B703" s="6"/>
      <c r="C703" s="6"/>
      <c r="D703" s="6"/>
      <c r="E703" s="6"/>
      <c r="F703" s="6"/>
    </row>
    <row r="704" spans="1:6" x14ac:dyDescent="0.25">
      <c r="A704" t="s">
        <v>4044</v>
      </c>
      <c r="B704" t="s">
        <v>4045</v>
      </c>
      <c r="C704" t="s">
        <v>5</v>
      </c>
      <c r="D704" t="s">
        <v>4046</v>
      </c>
      <c r="E704" t="s">
        <v>4047</v>
      </c>
      <c r="F704" t="s">
        <v>4048</v>
      </c>
    </row>
    <row r="705" spans="1:6" x14ac:dyDescent="0.25">
      <c r="A705" t="s">
        <v>4062</v>
      </c>
      <c r="B705" t="s">
        <v>6829</v>
      </c>
      <c r="C705" t="s">
        <v>63</v>
      </c>
      <c r="D705" s="7">
        <v>1</v>
      </c>
      <c r="E705" s="2">
        <v>7012</v>
      </c>
      <c r="F705" s="2">
        <v>7012</v>
      </c>
    </row>
    <row r="706" spans="1:6" x14ac:dyDescent="0.25">
      <c r="A706" t="s">
        <v>4062</v>
      </c>
      <c r="B706" t="s">
        <v>4659</v>
      </c>
      <c r="C706" t="s">
        <v>4377</v>
      </c>
      <c r="D706" s="7">
        <v>0</v>
      </c>
      <c r="E706" s="2">
        <v>31500</v>
      </c>
      <c r="F706" s="2">
        <v>126</v>
      </c>
    </row>
    <row r="707" spans="1:6" x14ac:dyDescent="0.25">
      <c r="A707" t="s">
        <v>4062</v>
      </c>
      <c r="B707" t="s">
        <v>4376</v>
      </c>
      <c r="C707" t="s">
        <v>4377</v>
      </c>
      <c r="D707" s="7">
        <v>0</v>
      </c>
      <c r="E707" s="2">
        <v>72237.67</v>
      </c>
      <c r="F707" s="2">
        <v>288.95</v>
      </c>
    </row>
    <row r="708" spans="1:6" x14ac:dyDescent="0.25">
      <c r="A708" t="s">
        <v>4049</v>
      </c>
      <c r="B708" t="s">
        <v>4241</v>
      </c>
      <c r="C708" t="s">
        <v>4051</v>
      </c>
      <c r="D708" s="7">
        <v>0.05</v>
      </c>
      <c r="E708" s="2">
        <v>9941.22</v>
      </c>
      <c r="F708" s="2">
        <v>497.06</v>
      </c>
    </row>
    <row r="709" spans="1:6" x14ac:dyDescent="0.25">
      <c r="A709" t="s">
        <v>4049</v>
      </c>
      <c r="B709" t="s">
        <v>4242</v>
      </c>
      <c r="C709" t="s">
        <v>4051</v>
      </c>
      <c r="D709" s="7">
        <v>0.05</v>
      </c>
      <c r="E709" s="2">
        <v>17069.53</v>
      </c>
      <c r="F709" s="2">
        <v>853.48</v>
      </c>
    </row>
    <row r="710" spans="1:6" x14ac:dyDescent="0.25">
      <c r="A710" t="s">
        <v>4052</v>
      </c>
      <c r="B710" t="s">
        <v>4053</v>
      </c>
      <c r="C710" t="s">
        <v>4054</v>
      </c>
      <c r="D710" s="7">
        <v>3.4</v>
      </c>
      <c r="E710" s="2">
        <v>1350.54</v>
      </c>
      <c r="F710" s="2">
        <v>45.92</v>
      </c>
    </row>
    <row r="711" spans="1:6" x14ac:dyDescent="0.25">
      <c r="A711" t="s">
        <v>4055</v>
      </c>
      <c r="D711" s="7"/>
      <c r="E711" s="2"/>
      <c r="F711" s="2">
        <f>SUBTOTAL(109,A_2_05_67[VALOR PARCIAL])</f>
      </c>
    </row>
    <row r="713" ht="30" customHeight="1" spans="1:6" x14ac:dyDescent="0.25">
      <c r="A713" s="5" t="s">
        <v>6830</v>
      </c>
      <c r="B713" s="5"/>
      <c r="C713" s="5"/>
      <c r="D713" s="5"/>
      <c r="E713" s="5"/>
      <c r="F713" s="5"/>
    </row>
    <row r="714" ht="42" customHeight="1" spans="1:6" x14ac:dyDescent="0.25">
      <c r="A714" s="6" t="s">
        <v>6831</v>
      </c>
      <c r="B714" s="6"/>
      <c r="C714" s="6"/>
      <c r="D714" s="6"/>
      <c r="E714" s="6"/>
      <c r="F714" s="6"/>
    </row>
    <row r="715" spans="1:6" x14ac:dyDescent="0.25">
      <c r="A715" t="s">
        <v>4044</v>
      </c>
      <c r="B715" t="s">
        <v>4045</v>
      </c>
      <c r="C715" t="s">
        <v>5</v>
      </c>
      <c r="D715" t="s">
        <v>4046</v>
      </c>
      <c r="E715" t="s">
        <v>4047</v>
      </c>
      <c r="F715" t="s">
        <v>4048</v>
      </c>
    </row>
    <row r="716" spans="1:6" x14ac:dyDescent="0.25">
      <c r="A716" t="s">
        <v>4062</v>
      </c>
      <c r="B716" t="s">
        <v>6832</v>
      </c>
      <c r="C716" t="s">
        <v>63</v>
      </c>
      <c r="D716" s="7">
        <v>1</v>
      </c>
      <c r="E716" s="2">
        <v>14405</v>
      </c>
      <c r="F716" s="2">
        <v>14405</v>
      </c>
    </row>
    <row r="717" spans="1:6" x14ac:dyDescent="0.25">
      <c r="A717" t="s">
        <v>4062</v>
      </c>
      <c r="B717" t="s">
        <v>4659</v>
      </c>
      <c r="C717" t="s">
        <v>4377</v>
      </c>
      <c r="D717" s="7">
        <v>0.01</v>
      </c>
      <c r="E717" s="2">
        <v>31500</v>
      </c>
      <c r="F717" s="2">
        <v>393.75</v>
      </c>
    </row>
    <row r="718" spans="1:6" x14ac:dyDescent="0.25">
      <c r="A718" t="s">
        <v>4062</v>
      </c>
      <c r="B718" t="s">
        <v>4376</v>
      </c>
      <c r="C718" t="s">
        <v>4377</v>
      </c>
      <c r="D718" s="7">
        <v>0.01</v>
      </c>
      <c r="E718" s="2">
        <v>72237.67</v>
      </c>
      <c r="F718" s="2">
        <v>902.97</v>
      </c>
    </row>
    <row r="719" spans="1:6" x14ac:dyDescent="0.25">
      <c r="A719" t="s">
        <v>4049</v>
      </c>
      <c r="B719" t="s">
        <v>4241</v>
      </c>
      <c r="C719" t="s">
        <v>4051</v>
      </c>
      <c r="D719" s="7">
        <v>0.04</v>
      </c>
      <c r="E719" s="2">
        <v>9941.22</v>
      </c>
      <c r="F719" s="2">
        <v>397.65</v>
      </c>
    </row>
    <row r="720" spans="1:6" x14ac:dyDescent="0.25">
      <c r="A720" t="s">
        <v>4049</v>
      </c>
      <c r="B720" t="s">
        <v>4242</v>
      </c>
      <c r="C720" t="s">
        <v>4051</v>
      </c>
      <c r="D720" s="7">
        <v>0.04</v>
      </c>
      <c r="E720" s="2">
        <v>17069.53</v>
      </c>
      <c r="F720" s="2">
        <v>682.78</v>
      </c>
    </row>
    <row r="721" spans="1:6" x14ac:dyDescent="0.25">
      <c r="A721" t="s">
        <v>4052</v>
      </c>
      <c r="B721" t="s">
        <v>4053</v>
      </c>
      <c r="C721" t="s">
        <v>4054</v>
      </c>
      <c r="D721" s="7">
        <v>3.4</v>
      </c>
      <c r="E721" s="2">
        <v>1080.43</v>
      </c>
      <c r="F721" s="2">
        <v>36.73</v>
      </c>
    </row>
    <row r="722" spans="1:6" x14ac:dyDescent="0.25">
      <c r="A722" t="s">
        <v>4055</v>
      </c>
      <c r="D722" s="7"/>
      <c r="E722" s="2"/>
      <c r="F722" s="2">
        <f>SUBTOTAL(109,A_2_05_68[VALOR PARCIAL])</f>
      </c>
    </row>
    <row r="724" ht="30" customHeight="1" spans="1:6" x14ac:dyDescent="0.25">
      <c r="A724" s="5" t="s">
        <v>6833</v>
      </c>
      <c r="B724" s="5"/>
      <c r="C724" s="5"/>
      <c r="D724" s="5"/>
      <c r="E724" s="5"/>
      <c r="F724" s="5"/>
    </row>
    <row r="725" ht="42" customHeight="1" spans="1:6" x14ac:dyDescent="0.25">
      <c r="A725" s="6" t="s">
        <v>6834</v>
      </c>
      <c r="B725" s="6"/>
      <c r="C725" s="6"/>
      <c r="D725" s="6"/>
      <c r="E725" s="6"/>
      <c r="F725" s="6"/>
    </row>
    <row r="726" spans="1:6" x14ac:dyDescent="0.25">
      <c r="A726" t="s">
        <v>4044</v>
      </c>
      <c r="B726" t="s">
        <v>4045</v>
      </c>
      <c r="C726" t="s">
        <v>5</v>
      </c>
      <c r="D726" t="s">
        <v>4046</v>
      </c>
      <c r="E726" t="s">
        <v>4047</v>
      </c>
      <c r="F726" t="s">
        <v>4048</v>
      </c>
    </row>
    <row r="727" spans="1:6" x14ac:dyDescent="0.25">
      <c r="A727" t="s">
        <v>4062</v>
      </c>
      <c r="B727" t="s">
        <v>6835</v>
      </c>
      <c r="C727" t="s">
        <v>63</v>
      </c>
      <c r="D727" s="7">
        <v>1</v>
      </c>
      <c r="E727" s="2">
        <v>24832</v>
      </c>
      <c r="F727" s="2">
        <v>24832</v>
      </c>
    </row>
    <row r="728" spans="1:6" x14ac:dyDescent="0.25">
      <c r="A728" t="s">
        <v>4062</v>
      </c>
      <c r="B728" t="s">
        <v>4659</v>
      </c>
      <c r="C728" t="s">
        <v>4377</v>
      </c>
      <c r="D728" s="7">
        <v>0.02</v>
      </c>
      <c r="E728" s="2">
        <v>31500</v>
      </c>
      <c r="F728" s="2">
        <v>598.5</v>
      </c>
    </row>
    <row r="729" spans="1:6" x14ac:dyDescent="0.25">
      <c r="A729" t="s">
        <v>4062</v>
      </c>
      <c r="B729" t="s">
        <v>4376</v>
      </c>
      <c r="C729" t="s">
        <v>4377</v>
      </c>
      <c r="D729" s="7">
        <v>0.02</v>
      </c>
      <c r="E729" s="2">
        <v>72237.67</v>
      </c>
      <c r="F729" s="2">
        <v>1372.52</v>
      </c>
    </row>
    <row r="730" spans="1:6" x14ac:dyDescent="0.25">
      <c r="A730" t="s">
        <v>4049</v>
      </c>
      <c r="B730" t="s">
        <v>4241</v>
      </c>
      <c r="C730" t="s">
        <v>4051</v>
      </c>
      <c r="D730" s="7">
        <v>0.04</v>
      </c>
      <c r="E730" s="2">
        <v>9941.22</v>
      </c>
      <c r="F730" s="2">
        <v>397.65</v>
      </c>
    </row>
    <row r="731" spans="1:6" x14ac:dyDescent="0.25">
      <c r="A731" t="s">
        <v>4049</v>
      </c>
      <c r="B731" t="s">
        <v>4242</v>
      </c>
      <c r="C731" t="s">
        <v>4051</v>
      </c>
      <c r="D731" s="7">
        <v>0.04</v>
      </c>
      <c r="E731" s="2">
        <v>17069.53</v>
      </c>
      <c r="F731" s="2">
        <v>682.78</v>
      </c>
    </row>
    <row r="732" spans="1:6" x14ac:dyDescent="0.25">
      <c r="A732" t="s">
        <v>4052</v>
      </c>
      <c r="B732" t="s">
        <v>4053</v>
      </c>
      <c r="C732" t="s">
        <v>4054</v>
      </c>
      <c r="D732" s="7">
        <v>3.4</v>
      </c>
      <c r="E732" s="2">
        <v>1080.43</v>
      </c>
      <c r="F732" s="2">
        <v>36.73</v>
      </c>
    </row>
    <row r="733" spans="1:6" x14ac:dyDescent="0.25">
      <c r="A733" t="s">
        <v>4055</v>
      </c>
      <c r="D733" s="7"/>
      <c r="E733" s="2"/>
      <c r="F733" s="2">
        <f>SUBTOTAL(109,A_2_05_69[VALOR PARCIAL])</f>
      </c>
    </row>
    <row r="735" ht="30" customHeight="1" spans="1:6" x14ac:dyDescent="0.25">
      <c r="A735" s="5" t="s">
        <v>6836</v>
      </c>
      <c r="B735" s="5"/>
      <c r="C735" s="5"/>
      <c r="D735" s="5"/>
      <c r="E735" s="5"/>
      <c r="F735" s="5"/>
    </row>
    <row r="736" ht="42" customHeight="1" spans="1:6" x14ac:dyDescent="0.25">
      <c r="A736" s="6" t="s">
        <v>6837</v>
      </c>
      <c r="B736" s="6"/>
      <c r="C736" s="6"/>
      <c r="D736" s="6"/>
      <c r="E736" s="6"/>
      <c r="F736" s="6"/>
    </row>
    <row r="737" spans="1:6" x14ac:dyDescent="0.25">
      <c r="A737" t="s">
        <v>4044</v>
      </c>
      <c r="B737" t="s">
        <v>4045</v>
      </c>
      <c r="C737" t="s">
        <v>5</v>
      </c>
      <c r="D737" t="s">
        <v>4046</v>
      </c>
      <c r="E737" t="s">
        <v>4047</v>
      </c>
      <c r="F737" t="s">
        <v>4048</v>
      </c>
    </row>
    <row r="738" spans="1:6" x14ac:dyDescent="0.25">
      <c r="A738" t="s">
        <v>4062</v>
      </c>
      <c r="B738" t="s">
        <v>6838</v>
      </c>
      <c r="C738" t="s">
        <v>63</v>
      </c>
      <c r="D738" s="7">
        <v>1</v>
      </c>
      <c r="E738" s="2">
        <v>118598</v>
      </c>
      <c r="F738" s="2">
        <v>118598</v>
      </c>
    </row>
    <row r="739" spans="1:6" x14ac:dyDescent="0.25">
      <c r="A739" t="s">
        <v>4062</v>
      </c>
      <c r="B739" t="s">
        <v>4659</v>
      </c>
      <c r="C739" t="s">
        <v>4377</v>
      </c>
      <c r="D739" s="7">
        <v>0.12</v>
      </c>
      <c r="E739" s="2">
        <v>31500</v>
      </c>
      <c r="F739" s="2">
        <v>3780</v>
      </c>
    </row>
    <row r="740" spans="1:6" x14ac:dyDescent="0.25">
      <c r="A740" t="s">
        <v>4062</v>
      </c>
      <c r="B740" t="s">
        <v>4376</v>
      </c>
      <c r="C740" t="s">
        <v>4377</v>
      </c>
      <c r="D740" s="7">
        <v>0.12</v>
      </c>
      <c r="E740" s="2">
        <v>72237.67</v>
      </c>
      <c r="F740" s="2">
        <v>8668.52</v>
      </c>
    </row>
    <row r="741" spans="1:6" x14ac:dyDescent="0.25">
      <c r="A741" t="s">
        <v>4049</v>
      </c>
      <c r="B741" t="s">
        <v>4241</v>
      </c>
      <c r="C741" t="s">
        <v>4051</v>
      </c>
      <c r="D741" s="7">
        <v>0.04</v>
      </c>
      <c r="E741" s="2">
        <v>9941.22</v>
      </c>
      <c r="F741" s="2">
        <v>397.65</v>
      </c>
    </row>
    <row r="742" spans="1:6" x14ac:dyDescent="0.25">
      <c r="A742" t="s">
        <v>4049</v>
      </c>
      <c r="B742" t="s">
        <v>4242</v>
      </c>
      <c r="C742" t="s">
        <v>4051</v>
      </c>
      <c r="D742" s="7">
        <v>0.04</v>
      </c>
      <c r="E742" s="2">
        <v>17069.53</v>
      </c>
      <c r="F742" s="2">
        <v>682.78</v>
      </c>
    </row>
    <row r="743" spans="1:6" x14ac:dyDescent="0.25">
      <c r="A743" t="s">
        <v>4052</v>
      </c>
      <c r="B743" t="s">
        <v>4053</v>
      </c>
      <c r="C743" t="s">
        <v>4054</v>
      </c>
      <c r="D743" s="7">
        <v>3.4</v>
      </c>
      <c r="E743" s="2">
        <v>1080.43</v>
      </c>
      <c r="F743" s="2">
        <v>36.73</v>
      </c>
    </row>
    <row r="744" spans="1:6" x14ac:dyDescent="0.25">
      <c r="A744" t="s">
        <v>4055</v>
      </c>
      <c r="D744" s="7"/>
      <c r="E744" s="2"/>
      <c r="F744" s="2">
        <f>SUBTOTAL(109,A_2_05_70[VALOR PARCIAL])</f>
      </c>
    </row>
    <row r="746" ht="30" customHeight="1" spans="1:6" x14ac:dyDescent="0.25">
      <c r="A746" s="5" t="s">
        <v>6839</v>
      </c>
      <c r="B746" s="5"/>
      <c r="C746" s="5"/>
      <c r="D746" s="5"/>
      <c r="E746" s="5"/>
      <c r="F746" s="5"/>
    </row>
    <row r="747" ht="42" customHeight="1" spans="1:6" x14ac:dyDescent="0.25">
      <c r="A747" s="6" t="s">
        <v>6840</v>
      </c>
      <c r="B747" s="6"/>
      <c r="C747" s="6"/>
      <c r="D747" s="6"/>
      <c r="E747" s="6"/>
      <c r="F747" s="6"/>
    </row>
    <row r="748" spans="1:6" x14ac:dyDescent="0.25">
      <c r="A748" t="s">
        <v>4044</v>
      </c>
      <c r="B748" t="s">
        <v>4045</v>
      </c>
      <c r="C748" t="s">
        <v>5</v>
      </c>
      <c r="D748" t="s">
        <v>4046</v>
      </c>
      <c r="E748" t="s">
        <v>4047</v>
      </c>
      <c r="F748" t="s">
        <v>4048</v>
      </c>
    </row>
    <row r="749" spans="1:6" x14ac:dyDescent="0.25">
      <c r="A749" t="s">
        <v>4062</v>
      </c>
      <c r="B749" t="s">
        <v>4383</v>
      </c>
      <c r="C749" t="s">
        <v>63</v>
      </c>
      <c r="D749" s="7">
        <v>1</v>
      </c>
      <c r="E749" s="2">
        <v>2412</v>
      </c>
      <c r="F749" s="2">
        <v>2412</v>
      </c>
    </row>
    <row r="750" spans="1:6" x14ac:dyDescent="0.25">
      <c r="A750" t="s">
        <v>4062</v>
      </c>
      <c r="B750" t="s">
        <v>4659</v>
      </c>
      <c r="C750" t="s">
        <v>4377</v>
      </c>
      <c r="D750" s="7">
        <v>0.01</v>
      </c>
      <c r="E750" s="2">
        <v>31500</v>
      </c>
      <c r="F750" s="2">
        <v>409.5</v>
      </c>
    </row>
    <row r="751" spans="1:6" x14ac:dyDescent="0.25">
      <c r="A751" t="s">
        <v>4062</v>
      </c>
      <c r="B751" t="s">
        <v>4376</v>
      </c>
      <c r="C751" t="s">
        <v>4377</v>
      </c>
      <c r="D751" s="7">
        <v>0.01</v>
      </c>
      <c r="E751" s="2">
        <v>72237.67</v>
      </c>
      <c r="F751" s="2">
        <v>939.09</v>
      </c>
    </row>
    <row r="752" spans="1:6" x14ac:dyDescent="0.25">
      <c r="A752" t="s">
        <v>4049</v>
      </c>
      <c r="B752" t="s">
        <v>4241</v>
      </c>
      <c r="C752" t="s">
        <v>4051</v>
      </c>
      <c r="D752" s="7">
        <v>0.02</v>
      </c>
      <c r="E752" s="2">
        <v>9941.22</v>
      </c>
      <c r="F752" s="2">
        <v>198.82</v>
      </c>
    </row>
    <row r="753" spans="1:6" x14ac:dyDescent="0.25">
      <c r="A753" t="s">
        <v>4049</v>
      </c>
      <c r="B753" t="s">
        <v>4242</v>
      </c>
      <c r="C753" t="s">
        <v>4051</v>
      </c>
      <c r="D753" s="7">
        <v>0.02</v>
      </c>
      <c r="E753" s="2">
        <v>17069.53</v>
      </c>
      <c r="F753" s="2">
        <v>341.39</v>
      </c>
    </row>
    <row r="754" spans="1:6" x14ac:dyDescent="0.25">
      <c r="A754" t="s">
        <v>4052</v>
      </c>
      <c r="B754" t="s">
        <v>4053</v>
      </c>
      <c r="C754" t="s">
        <v>4054</v>
      </c>
      <c r="D754" s="7">
        <v>3.4</v>
      </c>
      <c r="E754" s="2">
        <v>540.21</v>
      </c>
      <c r="F754" s="2">
        <v>18.37</v>
      </c>
    </row>
    <row r="755" spans="1:6" x14ac:dyDescent="0.25">
      <c r="A755" t="s">
        <v>4055</v>
      </c>
      <c r="D755" s="7"/>
      <c r="E755" s="2"/>
      <c r="F755" s="2">
        <f>SUBTOTAL(109,A_2_05_71[VALOR PARCIAL])</f>
      </c>
    </row>
    <row r="757" ht="30" customHeight="1" spans="1:6" x14ac:dyDescent="0.25">
      <c r="A757" s="5" t="s">
        <v>6841</v>
      </c>
      <c r="B757" s="5"/>
      <c r="C757" s="5"/>
      <c r="D757" s="5"/>
      <c r="E757" s="5"/>
      <c r="F757" s="5"/>
    </row>
    <row r="758" ht="42" customHeight="1" spans="1:6" x14ac:dyDescent="0.25">
      <c r="A758" s="6" t="s">
        <v>6842</v>
      </c>
      <c r="B758" s="6"/>
      <c r="C758" s="6"/>
      <c r="D758" s="6"/>
      <c r="E758" s="6"/>
      <c r="F758" s="6"/>
    </row>
    <row r="759" spans="1:6" x14ac:dyDescent="0.25">
      <c r="A759" t="s">
        <v>4044</v>
      </c>
      <c r="B759" t="s">
        <v>4045</v>
      </c>
      <c r="C759" t="s">
        <v>5</v>
      </c>
      <c r="D759" t="s">
        <v>4046</v>
      </c>
      <c r="E759" t="s">
        <v>4047</v>
      </c>
      <c r="F759" t="s">
        <v>4048</v>
      </c>
    </row>
    <row r="760" spans="1:6" x14ac:dyDescent="0.25">
      <c r="A760" t="s">
        <v>4062</v>
      </c>
      <c r="B760" t="s">
        <v>6843</v>
      </c>
      <c r="C760" t="s">
        <v>63</v>
      </c>
      <c r="D760" s="7">
        <v>1</v>
      </c>
      <c r="E760" s="2">
        <v>3560</v>
      </c>
      <c r="F760" s="2">
        <v>3560</v>
      </c>
    </row>
    <row r="761" spans="1:6" x14ac:dyDescent="0.25">
      <c r="A761" t="s">
        <v>4062</v>
      </c>
      <c r="B761" t="s">
        <v>4659</v>
      </c>
      <c r="C761" t="s">
        <v>4377</v>
      </c>
      <c r="D761" s="7">
        <v>0.02</v>
      </c>
      <c r="E761" s="2">
        <v>31500</v>
      </c>
      <c r="F761" s="2">
        <v>504</v>
      </c>
    </row>
    <row r="762" spans="1:6" x14ac:dyDescent="0.25">
      <c r="A762" t="s">
        <v>4062</v>
      </c>
      <c r="B762" t="s">
        <v>4376</v>
      </c>
      <c r="C762" t="s">
        <v>4377</v>
      </c>
      <c r="D762" s="7">
        <v>0.02</v>
      </c>
      <c r="E762" s="2">
        <v>72237.67</v>
      </c>
      <c r="F762" s="2">
        <v>1155.8</v>
      </c>
    </row>
    <row r="763" spans="1:6" x14ac:dyDescent="0.25">
      <c r="A763" t="s">
        <v>4049</v>
      </c>
      <c r="B763" t="s">
        <v>4241</v>
      </c>
      <c r="C763" t="s">
        <v>4051</v>
      </c>
      <c r="D763" s="7">
        <v>0.02</v>
      </c>
      <c r="E763" s="2">
        <v>9941.22</v>
      </c>
      <c r="F763" s="2">
        <v>198.82</v>
      </c>
    </row>
    <row r="764" spans="1:6" x14ac:dyDescent="0.25">
      <c r="A764" t="s">
        <v>4049</v>
      </c>
      <c r="B764" t="s">
        <v>4242</v>
      </c>
      <c r="C764" t="s">
        <v>4051</v>
      </c>
      <c r="D764" s="7">
        <v>0.02</v>
      </c>
      <c r="E764" s="2">
        <v>17069.53</v>
      </c>
      <c r="F764" s="2">
        <v>341.39</v>
      </c>
    </row>
    <row r="765" spans="1:6" x14ac:dyDescent="0.25">
      <c r="A765" t="s">
        <v>4052</v>
      </c>
      <c r="B765" t="s">
        <v>4053</v>
      </c>
      <c r="C765" t="s">
        <v>4054</v>
      </c>
      <c r="D765" s="7">
        <v>3.4</v>
      </c>
      <c r="E765" s="2">
        <v>540.21</v>
      </c>
      <c r="F765" s="2">
        <v>18.37</v>
      </c>
    </row>
    <row r="766" spans="1:6" x14ac:dyDescent="0.25">
      <c r="A766" t="s">
        <v>4055</v>
      </c>
      <c r="D766" s="7"/>
      <c r="E766" s="2"/>
      <c r="F766" s="2">
        <f>SUBTOTAL(109,A_2_05_72[VALOR PARCIAL])</f>
      </c>
    </row>
    <row r="768" ht="30" customHeight="1" spans="1:6" x14ac:dyDescent="0.25">
      <c r="A768" s="5" t="s">
        <v>6844</v>
      </c>
      <c r="B768" s="5"/>
      <c r="C768" s="5"/>
      <c r="D768" s="5"/>
      <c r="E768" s="5"/>
      <c r="F768" s="5"/>
    </row>
    <row r="769" ht="42" customHeight="1" spans="1:6" x14ac:dyDescent="0.25">
      <c r="A769" s="6" t="s">
        <v>6845</v>
      </c>
      <c r="B769" s="6"/>
      <c r="C769" s="6"/>
      <c r="D769" s="6"/>
      <c r="E769" s="6"/>
      <c r="F769" s="6"/>
    </row>
    <row r="770" spans="1:6" x14ac:dyDescent="0.25">
      <c r="A770" t="s">
        <v>4044</v>
      </c>
      <c r="B770" t="s">
        <v>4045</v>
      </c>
      <c r="C770" t="s">
        <v>5</v>
      </c>
      <c r="D770" t="s">
        <v>4046</v>
      </c>
      <c r="E770" t="s">
        <v>4047</v>
      </c>
      <c r="F770" t="s">
        <v>4048</v>
      </c>
    </row>
    <row r="771" spans="1:6" x14ac:dyDescent="0.25">
      <c r="A771" t="s">
        <v>4062</v>
      </c>
      <c r="B771" t="s">
        <v>4387</v>
      </c>
      <c r="C771" t="s">
        <v>63</v>
      </c>
      <c r="D771" s="7">
        <v>1</v>
      </c>
      <c r="E771" s="2">
        <v>7107</v>
      </c>
      <c r="F771" s="2">
        <v>7107</v>
      </c>
    </row>
    <row r="772" spans="1:6" x14ac:dyDescent="0.25">
      <c r="A772" t="s">
        <v>4062</v>
      </c>
      <c r="B772" t="s">
        <v>4659</v>
      </c>
      <c r="C772" t="s">
        <v>4377</v>
      </c>
      <c r="D772" s="7">
        <v>0.02</v>
      </c>
      <c r="E772" s="2">
        <v>31500</v>
      </c>
      <c r="F772" s="2">
        <v>567</v>
      </c>
    </row>
    <row r="773" spans="1:6" x14ac:dyDescent="0.25">
      <c r="A773" t="s">
        <v>4062</v>
      </c>
      <c r="B773" t="s">
        <v>4376</v>
      </c>
      <c r="C773" t="s">
        <v>4377</v>
      </c>
      <c r="D773" s="7">
        <v>0.02</v>
      </c>
      <c r="E773" s="2">
        <v>72237.67</v>
      </c>
      <c r="F773" s="2">
        <v>1300.28</v>
      </c>
    </row>
    <row r="774" spans="1:6" x14ac:dyDescent="0.25">
      <c r="A774" t="s">
        <v>4049</v>
      </c>
      <c r="B774" t="s">
        <v>4241</v>
      </c>
      <c r="C774" t="s">
        <v>4051</v>
      </c>
      <c r="D774" s="7">
        <v>0.02</v>
      </c>
      <c r="E774" s="2">
        <v>9941.22</v>
      </c>
      <c r="F774" s="2">
        <v>198.82</v>
      </c>
    </row>
    <row r="775" spans="1:6" x14ac:dyDescent="0.25">
      <c r="A775" t="s">
        <v>4049</v>
      </c>
      <c r="B775" t="s">
        <v>4242</v>
      </c>
      <c r="C775" t="s">
        <v>4051</v>
      </c>
      <c r="D775" s="7">
        <v>0.02</v>
      </c>
      <c r="E775" s="2">
        <v>17069.53</v>
      </c>
      <c r="F775" s="2">
        <v>341.39</v>
      </c>
    </row>
    <row r="776" spans="1:6" x14ac:dyDescent="0.25">
      <c r="A776" t="s">
        <v>4052</v>
      </c>
      <c r="B776" t="s">
        <v>4053</v>
      </c>
      <c r="C776" t="s">
        <v>4054</v>
      </c>
      <c r="D776" s="7">
        <v>3.4</v>
      </c>
      <c r="E776" s="2">
        <v>540.21</v>
      </c>
      <c r="F776" s="2">
        <v>18.37</v>
      </c>
    </row>
    <row r="777" spans="1:6" x14ac:dyDescent="0.25">
      <c r="A777" t="s">
        <v>4055</v>
      </c>
      <c r="D777" s="7"/>
      <c r="E777" s="2"/>
      <c r="F777" s="2">
        <f>SUBTOTAL(109,A_2_05_73[VALOR PARCIAL])</f>
      </c>
    </row>
    <row r="779" ht="30" customHeight="1" spans="1:6" x14ac:dyDescent="0.25">
      <c r="A779" s="5" t="s">
        <v>6846</v>
      </c>
      <c r="B779" s="5"/>
      <c r="C779" s="5"/>
      <c r="D779" s="5"/>
      <c r="E779" s="5"/>
      <c r="F779" s="5"/>
    </row>
    <row r="780" ht="42" customHeight="1" spans="1:6" x14ac:dyDescent="0.25">
      <c r="A780" s="6" t="s">
        <v>6847</v>
      </c>
      <c r="B780" s="6"/>
      <c r="C780" s="6"/>
      <c r="D780" s="6"/>
      <c r="E780" s="6"/>
      <c r="F780" s="6"/>
    </row>
    <row r="781" spans="1:6" x14ac:dyDescent="0.25">
      <c r="A781" t="s">
        <v>4044</v>
      </c>
      <c r="B781" t="s">
        <v>4045</v>
      </c>
      <c r="C781" t="s">
        <v>5</v>
      </c>
      <c r="D781" t="s">
        <v>4046</v>
      </c>
      <c r="E781" t="s">
        <v>4047</v>
      </c>
      <c r="F781" t="s">
        <v>4048</v>
      </c>
    </row>
    <row r="782" spans="1:6" x14ac:dyDescent="0.25">
      <c r="A782" t="s">
        <v>4062</v>
      </c>
      <c r="B782" t="s">
        <v>6848</v>
      </c>
      <c r="C782" t="s">
        <v>63</v>
      </c>
      <c r="D782" s="7">
        <v>1</v>
      </c>
      <c r="E782" s="2">
        <v>31160</v>
      </c>
      <c r="F782" s="2">
        <v>31160</v>
      </c>
    </row>
    <row r="783" spans="1:6" x14ac:dyDescent="0.25">
      <c r="A783" t="s">
        <v>4062</v>
      </c>
      <c r="B783" t="s">
        <v>4659</v>
      </c>
      <c r="C783" t="s">
        <v>4377</v>
      </c>
      <c r="D783" s="7">
        <v>0.04</v>
      </c>
      <c r="E783" s="2">
        <v>31500</v>
      </c>
      <c r="F783" s="2">
        <v>1260</v>
      </c>
    </row>
    <row r="784" spans="1:6" x14ac:dyDescent="0.25">
      <c r="A784" t="s">
        <v>4062</v>
      </c>
      <c r="B784" t="s">
        <v>4376</v>
      </c>
      <c r="C784" t="s">
        <v>4377</v>
      </c>
      <c r="D784" s="7">
        <v>0.04</v>
      </c>
      <c r="E784" s="2">
        <v>72237.67</v>
      </c>
      <c r="F784" s="2">
        <v>2889.51</v>
      </c>
    </row>
    <row r="785" spans="1:6" x14ac:dyDescent="0.25">
      <c r="A785" t="s">
        <v>4049</v>
      </c>
      <c r="B785" t="s">
        <v>4241</v>
      </c>
      <c r="C785" t="s">
        <v>4051</v>
      </c>
      <c r="D785" s="7">
        <v>0.02</v>
      </c>
      <c r="E785" s="2">
        <v>9941.22</v>
      </c>
      <c r="F785" s="2">
        <v>198.82</v>
      </c>
    </row>
    <row r="786" spans="1:6" x14ac:dyDescent="0.25">
      <c r="A786" t="s">
        <v>4049</v>
      </c>
      <c r="B786" t="s">
        <v>4242</v>
      </c>
      <c r="C786" t="s">
        <v>4051</v>
      </c>
      <c r="D786" s="7">
        <v>0.02</v>
      </c>
      <c r="E786" s="2">
        <v>17069.53</v>
      </c>
      <c r="F786" s="2">
        <v>341.39</v>
      </c>
    </row>
    <row r="787" spans="1:6" x14ac:dyDescent="0.25">
      <c r="A787" t="s">
        <v>4052</v>
      </c>
      <c r="B787" t="s">
        <v>4053</v>
      </c>
      <c r="C787" t="s">
        <v>4054</v>
      </c>
      <c r="D787" s="7">
        <v>3.4</v>
      </c>
      <c r="E787" s="2">
        <v>540.21</v>
      </c>
      <c r="F787" s="2">
        <v>18.37</v>
      </c>
    </row>
    <row r="788" spans="1:6" x14ac:dyDescent="0.25">
      <c r="A788" t="s">
        <v>4055</v>
      </c>
      <c r="D788" s="7"/>
      <c r="E788" s="2"/>
      <c r="F788" s="2">
        <f>SUBTOTAL(109,A_2_05_74[VALOR PARCIAL])</f>
      </c>
    </row>
    <row r="790" ht="30" customHeight="1" spans="1:6" x14ac:dyDescent="0.25">
      <c r="A790" s="5" t="s">
        <v>6849</v>
      </c>
      <c r="B790" s="5"/>
      <c r="C790" s="5"/>
      <c r="D790" s="5"/>
      <c r="E790" s="5"/>
      <c r="F790" s="5"/>
    </row>
    <row r="791" ht="42" customHeight="1" spans="1:6" x14ac:dyDescent="0.25">
      <c r="A791" s="6" t="s">
        <v>6850</v>
      </c>
      <c r="B791" s="6"/>
      <c r="C791" s="6"/>
      <c r="D791" s="6"/>
      <c r="E791" s="6"/>
      <c r="F791" s="6"/>
    </row>
    <row r="792" spans="1:6" x14ac:dyDescent="0.25">
      <c r="A792" t="s">
        <v>4044</v>
      </c>
      <c r="B792" t="s">
        <v>4045</v>
      </c>
      <c r="C792" t="s">
        <v>5</v>
      </c>
      <c r="D792" t="s">
        <v>4046</v>
      </c>
      <c r="E792" t="s">
        <v>4047</v>
      </c>
      <c r="F792" t="s">
        <v>4048</v>
      </c>
    </row>
    <row r="793" spans="1:6" x14ac:dyDescent="0.25">
      <c r="A793" t="s">
        <v>4062</v>
      </c>
      <c r="B793" t="s">
        <v>6851</v>
      </c>
      <c r="C793" t="s">
        <v>63</v>
      </c>
      <c r="D793" s="7">
        <v>1</v>
      </c>
      <c r="E793" s="2">
        <v>97451</v>
      </c>
      <c r="F793" s="2">
        <v>97451</v>
      </c>
    </row>
    <row r="794" spans="1:6" x14ac:dyDescent="0.25">
      <c r="A794" t="s">
        <v>4062</v>
      </c>
      <c r="B794" t="s">
        <v>4659</v>
      </c>
      <c r="C794" t="s">
        <v>4377</v>
      </c>
      <c r="D794" s="7">
        <v>0</v>
      </c>
      <c r="E794" s="2">
        <v>31500</v>
      </c>
      <c r="F794" s="2">
        <v>126</v>
      </c>
    </row>
    <row r="795" spans="1:6" x14ac:dyDescent="0.25">
      <c r="A795" t="s">
        <v>4062</v>
      </c>
      <c r="B795" t="s">
        <v>4376</v>
      </c>
      <c r="C795" t="s">
        <v>4377</v>
      </c>
      <c r="D795" s="7">
        <v>0</v>
      </c>
      <c r="E795" s="2">
        <v>72237.67</v>
      </c>
      <c r="F795" s="2">
        <v>288.95</v>
      </c>
    </row>
    <row r="796" spans="1:6" x14ac:dyDescent="0.25">
      <c r="A796" t="s">
        <v>4049</v>
      </c>
      <c r="B796" t="s">
        <v>4241</v>
      </c>
      <c r="C796" t="s">
        <v>4051</v>
      </c>
      <c r="D796" s="7">
        <v>0.02</v>
      </c>
      <c r="E796" s="2">
        <v>9941.22</v>
      </c>
      <c r="F796" s="2">
        <v>198.82</v>
      </c>
    </row>
    <row r="797" spans="1:6" x14ac:dyDescent="0.25">
      <c r="A797" t="s">
        <v>4049</v>
      </c>
      <c r="B797" t="s">
        <v>4242</v>
      </c>
      <c r="C797" t="s">
        <v>4051</v>
      </c>
      <c r="D797" s="7">
        <v>0.02</v>
      </c>
      <c r="E797" s="2">
        <v>17069.53</v>
      </c>
      <c r="F797" s="2">
        <v>341.39</v>
      </c>
    </row>
    <row r="798" spans="1:6" x14ac:dyDescent="0.25">
      <c r="A798" t="s">
        <v>4052</v>
      </c>
      <c r="B798" t="s">
        <v>4053</v>
      </c>
      <c r="C798" t="s">
        <v>4054</v>
      </c>
      <c r="D798" s="7">
        <v>3.4</v>
      </c>
      <c r="E798" s="2">
        <v>540.21</v>
      </c>
      <c r="F798" s="2">
        <v>18.37</v>
      </c>
    </row>
    <row r="799" spans="1:6" x14ac:dyDescent="0.25">
      <c r="A799" t="s">
        <v>4055</v>
      </c>
      <c r="D799" s="7"/>
      <c r="E799" s="2"/>
      <c r="F799" s="2">
        <f>SUBTOTAL(109,A_2_05_75[VALOR PARCIAL])</f>
      </c>
    </row>
  </sheetData>
  <mergeCells count="150">
    <mergeCell ref="A4:F4"/>
    <mergeCell ref="A5:F5"/>
    <mergeCell ref="A10:F10"/>
    <mergeCell ref="A11:F11"/>
    <mergeCell ref="A19:F19"/>
    <mergeCell ref="A20:F20"/>
    <mergeCell ref="A31:F31"/>
    <mergeCell ref="A32:F32"/>
    <mergeCell ref="A43:F43"/>
    <mergeCell ref="A44:F44"/>
    <mergeCell ref="A55:F55"/>
    <mergeCell ref="A56:F56"/>
    <mergeCell ref="A67:F67"/>
    <mergeCell ref="A68:F68"/>
    <mergeCell ref="A79:F79"/>
    <mergeCell ref="A80:F80"/>
    <mergeCell ref="A92:F92"/>
    <mergeCell ref="A93:F93"/>
    <mergeCell ref="A106:F106"/>
    <mergeCell ref="A107:F107"/>
    <mergeCell ref="A117:F117"/>
    <mergeCell ref="A118:F118"/>
    <mergeCell ref="A128:F128"/>
    <mergeCell ref="A129:F129"/>
    <mergeCell ref="A139:F139"/>
    <mergeCell ref="A140:F140"/>
    <mergeCell ref="A150:F150"/>
    <mergeCell ref="A151:F151"/>
    <mergeCell ref="A159:F159"/>
    <mergeCell ref="A160:F160"/>
    <mergeCell ref="A168:F168"/>
    <mergeCell ref="A169:F169"/>
    <mergeCell ref="A177:F177"/>
    <mergeCell ref="A178:F178"/>
    <mergeCell ref="A186:F186"/>
    <mergeCell ref="A187:F187"/>
    <mergeCell ref="A195:F195"/>
    <mergeCell ref="A196:F196"/>
    <mergeCell ref="A204:F204"/>
    <mergeCell ref="A205:F205"/>
    <mergeCell ref="A213:F213"/>
    <mergeCell ref="A214:F214"/>
    <mergeCell ref="A222:F222"/>
    <mergeCell ref="A223:F223"/>
    <mergeCell ref="A231:F231"/>
    <mergeCell ref="A232:F232"/>
    <mergeCell ref="A240:F240"/>
    <mergeCell ref="A241:F241"/>
    <mergeCell ref="A249:F249"/>
    <mergeCell ref="A250:F250"/>
    <mergeCell ref="A258:F258"/>
    <mergeCell ref="A259:F259"/>
    <mergeCell ref="A267:F267"/>
    <mergeCell ref="A268:F268"/>
    <mergeCell ref="A276:F276"/>
    <mergeCell ref="A277:F277"/>
    <mergeCell ref="A285:F285"/>
    <mergeCell ref="A286:F286"/>
    <mergeCell ref="A294:F294"/>
    <mergeCell ref="A295:F295"/>
    <mergeCell ref="A305:F305"/>
    <mergeCell ref="A306:F306"/>
    <mergeCell ref="A316:F316"/>
    <mergeCell ref="A317:F317"/>
    <mergeCell ref="A327:F327"/>
    <mergeCell ref="A328:F328"/>
    <mergeCell ref="A338:F338"/>
    <mergeCell ref="A339:F339"/>
    <mergeCell ref="A349:F349"/>
    <mergeCell ref="A350:F350"/>
    <mergeCell ref="A360:F360"/>
    <mergeCell ref="A361:F361"/>
    <mergeCell ref="A370:F370"/>
    <mergeCell ref="A371:F371"/>
    <mergeCell ref="A380:F380"/>
    <mergeCell ref="A381:F381"/>
    <mergeCell ref="A390:F390"/>
    <mergeCell ref="A391:F391"/>
    <mergeCell ref="A400:F400"/>
    <mergeCell ref="A401:F401"/>
    <mergeCell ref="A410:F410"/>
    <mergeCell ref="A411:F411"/>
    <mergeCell ref="A420:F420"/>
    <mergeCell ref="A421:F421"/>
    <mergeCell ref="A430:F430"/>
    <mergeCell ref="A431:F431"/>
    <mergeCell ref="A440:F440"/>
    <mergeCell ref="A441:F441"/>
    <mergeCell ref="A450:F450"/>
    <mergeCell ref="A451:F451"/>
    <mergeCell ref="A460:F460"/>
    <mergeCell ref="A461:F461"/>
    <mergeCell ref="A470:F470"/>
    <mergeCell ref="A471:F471"/>
    <mergeCell ref="A480:F480"/>
    <mergeCell ref="A481:F481"/>
    <mergeCell ref="A490:F490"/>
    <mergeCell ref="A491:F491"/>
    <mergeCell ref="A500:F500"/>
    <mergeCell ref="A501:F501"/>
    <mergeCell ref="A511:F511"/>
    <mergeCell ref="A512:F512"/>
    <mergeCell ref="A522:F522"/>
    <mergeCell ref="A523:F523"/>
    <mergeCell ref="A535:F535"/>
    <mergeCell ref="A536:F536"/>
    <mergeCell ref="A547:F547"/>
    <mergeCell ref="A548:F548"/>
    <mergeCell ref="A560:F560"/>
    <mergeCell ref="A561:F561"/>
    <mergeCell ref="A572:F572"/>
    <mergeCell ref="A573:F573"/>
    <mergeCell ref="A584:F584"/>
    <mergeCell ref="A585:F585"/>
    <mergeCell ref="A596:F596"/>
    <mergeCell ref="A597:F597"/>
    <mergeCell ref="A608:F608"/>
    <mergeCell ref="A609:F609"/>
    <mergeCell ref="A621:F621"/>
    <mergeCell ref="A622:F622"/>
    <mergeCell ref="A632:F632"/>
    <mergeCell ref="A633:F633"/>
    <mergeCell ref="A643:F643"/>
    <mergeCell ref="A644:F644"/>
    <mergeCell ref="A654:F654"/>
    <mergeCell ref="A655:F655"/>
    <mergeCell ref="A667:F667"/>
    <mergeCell ref="A668:F668"/>
    <mergeCell ref="A679:F679"/>
    <mergeCell ref="A680:F680"/>
    <mergeCell ref="A691:F691"/>
    <mergeCell ref="A692:F692"/>
    <mergeCell ref="A702:F702"/>
    <mergeCell ref="A703:F703"/>
    <mergeCell ref="A713:F713"/>
    <mergeCell ref="A714:F714"/>
    <mergeCell ref="A724:F724"/>
    <mergeCell ref="A725:F725"/>
    <mergeCell ref="A735:F735"/>
    <mergeCell ref="A736:F736"/>
    <mergeCell ref="A746:F746"/>
    <mergeCell ref="A747:F747"/>
    <mergeCell ref="A757:F757"/>
    <mergeCell ref="A758:F758"/>
    <mergeCell ref="A768:F768"/>
    <mergeCell ref="A769:F769"/>
    <mergeCell ref="A779:F779"/>
    <mergeCell ref="A780:F780"/>
    <mergeCell ref="A790:F790"/>
    <mergeCell ref="A791:F791"/>
  </mergeCells>
  <pageMargins left="0.7" right="0.7" top="0.75" bottom="0.75" header="0.3" footer="0.3"/>
  <pageSetup orientation="portrait" horizontalDpi="4294967295" verticalDpi="4294967295" scale="100" fitToWidth="1" fitToHeight="1"/>
  <tableParts count="7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6852</v>
      </c>
    </row>
    <row r="2" spans="1:1" x14ac:dyDescent="0.25">
      <c r="A2" s="4" t="s">
        <v>6853</v>
      </c>
    </row>
    <row r="4" ht="30" customHeight="1" spans="1:6" x14ac:dyDescent="0.25">
      <c r="A4" s="5" t="s">
        <v>6854</v>
      </c>
      <c r="B4" s="5"/>
      <c r="C4" s="5"/>
      <c r="D4" s="5"/>
      <c r="E4" s="5"/>
      <c r="F4" s="5"/>
    </row>
    <row r="5" ht="42" customHeight="1" spans="1:6" x14ac:dyDescent="0.25">
      <c r="A5" s="6" t="s">
        <v>6855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3975</v>
      </c>
      <c r="C7" t="s">
        <v>34</v>
      </c>
      <c r="D7" s="7">
        <v>0.05</v>
      </c>
      <c r="E7" s="2">
        <v>586929.15</v>
      </c>
      <c r="F7" s="2">
        <v>29346.46</v>
      </c>
    </row>
    <row r="8" spans="1:6" x14ac:dyDescent="0.25">
      <c r="A8" t="s">
        <v>4062</v>
      </c>
      <c r="B8" t="s">
        <v>6801</v>
      </c>
      <c r="C8" t="s">
        <v>42</v>
      </c>
      <c r="D8" s="7">
        <v>2</v>
      </c>
      <c r="E8" s="2">
        <v>43377.33</v>
      </c>
      <c r="F8" s="2">
        <v>86754.66</v>
      </c>
    </row>
    <row r="9" spans="1:6" x14ac:dyDescent="0.25">
      <c r="A9" t="s">
        <v>4062</v>
      </c>
      <c r="B9" t="s">
        <v>6856</v>
      </c>
      <c r="C9" t="s">
        <v>63</v>
      </c>
      <c r="D9" s="7">
        <v>1</v>
      </c>
      <c r="E9" s="2">
        <v>141628</v>
      </c>
      <c r="F9" s="2">
        <v>141628</v>
      </c>
    </row>
    <row r="10" spans="1:6" x14ac:dyDescent="0.25">
      <c r="A10" t="s">
        <v>4062</v>
      </c>
      <c r="B10" t="s">
        <v>6857</v>
      </c>
      <c r="C10" t="s">
        <v>63</v>
      </c>
      <c r="D10" s="7">
        <v>1</v>
      </c>
      <c r="E10" s="2">
        <v>377996</v>
      </c>
      <c r="F10" s="2">
        <v>377996</v>
      </c>
    </row>
    <row r="11" spans="1:6" x14ac:dyDescent="0.25">
      <c r="A11" t="s">
        <v>4062</v>
      </c>
      <c r="B11" t="s">
        <v>4001</v>
      </c>
      <c r="C11" t="s">
        <v>34</v>
      </c>
      <c r="D11" s="7">
        <v>0.3</v>
      </c>
      <c r="E11" s="2">
        <v>450245.66</v>
      </c>
      <c r="F11" s="2">
        <v>135073.7</v>
      </c>
    </row>
    <row r="12" spans="1:6" x14ac:dyDescent="0.25">
      <c r="A12" t="s">
        <v>4062</v>
      </c>
      <c r="B12" t="s">
        <v>4659</v>
      </c>
      <c r="C12" t="s">
        <v>4377</v>
      </c>
      <c r="D12" s="7">
        <v>1.5</v>
      </c>
      <c r="E12" s="2">
        <v>31500</v>
      </c>
      <c r="F12" s="2">
        <v>47250</v>
      </c>
    </row>
    <row r="13" spans="1:6" x14ac:dyDescent="0.25">
      <c r="A13" t="s">
        <v>4062</v>
      </c>
      <c r="B13" t="s">
        <v>4376</v>
      </c>
      <c r="C13" t="s">
        <v>4377</v>
      </c>
      <c r="D13" s="7">
        <v>1</v>
      </c>
      <c r="E13" s="2">
        <v>72237.67</v>
      </c>
      <c r="F13" s="2">
        <v>72237.67</v>
      </c>
    </row>
    <row r="14" spans="1:6" x14ac:dyDescent="0.25">
      <c r="A14" t="s">
        <v>4049</v>
      </c>
      <c r="B14" t="s">
        <v>4176</v>
      </c>
      <c r="C14" t="s">
        <v>4177</v>
      </c>
      <c r="D14" s="7">
        <v>0.75</v>
      </c>
      <c r="E14" s="2">
        <v>72300.17</v>
      </c>
      <c r="F14" s="2">
        <v>54225.13</v>
      </c>
    </row>
    <row r="15" spans="1:6" x14ac:dyDescent="0.25">
      <c r="A15" t="s">
        <v>4049</v>
      </c>
      <c r="B15" t="s">
        <v>4313</v>
      </c>
      <c r="C15" t="s">
        <v>4177</v>
      </c>
      <c r="D15" s="7">
        <v>0.7</v>
      </c>
      <c r="E15" s="2">
        <v>124137.15</v>
      </c>
      <c r="F15" s="2">
        <v>86896</v>
      </c>
    </row>
    <row r="16" spans="1:6" x14ac:dyDescent="0.25">
      <c r="A16" t="s">
        <v>4052</v>
      </c>
      <c r="B16" t="s">
        <v>4053</v>
      </c>
      <c r="C16" t="s">
        <v>4054</v>
      </c>
      <c r="D16" s="7">
        <v>6.7</v>
      </c>
      <c r="E16" s="2">
        <v>141121.13</v>
      </c>
      <c r="F16" s="2">
        <v>9455.12</v>
      </c>
    </row>
    <row r="17" spans="1:6" x14ac:dyDescent="0.25">
      <c r="A17" t="s">
        <v>4055</v>
      </c>
      <c r="D17" s="7"/>
      <c r="E17" s="2"/>
      <c r="F17" s="2">
        <f>SUBTOTAL(109,A_2_06_01[VALOR PARCIAL])</f>
      </c>
    </row>
    <row r="19" ht="30" customHeight="1" spans="1:6" x14ac:dyDescent="0.25">
      <c r="A19" s="5" t="s">
        <v>6858</v>
      </c>
      <c r="B19" s="5"/>
      <c r="C19" s="5"/>
      <c r="D19" s="5"/>
      <c r="E19" s="5"/>
      <c r="F19" s="5"/>
    </row>
    <row r="20" ht="42" customHeight="1" spans="1:6" x14ac:dyDescent="0.25">
      <c r="A20" s="6" t="s">
        <v>6859</v>
      </c>
      <c r="B20" s="6"/>
      <c r="C20" s="6"/>
      <c r="D20" s="6"/>
      <c r="E20" s="6"/>
      <c r="F20" s="6"/>
    </row>
    <row r="21" spans="1:6" x14ac:dyDescent="0.25">
      <c r="A21" t="s">
        <v>4044</v>
      </c>
      <c r="B21" t="s">
        <v>4045</v>
      </c>
      <c r="C21" t="s">
        <v>5</v>
      </c>
      <c r="D21" t="s">
        <v>4046</v>
      </c>
      <c r="E21" t="s">
        <v>4047</v>
      </c>
      <c r="F21" t="s">
        <v>4048</v>
      </c>
    </row>
    <row r="22" spans="1:6" x14ac:dyDescent="0.25">
      <c r="A22" t="s">
        <v>4062</v>
      </c>
      <c r="B22" t="s">
        <v>3975</v>
      </c>
      <c r="C22" t="s">
        <v>34</v>
      </c>
      <c r="D22" s="7">
        <v>0.04</v>
      </c>
      <c r="E22" s="2">
        <v>586929.15</v>
      </c>
      <c r="F22" s="2">
        <v>23477.17</v>
      </c>
    </row>
    <row r="23" spans="1:6" x14ac:dyDescent="0.25">
      <c r="A23" t="s">
        <v>4062</v>
      </c>
      <c r="B23" t="s">
        <v>6801</v>
      </c>
      <c r="C23" t="s">
        <v>42</v>
      </c>
      <c r="D23" s="7">
        <v>2</v>
      </c>
      <c r="E23" s="2">
        <v>43377.33</v>
      </c>
      <c r="F23" s="2">
        <v>86754.66</v>
      </c>
    </row>
    <row r="24" spans="1:6" x14ac:dyDescent="0.25">
      <c r="A24" t="s">
        <v>4062</v>
      </c>
      <c r="B24" t="s">
        <v>6856</v>
      </c>
      <c r="C24" t="s">
        <v>63</v>
      </c>
      <c r="D24" s="7">
        <v>1</v>
      </c>
      <c r="E24" s="2">
        <v>141628</v>
      </c>
      <c r="F24" s="2">
        <v>141628</v>
      </c>
    </row>
    <row r="25" spans="1:6" x14ac:dyDescent="0.25">
      <c r="A25" t="s">
        <v>4062</v>
      </c>
      <c r="B25" t="s">
        <v>6860</v>
      </c>
      <c r="C25" t="s">
        <v>63</v>
      </c>
      <c r="D25" s="7">
        <v>1</v>
      </c>
      <c r="E25" s="2">
        <v>652157</v>
      </c>
      <c r="F25" s="2">
        <v>652157</v>
      </c>
    </row>
    <row r="26" spans="1:6" x14ac:dyDescent="0.25">
      <c r="A26" t="s">
        <v>4062</v>
      </c>
      <c r="B26" t="s">
        <v>4001</v>
      </c>
      <c r="C26" t="s">
        <v>34</v>
      </c>
      <c r="D26" s="7">
        <v>0.2</v>
      </c>
      <c r="E26" s="2">
        <v>450245.66</v>
      </c>
      <c r="F26" s="2">
        <v>90049.13</v>
      </c>
    </row>
    <row r="27" spans="1:6" x14ac:dyDescent="0.25">
      <c r="A27" t="s">
        <v>4062</v>
      </c>
      <c r="B27" t="s">
        <v>4659</v>
      </c>
      <c r="C27" t="s">
        <v>4377</v>
      </c>
      <c r="D27" s="7">
        <v>1.5</v>
      </c>
      <c r="E27" s="2">
        <v>31500</v>
      </c>
      <c r="F27" s="2">
        <v>47250</v>
      </c>
    </row>
    <row r="28" spans="1:6" x14ac:dyDescent="0.25">
      <c r="A28" t="s">
        <v>4062</v>
      </c>
      <c r="B28" t="s">
        <v>4376</v>
      </c>
      <c r="C28" t="s">
        <v>4377</v>
      </c>
      <c r="D28" s="7">
        <v>1</v>
      </c>
      <c r="E28" s="2">
        <v>72237.67</v>
      </c>
      <c r="F28" s="2">
        <v>72237.67</v>
      </c>
    </row>
    <row r="29" spans="1:6" x14ac:dyDescent="0.25">
      <c r="A29" t="s">
        <v>4049</v>
      </c>
      <c r="B29" t="s">
        <v>4176</v>
      </c>
      <c r="C29" t="s">
        <v>4177</v>
      </c>
      <c r="D29" s="7">
        <v>1</v>
      </c>
      <c r="E29" s="2">
        <v>72300.17</v>
      </c>
      <c r="F29" s="2">
        <v>72300.17</v>
      </c>
    </row>
    <row r="30" spans="1:6" x14ac:dyDescent="0.25">
      <c r="A30" t="s">
        <v>4049</v>
      </c>
      <c r="B30" t="s">
        <v>4313</v>
      </c>
      <c r="C30" t="s">
        <v>4177</v>
      </c>
      <c r="D30" s="7">
        <v>1</v>
      </c>
      <c r="E30" s="2">
        <v>124137.15</v>
      </c>
      <c r="F30" s="2">
        <v>124137.15</v>
      </c>
    </row>
    <row r="31" spans="1:6" x14ac:dyDescent="0.25">
      <c r="A31" t="s">
        <v>4052</v>
      </c>
      <c r="B31" t="s">
        <v>4053</v>
      </c>
      <c r="C31" t="s">
        <v>4054</v>
      </c>
      <c r="D31" s="7">
        <v>6.7</v>
      </c>
      <c r="E31" s="2">
        <v>196437.32</v>
      </c>
      <c r="F31" s="2">
        <v>13161.3</v>
      </c>
    </row>
    <row r="32" spans="1:6" x14ac:dyDescent="0.25">
      <c r="A32" t="s">
        <v>4055</v>
      </c>
      <c r="D32" s="7"/>
      <c r="E32" s="2"/>
      <c r="F32" s="2">
        <f>SUBTOTAL(109,A_2_06_02[VALOR PARCIAL])</f>
      </c>
    </row>
    <row r="34" ht="30" customHeight="1" spans="1:6" x14ac:dyDescent="0.25">
      <c r="A34" s="5" t="s">
        <v>6861</v>
      </c>
      <c r="B34" s="5"/>
      <c r="C34" s="5"/>
      <c r="D34" s="5"/>
      <c r="E34" s="5"/>
      <c r="F34" s="5"/>
    </row>
    <row r="35" ht="42" customHeight="1" spans="1:6" x14ac:dyDescent="0.25">
      <c r="A35" s="6" t="s">
        <v>6862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6863</v>
      </c>
      <c r="C37" t="s">
        <v>42</v>
      </c>
      <c r="D37" s="7">
        <v>1.05</v>
      </c>
      <c r="E37" s="2">
        <v>38080</v>
      </c>
      <c r="F37" s="2">
        <v>39984</v>
      </c>
    </row>
    <row r="38" spans="1:6" x14ac:dyDescent="0.25">
      <c r="A38" t="s">
        <v>4062</v>
      </c>
      <c r="B38" t="s">
        <v>6864</v>
      </c>
      <c r="C38" t="s">
        <v>21</v>
      </c>
      <c r="D38" s="7">
        <v>0.85</v>
      </c>
      <c r="E38" s="2">
        <v>4887.21</v>
      </c>
      <c r="F38" s="2">
        <v>4154.13</v>
      </c>
    </row>
    <row r="39" spans="1:6" x14ac:dyDescent="0.25">
      <c r="A39" t="s">
        <v>4062</v>
      </c>
      <c r="B39" t="s">
        <v>4369</v>
      </c>
      <c r="C39" t="s">
        <v>34</v>
      </c>
      <c r="D39" s="7">
        <v>0.18</v>
      </c>
      <c r="E39" s="2">
        <v>89250</v>
      </c>
      <c r="F39" s="2">
        <v>16065</v>
      </c>
    </row>
    <row r="40" spans="1:6" x14ac:dyDescent="0.25">
      <c r="A40" t="s">
        <v>4062</v>
      </c>
      <c r="B40" t="s">
        <v>4354</v>
      </c>
      <c r="C40" t="s">
        <v>4171</v>
      </c>
      <c r="D40" s="7">
        <v>0.17</v>
      </c>
      <c r="E40" s="2">
        <v>1148</v>
      </c>
      <c r="F40" s="2">
        <v>191.37</v>
      </c>
    </row>
    <row r="41" spans="1:6" x14ac:dyDescent="0.25">
      <c r="A41" t="s">
        <v>4049</v>
      </c>
      <c r="B41" t="s">
        <v>4176</v>
      </c>
      <c r="C41" t="s">
        <v>4177</v>
      </c>
      <c r="D41" s="7">
        <v>0.13</v>
      </c>
      <c r="E41" s="2">
        <v>72300.17</v>
      </c>
      <c r="F41" s="2">
        <v>9037.52</v>
      </c>
    </row>
    <row r="42" spans="1:6" x14ac:dyDescent="0.25">
      <c r="A42" t="s">
        <v>4049</v>
      </c>
      <c r="B42" t="s">
        <v>4313</v>
      </c>
      <c r="C42" t="s">
        <v>4177</v>
      </c>
      <c r="D42" s="7">
        <v>0.13</v>
      </c>
      <c r="E42" s="2">
        <v>124137.15</v>
      </c>
      <c r="F42" s="2">
        <v>15517.14</v>
      </c>
    </row>
    <row r="43" spans="1:6" x14ac:dyDescent="0.25">
      <c r="A43" t="s">
        <v>4052</v>
      </c>
      <c r="B43" t="s">
        <v>4053</v>
      </c>
      <c r="C43" t="s">
        <v>4054</v>
      </c>
      <c r="D43" s="7">
        <v>6.7</v>
      </c>
      <c r="E43" s="2">
        <v>24554.66</v>
      </c>
      <c r="F43" s="2">
        <v>1645.16</v>
      </c>
    </row>
    <row r="44" spans="1:6" x14ac:dyDescent="0.25">
      <c r="A44" t="s">
        <v>4055</v>
      </c>
      <c r="D44" s="7"/>
      <c r="E44" s="2"/>
      <c r="F44" s="2">
        <f>SUBTOTAL(109,A_2_06_03[VALOR PARCIAL])</f>
      </c>
    </row>
    <row r="46" ht="30" customHeight="1" spans="1:6" x14ac:dyDescent="0.25">
      <c r="A46" s="5" t="s">
        <v>6865</v>
      </c>
      <c r="B46" s="5"/>
      <c r="C46" s="5"/>
      <c r="D46" s="5"/>
      <c r="E46" s="5"/>
      <c r="F46" s="5"/>
    </row>
    <row r="47" ht="42" customHeight="1" spans="1:6" x14ac:dyDescent="0.25">
      <c r="A47" s="6" t="s">
        <v>6866</v>
      </c>
      <c r="B47" s="6"/>
      <c r="C47" s="6"/>
      <c r="D47" s="6"/>
      <c r="E47" s="6"/>
      <c r="F47" s="6"/>
    </row>
    <row r="48" spans="1:6" x14ac:dyDescent="0.25">
      <c r="A48" t="s">
        <v>4044</v>
      </c>
      <c r="B48" t="s">
        <v>4045</v>
      </c>
      <c r="C48" t="s">
        <v>5</v>
      </c>
      <c r="D48" t="s">
        <v>4046</v>
      </c>
      <c r="E48" t="s">
        <v>4047</v>
      </c>
      <c r="F48" t="s">
        <v>4048</v>
      </c>
    </row>
    <row r="49" spans="1:6" x14ac:dyDescent="0.25">
      <c r="A49" t="s">
        <v>4062</v>
      </c>
      <c r="B49" t="s">
        <v>4474</v>
      </c>
      <c r="C49" t="s">
        <v>34</v>
      </c>
      <c r="D49" s="7">
        <v>0.03</v>
      </c>
      <c r="E49" s="2">
        <v>114500</v>
      </c>
      <c r="F49" s="2">
        <v>3435</v>
      </c>
    </row>
    <row r="50" spans="1:6" x14ac:dyDescent="0.25">
      <c r="A50" t="s">
        <v>4062</v>
      </c>
      <c r="B50" t="s">
        <v>4352</v>
      </c>
      <c r="C50" t="s">
        <v>42</v>
      </c>
      <c r="D50" s="7">
        <v>3</v>
      </c>
      <c r="E50" s="2">
        <v>31353</v>
      </c>
      <c r="F50" s="2">
        <v>94059</v>
      </c>
    </row>
    <row r="51" spans="1:6" x14ac:dyDescent="0.25">
      <c r="A51" t="s">
        <v>4062</v>
      </c>
      <c r="B51" t="s">
        <v>4353</v>
      </c>
      <c r="C51" t="s">
        <v>63</v>
      </c>
      <c r="D51" s="7">
        <v>1</v>
      </c>
      <c r="E51" s="2">
        <v>27711</v>
      </c>
      <c r="F51" s="2">
        <v>27711</v>
      </c>
    </row>
    <row r="52" spans="1:6" x14ac:dyDescent="0.25">
      <c r="A52" t="s">
        <v>4062</v>
      </c>
      <c r="B52" t="s">
        <v>6867</v>
      </c>
      <c r="C52" t="s">
        <v>63</v>
      </c>
      <c r="D52" s="7">
        <v>1</v>
      </c>
      <c r="E52" s="2">
        <v>110759</v>
      </c>
      <c r="F52" s="2">
        <v>110759</v>
      </c>
    </row>
    <row r="53" spans="1:6" x14ac:dyDescent="0.25">
      <c r="A53" t="s">
        <v>4062</v>
      </c>
      <c r="B53" t="s">
        <v>6166</v>
      </c>
      <c r="C53" t="s">
        <v>63</v>
      </c>
      <c r="D53" s="7">
        <v>0.2</v>
      </c>
      <c r="E53" s="2">
        <v>19750</v>
      </c>
      <c r="F53" s="2">
        <v>3950</v>
      </c>
    </row>
    <row r="54" spans="1:6" x14ac:dyDescent="0.25">
      <c r="A54" t="s">
        <v>4049</v>
      </c>
      <c r="B54" t="s">
        <v>4176</v>
      </c>
      <c r="C54" t="s">
        <v>4177</v>
      </c>
      <c r="D54" s="7">
        <v>0.57</v>
      </c>
      <c r="E54" s="2">
        <v>72300.17</v>
      </c>
      <c r="F54" s="2">
        <v>41211.1</v>
      </c>
    </row>
    <row r="55" spans="1:6" x14ac:dyDescent="0.25">
      <c r="A55" t="s">
        <v>4049</v>
      </c>
      <c r="B55" t="s">
        <v>4313</v>
      </c>
      <c r="C55" t="s">
        <v>4177</v>
      </c>
      <c r="D55" s="7">
        <v>0.57</v>
      </c>
      <c r="E55" s="2">
        <v>124137.15</v>
      </c>
      <c r="F55" s="2">
        <v>70758.18</v>
      </c>
    </row>
    <row r="56" spans="1:6" x14ac:dyDescent="0.25">
      <c r="A56" t="s">
        <v>4052</v>
      </c>
      <c r="B56" t="s">
        <v>4053</v>
      </c>
      <c r="C56" t="s">
        <v>4054</v>
      </c>
      <c r="D56" s="7">
        <v>7</v>
      </c>
      <c r="E56" s="2">
        <v>111969.28</v>
      </c>
      <c r="F56" s="2">
        <v>7837.85</v>
      </c>
    </row>
    <row r="57" spans="1:6" x14ac:dyDescent="0.25">
      <c r="A57" t="s">
        <v>4055</v>
      </c>
      <c r="D57" s="7"/>
      <c r="E57" s="2"/>
      <c r="F57" s="2">
        <f>SUBTOTAL(109,A_2_06_04[VALOR PARCIAL])</f>
      </c>
    </row>
    <row r="59" ht="30" customHeight="1" spans="1:6" x14ac:dyDescent="0.25">
      <c r="A59" s="5" t="s">
        <v>6868</v>
      </c>
      <c r="B59" s="5"/>
      <c r="C59" s="5"/>
      <c r="D59" s="5"/>
      <c r="E59" s="5"/>
      <c r="F59" s="5"/>
    </row>
    <row r="60" ht="42" customHeight="1" spans="1:6" x14ac:dyDescent="0.25">
      <c r="A60" s="6" t="s">
        <v>6869</v>
      </c>
      <c r="B60" s="6"/>
      <c r="C60" s="6"/>
      <c r="D60" s="6"/>
      <c r="E60" s="6"/>
      <c r="F60" s="6"/>
    </row>
    <row r="61" spans="1:6" x14ac:dyDescent="0.25">
      <c r="A61" t="s">
        <v>4044</v>
      </c>
      <c r="B61" t="s">
        <v>4045</v>
      </c>
      <c r="C61" t="s">
        <v>5</v>
      </c>
      <c r="D61" t="s">
        <v>4046</v>
      </c>
      <c r="E61" t="s">
        <v>4047</v>
      </c>
      <c r="F61" t="s">
        <v>4048</v>
      </c>
    </row>
    <row r="62" spans="1:6" x14ac:dyDescent="0.25">
      <c r="A62" t="s">
        <v>4062</v>
      </c>
      <c r="B62" t="s">
        <v>6870</v>
      </c>
      <c r="C62" t="s">
        <v>34</v>
      </c>
      <c r="D62" s="7">
        <v>0.17</v>
      </c>
      <c r="E62" s="2">
        <v>80523.33</v>
      </c>
      <c r="F62" s="2">
        <v>13688.97</v>
      </c>
    </row>
    <row r="63" spans="1:6" x14ac:dyDescent="0.25">
      <c r="A63" t="s">
        <v>4062</v>
      </c>
      <c r="B63" t="s">
        <v>6871</v>
      </c>
      <c r="C63" t="s">
        <v>63</v>
      </c>
      <c r="D63" s="7">
        <v>1</v>
      </c>
      <c r="E63" s="2">
        <v>219000</v>
      </c>
      <c r="F63" s="2">
        <v>219000</v>
      </c>
    </row>
    <row r="64" spans="1:6" x14ac:dyDescent="0.25">
      <c r="A64" t="s">
        <v>4062</v>
      </c>
      <c r="B64" t="s">
        <v>4475</v>
      </c>
      <c r="C64" t="s">
        <v>231</v>
      </c>
      <c r="D64" s="7">
        <v>56</v>
      </c>
      <c r="E64" s="2">
        <v>730</v>
      </c>
      <c r="F64" s="2">
        <v>40880</v>
      </c>
    </row>
    <row r="65" spans="1:6" x14ac:dyDescent="0.25">
      <c r="A65" t="s">
        <v>4062</v>
      </c>
      <c r="B65" t="s">
        <v>6872</v>
      </c>
      <c r="C65" t="s">
        <v>4236</v>
      </c>
      <c r="D65" s="7">
        <v>6</v>
      </c>
      <c r="E65" s="2">
        <v>33592.56</v>
      </c>
      <c r="F65" s="2">
        <v>201555.36</v>
      </c>
    </row>
    <row r="66" spans="1:6" x14ac:dyDescent="0.25">
      <c r="A66" t="s">
        <v>4055</v>
      </c>
      <c r="D66" s="7"/>
      <c r="E66" s="2"/>
      <c r="F66" s="2">
        <f>SUBTOTAL(109,A_2_06_05[VALOR PARCIAL])</f>
      </c>
    </row>
    <row r="68" ht="30" customHeight="1" spans="1:6" x14ac:dyDescent="0.25">
      <c r="A68" s="5" t="s">
        <v>6873</v>
      </c>
      <c r="B68" s="5"/>
      <c r="C68" s="5"/>
      <c r="D68" s="5"/>
      <c r="E68" s="5"/>
      <c r="F68" s="5"/>
    </row>
    <row r="69" ht="42" customHeight="1" spans="1:6" x14ac:dyDescent="0.25">
      <c r="A69" s="6" t="s">
        <v>6874</v>
      </c>
      <c r="B69" s="6"/>
      <c r="C69" s="6"/>
      <c r="D69" s="6"/>
      <c r="E69" s="6"/>
      <c r="F69" s="6"/>
    </row>
    <row r="70" spans="1:6" x14ac:dyDescent="0.25">
      <c r="A70" t="s">
        <v>4044</v>
      </c>
      <c r="B70" t="s">
        <v>4045</v>
      </c>
      <c r="C70" t="s">
        <v>5</v>
      </c>
      <c r="D70" t="s">
        <v>4046</v>
      </c>
      <c r="E70" t="s">
        <v>4047</v>
      </c>
      <c r="F70" t="s">
        <v>4048</v>
      </c>
    </row>
    <row r="71" spans="1:6" x14ac:dyDescent="0.25">
      <c r="A71" t="s">
        <v>4049</v>
      </c>
      <c r="B71" t="s">
        <v>4050</v>
      </c>
      <c r="C71" t="s">
        <v>4051</v>
      </c>
      <c r="D71" s="7">
        <v>4</v>
      </c>
      <c r="E71" s="2">
        <v>9037.33</v>
      </c>
      <c r="F71" s="2">
        <v>36149.32</v>
      </c>
    </row>
    <row r="72" spans="1:6" x14ac:dyDescent="0.25">
      <c r="A72" t="s">
        <v>4052</v>
      </c>
      <c r="B72" t="s">
        <v>4092</v>
      </c>
      <c r="C72" t="s">
        <v>287</v>
      </c>
      <c r="D72" s="7">
        <v>2</v>
      </c>
      <c r="E72" s="2">
        <v>97476</v>
      </c>
      <c r="F72" s="2">
        <v>194952</v>
      </c>
    </row>
    <row r="73" spans="1:6" x14ac:dyDescent="0.25">
      <c r="A73" t="s">
        <v>4052</v>
      </c>
      <c r="B73" t="s">
        <v>4053</v>
      </c>
      <c r="C73" t="s">
        <v>4054</v>
      </c>
      <c r="D73" s="7">
        <v>3</v>
      </c>
      <c r="E73" s="2">
        <v>36149.32</v>
      </c>
      <c r="F73" s="2">
        <v>1084.48</v>
      </c>
    </row>
    <row r="74" spans="1:6" x14ac:dyDescent="0.25">
      <c r="A74" t="s">
        <v>4055</v>
      </c>
      <c r="D74" s="7"/>
      <c r="E74" s="2"/>
      <c r="F74" s="2">
        <f>SUBTOTAL(109,A_2_06_06[VALOR PARCIAL])</f>
      </c>
    </row>
    <row r="76" ht="30" customHeight="1" spans="1:6" x14ac:dyDescent="0.25">
      <c r="A76" s="5" t="s">
        <v>6875</v>
      </c>
      <c r="B76" s="5"/>
      <c r="C76" s="5"/>
      <c r="D76" s="5"/>
      <c r="E76" s="5"/>
      <c r="F76" s="5"/>
    </row>
    <row r="77" ht="42" customHeight="1" spans="1:6" x14ac:dyDescent="0.25">
      <c r="A77" s="6" t="s">
        <v>6876</v>
      </c>
      <c r="B77" s="6"/>
      <c r="C77" s="6"/>
      <c r="D77" s="6"/>
      <c r="E77" s="6"/>
      <c r="F77" s="6"/>
    </row>
    <row r="78" spans="1:6" x14ac:dyDescent="0.25">
      <c r="A78" t="s">
        <v>4044</v>
      </c>
      <c r="B78" t="s">
        <v>4045</v>
      </c>
      <c r="C78" t="s">
        <v>5</v>
      </c>
      <c r="D78" t="s">
        <v>4046</v>
      </c>
      <c r="E78" t="s">
        <v>4047</v>
      </c>
      <c r="F78" t="s">
        <v>4048</v>
      </c>
    </row>
    <row r="79" spans="1:6" x14ac:dyDescent="0.25">
      <c r="A79" t="s">
        <v>4049</v>
      </c>
      <c r="B79" t="s">
        <v>4050</v>
      </c>
      <c r="C79" t="s">
        <v>4051</v>
      </c>
      <c r="D79" s="7">
        <v>0.4</v>
      </c>
      <c r="E79" s="2">
        <v>9037.33</v>
      </c>
      <c r="F79" s="2">
        <v>3614.93</v>
      </c>
    </row>
    <row r="80" spans="1:6" x14ac:dyDescent="0.25">
      <c r="A80" t="s">
        <v>4049</v>
      </c>
      <c r="B80" t="s">
        <v>4073</v>
      </c>
      <c r="C80" t="s">
        <v>4051</v>
      </c>
      <c r="D80" s="7">
        <v>0.4</v>
      </c>
      <c r="E80" s="2">
        <v>15517.89</v>
      </c>
      <c r="F80" s="2">
        <v>6207.16</v>
      </c>
    </row>
    <row r="81" spans="1:6" x14ac:dyDescent="0.25">
      <c r="A81" t="s">
        <v>4052</v>
      </c>
      <c r="B81" t="s">
        <v>4118</v>
      </c>
      <c r="C81" t="s">
        <v>287</v>
      </c>
      <c r="D81" s="7">
        <v>0.25</v>
      </c>
      <c r="E81" s="2">
        <v>107433.33</v>
      </c>
      <c r="F81" s="2">
        <v>26858.33</v>
      </c>
    </row>
    <row r="82" spans="1:6" x14ac:dyDescent="0.25">
      <c r="A82" t="s">
        <v>4052</v>
      </c>
      <c r="B82" t="s">
        <v>4053</v>
      </c>
      <c r="C82" t="s">
        <v>4054</v>
      </c>
      <c r="D82" s="7">
        <v>3</v>
      </c>
      <c r="E82" s="2">
        <v>9822.09</v>
      </c>
      <c r="F82" s="2">
        <v>294.66</v>
      </c>
    </row>
    <row r="83" spans="1:6" x14ac:dyDescent="0.25">
      <c r="A83" t="s">
        <v>4055</v>
      </c>
      <c r="D83" s="7"/>
      <c r="E83" s="2"/>
      <c r="F83" s="2">
        <f>SUBTOTAL(109,A_2_06_07[VALOR PARCIAL])</f>
      </c>
    </row>
    <row r="85" ht="30" customHeight="1" spans="1:6" x14ac:dyDescent="0.25">
      <c r="A85" s="5" t="s">
        <v>6877</v>
      </c>
      <c r="B85" s="5"/>
      <c r="C85" s="5"/>
      <c r="D85" s="5"/>
      <c r="E85" s="5"/>
      <c r="F85" s="5"/>
    </row>
    <row r="86" ht="42" customHeight="1" spans="1:6" x14ac:dyDescent="0.25">
      <c r="A86" s="6" t="s">
        <v>6878</v>
      </c>
      <c r="B86" s="6"/>
      <c r="C86" s="6"/>
      <c r="D86" s="6"/>
      <c r="E86" s="6"/>
      <c r="F86" s="6"/>
    </row>
    <row r="87" spans="1:6" x14ac:dyDescent="0.25">
      <c r="A87" t="s">
        <v>4044</v>
      </c>
      <c r="B87" t="s">
        <v>4045</v>
      </c>
      <c r="C87" t="s">
        <v>5</v>
      </c>
      <c r="D87" t="s">
        <v>4046</v>
      </c>
      <c r="E87" t="s">
        <v>4047</v>
      </c>
      <c r="F87" t="s">
        <v>4048</v>
      </c>
    </row>
    <row r="88" spans="1:6" x14ac:dyDescent="0.25">
      <c r="A88" t="s">
        <v>4062</v>
      </c>
      <c r="B88" t="s">
        <v>5677</v>
      </c>
      <c r="C88" t="s">
        <v>231</v>
      </c>
      <c r="D88" s="7">
        <v>1.47</v>
      </c>
      <c r="E88" s="2">
        <v>2507</v>
      </c>
      <c r="F88" s="2">
        <v>3696.32</v>
      </c>
    </row>
    <row r="89" spans="1:6" x14ac:dyDescent="0.25">
      <c r="A89" t="s">
        <v>4062</v>
      </c>
      <c r="B89" t="s">
        <v>6879</v>
      </c>
      <c r="C89" t="s">
        <v>63</v>
      </c>
      <c r="D89" s="7">
        <v>0</v>
      </c>
      <c r="E89" s="2">
        <v>10100</v>
      </c>
      <c r="F89" s="2">
        <v>20.2</v>
      </c>
    </row>
    <row r="90" spans="1:6" x14ac:dyDescent="0.25">
      <c r="A90" t="s">
        <v>4062</v>
      </c>
      <c r="B90" t="s">
        <v>6880</v>
      </c>
      <c r="C90" t="s">
        <v>63</v>
      </c>
      <c r="D90" s="7">
        <v>0</v>
      </c>
      <c r="E90" s="2">
        <v>145308.95</v>
      </c>
      <c r="F90" s="2">
        <v>290.62</v>
      </c>
    </row>
    <row r="91" spans="1:6" x14ac:dyDescent="0.25">
      <c r="A91" t="s">
        <v>4062</v>
      </c>
      <c r="B91" t="s">
        <v>6881</v>
      </c>
      <c r="C91" t="s">
        <v>63</v>
      </c>
      <c r="D91" s="7">
        <v>0.02</v>
      </c>
      <c r="E91" s="2">
        <v>131982.52</v>
      </c>
      <c r="F91" s="2">
        <v>1979.74</v>
      </c>
    </row>
    <row r="92" spans="1:6" x14ac:dyDescent="0.25">
      <c r="A92" t="s">
        <v>4049</v>
      </c>
      <c r="B92" t="s">
        <v>4050</v>
      </c>
      <c r="C92" t="s">
        <v>4051</v>
      </c>
      <c r="D92" s="7">
        <v>0.02</v>
      </c>
      <c r="E92" s="2">
        <v>9037.33</v>
      </c>
      <c r="F92" s="2">
        <v>180.75</v>
      </c>
    </row>
    <row r="93" spans="1:6" x14ac:dyDescent="0.25">
      <c r="A93" t="s">
        <v>4049</v>
      </c>
      <c r="B93" t="s">
        <v>4073</v>
      </c>
      <c r="C93" t="s">
        <v>4051</v>
      </c>
      <c r="D93" s="7">
        <v>0.02</v>
      </c>
      <c r="E93" s="2">
        <v>15517.89</v>
      </c>
      <c r="F93" s="2">
        <v>310.36</v>
      </c>
    </row>
    <row r="94" spans="1:6" x14ac:dyDescent="0.25">
      <c r="A94" t="s">
        <v>4052</v>
      </c>
      <c r="B94" t="s">
        <v>5729</v>
      </c>
      <c r="C94" t="s">
        <v>287</v>
      </c>
      <c r="D94" s="7">
        <v>0.02</v>
      </c>
      <c r="E94" s="2">
        <v>3510.83</v>
      </c>
      <c r="F94" s="2">
        <v>70.22</v>
      </c>
    </row>
    <row r="95" spans="1:6" x14ac:dyDescent="0.25">
      <c r="A95" t="s">
        <v>4052</v>
      </c>
      <c r="B95" t="s">
        <v>4053</v>
      </c>
      <c r="C95" t="s">
        <v>4054</v>
      </c>
      <c r="D95" s="7">
        <v>10</v>
      </c>
      <c r="E95" s="2">
        <v>491.11</v>
      </c>
      <c r="F95" s="2">
        <v>49.11</v>
      </c>
    </row>
    <row r="96" spans="1:6" x14ac:dyDescent="0.25">
      <c r="A96" t="s">
        <v>4055</v>
      </c>
      <c r="D96" s="7"/>
      <c r="E96" s="2"/>
      <c r="F96" s="2">
        <f>SUBTOTAL(109,A_2_06_08[VALOR PARCIAL])</f>
      </c>
    </row>
    <row r="98" ht="30" customHeight="1" spans="1:6" x14ac:dyDescent="0.25">
      <c r="A98" s="5" t="s">
        <v>6882</v>
      </c>
      <c r="B98" s="5"/>
      <c r="C98" s="5"/>
      <c r="D98" s="5"/>
      <c r="E98" s="5"/>
      <c r="F98" s="5"/>
    </row>
    <row r="99" ht="42" customHeight="1" spans="1:6" x14ac:dyDescent="0.25">
      <c r="A99" s="6" t="s">
        <v>6883</v>
      </c>
      <c r="B99" s="6"/>
      <c r="C99" s="6"/>
      <c r="D99" s="6"/>
      <c r="E99" s="6"/>
      <c r="F99" s="6"/>
    </row>
    <row r="100" spans="1:6" x14ac:dyDescent="0.25">
      <c r="A100" t="s">
        <v>4044</v>
      </c>
      <c r="B100" t="s">
        <v>4045</v>
      </c>
      <c r="C100" t="s">
        <v>5</v>
      </c>
      <c r="D100" t="s">
        <v>4046</v>
      </c>
      <c r="E100" t="s">
        <v>4047</v>
      </c>
      <c r="F100" t="s">
        <v>4048</v>
      </c>
    </row>
    <row r="101" spans="1:6" x14ac:dyDescent="0.25">
      <c r="A101" t="s">
        <v>4062</v>
      </c>
      <c r="B101" t="s">
        <v>6870</v>
      </c>
      <c r="C101" t="s">
        <v>34</v>
      </c>
      <c r="D101" s="7">
        <v>0.56</v>
      </c>
      <c r="E101" s="2">
        <v>80523.33</v>
      </c>
      <c r="F101" s="2">
        <v>45093.06</v>
      </c>
    </row>
    <row r="102" spans="1:6" x14ac:dyDescent="0.25">
      <c r="A102" t="s">
        <v>4062</v>
      </c>
      <c r="B102" t="s">
        <v>6884</v>
      </c>
      <c r="C102" t="s">
        <v>231</v>
      </c>
      <c r="D102" s="7">
        <v>80.64</v>
      </c>
      <c r="E102" s="2">
        <v>2876.96</v>
      </c>
      <c r="F102" s="2">
        <v>231998.05</v>
      </c>
    </row>
    <row r="103" spans="1:6" x14ac:dyDescent="0.25">
      <c r="A103" t="s">
        <v>4062</v>
      </c>
      <c r="B103" t="s">
        <v>4475</v>
      </c>
      <c r="C103" t="s">
        <v>231</v>
      </c>
      <c r="D103" s="7">
        <v>224</v>
      </c>
      <c r="E103" s="2">
        <v>730</v>
      </c>
      <c r="F103" s="2">
        <v>163520</v>
      </c>
    </row>
    <row r="104" spans="1:6" x14ac:dyDescent="0.25">
      <c r="A104" t="s">
        <v>4062</v>
      </c>
      <c r="B104" t="s">
        <v>6885</v>
      </c>
      <c r="C104" t="s">
        <v>34</v>
      </c>
      <c r="D104" s="7">
        <v>0.56</v>
      </c>
      <c r="E104" s="2">
        <v>92483.33</v>
      </c>
      <c r="F104" s="2">
        <v>51790.66</v>
      </c>
    </row>
    <row r="105" spans="1:6" x14ac:dyDescent="0.25">
      <c r="A105" t="s">
        <v>4062</v>
      </c>
      <c r="B105" t="s">
        <v>6872</v>
      </c>
      <c r="C105" t="s">
        <v>4236</v>
      </c>
      <c r="D105" s="7">
        <v>4</v>
      </c>
      <c r="E105" s="2">
        <v>33592.56</v>
      </c>
      <c r="F105" s="2">
        <v>134370.24</v>
      </c>
    </row>
    <row r="106" spans="1:6" x14ac:dyDescent="0.25">
      <c r="A106" t="s">
        <v>4055</v>
      </c>
      <c r="D106" s="7"/>
      <c r="E106" s="2"/>
      <c r="F106" s="2">
        <f>SUBTOTAL(109,A_2_06_09[VALOR PARCIAL])</f>
      </c>
    </row>
    <row r="108" ht="30" customHeight="1" spans="1:6" x14ac:dyDescent="0.25">
      <c r="A108" s="5" t="s">
        <v>6886</v>
      </c>
      <c r="B108" s="5"/>
      <c r="C108" s="5"/>
      <c r="D108" s="5"/>
      <c r="E108" s="5"/>
      <c r="F108" s="5"/>
    </row>
    <row r="109" ht="42" customHeight="1" spans="1:6" x14ac:dyDescent="0.25">
      <c r="A109" s="6" t="s">
        <v>6887</v>
      </c>
      <c r="B109" s="6"/>
      <c r="C109" s="6"/>
      <c r="D109" s="6"/>
      <c r="E109" s="6"/>
      <c r="F109" s="6"/>
    </row>
    <row r="110" spans="1:6" x14ac:dyDescent="0.25">
      <c r="A110" t="s">
        <v>4044</v>
      </c>
      <c r="B110" t="s">
        <v>4045</v>
      </c>
      <c r="C110" t="s">
        <v>5</v>
      </c>
      <c r="D110" t="s">
        <v>4046</v>
      </c>
      <c r="E110" t="s">
        <v>4047</v>
      </c>
      <c r="F110" t="s">
        <v>4048</v>
      </c>
    </row>
    <row r="111" spans="1:6" x14ac:dyDescent="0.25">
      <c r="A111" t="s">
        <v>4062</v>
      </c>
      <c r="B111" t="s">
        <v>6870</v>
      </c>
      <c r="C111" t="s">
        <v>34</v>
      </c>
      <c r="D111" s="7">
        <v>0.67</v>
      </c>
      <c r="E111" s="2">
        <v>80523.33</v>
      </c>
      <c r="F111" s="2">
        <v>53950.63</v>
      </c>
    </row>
    <row r="112" spans="1:6" x14ac:dyDescent="0.25">
      <c r="A112" t="s">
        <v>4062</v>
      </c>
      <c r="B112" t="s">
        <v>6884</v>
      </c>
      <c r="C112" t="s">
        <v>231</v>
      </c>
      <c r="D112" s="7">
        <v>92.96</v>
      </c>
      <c r="E112" s="2">
        <v>2876.96</v>
      </c>
      <c r="F112" s="2">
        <v>267442.2</v>
      </c>
    </row>
    <row r="113" spans="1:6" x14ac:dyDescent="0.25">
      <c r="A113" t="s">
        <v>4062</v>
      </c>
      <c r="B113" t="s">
        <v>4475</v>
      </c>
      <c r="C113" t="s">
        <v>231</v>
      </c>
      <c r="D113" s="7">
        <v>257.6</v>
      </c>
      <c r="E113" s="2">
        <v>730</v>
      </c>
      <c r="F113" s="2">
        <v>188048</v>
      </c>
    </row>
    <row r="114" spans="1:6" x14ac:dyDescent="0.25">
      <c r="A114" t="s">
        <v>4062</v>
      </c>
      <c r="B114" t="s">
        <v>6885</v>
      </c>
      <c r="C114" t="s">
        <v>34</v>
      </c>
      <c r="D114" s="7">
        <v>0.67</v>
      </c>
      <c r="E114" s="2">
        <v>92483.33</v>
      </c>
      <c r="F114" s="2">
        <v>61963.83</v>
      </c>
    </row>
    <row r="115" spans="1:6" x14ac:dyDescent="0.25">
      <c r="A115" t="s">
        <v>4062</v>
      </c>
      <c r="B115" t="s">
        <v>6872</v>
      </c>
      <c r="C115" t="s">
        <v>4236</v>
      </c>
      <c r="D115" s="7">
        <v>5</v>
      </c>
      <c r="E115" s="2">
        <v>33592.56</v>
      </c>
      <c r="F115" s="2">
        <v>167962.8</v>
      </c>
    </row>
    <row r="116" spans="1:6" x14ac:dyDescent="0.25">
      <c r="A116" t="s">
        <v>4055</v>
      </c>
      <c r="D116" s="7"/>
      <c r="E116" s="2"/>
      <c r="F116" s="2">
        <f>SUBTOTAL(109,A_2_06_10[VALOR PARCIAL])</f>
      </c>
    </row>
    <row r="118" ht="30" customHeight="1" spans="1:6" x14ac:dyDescent="0.25">
      <c r="A118" s="5" t="s">
        <v>6888</v>
      </c>
      <c r="B118" s="5"/>
      <c r="C118" s="5"/>
      <c r="D118" s="5"/>
      <c r="E118" s="5"/>
      <c r="F118" s="5"/>
    </row>
    <row r="119" ht="42" customHeight="1" spans="1:6" x14ac:dyDescent="0.25">
      <c r="A119" s="6" t="s">
        <v>6889</v>
      </c>
      <c r="B119" s="6"/>
      <c r="C119" s="6"/>
      <c r="D119" s="6"/>
      <c r="E119" s="6"/>
      <c r="F119" s="6"/>
    </row>
    <row r="120" spans="1:6" x14ac:dyDescent="0.25">
      <c r="A120" t="s">
        <v>4044</v>
      </c>
      <c r="B120" t="s">
        <v>4045</v>
      </c>
      <c r="C120" t="s">
        <v>5</v>
      </c>
      <c r="D120" t="s">
        <v>4046</v>
      </c>
      <c r="E120" t="s">
        <v>4047</v>
      </c>
      <c r="F120" t="s">
        <v>4048</v>
      </c>
    </row>
    <row r="121" spans="1:6" x14ac:dyDescent="0.25">
      <c r="A121" t="s">
        <v>4062</v>
      </c>
      <c r="B121" t="s">
        <v>6871</v>
      </c>
      <c r="C121" t="s">
        <v>63</v>
      </c>
      <c r="D121" s="7">
        <v>1</v>
      </c>
      <c r="E121" s="2">
        <v>219000</v>
      </c>
      <c r="F121" s="2">
        <v>219000</v>
      </c>
    </row>
    <row r="122" spans="1:6" x14ac:dyDescent="0.25">
      <c r="A122" t="s">
        <v>4062</v>
      </c>
      <c r="B122" t="s">
        <v>6884</v>
      </c>
      <c r="C122" t="s">
        <v>231</v>
      </c>
      <c r="D122" s="7">
        <v>8</v>
      </c>
      <c r="E122" s="2">
        <v>2876.96</v>
      </c>
      <c r="F122" s="2">
        <v>23015.68</v>
      </c>
    </row>
    <row r="123" spans="1:6" x14ac:dyDescent="0.25">
      <c r="A123" t="s">
        <v>4062</v>
      </c>
      <c r="B123" t="s">
        <v>680</v>
      </c>
      <c r="C123" t="s">
        <v>21</v>
      </c>
      <c r="D123" s="7">
        <v>3.8</v>
      </c>
      <c r="E123" s="2">
        <v>23671.78</v>
      </c>
      <c r="F123" s="2">
        <v>89952.76</v>
      </c>
    </row>
    <row r="124" spans="1:6" x14ac:dyDescent="0.25">
      <c r="A124" t="s">
        <v>4062</v>
      </c>
      <c r="B124" t="s">
        <v>6890</v>
      </c>
      <c r="C124" t="s">
        <v>21</v>
      </c>
      <c r="D124" s="7">
        <v>5.7</v>
      </c>
      <c r="E124" s="2">
        <v>104924.15</v>
      </c>
      <c r="F124" s="2">
        <v>598067.66</v>
      </c>
    </row>
    <row r="125" spans="1:6" x14ac:dyDescent="0.25">
      <c r="A125" t="s">
        <v>4062</v>
      </c>
      <c r="B125" t="s">
        <v>5818</v>
      </c>
      <c r="C125" t="s">
        <v>4236</v>
      </c>
      <c r="D125" s="7">
        <v>2.24</v>
      </c>
      <c r="E125" s="2">
        <v>24555.22</v>
      </c>
      <c r="F125" s="2">
        <v>55003.69</v>
      </c>
    </row>
    <row r="126" spans="1:6" x14ac:dyDescent="0.25">
      <c r="A126" t="s">
        <v>4055</v>
      </c>
      <c r="D126" s="7"/>
      <c r="E126" s="2"/>
      <c r="F126" s="2">
        <f>SUBTOTAL(109,A_2_06_11[VALOR PARCIAL])</f>
      </c>
    </row>
    <row r="128" ht="30" customHeight="1" spans="1:6" x14ac:dyDescent="0.25">
      <c r="A128" s="5" t="s">
        <v>6891</v>
      </c>
      <c r="B128" s="5"/>
      <c r="C128" s="5"/>
      <c r="D128" s="5"/>
      <c r="E128" s="5"/>
      <c r="F128" s="5"/>
    </row>
    <row r="129" ht="42" customHeight="1" spans="1:6" x14ac:dyDescent="0.25">
      <c r="A129" s="6" t="s">
        <v>6889</v>
      </c>
      <c r="B129" s="6"/>
      <c r="C129" s="6"/>
      <c r="D129" s="6"/>
      <c r="E129" s="6"/>
      <c r="F129" s="6"/>
    </row>
    <row r="130" spans="1:6" x14ac:dyDescent="0.25">
      <c r="A130" t="s">
        <v>4044</v>
      </c>
      <c r="B130" t="s">
        <v>4045</v>
      </c>
      <c r="C130" t="s">
        <v>5</v>
      </c>
      <c r="D130" t="s">
        <v>4046</v>
      </c>
      <c r="E130" t="s">
        <v>4047</v>
      </c>
      <c r="F130" t="s">
        <v>4048</v>
      </c>
    </row>
    <row r="131" spans="1:6" x14ac:dyDescent="0.25">
      <c r="A131" t="s">
        <v>4062</v>
      </c>
      <c r="B131" t="s">
        <v>6871</v>
      </c>
      <c r="C131" t="s">
        <v>63</v>
      </c>
      <c r="D131" s="7">
        <v>1</v>
      </c>
      <c r="E131" s="2">
        <v>219000</v>
      </c>
      <c r="F131" s="2">
        <v>219000</v>
      </c>
    </row>
    <row r="132" spans="1:6" x14ac:dyDescent="0.25">
      <c r="A132" t="s">
        <v>4062</v>
      </c>
      <c r="B132" t="s">
        <v>6884</v>
      </c>
      <c r="C132" t="s">
        <v>231</v>
      </c>
      <c r="D132" s="7">
        <v>8</v>
      </c>
      <c r="E132" s="2">
        <v>2876.96</v>
      </c>
      <c r="F132" s="2">
        <v>23015.68</v>
      </c>
    </row>
    <row r="133" spans="1:6" x14ac:dyDescent="0.25">
      <c r="A133" t="s">
        <v>4062</v>
      </c>
      <c r="B133" t="s">
        <v>680</v>
      </c>
      <c r="C133" t="s">
        <v>21</v>
      </c>
      <c r="D133" s="7">
        <v>3.8</v>
      </c>
      <c r="E133" s="2">
        <v>23671.78</v>
      </c>
      <c r="F133" s="2">
        <v>89952.76</v>
      </c>
    </row>
    <row r="134" spans="1:6" x14ac:dyDescent="0.25">
      <c r="A134" t="s">
        <v>4062</v>
      </c>
      <c r="B134" t="s">
        <v>6890</v>
      </c>
      <c r="C134" t="s">
        <v>21</v>
      </c>
      <c r="D134" s="7">
        <v>5.7</v>
      </c>
      <c r="E134" s="2">
        <v>104924.15</v>
      </c>
      <c r="F134" s="2">
        <v>598067.66</v>
      </c>
    </row>
    <row r="135" spans="1:6" x14ac:dyDescent="0.25">
      <c r="A135" t="s">
        <v>4062</v>
      </c>
      <c r="B135" t="s">
        <v>5818</v>
      </c>
      <c r="C135" t="s">
        <v>4236</v>
      </c>
      <c r="D135" s="7">
        <v>2.24</v>
      </c>
      <c r="E135" s="2">
        <v>24555.22</v>
      </c>
      <c r="F135" s="2">
        <v>55003.69</v>
      </c>
    </row>
    <row r="136" spans="1:6" x14ac:dyDescent="0.25">
      <c r="A136" t="s">
        <v>4055</v>
      </c>
      <c r="D136" s="7"/>
      <c r="E136" s="2"/>
      <c r="F136" s="2">
        <f>SUBTOTAL(109,A_2_06_12[VALOR PARCIAL])</f>
      </c>
    </row>
    <row r="138" ht="30" customHeight="1" spans="1:6" x14ac:dyDescent="0.25">
      <c r="A138" s="5" t="s">
        <v>6892</v>
      </c>
      <c r="B138" s="5"/>
      <c r="C138" s="5"/>
      <c r="D138" s="5"/>
      <c r="E138" s="5"/>
      <c r="F138" s="5"/>
    </row>
    <row r="139" ht="42" customHeight="1" spans="1:6" x14ac:dyDescent="0.25">
      <c r="A139" s="6" t="s">
        <v>6893</v>
      </c>
      <c r="B139" s="6"/>
      <c r="C139" s="6"/>
      <c r="D139" s="6"/>
      <c r="E139" s="6"/>
      <c r="F139" s="6"/>
    </row>
    <row r="140" spans="1:6" x14ac:dyDescent="0.25">
      <c r="A140" t="s">
        <v>4044</v>
      </c>
      <c r="B140" t="s">
        <v>4045</v>
      </c>
      <c r="C140" t="s">
        <v>5</v>
      </c>
      <c r="D140" t="s">
        <v>4046</v>
      </c>
      <c r="E140" t="s">
        <v>4047</v>
      </c>
      <c r="F140" t="s">
        <v>4048</v>
      </c>
    </row>
    <row r="141" spans="1:6" x14ac:dyDescent="0.25">
      <c r="A141" t="s">
        <v>4062</v>
      </c>
      <c r="B141" t="s">
        <v>6871</v>
      </c>
      <c r="C141" t="s">
        <v>63</v>
      </c>
      <c r="D141" s="7">
        <v>1</v>
      </c>
      <c r="E141" s="2">
        <v>219000</v>
      </c>
      <c r="F141" s="2">
        <v>219000</v>
      </c>
    </row>
    <row r="142" spans="1:6" x14ac:dyDescent="0.25">
      <c r="A142" t="s">
        <v>4062</v>
      </c>
      <c r="B142" t="s">
        <v>6884</v>
      </c>
      <c r="C142" t="s">
        <v>231</v>
      </c>
      <c r="D142" s="7">
        <v>12</v>
      </c>
      <c r="E142" s="2">
        <v>2876.96</v>
      </c>
      <c r="F142" s="2">
        <v>34523.52</v>
      </c>
    </row>
    <row r="143" spans="1:6" x14ac:dyDescent="0.25">
      <c r="A143" t="s">
        <v>4062</v>
      </c>
      <c r="B143" t="s">
        <v>4001</v>
      </c>
      <c r="C143" t="s">
        <v>34</v>
      </c>
      <c r="D143" s="7">
        <v>0.35</v>
      </c>
      <c r="E143" s="2">
        <v>450245.66</v>
      </c>
      <c r="F143" s="2">
        <v>157585.98</v>
      </c>
    </row>
    <row r="144" spans="1:6" x14ac:dyDescent="0.25">
      <c r="A144" t="s">
        <v>4062</v>
      </c>
      <c r="B144" t="s">
        <v>4031</v>
      </c>
      <c r="C144" t="s">
        <v>21</v>
      </c>
      <c r="D144" s="7">
        <v>7.4</v>
      </c>
      <c r="E144" s="2">
        <v>142134.84</v>
      </c>
      <c r="F144" s="2">
        <v>1051797.82</v>
      </c>
    </row>
    <row r="145" spans="1:6" x14ac:dyDescent="0.25">
      <c r="A145" t="s">
        <v>4062</v>
      </c>
      <c r="B145" t="s">
        <v>680</v>
      </c>
      <c r="C145" t="s">
        <v>21</v>
      </c>
      <c r="D145" s="7">
        <v>6.3</v>
      </c>
      <c r="E145" s="2">
        <v>23671.78</v>
      </c>
      <c r="F145" s="2">
        <v>149132.21</v>
      </c>
    </row>
    <row r="146" spans="1:6" x14ac:dyDescent="0.25">
      <c r="A146" t="s">
        <v>4062</v>
      </c>
      <c r="B146" t="s">
        <v>5818</v>
      </c>
      <c r="C146" t="s">
        <v>4236</v>
      </c>
      <c r="D146" s="7">
        <v>5.6</v>
      </c>
      <c r="E146" s="2">
        <v>24555.22</v>
      </c>
      <c r="F146" s="2">
        <v>137509.23</v>
      </c>
    </row>
    <row r="147" spans="1:6" x14ac:dyDescent="0.25">
      <c r="A147" t="s">
        <v>4055</v>
      </c>
      <c r="D147" s="7"/>
      <c r="E147" s="2"/>
      <c r="F147" s="2">
        <f>SUBTOTAL(109,A_2_06_13[VALOR PARCIAL])</f>
      </c>
    </row>
    <row r="149" ht="30" customHeight="1" spans="1:6" x14ac:dyDescent="0.25">
      <c r="A149" s="5" t="s">
        <v>6894</v>
      </c>
      <c r="B149" s="5"/>
      <c r="C149" s="5"/>
      <c r="D149" s="5"/>
      <c r="E149" s="5"/>
      <c r="F149" s="5"/>
    </row>
    <row r="150" ht="42" customHeight="1" spans="1:6" x14ac:dyDescent="0.25">
      <c r="A150" s="6" t="s">
        <v>6893</v>
      </c>
      <c r="B150" s="6"/>
      <c r="C150" s="6"/>
      <c r="D150" s="6"/>
      <c r="E150" s="6"/>
      <c r="F150" s="6"/>
    </row>
    <row r="151" spans="1:6" x14ac:dyDescent="0.25">
      <c r="A151" t="s">
        <v>4044</v>
      </c>
      <c r="B151" t="s">
        <v>4045</v>
      </c>
      <c r="C151" t="s">
        <v>5</v>
      </c>
      <c r="D151" t="s">
        <v>4046</v>
      </c>
      <c r="E151" t="s">
        <v>4047</v>
      </c>
      <c r="F151" t="s">
        <v>4048</v>
      </c>
    </row>
    <row r="152" spans="1:6" x14ac:dyDescent="0.25">
      <c r="A152" t="s">
        <v>4062</v>
      </c>
      <c r="B152" t="s">
        <v>6871</v>
      </c>
      <c r="C152" t="s">
        <v>63</v>
      </c>
      <c r="D152" s="7">
        <v>1</v>
      </c>
      <c r="E152" s="2">
        <v>219000</v>
      </c>
      <c r="F152" s="2">
        <v>219000</v>
      </c>
    </row>
    <row r="153" spans="1:6" x14ac:dyDescent="0.25">
      <c r="A153" t="s">
        <v>4062</v>
      </c>
      <c r="B153" t="s">
        <v>6884</v>
      </c>
      <c r="C153" t="s">
        <v>231</v>
      </c>
      <c r="D153" s="7">
        <v>12</v>
      </c>
      <c r="E153" s="2">
        <v>2876.96</v>
      </c>
      <c r="F153" s="2">
        <v>34523.52</v>
      </c>
    </row>
    <row r="154" spans="1:6" x14ac:dyDescent="0.25">
      <c r="A154" t="s">
        <v>4062</v>
      </c>
      <c r="B154" t="s">
        <v>4001</v>
      </c>
      <c r="C154" t="s">
        <v>34</v>
      </c>
      <c r="D154" s="7">
        <v>0.35</v>
      </c>
      <c r="E154" s="2">
        <v>450245.66</v>
      </c>
      <c r="F154" s="2">
        <v>157585.98</v>
      </c>
    </row>
    <row r="155" spans="1:6" x14ac:dyDescent="0.25">
      <c r="A155" t="s">
        <v>4062</v>
      </c>
      <c r="B155" t="s">
        <v>4031</v>
      </c>
      <c r="C155" t="s">
        <v>21</v>
      </c>
      <c r="D155" s="7">
        <v>7.4</v>
      </c>
      <c r="E155" s="2">
        <v>142134.84</v>
      </c>
      <c r="F155" s="2">
        <v>1051797.82</v>
      </c>
    </row>
    <row r="156" spans="1:6" x14ac:dyDescent="0.25">
      <c r="A156" t="s">
        <v>4062</v>
      </c>
      <c r="B156" t="s">
        <v>680</v>
      </c>
      <c r="C156" t="s">
        <v>21</v>
      </c>
      <c r="D156" s="7">
        <v>6.3</v>
      </c>
      <c r="E156" s="2">
        <v>23671.78</v>
      </c>
      <c r="F156" s="2">
        <v>149132.21</v>
      </c>
    </row>
    <row r="157" spans="1:6" x14ac:dyDescent="0.25">
      <c r="A157" t="s">
        <v>4062</v>
      </c>
      <c r="B157" t="s">
        <v>5818</v>
      </c>
      <c r="C157" t="s">
        <v>4236</v>
      </c>
      <c r="D157" s="7">
        <v>5.6</v>
      </c>
      <c r="E157" s="2">
        <v>24555.22</v>
      </c>
      <c r="F157" s="2">
        <v>137509.23</v>
      </c>
    </row>
    <row r="158" spans="1:6" x14ac:dyDescent="0.25">
      <c r="A158" t="s">
        <v>4055</v>
      </c>
      <c r="D158" s="7"/>
      <c r="E158" s="2"/>
      <c r="F158" s="2">
        <f>SUBTOTAL(109,A_2_06_14[VALOR PARCIAL])</f>
      </c>
    </row>
    <row r="160" ht="30" customHeight="1" spans="1:6" x14ac:dyDescent="0.25">
      <c r="A160" s="5" t="s">
        <v>6895</v>
      </c>
      <c r="B160" s="5"/>
      <c r="C160" s="5"/>
      <c r="D160" s="5"/>
      <c r="E160" s="5"/>
      <c r="F160" s="5"/>
    </row>
    <row r="161" ht="42" customHeight="1" spans="1:6" x14ac:dyDescent="0.25">
      <c r="A161" s="6" t="s">
        <v>6896</v>
      </c>
      <c r="B161" s="6"/>
      <c r="C161" s="6"/>
      <c r="D161" s="6"/>
      <c r="E161" s="6"/>
      <c r="F161" s="6"/>
    </row>
    <row r="162" spans="1:6" x14ac:dyDescent="0.25">
      <c r="A162" t="s">
        <v>4044</v>
      </c>
      <c r="B162" t="s">
        <v>4045</v>
      </c>
      <c r="C162" t="s">
        <v>5</v>
      </c>
      <c r="D162" t="s">
        <v>4046</v>
      </c>
      <c r="E162" t="s">
        <v>4047</v>
      </c>
      <c r="F162" t="s">
        <v>4048</v>
      </c>
    </row>
    <row r="163" spans="1:6" x14ac:dyDescent="0.25">
      <c r="A163" t="s">
        <v>4062</v>
      </c>
      <c r="B163" t="s">
        <v>6871</v>
      </c>
      <c r="C163" t="s">
        <v>63</v>
      </c>
      <c r="D163" s="7">
        <v>1</v>
      </c>
      <c r="E163" s="2">
        <v>219000</v>
      </c>
      <c r="F163" s="2">
        <v>219000</v>
      </c>
    </row>
    <row r="164" spans="1:6" x14ac:dyDescent="0.25">
      <c r="A164" t="s">
        <v>4062</v>
      </c>
      <c r="B164" t="s">
        <v>6884</v>
      </c>
      <c r="C164" t="s">
        <v>231</v>
      </c>
      <c r="D164" s="7">
        <v>16</v>
      </c>
      <c r="E164" s="2">
        <v>2876.96</v>
      </c>
      <c r="F164" s="2">
        <v>46031.36</v>
      </c>
    </row>
    <row r="165" spans="1:6" x14ac:dyDescent="0.25">
      <c r="A165" t="s">
        <v>4062</v>
      </c>
      <c r="B165" t="s">
        <v>4001</v>
      </c>
      <c r="C165" t="s">
        <v>34</v>
      </c>
      <c r="D165" s="7">
        <v>0.5</v>
      </c>
      <c r="E165" s="2">
        <v>450245.66</v>
      </c>
      <c r="F165" s="2">
        <v>225122.83</v>
      </c>
    </row>
    <row r="166" spans="1:6" x14ac:dyDescent="0.25">
      <c r="A166" t="s">
        <v>4062</v>
      </c>
      <c r="B166" t="s">
        <v>4031</v>
      </c>
      <c r="C166" t="s">
        <v>21</v>
      </c>
      <c r="D166" s="7">
        <v>9.5</v>
      </c>
      <c r="E166" s="2">
        <v>142134.84</v>
      </c>
      <c r="F166" s="2">
        <v>1350280.98</v>
      </c>
    </row>
    <row r="167" spans="1:6" x14ac:dyDescent="0.25">
      <c r="A167" t="s">
        <v>4062</v>
      </c>
      <c r="B167" t="s">
        <v>680</v>
      </c>
      <c r="C167" t="s">
        <v>21</v>
      </c>
      <c r="D167" s="7">
        <v>7.4</v>
      </c>
      <c r="E167" s="2">
        <v>23671.78</v>
      </c>
      <c r="F167" s="2">
        <v>175171.17</v>
      </c>
    </row>
    <row r="168" spans="1:6" x14ac:dyDescent="0.25">
      <c r="A168" t="s">
        <v>4062</v>
      </c>
      <c r="B168" t="s">
        <v>5818</v>
      </c>
      <c r="C168" t="s">
        <v>4236</v>
      </c>
      <c r="D168" s="7">
        <v>7.83</v>
      </c>
      <c r="E168" s="2">
        <v>24555.22</v>
      </c>
      <c r="F168" s="2">
        <v>192267.37</v>
      </c>
    </row>
    <row r="169" spans="1:6" x14ac:dyDescent="0.25">
      <c r="A169" t="s">
        <v>4055</v>
      </c>
      <c r="D169" s="7"/>
      <c r="E169" s="2"/>
      <c r="F169" s="2">
        <f>SUBTOTAL(109,A_2_06_15[VALOR PARCIAL])</f>
      </c>
    </row>
    <row r="171" ht="30" customHeight="1" spans="1:6" x14ac:dyDescent="0.25">
      <c r="A171" s="5" t="s">
        <v>6897</v>
      </c>
      <c r="B171" s="5"/>
      <c r="C171" s="5"/>
      <c r="D171" s="5"/>
      <c r="E171" s="5"/>
      <c r="F171" s="5"/>
    </row>
    <row r="172" ht="42" customHeight="1" spans="1:6" x14ac:dyDescent="0.25">
      <c r="A172" s="6" t="s">
        <v>6898</v>
      </c>
      <c r="B172" s="6"/>
      <c r="C172" s="6"/>
      <c r="D172" s="6"/>
      <c r="E172" s="6"/>
      <c r="F172" s="6"/>
    </row>
    <row r="173" spans="1:6" x14ac:dyDescent="0.25">
      <c r="A173" t="s">
        <v>4044</v>
      </c>
      <c r="B173" t="s">
        <v>4045</v>
      </c>
      <c r="C173" t="s">
        <v>5</v>
      </c>
      <c r="D173" t="s">
        <v>4046</v>
      </c>
      <c r="E173" t="s">
        <v>4047</v>
      </c>
      <c r="F173" t="s">
        <v>4048</v>
      </c>
    </row>
    <row r="174" spans="1:6" x14ac:dyDescent="0.25">
      <c r="A174" t="s">
        <v>4062</v>
      </c>
      <c r="B174" t="s">
        <v>6871</v>
      </c>
      <c r="C174" t="s">
        <v>63</v>
      </c>
      <c r="D174" s="7">
        <v>1</v>
      </c>
      <c r="E174" s="2">
        <v>219000</v>
      </c>
      <c r="F174" s="2">
        <v>219000</v>
      </c>
    </row>
    <row r="175" spans="1:6" x14ac:dyDescent="0.25">
      <c r="A175" t="s">
        <v>4062</v>
      </c>
      <c r="B175" t="s">
        <v>6884</v>
      </c>
      <c r="C175" t="s">
        <v>231</v>
      </c>
      <c r="D175" s="7">
        <v>20</v>
      </c>
      <c r="E175" s="2">
        <v>2876.96</v>
      </c>
      <c r="F175" s="2">
        <v>57539.2</v>
      </c>
    </row>
    <row r="176" spans="1:6" x14ac:dyDescent="0.25">
      <c r="A176" t="s">
        <v>4062</v>
      </c>
      <c r="B176" t="s">
        <v>4001</v>
      </c>
      <c r="C176" t="s">
        <v>34</v>
      </c>
      <c r="D176" s="7">
        <v>0.6</v>
      </c>
      <c r="E176" s="2">
        <v>450245.66</v>
      </c>
      <c r="F176" s="2">
        <v>270147.4</v>
      </c>
    </row>
    <row r="177" spans="1:6" x14ac:dyDescent="0.25">
      <c r="A177" t="s">
        <v>4062</v>
      </c>
      <c r="B177" t="s">
        <v>4031</v>
      </c>
      <c r="C177" t="s">
        <v>21</v>
      </c>
      <c r="D177" s="7">
        <v>16.9</v>
      </c>
      <c r="E177" s="2">
        <v>142134.84</v>
      </c>
      <c r="F177" s="2">
        <v>2402078.8</v>
      </c>
    </row>
    <row r="178" spans="1:6" x14ac:dyDescent="0.25">
      <c r="A178" t="s">
        <v>4062</v>
      </c>
      <c r="B178" t="s">
        <v>680</v>
      </c>
      <c r="C178" t="s">
        <v>21</v>
      </c>
      <c r="D178" s="7">
        <v>9.4</v>
      </c>
      <c r="E178" s="2">
        <v>23671.78</v>
      </c>
      <c r="F178" s="2">
        <v>222514.73</v>
      </c>
    </row>
    <row r="179" spans="1:6" x14ac:dyDescent="0.25">
      <c r="A179" t="s">
        <v>4062</v>
      </c>
      <c r="B179" t="s">
        <v>5818</v>
      </c>
      <c r="C179" t="s">
        <v>4236</v>
      </c>
      <c r="D179" s="7">
        <v>8.95</v>
      </c>
      <c r="E179" s="2">
        <v>24555.22</v>
      </c>
      <c r="F179" s="2">
        <v>219769.22</v>
      </c>
    </row>
    <row r="180" spans="1:6" x14ac:dyDescent="0.25">
      <c r="A180" t="s">
        <v>4055</v>
      </c>
      <c r="D180" s="7"/>
      <c r="E180" s="2"/>
      <c r="F180" s="2">
        <f>SUBTOTAL(109,A_2_06_16[VALOR PARCIAL])</f>
      </c>
    </row>
    <row r="182" ht="30" customHeight="1" spans="1:6" x14ac:dyDescent="0.25">
      <c r="A182" s="5" t="s">
        <v>6899</v>
      </c>
      <c r="B182" s="5"/>
      <c r="C182" s="5"/>
      <c r="D182" s="5"/>
      <c r="E182" s="5"/>
      <c r="F182" s="5"/>
    </row>
    <row r="183" ht="42" customHeight="1" spans="1:6" x14ac:dyDescent="0.25">
      <c r="A183" s="6" t="s">
        <v>6900</v>
      </c>
      <c r="B183" s="6"/>
      <c r="C183" s="6"/>
      <c r="D183" s="6"/>
      <c r="E183" s="6"/>
      <c r="F183" s="6"/>
    </row>
    <row r="184" spans="1:6" x14ac:dyDescent="0.25">
      <c r="A184" t="s">
        <v>4044</v>
      </c>
      <c r="B184" t="s">
        <v>4045</v>
      </c>
      <c r="C184" t="s">
        <v>5</v>
      </c>
      <c r="D184" t="s">
        <v>4046</v>
      </c>
      <c r="E184" t="s">
        <v>4047</v>
      </c>
      <c r="F184" t="s">
        <v>4048</v>
      </c>
    </row>
    <row r="185" spans="1:6" x14ac:dyDescent="0.25">
      <c r="A185" t="s">
        <v>4062</v>
      </c>
      <c r="B185" t="s">
        <v>4012</v>
      </c>
      <c r="C185" t="s">
        <v>34</v>
      </c>
      <c r="D185" s="7">
        <v>0.85</v>
      </c>
      <c r="E185" s="2">
        <v>475506.98</v>
      </c>
      <c r="F185" s="2">
        <v>404180.93</v>
      </c>
    </row>
    <row r="186" spans="1:6" x14ac:dyDescent="0.25">
      <c r="A186" t="s">
        <v>4062</v>
      </c>
      <c r="B186" t="s">
        <v>4004</v>
      </c>
      <c r="C186" t="s">
        <v>34</v>
      </c>
      <c r="D186" s="7">
        <v>0.15</v>
      </c>
      <c r="E186" s="2">
        <v>426702.51</v>
      </c>
      <c r="F186" s="2">
        <v>64005.38</v>
      </c>
    </row>
    <row r="187" spans="1:6" x14ac:dyDescent="0.25">
      <c r="A187" t="s">
        <v>4062</v>
      </c>
      <c r="B187" t="s">
        <v>4486</v>
      </c>
      <c r="C187" t="s">
        <v>231</v>
      </c>
      <c r="D187" s="7">
        <v>80.8</v>
      </c>
      <c r="E187" s="2">
        <v>3049</v>
      </c>
      <c r="F187" s="2">
        <v>246359.2</v>
      </c>
    </row>
    <row r="188" spans="1:6" x14ac:dyDescent="0.25">
      <c r="A188" t="s">
        <v>4062</v>
      </c>
      <c r="B188" t="s">
        <v>5818</v>
      </c>
      <c r="C188" t="s">
        <v>4236</v>
      </c>
      <c r="D188" s="7">
        <v>4</v>
      </c>
      <c r="E188" s="2">
        <v>24555.22</v>
      </c>
      <c r="F188" s="2">
        <v>98220.88</v>
      </c>
    </row>
    <row r="189" spans="1:6" x14ac:dyDescent="0.25">
      <c r="A189" t="s">
        <v>4055</v>
      </c>
      <c r="D189" s="7"/>
      <c r="E189" s="2"/>
      <c r="F189" s="2">
        <f>SUBTOTAL(109,A_2_06_17[VALOR PARCIAL])</f>
      </c>
    </row>
    <row r="191" ht="30" customHeight="1" spans="1:6" x14ac:dyDescent="0.25">
      <c r="A191" s="5" t="s">
        <v>6901</v>
      </c>
      <c r="B191" s="5"/>
      <c r="C191" s="5"/>
      <c r="D191" s="5"/>
      <c r="E191" s="5"/>
      <c r="F191" s="5"/>
    </row>
    <row r="192" ht="42" customHeight="1" spans="1:6" x14ac:dyDescent="0.25">
      <c r="A192" s="6" t="s">
        <v>6902</v>
      </c>
      <c r="B192" s="6"/>
      <c r="C192" s="6"/>
      <c r="D192" s="6"/>
      <c r="E192" s="6"/>
      <c r="F192" s="6"/>
    </row>
    <row r="193" spans="1:6" x14ac:dyDescent="0.25">
      <c r="A193" t="s">
        <v>4044</v>
      </c>
      <c r="B193" t="s">
        <v>4045</v>
      </c>
      <c r="C193" t="s">
        <v>5</v>
      </c>
      <c r="D193" t="s">
        <v>4046</v>
      </c>
      <c r="E193" t="s">
        <v>4047</v>
      </c>
      <c r="F193" t="s">
        <v>4048</v>
      </c>
    </row>
    <row r="194" spans="1:6" x14ac:dyDescent="0.25">
      <c r="A194" t="s">
        <v>4049</v>
      </c>
      <c r="B194" t="s">
        <v>4050</v>
      </c>
      <c r="C194" t="s">
        <v>4051</v>
      </c>
      <c r="D194" s="7">
        <v>1.8</v>
      </c>
      <c r="E194" s="2">
        <v>9037.33</v>
      </c>
      <c r="F194" s="2">
        <v>16267.19</v>
      </c>
    </row>
    <row r="195" spans="1:6" x14ac:dyDescent="0.25">
      <c r="A195" t="s">
        <v>4052</v>
      </c>
      <c r="B195" t="s">
        <v>4118</v>
      </c>
      <c r="C195" t="s">
        <v>287</v>
      </c>
      <c r="D195" s="7">
        <v>0.03</v>
      </c>
      <c r="E195" s="2">
        <v>107433.33</v>
      </c>
      <c r="F195" s="2">
        <v>3223</v>
      </c>
    </row>
    <row r="196" spans="1:6" x14ac:dyDescent="0.25">
      <c r="A196" t="s">
        <v>4052</v>
      </c>
      <c r="B196" t="s">
        <v>4053</v>
      </c>
      <c r="C196" t="s">
        <v>4054</v>
      </c>
      <c r="D196" s="7">
        <v>3</v>
      </c>
      <c r="E196" s="2">
        <v>16267.19</v>
      </c>
      <c r="F196" s="2">
        <v>488.02</v>
      </c>
    </row>
    <row r="197" spans="1:6" x14ac:dyDescent="0.25">
      <c r="A197" t="s">
        <v>4055</v>
      </c>
      <c r="D197" s="7"/>
      <c r="E197" s="2"/>
      <c r="F197" s="2">
        <f>SUBTOTAL(109,A_2_06_18[VALOR PARCIAL])</f>
      </c>
    </row>
    <row r="199" ht="30" customHeight="1" spans="1:6" x14ac:dyDescent="0.25">
      <c r="A199" s="5" t="s">
        <v>6903</v>
      </c>
      <c r="B199" s="5"/>
      <c r="C199" s="5"/>
      <c r="D199" s="5"/>
      <c r="E199" s="5"/>
      <c r="F199" s="5"/>
    </row>
    <row r="200" ht="42" customHeight="1" spans="1:6" x14ac:dyDescent="0.25">
      <c r="A200" s="6" t="s">
        <v>6904</v>
      </c>
      <c r="B200" s="6"/>
      <c r="C200" s="6"/>
      <c r="D200" s="6"/>
      <c r="E200" s="6"/>
      <c r="F200" s="6"/>
    </row>
    <row r="201" spans="1:6" x14ac:dyDescent="0.25">
      <c r="A201" t="s">
        <v>4044</v>
      </c>
      <c r="B201" t="s">
        <v>4045</v>
      </c>
      <c r="C201" t="s">
        <v>5</v>
      </c>
      <c r="D201" t="s">
        <v>4046</v>
      </c>
      <c r="E201" t="s">
        <v>4047</v>
      </c>
      <c r="F201" t="s">
        <v>4048</v>
      </c>
    </row>
    <row r="202" spans="1:6" x14ac:dyDescent="0.25">
      <c r="A202" t="s">
        <v>4049</v>
      </c>
      <c r="B202" t="s">
        <v>4050</v>
      </c>
      <c r="C202" t="s">
        <v>4051</v>
      </c>
      <c r="D202" s="7">
        <v>1</v>
      </c>
      <c r="E202" s="2">
        <v>9037.33</v>
      </c>
      <c r="F202" s="2">
        <v>9037.33</v>
      </c>
    </row>
    <row r="203" spans="1:6" x14ac:dyDescent="0.25">
      <c r="A203" t="s">
        <v>4052</v>
      </c>
      <c r="B203" t="s">
        <v>4053</v>
      </c>
      <c r="C203" t="s">
        <v>4054</v>
      </c>
      <c r="D203" s="7">
        <v>3</v>
      </c>
      <c r="E203" s="2">
        <v>9037.33</v>
      </c>
      <c r="F203" s="2">
        <v>271.12</v>
      </c>
    </row>
    <row r="204" spans="1:6" x14ac:dyDescent="0.25">
      <c r="A204" t="s">
        <v>4055</v>
      </c>
      <c r="D204" s="7"/>
      <c r="E204" s="2"/>
      <c r="F204" s="2">
        <f>SUBTOTAL(109,A_2_06_19[VALOR PARCIAL])</f>
      </c>
    </row>
    <row r="206" ht="30" customHeight="1" spans="1:6" x14ac:dyDescent="0.25">
      <c r="A206" s="5" t="s">
        <v>6905</v>
      </c>
      <c r="B206" s="5"/>
      <c r="C206" s="5"/>
      <c r="D206" s="5"/>
      <c r="E206" s="5"/>
      <c r="F206" s="5"/>
    </row>
    <row r="207" ht="42" customHeight="1" spans="1:6" x14ac:dyDescent="0.25">
      <c r="A207" s="6" t="s">
        <v>6906</v>
      </c>
      <c r="B207" s="6"/>
      <c r="C207" s="6"/>
      <c r="D207" s="6"/>
      <c r="E207" s="6"/>
      <c r="F207" s="6"/>
    </row>
    <row r="208" spans="1:6" x14ac:dyDescent="0.25">
      <c r="A208" t="s">
        <v>4044</v>
      </c>
      <c r="B208" t="s">
        <v>4045</v>
      </c>
      <c r="C208" t="s">
        <v>5</v>
      </c>
      <c r="D208" t="s">
        <v>4046</v>
      </c>
      <c r="E208" t="s">
        <v>4047</v>
      </c>
      <c r="F208" t="s">
        <v>4048</v>
      </c>
    </row>
    <row r="209" spans="1:6" x14ac:dyDescent="0.25">
      <c r="A209" t="s">
        <v>4049</v>
      </c>
      <c r="B209" t="s">
        <v>4050</v>
      </c>
      <c r="C209" t="s">
        <v>4051</v>
      </c>
      <c r="D209" s="7">
        <v>0.8</v>
      </c>
      <c r="E209" s="2">
        <v>9037.33</v>
      </c>
      <c r="F209" s="2">
        <v>7229.86</v>
      </c>
    </row>
    <row r="210" spans="1:6" x14ac:dyDescent="0.25">
      <c r="A210" t="s">
        <v>4052</v>
      </c>
      <c r="B210" t="s">
        <v>4053</v>
      </c>
      <c r="C210" t="s">
        <v>4054</v>
      </c>
      <c r="D210" s="7">
        <v>3</v>
      </c>
      <c r="E210" s="2">
        <v>7229.86</v>
      </c>
      <c r="F210" s="2">
        <v>216.9</v>
      </c>
    </row>
    <row r="211" spans="1:6" x14ac:dyDescent="0.25">
      <c r="A211" t="s">
        <v>4055</v>
      </c>
      <c r="D211" s="7"/>
      <c r="E211" s="2"/>
      <c r="F211" s="2">
        <f>SUBTOTAL(109,A_2_06_20[VALOR PARCIAL])</f>
      </c>
    </row>
    <row r="213" ht="30" customHeight="1" spans="1:6" x14ac:dyDescent="0.25">
      <c r="A213" s="5" t="s">
        <v>6907</v>
      </c>
      <c r="B213" s="5"/>
      <c r="C213" s="5"/>
      <c r="D213" s="5"/>
      <c r="E213" s="5"/>
      <c r="F213" s="5"/>
    </row>
    <row r="214" ht="42" customHeight="1" spans="1:6" x14ac:dyDescent="0.25">
      <c r="A214" s="6" t="s">
        <v>6908</v>
      </c>
      <c r="B214" s="6"/>
      <c r="C214" s="6"/>
      <c r="D214" s="6"/>
      <c r="E214" s="6"/>
      <c r="F214" s="6"/>
    </row>
    <row r="215" spans="1:6" x14ac:dyDescent="0.25">
      <c r="A215" t="s">
        <v>4044</v>
      </c>
      <c r="B215" t="s">
        <v>4045</v>
      </c>
      <c r="C215" t="s">
        <v>5</v>
      </c>
      <c r="D215" t="s">
        <v>4046</v>
      </c>
      <c r="E215" t="s">
        <v>4047</v>
      </c>
      <c r="F215" t="s">
        <v>4048</v>
      </c>
    </row>
    <row r="216" spans="1:6" x14ac:dyDescent="0.25">
      <c r="A216" t="s">
        <v>4062</v>
      </c>
      <c r="B216" t="s">
        <v>3975</v>
      </c>
      <c r="C216" t="s">
        <v>34</v>
      </c>
      <c r="D216" s="7">
        <v>0.1</v>
      </c>
      <c r="E216" s="2">
        <v>586929.15</v>
      </c>
      <c r="F216" s="2">
        <v>58692.92</v>
      </c>
    </row>
    <row r="217" spans="1:6" x14ac:dyDescent="0.25">
      <c r="A217" t="s">
        <v>4062</v>
      </c>
      <c r="B217" t="s">
        <v>4004</v>
      </c>
      <c r="C217" t="s">
        <v>34</v>
      </c>
      <c r="D217" s="7">
        <v>0.24</v>
      </c>
      <c r="E217" s="2">
        <v>426702.51</v>
      </c>
      <c r="F217" s="2">
        <v>102408.6</v>
      </c>
    </row>
    <row r="218" spans="1:6" x14ac:dyDescent="0.25">
      <c r="A218" t="s">
        <v>4062</v>
      </c>
      <c r="B218" t="s">
        <v>4038</v>
      </c>
      <c r="C218" t="s">
        <v>21</v>
      </c>
      <c r="D218" s="7">
        <v>4.48</v>
      </c>
      <c r="E218" s="2">
        <v>79038.99</v>
      </c>
      <c r="F218" s="2">
        <v>354094.68</v>
      </c>
    </row>
    <row r="219" spans="1:6" x14ac:dyDescent="0.25">
      <c r="A219" t="s">
        <v>4062</v>
      </c>
      <c r="B219" t="s">
        <v>6909</v>
      </c>
      <c r="C219" t="s">
        <v>63</v>
      </c>
      <c r="D219" s="7">
        <v>1</v>
      </c>
      <c r="E219" s="2">
        <v>101444.41</v>
      </c>
      <c r="F219" s="2">
        <v>101444.41</v>
      </c>
    </row>
    <row r="220" spans="1:6" x14ac:dyDescent="0.25">
      <c r="A220" t="s">
        <v>4062</v>
      </c>
      <c r="B220" t="s">
        <v>6872</v>
      </c>
      <c r="C220" t="s">
        <v>4236</v>
      </c>
      <c r="D220" s="7">
        <v>6</v>
      </c>
      <c r="E220" s="2">
        <v>33592.56</v>
      </c>
      <c r="F220" s="2">
        <v>201555.36</v>
      </c>
    </row>
    <row r="221" spans="1:6" x14ac:dyDescent="0.25">
      <c r="A221" t="s">
        <v>4055</v>
      </c>
      <c r="D221" s="7"/>
      <c r="E221" s="2"/>
      <c r="F221" s="2">
        <f>SUBTOTAL(109,A_2_06_21[VALOR PARCIAL])</f>
      </c>
    </row>
    <row r="223" ht="30" customHeight="1" spans="1:6" x14ac:dyDescent="0.25">
      <c r="A223" s="5" t="s">
        <v>6910</v>
      </c>
      <c r="B223" s="5"/>
      <c r="C223" s="5"/>
      <c r="D223" s="5"/>
      <c r="E223" s="5"/>
      <c r="F223" s="5"/>
    </row>
    <row r="224" ht="42" customHeight="1" spans="1:6" x14ac:dyDescent="0.25">
      <c r="A224" s="6" t="s">
        <v>6911</v>
      </c>
      <c r="B224" s="6"/>
      <c r="C224" s="6"/>
      <c r="D224" s="6"/>
      <c r="E224" s="6"/>
      <c r="F224" s="6"/>
    </row>
    <row r="225" spans="1:6" x14ac:dyDescent="0.25">
      <c r="A225" t="s">
        <v>4044</v>
      </c>
      <c r="B225" t="s">
        <v>4045</v>
      </c>
      <c r="C225" t="s">
        <v>5</v>
      </c>
      <c r="D225" t="s">
        <v>4046</v>
      </c>
      <c r="E225" t="s">
        <v>4047</v>
      </c>
      <c r="F225" t="s">
        <v>4048</v>
      </c>
    </row>
    <row r="226" spans="1:6" x14ac:dyDescent="0.25">
      <c r="A226" t="s">
        <v>4062</v>
      </c>
      <c r="B226" t="s">
        <v>3975</v>
      </c>
      <c r="C226" t="s">
        <v>34</v>
      </c>
      <c r="D226" s="7">
        <v>0.17</v>
      </c>
      <c r="E226" s="2">
        <v>586929.15</v>
      </c>
      <c r="F226" s="2">
        <v>99777.96</v>
      </c>
    </row>
    <row r="227" spans="1:6" x14ac:dyDescent="0.25">
      <c r="A227" t="s">
        <v>4062</v>
      </c>
      <c r="B227" t="s">
        <v>4004</v>
      </c>
      <c r="C227" t="s">
        <v>34</v>
      </c>
      <c r="D227" s="7">
        <v>0.65</v>
      </c>
      <c r="E227" s="2">
        <v>426702.51</v>
      </c>
      <c r="F227" s="2">
        <v>277356.63</v>
      </c>
    </row>
    <row r="228" spans="1:6" x14ac:dyDescent="0.25">
      <c r="A228" t="s">
        <v>4062</v>
      </c>
      <c r="B228" t="s">
        <v>4038</v>
      </c>
      <c r="C228" t="s">
        <v>21</v>
      </c>
      <c r="D228" s="7">
        <v>7.35</v>
      </c>
      <c r="E228" s="2">
        <v>79038.99</v>
      </c>
      <c r="F228" s="2">
        <v>580936.58</v>
      </c>
    </row>
    <row r="229" spans="1:6" x14ac:dyDescent="0.25">
      <c r="A229" t="s">
        <v>4062</v>
      </c>
      <c r="B229" t="s">
        <v>6909</v>
      </c>
      <c r="C229" t="s">
        <v>63</v>
      </c>
      <c r="D229" s="7">
        <v>1</v>
      </c>
      <c r="E229" s="2">
        <v>101444.41</v>
      </c>
      <c r="F229" s="2">
        <v>101444.41</v>
      </c>
    </row>
    <row r="230" spans="1:6" x14ac:dyDescent="0.25">
      <c r="A230" t="s">
        <v>4062</v>
      </c>
      <c r="B230" t="s">
        <v>6872</v>
      </c>
      <c r="C230" t="s">
        <v>4236</v>
      </c>
      <c r="D230" s="7">
        <v>8</v>
      </c>
      <c r="E230" s="2">
        <v>33592.56</v>
      </c>
      <c r="F230" s="2">
        <v>268740.48</v>
      </c>
    </row>
    <row r="231" spans="1:6" x14ac:dyDescent="0.25">
      <c r="A231" t="s">
        <v>4055</v>
      </c>
      <c r="D231" s="7"/>
      <c r="E231" s="2"/>
      <c r="F231" s="2">
        <f>SUBTOTAL(109,A_2_06_22[VALOR PARCIAL])</f>
      </c>
    </row>
    <row r="233" ht="30" customHeight="1" spans="1:6" x14ac:dyDescent="0.25">
      <c r="A233" s="5" t="s">
        <v>6912</v>
      </c>
      <c r="B233" s="5"/>
      <c r="C233" s="5"/>
      <c r="D233" s="5"/>
      <c r="E233" s="5"/>
      <c r="F233" s="5"/>
    </row>
    <row r="234" ht="42" customHeight="1" spans="1:6" x14ac:dyDescent="0.25">
      <c r="A234" s="6" t="s">
        <v>6913</v>
      </c>
      <c r="B234" s="6"/>
      <c r="C234" s="6"/>
      <c r="D234" s="6"/>
      <c r="E234" s="6"/>
      <c r="F234" s="6"/>
    </row>
    <row r="235" spans="1:6" x14ac:dyDescent="0.25">
      <c r="A235" t="s">
        <v>4044</v>
      </c>
      <c r="B235" t="s">
        <v>4045</v>
      </c>
      <c r="C235" t="s">
        <v>5</v>
      </c>
      <c r="D235" t="s">
        <v>4046</v>
      </c>
      <c r="E235" t="s">
        <v>4047</v>
      </c>
      <c r="F235" t="s">
        <v>4048</v>
      </c>
    </row>
    <row r="236" spans="1:6" x14ac:dyDescent="0.25">
      <c r="A236" t="s">
        <v>4062</v>
      </c>
      <c r="B236" t="s">
        <v>4261</v>
      </c>
      <c r="C236" t="s">
        <v>231</v>
      </c>
      <c r="D236" s="7">
        <v>137.69</v>
      </c>
      <c r="E236" s="2">
        <v>2982</v>
      </c>
      <c r="F236" s="2">
        <v>410591.58</v>
      </c>
    </row>
    <row r="237" spans="1:6" x14ac:dyDescent="0.25">
      <c r="A237" t="s">
        <v>4062</v>
      </c>
      <c r="B237" t="s">
        <v>4012</v>
      </c>
      <c r="C237" t="s">
        <v>34</v>
      </c>
      <c r="D237" s="7">
        <v>1.95</v>
      </c>
      <c r="E237" s="2">
        <v>475506.98</v>
      </c>
      <c r="F237" s="2">
        <v>927238.61</v>
      </c>
    </row>
    <row r="238" spans="1:6" x14ac:dyDescent="0.25">
      <c r="A238" t="s">
        <v>4062</v>
      </c>
      <c r="B238" t="s">
        <v>4400</v>
      </c>
      <c r="C238" t="s">
        <v>42</v>
      </c>
      <c r="D238" s="7">
        <v>2.7</v>
      </c>
      <c r="E238" s="2">
        <v>5286.26</v>
      </c>
      <c r="F238" s="2">
        <v>14272.9</v>
      </c>
    </row>
    <row r="239" spans="1:6" x14ac:dyDescent="0.25">
      <c r="A239" t="s">
        <v>4062</v>
      </c>
      <c r="B239" t="s">
        <v>4070</v>
      </c>
      <c r="C239" t="s">
        <v>42</v>
      </c>
      <c r="D239" s="7">
        <v>5.94</v>
      </c>
      <c r="E239" s="2">
        <v>7381.08</v>
      </c>
      <c r="F239" s="2">
        <v>43843.62</v>
      </c>
    </row>
    <row r="240" spans="1:6" x14ac:dyDescent="0.25">
      <c r="A240" t="s">
        <v>4062</v>
      </c>
      <c r="B240" t="s">
        <v>4071</v>
      </c>
      <c r="C240" t="s">
        <v>42</v>
      </c>
      <c r="D240" s="7">
        <v>3.5</v>
      </c>
      <c r="E240" s="2">
        <v>2555</v>
      </c>
      <c r="F240" s="2">
        <v>8942.5</v>
      </c>
    </row>
    <row r="241" spans="1:6" x14ac:dyDescent="0.25">
      <c r="A241" t="s">
        <v>4062</v>
      </c>
      <c r="B241" t="s">
        <v>4065</v>
      </c>
      <c r="C241" t="s">
        <v>4066</v>
      </c>
      <c r="D241" s="7">
        <v>2.9</v>
      </c>
      <c r="E241" s="2">
        <v>3433</v>
      </c>
      <c r="F241" s="2">
        <v>9955.7</v>
      </c>
    </row>
    <row r="242" spans="1:6" x14ac:dyDescent="0.25">
      <c r="A242" t="s">
        <v>4062</v>
      </c>
      <c r="B242" t="s">
        <v>6909</v>
      </c>
      <c r="C242" t="s">
        <v>63</v>
      </c>
      <c r="D242" s="7">
        <v>1</v>
      </c>
      <c r="E242" s="2">
        <v>101444.41</v>
      </c>
      <c r="F242" s="2">
        <v>101444.41</v>
      </c>
    </row>
    <row r="243" spans="1:6" x14ac:dyDescent="0.25">
      <c r="A243" t="s">
        <v>4049</v>
      </c>
      <c r="B243" t="s">
        <v>4050</v>
      </c>
      <c r="C243" t="s">
        <v>4051</v>
      </c>
      <c r="D243" s="7">
        <v>36</v>
      </c>
      <c r="E243" s="2">
        <v>9037.33</v>
      </c>
      <c r="F243" s="2">
        <v>325343.88</v>
      </c>
    </row>
    <row r="244" spans="1:6" x14ac:dyDescent="0.25">
      <c r="A244" t="s">
        <v>4049</v>
      </c>
      <c r="B244" t="s">
        <v>4073</v>
      </c>
      <c r="C244" t="s">
        <v>4051</v>
      </c>
      <c r="D244" s="7">
        <v>12</v>
      </c>
      <c r="E244" s="2">
        <v>15517.89</v>
      </c>
      <c r="F244" s="2">
        <v>186214.68</v>
      </c>
    </row>
    <row r="245" spans="1:6" x14ac:dyDescent="0.25">
      <c r="A245" t="s">
        <v>4052</v>
      </c>
      <c r="B245" t="s">
        <v>4414</v>
      </c>
      <c r="C245" t="s">
        <v>4106</v>
      </c>
      <c r="D245" s="7">
        <v>19.16</v>
      </c>
      <c r="E245" s="2">
        <v>5691.28</v>
      </c>
      <c r="F245" s="2">
        <v>109044.92</v>
      </c>
    </row>
    <row r="246" spans="1:6" x14ac:dyDescent="0.25">
      <c r="A246" t="s">
        <v>4055</v>
      </c>
      <c r="D246" s="7"/>
      <c r="E246" s="2"/>
      <c r="F246" s="2">
        <f>SUBTOTAL(109,A_2_06_23[VALOR PARCIAL])</f>
      </c>
    </row>
    <row r="248" ht="30" customHeight="1" spans="1:6" x14ac:dyDescent="0.25">
      <c r="A248" s="5" t="s">
        <v>6914</v>
      </c>
      <c r="B248" s="5"/>
      <c r="C248" s="5"/>
      <c r="D248" s="5"/>
      <c r="E248" s="5"/>
      <c r="F248" s="5"/>
    </row>
    <row r="249" ht="42" customHeight="1" spans="1:6" x14ac:dyDescent="0.25">
      <c r="A249" s="6" t="s">
        <v>6915</v>
      </c>
      <c r="B249" s="6"/>
      <c r="C249" s="6"/>
      <c r="D249" s="6"/>
      <c r="E249" s="6"/>
      <c r="F249" s="6"/>
    </row>
    <row r="250" spans="1:6" x14ac:dyDescent="0.25">
      <c r="A250" t="s">
        <v>4044</v>
      </c>
      <c r="B250" t="s">
        <v>4045</v>
      </c>
      <c r="C250" t="s">
        <v>5</v>
      </c>
      <c r="D250" t="s">
        <v>4046</v>
      </c>
      <c r="E250" t="s">
        <v>4047</v>
      </c>
      <c r="F250" t="s">
        <v>4048</v>
      </c>
    </row>
    <row r="251" spans="1:6" x14ac:dyDescent="0.25">
      <c r="A251" t="s">
        <v>4062</v>
      </c>
      <c r="B251" t="s">
        <v>4261</v>
      </c>
      <c r="C251" t="s">
        <v>231</v>
      </c>
      <c r="D251" s="7">
        <v>175.23</v>
      </c>
      <c r="E251" s="2">
        <v>2982</v>
      </c>
      <c r="F251" s="2">
        <v>522535.86</v>
      </c>
    </row>
    <row r="252" spans="1:6" x14ac:dyDescent="0.25">
      <c r="A252" t="s">
        <v>4062</v>
      </c>
      <c r="B252" t="s">
        <v>4012</v>
      </c>
      <c r="C252" t="s">
        <v>34</v>
      </c>
      <c r="D252" s="7">
        <v>2.72</v>
      </c>
      <c r="E252" s="2">
        <v>475506.98</v>
      </c>
      <c r="F252" s="2">
        <v>1293378.99</v>
      </c>
    </row>
    <row r="253" spans="1:6" x14ac:dyDescent="0.25">
      <c r="A253" t="s">
        <v>4062</v>
      </c>
      <c r="B253" t="s">
        <v>4400</v>
      </c>
      <c r="C253" t="s">
        <v>42</v>
      </c>
      <c r="D253" s="7">
        <v>2.72</v>
      </c>
      <c r="E253" s="2">
        <v>5286.26</v>
      </c>
      <c r="F253" s="2">
        <v>14378.63</v>
      </c>
    </row>
    <row r="254" spans="1:6" x14ac:dyDescent="0.25">
      <c r="A254" t="s">
        <v>4062</v>
      </c>
      <c r="B254" t="s">
        <v>4070</v>
      </c>
      <c r="C254" t="s">
        <v>42</v>
      </c>
      <c r="D254" s="7">
        <v>6</v>
      </c>
      <c r="E254" s="2">
        <v>7381.08</v>
      </c>
      <c r="F254" s="2">
        <v>44286.48</v>
      </c>
    </row>
    <row r="255" spans="1:6" x14ac:dyDescent="0.25">
      <c r="A255" t="s">
        <v>4062</v>
      </c>
      <c r="B255" t="s">
        <v>4071</v>
      </c>
      <c r="C255" t="s">
        <v>42</v>
      </c>
      <c r="D255" s="7">
        <v>3.54</v>
      </c>
      <c r="E255" s="2">
        <v>2555</v>
      </c>
      <c r="F255" s="2">
        <v>9044.7</v>
      </c>
    </row>
    <row r="256" spans="1:6" x14ac:dyDescent="0.25">
      <c r="A256" t="s">
        <v>4062</v>
      </c>
      <c r="B256" t="s">
        <v>4065</v>
      </c>
      <c r="C256" t="s">
        <v>4066</v>
      </c>
      <c r="D256" s="7">
        <v>2.93</v>
      </c>
      <c r="E256" s="2">
        <v>3433</v>
      </c>
      <c r="F256" s="2">
        <v>10058.69</v>
      </c>
    </row>
    <row r="257" spans="1:6" x14ac:dyDescent="0.25">
      <c r="A257" t="s">
        <v>4062</v>
      </c>
      <c r="B257" t="s">
        <v>6909</v>
      </c>
      <c r="C257" t="s">
        <v>63</v>
      </c>
      <c r="D257" s="7">
        <v>1</v>
      </c>
      <c r="E257" s="2">
        <v>101444.41</v>
      </c>
      <c r="F257" s="2">
        <v>101444.41</v>
      </c>
    </row>
    <row r="258" spans="1:6" x14ac:dyDescent="0.25">
      <c r="A258" t="s">
        <v>4049</v>
      </c>
      <c r="B258" t="s">
        <v>4050</v>
      </c>
      <c r="C258" t="s">
        <v>4051</v>
      </c>
      <c r="D258" s="7">
        <v>19.6</v>
      </c>
      <c r="E258" s="2">
        <v>9037.33</v>
      </c>
      <c r="F258" s="2">
        <v>177131.67</v>
      </c>
    </row>
    <row r="259" spans="1:6" x14ac:dyDescent="0.25">
      <c r="A259" t="s">
        <v>4049</v>
      </c>
      <c r="B259" t="s">
        <v>4073</v>
      </c>
      <c r="C259" t="s">
        <v>4051</v>
      </c>
      <c r="D259" s="7">
        <v>9.8</v>
      </c>
      <c r="E259" s="2">
        <v>15517.89</v>
      </c>
      <c r="F259" s="2">
        <v>152075.32</v>
      </c>
    </row>
    <row r="260" spans="1:6" x14ac:dyDescent="0.25">
      <c r="A260" t="s">
        <v>4052</v>
      </c>
      <c r="B260" t="s">
        <v>4414</v>
      </c>
      <c r="C260" t="s">
        <v>4106</v>
      </c>
      <c r="D260" s="7">
        <v>19.34</v>
      </c>
      <c r="E260" s="2">
        <v>5691.28</v>
      </c>
      <c r="F260" s="2">
        <v>110069.36</v>
      </c>
    </row>
    <row r="261" spans="1:6" x14ac:dyDescent="0.25">
      <c r="A261" t="s">
        <v>4055</v>
      </c>
      <c r="D261" s="7"/>
      <c r="E261" s="2"/>
      <c r="F261" s="2">
        <f>SUBTOTAL(109,A_2_06_24[VALOR PARCIAL])</f>
      </c>
    </row>
    <row r="263" ht="30" customHeight="1" spans="1:6" x14ac:dyDescent="0.25">
      <c r="A263" s="5" t="s">
        <v>6916</v>
      </c>
      <c r="B263" s="5"/>
      <c r="C263" s="5"/>
      <c r="D263" s="5"/>
      <c r="E263" s="5"/>
      <c r="F263" s="5"/>
    </row>
    <row r="264" ht="42" customHeight="1" spans="1:6" x14ac:dyDescent="0.25">
      <c r="A264" s="6" t="s">
        <v>6917</v>
      </c>
      <c r="B264" s="6"/>
      <c r="C264" s="6"/>
      <c r="D264" s="6"/>
      <c r="E264" s="6"/>
      <c r="F264" s="6"/>
    </row>
    <row r="265" spans="1:6" x14ac:dyDescent="0.25">
      <c r="A265" t="s">
        <v>4044</v>
      </c>
      <c r="B265" t="s">
        <v>4045</v>
      </c>
      <c r="C265" t="s">
        <v>5</v>
      </c>
      <c r="D265" t="s">
        <v>4046</v>
      </c>
      <c r="E265" t="s">
        <v>4047</v>
      </c>
      <c r="F265" t="s">
        <v>4048</v>
      </c>
    </row>
    <row r="266" spans="1:6" x14ac:dyDescent="0.25">
      <c r="A266" t="s">
        <v>4062</v>
      </c>
      <c r="B266" t="s">
        <v>4261</v>
      </c>
      <c r="C266" t="s">
        <v>231</v>
      </c>
      <c r="D266" s="7">
        <v>266</v>
      </c>
      <c r="E266" s="2">
        <v>2982</v>
      </c>
      <c r="F266" s="2">
        <v>793212</v>
      </c>
    </row>
    <row r="267" spans="1:6" x14ac:dyDescent="0.25">
      <c r="A267" t="s">
        <v>4062</v>
      </c>
      <c r="B267" t="s">
        <v>4012</v>
      </c>
      <c r="C267" t="s">
        <v>34</v>
      </c>
      <c r="D267" s="7">
        <v>3.36</v>
      </c>
      <c r="E267" s="2">
        <v>475506.98</v>
      </c>
      <c r="F267" s="2">
        <v>1597703.45</v>
      </c>
    </row>
    <row r="268" spans="1:6" x14ac:dyDescent="0.25">
      <c r="A268" t="s">
        <v>4062</v>
      </c>
      <c r="B268" t="s">
        <v>4400</v>
      </c>
      <c r="C268" t="s">
        <v>42</v>
      </c>
      <c r="D268" s="7">
        <v>2.72</v>
      </c>
      <c r="E268" s="2">
        <v>5286.26</v>
      </c>
      <c r="F268" s="2">
        <v>14378.63</v>
      </c>
    </row>
    <row r="269" spans="1:6" x14ac:dyDescent="0.25">
      <c r="A269" t="s">
        <v>4062</v>
      </c>
      <c r="B269" t="s">
        <v>4070</v>
      </c>
      <c r="C269" t="s">
        <v>42</v>
      </c>
      <c r="D269" s="7">
        <v>6</v>
      </c>
      <c r="E269" s="2">
        <v>7381.08</v>
      </c>
      <c r="F269" s="2">
        <v>44286.48</v>
      </c>
    </row>
    <row r="270" spans="1:6" x14ac:dyDescent="0.25">
      <c r="A270" t="s">
        <v>4062</v>
      </c>
      <c r="B270" t="s">
        <v>4071</v>
      </c>
      <c r="C270" t="s">
        <v>42</v>
      </c>
      <c r="D270" s="7">
        <v>3.54</v>
      </c>
      <c r="E270" s="2">
        <v>2555</v>
      </c>
      <c r="F270" s="2">
        <v>9044.7</v>
      </c>
    </row>
    <row r="271" spans="1:6" x14ac:dyDescent="0.25">
      <c r="A271" t="s">
        <v>4062</v>
      </c>
      <c r="B271" t="s">
        <v>4065</v>
      </c>
      <c r="C271" t="s">
        <v>4066</v>
      </c>
      <c r="D271" s="7">
        <v>2.93</v>
      </c>
      <c r="E271" s="2">
        <v>3433</v>
      </c>
      <c r="F271" s="2">
        <v>10058.69</v>
      </c>
    </row>
    <row r="272" spans="1:6" x14ac:dyDescent="0.25">
      <c r="A272" t="s">
        <v>4062</v>
      </c>
      <c r="B272" t="s">
        <v>6909</v>
      </c>
      <c r="C272" t="s">
        <v>63</v>
      </c>
      <c r="D272" s="7">
        <v>1</v>
      </c>
      <c r="E272" s="2">
        <v>101444.41</v>
      </c>
      <c r="F272" s="2">
        <v>101444.41</v>
      </c>
    </row>
    <row r="273" spans="1:6" x14ac:dyDescent="0.25">
      <c r="A273" t="s">
        <v>4049</v>
      </c>
      <c r="B273" t="s">
        <v>4050</v>
      </c>
      <c r="C273" t="s">
        <v>4051</v>
      </c>
      <c r="D273" s="7">
        <v>24.6</v>
      </c>
      <c r="E273" s="2">
        <v>9037.33</v>
      </c>
      <c r="F273" s="2">
        <v>222318.32</v>
      </c>
    </row>
    <row r="274" spans="1:6" x14ac:dyDescent="0.25">
      <c r="A274" t="s">
        <v>4049</v>
      </c>
      <c r="B274" t="s">
        <v>4073</v>
      </c>
      <c r="C274" t="s">
        <v>4051</v>
      </c>
      <c r="D274" s="7">
        <v>12.3</v>
      </c>
      <c r="E274" s="2">
        <v>15517.89</v>
      </c>
      <c r="F274" s="2">
        <v>190870.05</v>
      </c>
    </row>
    <row r="275" spans="1:6" x14ac:dyDescent="0.25">
      <c r="A275" t="s">
        <v>4052</v>
      </c>
      <c r="B275" t="s">
        <v>4414</v>
      </c>
      <c r="C275" t="s">
        <v>4106</v>
      </c>
      <c r="D275" s="7">
        <v>19.34</v>
      </c>
      <c r="E275" s="2">
        <v>5691.28</v>
      </c>
      <c r="F275" s="2">
        <v>110069.36</v>
      </c>
    </row>
    <row r="276" spans="1:6" x14ac:dyDescent="0.25">
      <c r="A276" t="s">
        <v>4055</v>
      </c>
      <c r="D276" s="7"/>
      <c r="E276" s="2"/>
      <c r="F276" s="2">
        <f>SUBTOTAL(109,A_2_06_25[VALOR PARCIAL])</f>
      </c>
    </row>
    <row r="278" ht="30" customHeight="1" spans="1:6" x14ac:dyDescent="0.25">
      <c r="A278" s="5" t="s">
        <v>6918</v>
      </c>
      <c r="B278" s="5"/>
      <c r="C278" s="5"/>
      <c r="D278" s="5"/>
      <c r="E278" s="5"/>
      <c r="F278" s="5"/>
    </row>
    <row r="279" ht="42" customHeight="1" spans="1:6" x14ac:dyDescent="0.25">
      <c r="A279" s="6" t="s">
        <v>6919</v>
      </c>
      <c r="B279" s="6"/>
      <c r="C279" s="6"/>
      <c r="D279" s="6"/>
      <c r="E279" s="6"/>
      <c r="F279" s="6"/>
    </row>
    <row r="280" spans="1:6" x14ac:dyDescent="0.25">
      <c r="A280" t="s">
        <v>4044</v>
      </c>
      <c r="B280" t="s">
        <v>4045</v>
      </c>
      <c r="C280" t="s">
        <v>5</v>
      </c>
      <c r="D280" t="s">
        <v>4046</v>
      </c>
      <c r="E280" t="s">
        <v>4047</v>
      </c>
      <c r="F280" t="s">
        <v>4048</v>
      </c>
    </row>
    <row r="281" spans="1:6" x14ac:dyDescent="0.25">
      <c r="A281" t="s">
        <v>4062</v>
      </c>
      <c r="B281" t="s">
        <v>4012</v>
      </c>
      <c r="C281" t="s">
        <v>34</v>
      </c>
      <c r="D281" s="7">
        <v>1.45</v>
      </c>
      <c r="E281" s="2">
        <v>475506.98</v>
      </c>
      <c r="F281" s="2">
        <v>689485.12</v>
      </c>
    </row>
    <row r="282" spans="1:6" x14ac:dyDescent="0.25">
      <c r="A282" t="s">
        <v>4062</v>
      </c>
      <c r="B282" t="s">
        <v>6920</v>
      </c>
      <c r="C282" t="s">
        <v>231</v>
      </c>
      <c r="D282" s="7">
        <v>33.9</v>
      </c>
      <c r="E282" s="2">
        <v>2900</v>
      </c>
      <c r="F282" s="2">
        <v>98310</v>
      </c>
    </row>
    <row r="283" spans="1:6" x14ac:dyDescent="0.25">
      <c r="A283" t="s">
        <v>4062</v>
      </c>
      <c r="B283" t="s">
        <v>6921</v>
      </c>
      <c r="C283" t="s">
        <v>231</v>
      </c>
      <c r="D283" s="7">
        <v>13</v>
      </c>
      <c r="E283" s="2">
        <v>2750</v>
      </c>
      <c r="F283" s="2">
        <v>35750</v>
      </c>
    </row>
    <row r="284" spans="1:6" x14ac:dyDescent="0.25">
      <c r="A284" t="s">
        <v>4062</v>
      </c>
      <c r="B284" t="s">
        <v>6922</v>
      </c>
      <c r="C284" t="s">
        <v>231</v>
      </c>
      <c r="D284" s="7">
        <v>61</v>
      </c>
      <c r="E284" s="2">
        <v>2831</v>
      </c>
      <c r="F284" s="2">
        <v>172691</v>
      </c>
    </row>
    <row r="285" spans="1:6" x14ac:dyDescent="0.25">
      <c r="A285" t="s">
        <v>4062</v>
      </c>
      <c r="B285" t="s">
        <v>4004</v>
      </c>
      <c r="C285" t="s">
        <v>34</v>
      </c>
      <c r="D285" s="7">
        <v>0.07</v>
      </c>
      <c r="E285" s="2">
        <v>426702.51</v>
      </c>
      <c r="F285" s="2">
        <v>29869.18</v>
      </c>
    </row>
    <row r="286" spans="1:6" x14ac:dyDescent="0.25">
      <c r="A286" t="s">
        <v>4062</v>
      </c>
      <c r="B286" t="s">
        <v>6923</v>
      </c>
      <c r="C286" t="s">
        <v>63</v>
      </c>
      <c r="D286" s="7">
        <v>2</v>
      </c>
      <c r="E286" s="2">
        <v>139216.67</v>
      </c>
      <c r="F286" s="2">
        <v>278433.34</v>
      </c>
    </row>
    <row r="287" spans="1:6" x14ac:dyDescent="0.25">
      <c r="A287" t="s">
        <v>4049</v>
      </c>
      <c r="B287" t="s">
        <v>4050</v>
      </c>
      <c r="C287" t="s">
        <v>4051</v>
      </c>
      <c r="D287" s="7">
        <v>2.5</v>
      </c>
      <c r="E287" s="2">
        <v>9037.33</v>
      </c>
      <c r="F287" s="2">
        <v>22593.33</v>
      </c>
    </row>
    <row r="288" spans="1:6" x14ac:dyDescent="0.25">
      <c r="A288" t="s">
        <v>4049</v>
      </c>
      <c r="B288" t="s">
        <v>4073</v>
      </c>
      <c r="C288" t="s">
        <v>4051</v>
      </c>
      <c r="D288" s="7">
        <v>2.5</v>
      </c>
      <c r="E288" s="2">
        <v>15517.89</v>
      </c>
      <c r="F288" s="2">
        <v>38794.72</v>
      </c>
    </row>
    <row r="289" spans="1:6" x14ac:dyDescent="0.25">
      <c r="A289" t="s">
        <v>4052</v>
      </c>
      <c r="B289" t="s">
        <v>6924</v>
      </c>
      <c r="C289" t="s">
        <v>247</v>
      </c>
      <c r="D289" s="7">
        <v>2.43</v>
      </c>
      <c r="E289" s="2">
        <v>1017</v>
      </c>
      <c r="F289" s="2">
        <v>2471.31</v>
      </c>
    </row>
    <row r="290" spans="1:6" x14ac:dyDescent="0.25">
      <c r="A290" t="s">
        <v>4052</v>
      </c>
      <c r="B290" t="s">
        <v>4053</v>
      </c>
      <c r="C290" t="s">
        <v>4054</v>
      </c>
      <c r="D290" s="7">
        <v>0.7</v>
      </c>
      <c r="E290" s="2">
        <v>61388.05</v>
      </c>
      <c r="F290" s="2">
        <v>429.72</v>
      </c>
    </row>
    <row r="291" spans="1:6" x14ac:dyDescent="0.25">
      <c r="A291" t="s">
        <v>4055</v>
      </c>
      <c r="D291" s="7"/>
      <c r="E291" s="2"/>
      <c r="F291" s="2">
        <f>SUBTOTAL(109,A_2_06_26[VALOR PARCIAL])</f>
      </c>
    </row>
    <row r="293" ht="30" customHeight="1" spans="1:6" x14ac:dyDescent="0.25">
      <c r="A293" s="5" t="s">
        <v>6925</v>
      </c>
      <c r="B293" s="5"/>
      <c r="C293" s="5"/>
      <c r="D293" s="5"/>
      <c r="E293" s="5"/>
      <c r="F293" s="5"/>
    </row>
    <row r="294" ht="42" customHeight="1" spans="1:6" x14ac:dyDescent="0.25">
      <c r="A294" s="6" t="s">
        <v>6926</v>
      </c>
      <c r="B294" s="6"/>
      <c r="C294" s="6"/>
      <c r="D294" s="6"/>
      <c r="E294" s="6"/>
      <c r="F294" s="6"/>
    </row>
    <row r="295" spans="1:6" x14ac:dyDescent="0.25">
      <c r="A295" t="s">
        <v>4044</v>
      </c>
      <c r="B295" t="s">
        <v>4045</v>
      </c>
      <c r="C295" t="s">
        <v>5</v>
      </c>
      <c r="D295" t="s">
        <v>4046</v>
      </c>
      <c r="E295" t="s">
        <v>4047</v>
      </c>
      <c r="F295" t="s">
        <v>4048</v>
      </c>
    </row>
    <row r="296" spans="1:6" x14ac:dyDescent="0.25">
      <c r="A296" t="s">
        <v>4062</v>
      </c>
      <c r="B296" t="s">
        <v>4012</v>
      </c>
      <c r="C296" t="s">
        <v>34</v>
      </c>
      <c r="D296" s="7">
        <v>1.03</v>
      </c>
      <c r="E296" s="2">
        <v>475506.98</v>
      </c>
      <c r="F296" s="2">
        <v>489772.19</v>
      </c>
    </row>
    <row r="297" spans="1:6" x14ac:dyDescent="0.25">
      <c r="A297" t="s">
        <v>4062</v>
      </c>
      <c r="B297" t="s">
        <v>6920</v>
      </c>
      <c r="C297" t="s">
        <v>231</v>
      </c>
      <c r="D297" s="7">
        <v>32.5</v>
      </c>
      <c r="E297" s="2">
        <v>2900</v>
      </c>
      <c r="F297" s="2">
        <v>94250</v>
      </c>
    </row>
    <row r="298" spans="1:6" x14ac:dyDescent="0.25">
      <c r="A298" t="s">
        <v>4062</v>
      </c>
      <c r="B298" t="s">
        <v>6921</v>
      </c>
      <c r="C298" t="s">
        <v>231</v>
      </c>
      <c r="D298" s="7">
        <v>37</v>
      </c>
      <c r="E298" s="2">
        <v>2750</v>
      </c>
      <c r="F298" s="2">
        <v>101750</v>
      </c>
    </row>
    <row r="299" spans="1:6" x14ac:dyDescent="0.25">
      <c r="A299" t="s">
        <v>4062</v>
      </c>
      <c r="B299" t="s">
        <v>6922</v>
      </c>
      <c r="C299" t="s">
        <v>231</v>
      </c>
      <c r="D299" s="7">
        <v>3.5</v>
      </c>
      <c r="E299" s="2">
        <v>2831</v>
      </c>
      <c r="F299" s="2">
        <v>9908.5</v>
      </c>
    </row>
    <row r="300" spans="1:6" x14ac:dyDescent="0.25">
      <c r="A300" t="s">
        <v>4062</v>
      </c>
      <c r="B300" t="s">
        <v>4004</v>
      </c>
      <c r="C300" t="s">
        <v>34</v>
      </c>
      <c r="D300" s="7">
        <v>0.07</v>
      </c>
      <c r="E300" s="2">
        <v>426702.51</v>
      </c>
      <c r="F300" s="2">
        <v>29869.18</v>
      </c>
    </row>
    <row r="301" spans="1:6" x14ac:dyDescent="0.25">
      <c r="A301" t="s">
        <v>4062</v>
      </c>
      <c r="B301" t="s">
        <v>6923</v>
      </c>
      <c r="C301" t="s">
        <v>63</v>
      </c>
      <c r="D301" s="7">
        <v>2</v>
      </c>
      <c r="E301" s="2">
        <v>139216.67</v>
      </c>
      <c r="F301" s="2">
        <v>278433.34</v>
      </c>
    </row>
    <row r="302" spans="1:6" x14ac:dyDescent="0.25">
      <c r="A302" t="s">
        <v>4049</v>
      </c>
      <c r="B302" t="s">
        <v>4050</v>
      </c>
      <c r="C302" t="s">
        <v>4051</v>
      </c>
      <c r="D302" s="7">
        <v>2.5</v>
      </c>
      <c r="E302" s="2">
        <v>9037.33</v>
      </c>
      <c r="F302" s="2">
        <v>22593.33</v>
      </c>
    </row>
    <row r="303" spans="1:6" x14ac:dyDescent="0.25">
      <c r="A303" t="s">
        <v>4049</v>
      </c>
      <c r="B303" t="s">
        <v>4073</v>
      </c>
      <c r="C303" t="s">
        <v>4051</v>
      </c>
      <c r="D303" s="7">
        <v>2.5</v>
      </c>
      <c r="E303" s="2">
        <v>15517.89</v>
      </c>
      <c r="F303" s="2">
        <v>38794.72</v>
      </c>
    </row>
    <row r="304" spans="1:6" x14ac:dyDescent="0.25">
      <c r="A304" t="s">
        <v>4052</v>
      </c>
      <c r="B304" t="s">
        <v>6924</v>
      </c>
      <c r="C304" t="s">
        <v>247</v>
      </c>
      <c r="D304" s="7">
        <v>2.43</v>
      </c>
      <c r="E304" s="2">
        <v>1017</v>
      </c>
      <c r="F304" s="2">
        <v>2471.31</v>
      </c>
    </row>
    <row r="305" spans="1:6" x14ac:dyDescent="0.25">
      <c r="A305" t="s">
        <v>4052</v>
      </c>
      <c r="B305" t="s">
        <v>4053</v>
      </c>
      <c r="C305" t="s">
        <v>4054</v>
      </c>
      <c r="D305" s="7">
        <v>0.7</v>
      </c>
      <c r="E305" s="2">
        <v>61388.05</v>
      </c>
      <c r="F305" s="2">
        <v>429.72</v>
      </c>
    </row>
    <row r="306" spans="1:6" x14ac:dyDescent="0.25">
      <c r="A306" t="s">
        <v>4055</v>
      </c>
      <c r="D306" s="7"/>
      <c r="E306" s="2"/>
      <c r="F306" s="2">
        <f>SUBTOTAL(109,A_2_06_27[VALOR PARCIAL])</f>
      </c>
    </row>
    <row r="308" ht="30" customHeight="1" spans="1:6" x14ac:dyDescent="0.25">
      <c r="A308" s="5" t="s">
        <v>6927</v>
      </c>
      <c r="B308" s="5"/>
      <c r="C308" s="5"/>
      <c r="D308" s="5"/>
      <c r="E308" s="5"/>
      <c r="F308" s="5"/>
    </row>
    <row r="309" ht="42" customHeight="1" spans="1:6" x14ac:dyDescent="0.25">
      <c r="A309" s="6" t="s">
        <v>6928</v>
      </c>
      <c r="B309" s="6"/>
      <c r="C309" s="6"/>
      <c r="D309" s="6"/>
      <c r="E309" s="6"/>
      <c r="F309" s="6"/>
    </row>
    <row r="310" spans="1:6" x14ac:dyDescent="0.25">
      <c r="A310" t="s">
        <v>4044</v>
      </c>
      <c r="B310" t="s">
        <v>4045</v>
      </c>
      <c r="C310" t="s">
        <v>5</v>
      </c>
      <c r="D310" t="s">
        <v>4046</v>
      </c>
      <c r="E310" t="s">
        <v>4047</v>
      </c>
      <c r="F310" t="s">
        <v>4048</v>
      </c>
    </row>
    <row r="311" spans="1:6" x14ac:dyDescent="0.25">
      <c r="A311" t="s">
        <v>4062</v>
      </c>
      <c r="B311" t="s">
        <v>6929</v>
      </c>
      <c r="C311" t="s">
        <v>63</v>
      </c>
      <c r="D311" s="7">
        <v>1</v>
      </c>
      <c r="E311" s="2">
        <v>1022750</v>
      </c>
      <c r="F311" s="2">
        <v>1022750</v>
      </c>
    </row>
    <row r="312" spans="1:6" x14ac:dyDescent="0.25">
      <c r="A312" t="s">
        <v>4062</v>
      </c>
      <c r="B312" t="s">
        <v>6863</v>
      </c>
      <c r="C312" t="s">
        <v>42</v>
      </c>
      <c r="D312" s="7">
        <v>2</v>
      </c>
      <c r="E312" s="2">
        <v>38080</v>
      </c>
      <c r="F312" s="2">
        <v>76160</v>
      </c>
    </row>
    <row r="313" spans="1:6" x14ac:dyDescent="0.25">
      <c r="A313" t="s">
        <v>4062</v>
      </c>
      <c r="B313" t="s">
        <v>4658</v>
      </c>
      <c r="C313" t="s">
        <v>63</v>
      </c>
      <c r="D313" s="7">
        <v>1</v>
      </c>
      <c r="E313" s="2">
        <v>13724.66</v>
      </c>
      <c r="F313" s="2">
        <v>13724.66</v>
      </c>
    </row>
    <row r="314" spans="1:6" x14ac:dyDescent="0.25">
      <c r="A314" t="s">
        <v>4062</v>
      </c>
      <c r="B314" t="s">
        <v>6930</v>
      </c>
      <c r="C314" t="s">
        <v>63</v>
      </c>
      <c r="D314" s="7">
        <v>1</v>
      </c>
      <c r="E314" s="2">
        <v>847214</v>
      </c>
      <c r="F314" s="2">
        <v>847214</v>
      </c>
    </row>
    <row r="315" spans="1:6" x14ac:dyDescent="0.25">
      <c r="A315" t="s">
        <v>4062</v>
      </c>
      <c r="B315" t="s">
        <v>4369</v>
      </c>
      <c r="C315" t="s">
        <v>34</v>
      </c>
      <c r="D315" s="7">
        <v>0.3</v>
      </c>
      <c r="E315" s="2">
        <v>89250</v>
      </c>
      <c r="F315" s="2">
        <v>26775</v>
      </c>
    </row>
    <row r="316" spans="1:6" x14ac:dyDescent="0.25">
      <c r="A316" t="s">
        <v>4062</v>
      </c>
      <c r="B316" t="s">
        <v>4354</v>
      </c>
      <c r="C316" t="s">
        <v>4171</v>
      </c>
      <c r="D316" s="7">
        <v>0.5</v>
      </c>
      <c r="E316" s="2">
        <v>1148</v>
      </c>
      <c r="F316" s="2">
        <v>574</v>
      </c>
    </row>
    <row r="317" spans="1:6" x14ac:dyDescent="0.25">
      <c r="A317" t="s">
        <v>4062</v>
      </c>
      <c r="B317" t="s">
        <v>6931</v>
      </c>
      <c r="C317" t="s">
        <v>63</v>
      </c>
      <c r="D317" s="7">
        <v>1</v>
      </c>
      <c r="E317" s="2">
        <v>1100000</v>
      </c>
      <c r="F317" s="2">
        <v>1100000</v>
      </c>
    </row>
    <row r="318" spans="1:6" x14ac:dyDescent="0.25">
      <c r="A318" t="s">
        <v>4049</v>
      </c>
      <c r="B318" t="s">
        <v>4176</v>
      </c>
      <c r="C318" t="s">
        <v>4177</v>
      </c>
      <c r="D318" s="7">
        <v>1</v>
      </c>
      <c r="E318" s="2">
        <v>72300.17</v>
      </c>
      <c r="F318" s="2">
        <v>72300.17</v>
      </c>
    </row>
    <row r="319" spans="1:6" x14ac:dyDescent="0.25">
      <c r="A319" t="s">
        <v>4049</v>
      </c>
      <c r="B319" t="s">
        <v>4313</v>
      </c>
      <c r="C319" t="s">
        <v>4177</v>
      </c>
      <c r="D319" s="7">
        <v>0.5</v>
      </c>
      <c r="E319" s="2">
        <v>124137.15</v>
      </c>
      <c r="F319" s="2">
        <v>62068.57</v>
      </c>
    </row>
    <row r="320" spans="1:6" x14ac:dyDescent="0.25">
      <c r="A320" t="s">
        <v>4052</v>
      </c>
      <c r="B320" t="s">
        <v>4053</v>
      </c>
      <c r="C320" t="s">
        <v>4054</v>
      </c>
      <c r="D320" s="7">
        <v>6.7</v>
      </c>
      <c r="E320" s="2">
        <v>134368.74</v>
      </c>
      <c r="F320" s="2">
        <v>9002.71</v>
      </c>
    </row>
    <row r="321" spans="1:6" x14ac:dyDescent="0.25">
      <c r="A321" t="s">
        <v>4055</v>
      </c>
      <c r="D321" s="7"/>
      <c r="E321" s="2"/>
      <c r="F321" s="2">
        <f>SUBTOTAL(109,A_2_06_28[VALOR PARCIAL])</f>
      </c>
    </row>
  </sheetData>
  <mergeCells count="56">
    <mergeCell ref="A4:F4"/>
    <mergeCell ref="A5:F5"/>
    <mergeCell ref="A19:F19"/>
    <mergeCell ref="A20:F20"/>
    <mergeCell ref="A34:F34"/>
    <mergeCell ref="A35:F35"/>
    <mergeCell ref="A46:F46"/>
    <mergeCell ref="A47:F47"/>
    <mergeCell ref="A59:F59"/>
    <mergeCell ref="A60:F60"/>
    <mergeCell ref="A68:F68"/>
    <mergeCell ref="A69:F69"/>
    <mergeCell ref="A76:F76"/>
    <mergeCell ref="A77:F77"/>
    <mergeCell ref="A85:F85"/>
    <mergeCell ref="A86:F86"/>
    <mergeCell ref="A98:F98"/>
    <mergeCell ref="A99:F99"/>
    <mergeCell ref="A108:F108"/>
    <mergeCell ref="A109:F109"/>
    <mergeCell ref="A118:F118"/>
    <mergeCell ref="A119:F119"/>
    <mergeCell ref="A128:F128"/>
    <mergeCell ref="A129:F129"/>
    <mergeCell ref="A138:F138"/>
    <mergeCell ref="A139:F139"/>
    <mergeCell ref="A149:F149"/>
    <mergeCell ref="A150:F150"/>
    <mergeCell ref="A160:F160"/>
    <mergeCell ref="A161:F161"/>
    <mergeCell ref="A171:F171"/>
    <mergeCell ref="A172:F172"/>
    <mergeCell ref="A182:F182"/>
    <mergeCell ref="A183:F183"/>
    <mergeCell ref="A191:F191"/>
    <mergeCell ref="A192:F192"/>
    <mergeCell ref="A199:F199"/>
    <mergeCell ref="A200:F200"/>
    <mergeCell ref="A206:F206"/>
    <mergeCell ref="A207:F207"/>
    <mergeCell ref="A213:F213"/>
    <mergeCell ref="A214:F214"/>
    <mergeCell ref="A223:F223"/>
    <mergeCell ref="A224:F224"/>
    <mergeCell ref="A233:F233"/>
    <mergeCell ref="A234:F234"/>
    <mergeCell ref="A248:F248"/>
    <mergeCell ref="A249:F249"/>
    <mergeCell ref="A263:F263"/>
    <mergeCell ref="A264:F264"/>
    <mergeCell ref="A278:F278"/>
    <mergeCell ref="A279:F279"/>
    <mergeCell ref="A293:F293"/>
    <mergeCell ref="A294:F294"/>
    <mergeCell ref="A308:F308"/>
    <mergeCell ref="A309:F309"/>
  </mergeCells>
  <pageMargins left="0.7" right="0.7" top="0.75" bottom="0.75" header="0.3" footer="0.3"/>
  <pageSetup orientation="portrait" horizontalDpi="4294967295" verticalDpi="4294967295" scale="100" fitToWidth="1" fitToHeight="1"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6932</v>
      </c>
    </row>
    <row r="2" spans="1:1" x14ac:dyDescent="0.25">
      <c r="A2" s="4" t="s">
        <v>6290</v>
      </c>
    </row>
    <row r="4" ht="30" customHeight="1" spans="1:6" x14ac:dyDescent="0.25">
      <c r="A4" s="5" t="s">
        <v>6933</v>
      </c>
      <c r="B4" s="5"/>
      <c r="C4" s="5"/>
      <c r="D4" s="5"/>
      <c r="E4" s="5"/>
      <c r="F4" s="5"/>
    </row>
    <row r="5" ht="42" customHeight="1" spans="1:6" x14ac:dyDescent="0.25">
      <c r="A5" s="6" t="s">
        <v>6934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4020</v>
      </c>
      <c r="C7" t="s">
        <v>34</v>
      </c>
      <c r="D7" s="7">
        <v>1.05</v>
      </c>
      <c r="E7" s="2">
        <v>525086</v>
      </c>
      <c r="F7" s="2">
        <v>551340.3</v>
      </c>
    </row>
    <row r="8" spans="1:6" x14ac:dyDescent="0.25">
      <c r="A8" t="s">
        <v>4062</v>
      </c>
      <c r="B8" t="s">
        <v>4400</v>
      </c>
      <c r="C8" t="s">
        <v>42</v>
      </c>
      <c r="D8" s="7">
        <v>2.93</v>
      </c>
      <c r="E8" s="2">
        <v>5286.26</v>
      </c>
      <c r="F8" s="2">
        <v>15488.74</v>
      </c>
    </row>
    <row r="9" spans="1:6" x14ac:dyDescent="0.25">
      <c r="A9" t="s">
        <v>4062</v>
      </c>
      <c r="B9" t="s">
        <v>4070</v>
      </c>
      <c r="C9" t="s">
        <v>42</v>
      </c>
      <c r="D9" s="7">
        <v>6.46</v>
      </c>
      <c r="E9" s="2">
        <v>7381.08</v>
      </c>
      <c r="F9" s="2">
        <v>47681.78</v>
      </c>
    </row>
    <row r="10" spans="1:6" x14ac:dyDescent="0.25">
      <c r="A10" t="s">
        <v>4062</v>
      </c>
      <c r="B10" t="s">
        <v>4071</v>
      </c>
      <c r="C10" t="s">
        <v>42</v>
      </c>
      <c r="D10" s="7">
        <v>3.81</v>
      </c>
      <c r="E10" s="2">
        <v>2555</v>
      </c>
      <c r="F10" s="2">
        <v>9734.55</v>
      </c>
    </row>
    <row r="11" spans="1:6" x14ac:dyDescent="0.25">
      <c r="A11" t="s">
        <v>4062</v>
      </c>
      <c r="B11" t="s">
        <v>4065</v>
      </c>
      <c r="C11" t="s">
        <v>4066</v>
      </c>
      <c r="D11" s="7">
        <v>3.16</v>
      </c>
      <c r="E11" s="2">
        <v>3433</v>
      </c>
      <c r="F11" s="2">
        <v>10848.28</v>
      </c>
    </row>
    <row r="12" spans="1:6" x14ac:dyDescent="0.25">
      <c r="A12" t="s">
        <v>4049</v>
      </c>
      <c r="B12" t="s">
        <v>4176</v>
      </c>
      <c r="C12" t="s">
        <v>4177</v>
      </c>
      <c r="D12" s="7">
        <v>1.5</v>
      </c>
      <c r="E12" s="2">
        <v>72300.17</v>
      </c>
      <c r="F12" s="2">
        <v>108450.26</v>
      </c>
    </row>
    <row r="13" spans="1:6" x14ac:dyDescent="0.25">
      <c r="A13" t="s">
        <v>4049</v>
      </c>
      <c r="B13" t="s">
        <v>4313</v>
      </c>
      <c r="C13" t="s">
        <v>4177</v>
      </c>
      <c r="D13" s="7">
        <v>0.3</v>
      </c>
      <c r="E13" s="2">
        <v>124137.15</v>
      </c>
      <c r="F13" s="2">
        <v>37241.14</v>
      </c>
    </row>
    <row r="14" spans="1:6" x14ac:dyDescent="0.25">
      <c r="A14" t="s">
        <v>4052</v>
      </c>
      <c r="B14" t="s">
        <v>4414</v>
      </c>
      <c r="C14" t="s">
        <v>4106</v>
      </c>
      <c r="D14" s="7">
        <v>4</v>
      </c>
      <c r="E14" s="2">
        <v>5691.28</v>
      </c>
      <c r="F14" s="2">
        <v>22765.12</v>
      </c>
    </row>
    <row r="15" spans="1:6" x14ac:dyDescent="0.25">
      <c r="A15" t="s">
        <v>4052</v>
      </c>
      <c r="B15" t="s">
        <v>4286</v>
      </c>
      <c r="C15" t="s">
        <v>287</v>
      </c>
      <c r="D15" s="7">
        <v>2.22</v>
      </c>
      <c r="E15" s="2">
        <v>9375</v>
      </c>
      <c r="F15" s="2">
        <v>20812.5</v>
      </c>
    </row>
    <row r="16" spans="1:6" x14ac:dyDescent="0.25">
      <c r="A16" t="s">
        <v>4052</v>
      </c>
      <c r="B16" t="s">
        <v>4053</v>
      </c>
      <c r="C16" t="s">
        <v>4054</v>
      </c>
      <c r="D16" s="7">
        <v>3.4</v>
      </c>
      <c r="E16" s="2">
        <v>145691.4</v>
      </c>
      <c r="F16" s="2">
        <v>4953.51</v>
      </c>
    </row>
    <row r="17" spans="1:6" x14ac:dyDescent="0.25">
      <c r="A17" t="s">
        <v>4055</v>
      </c>
      <c r="D17" s="7"/>
      <c r="E17" s="2"/>
      <c r="F17" s="2">
        <f>SUBTOTAL(109,A_2_07_01[VALOR PARCIAL])</f>
      </c>
    </row>
    <row r="19" ht="30" customHeight="1" spans="1:6" x14ac:dyDescent="0.25">
      <c r="A19" s="5" t="s">
        <v>6935</v>
      </c>
      <c r="B19" s="5"/>
      <c r="C19" s="5"/>
      <c r="D19" s="5"/>
      <c r="E19" s="5"/>
      <c r="F19" s="5"/>
    </row>
    <row r="20" ht="42" customHeight="1" spans="1:6" x14ac:dyDescent="0.25">
      <c r="A20" s="6" t="s">
        <v>6936</v>
      </c>
      <c r="B20" s="6"/>
      <c r="C20" s="6"/>
      <c r="D20" s="6"/>
      <c r="E20" s="6"/>
      <c r="F20" s="6"/>
    </row>
    <row r="21" spans="1:6" x14ac:dyDescent="0.25">
      <c r="A21" t="s">
        <v>4044</v>
      </c>
      <c r="B21" t="s">
        <v>4045</v>
      </c>
      <c r="C21" t="s">
        <v>5</v>
      </c>
      <c r="D21" t="s">
        <v>4046</v>
      </c>
      <c r="E21" t="s">
        <v>4047</v>
      </c>
      <c r="F21" t="s">
        <v>4048</v>
      </c>
    </row>
    <row r="22" spans="1:6" x14ac:dyDescent="0.25">
      <c r="A22" t="s">
        <v>4062</v>
      </c>
      <c r="B22" t="s">
        <v>4020</v>
      </c>
      <c r="C22" t="s">
        <v>34</v>
      </c>
      <c r="D22" s="7">
        <v>1.05</v>
      </c>
      <c r="E22" s="2">
        <v>525086</v>
      </c>
      <c r="F22" s="2">
        <v>551340.3</v>
      </c>
    </row>
    <row r="23" spans="1:6" x14ac:dyDescent="0.25">
      <c r="A23" t="s">
        <v>4062</v>
      </c>
      <c r="B23" t="s">
        <v>4400</v>
      </c>
      <c r="C23" t="s">
        <v>42</v>
      </c>
      <c r="D23" s="7">
        <v>1.87</v>
      </c>
      <c r="E23" s="2">
        <v>5286.26</v>
      </c>
      <c r="F23" s="2">
        <v>9885.31</v>
      </c>
    </row>
    <row r="24" spans="1:6" x14ac:dyDescent="0.25">
      <c r="A24" t="s">
        <v>4062</v>
      </c>
      <c r="B24" t="s">
        <v>4070</v>
      </c>
      <c r="C24" t="s">
        <v>42</v>
      </c>
      <c r="D24" s="7">
        <v>4.11</v>
      </c>
      <c r="E24" s="2">
        <v>7381.08</v>
      </c>
      <c r="F24" s="2">
        <v>30336.24</v>
      </c>
    </row>
    <row r="25" spans="1:6" x14ac:dyDescent="0.25">
      <c r="A25" t="s">
        <v>4062</v>
      </c>
      <c r="B25" t="s">
        <v>4071</v>
      </c>
      <c r="C25" t="s">
        <v>42</v>
      </c>
      <c r="D25" s="7">
        <v>2.43</v>
      </c>
      <c r="E25" s="2">
        <v>2555</v>
      </c>
      <c r="F25" s="2">
        <v>6208.65</v>
      </c>
    </row>
    <row r="26" spans="1:6" x14ac:dyDescent="0.25">
      <c r="A26" t="s">
        <v>4062</v>
      </c>
      <c r="B26" t="s">
        <v>4065</v>
      </c>
      <c r="C26" t="s">
        <v>4066</v>
      </c>
      <c r="D26" s="7">
        <v>3.16</v>
      </c>
      <c r="E26" s="2">
        <v>3433</v>
      </c>
      <c r="F26" s="2">
        <v>10848.28</v>
      </c>
    </row>
    <row r="27" spans="1:6" x14ac:dyDescent="0.25">
      <c r="A27" t="s">
        <v>4049</v>
      </c>
      <c r="B27" t="s">
        <v>4176</v>
      </c>
      <c r="C27" t="s">
        <v>4177</v>
      </c>
      <c r="D27" s="7">
        <v>1.5</v>
      </c>
      <c r="E27" s="2">
        <v>72300.17</v>
      </c>
      <c r="F27" s="2">
        <v>108450.26</v>
      </c>
    </row>
    <row r="28" spans="1:6" x14ac:dyDescent="0.25">
      <c r="A28" t="s">
        <v>4049</v>
      </c>
      <c r="B28" t="s">
        <v>4313</v>
      </c>
      <c r="C28" t="s">
        <v>4177</v>
      </c>
      <c r="D28" s="7">
        <v>0.3</v>
      </c>
      <c r="E28" s="2">
        <v>124137.15</v>
      </c>
      <c r="F28" s="2">
        <v>37241.14</v>
      </c>
    </row>
    <row r="29" spans="1:6" x14ac:dyDescent="0.25">
      <c r="A29" t="s">
        <v>4052</v>
      </c>
      <c r="B29" t="s">
        <v>4414</v>
      </c>
      <c r="C29" t="s">
        <v>4106</v>
      </c>
      <c r="D29" s="7">
        <v>3</v>
      </c>
      <c r="E29" s="2">
        <v>5691.28</v>
      </c>
      <c r="F29" s="2">
        <v>17073.84</v>
      </c>
    </row>
    <row r="30" spans="1:6" x14ac:dyDescent="0.25">
      <c r="A30" t="s">
        <v>4052</v>
      </c>
      <c r="B30" t="s">
        <v>4286</v>
      </c>
      <c r="C30" t="s">
        <v>287</v>
      </c>
      <c r="D30" s="7">
        <v>1.67</v>
      </c>
      <c r="E30" s="2">
        <v>9375</v>
      </c>
      <c r="F30" s="2">
        <v>15656.25</v>
      </c>
    </row>
    <row r="31" spans="1:6" x14ac:dyDescent="0.25">
      <c r="A31" t="s">
        <v>4052</v>
      </c>
      <c r="B31" t="s">
        <v>4053</v>
      </c>
      <c r="C31" t="s">
        <v>4054</v>
      </c>
      <c r="D31" s="7">
        <v>3.4</v>
      </c>
      <c r="E31" s="2">
        <v>145691.4</v>
      </c>
      <c r="F31" s="2">
        <v>4953.51</v>
      </c>
    </row>
    <row r="32" spans="1:6" x14ac:dyDescent="0.25">
      <c r="A32" t="s">
        <v>4055</v>
      </c>
      <c r="D32" s="7"/>
      <c r="E32" s="2"/>
      <c r="F32" s="2">
        <f>SUBTOTAL(109,A_2_07_02[VALOR PARCIAL])</f>
      </c>
    </row>
    <row r="34" ht="30" customHeight="1" spans="1:6" x14ac:dyDescent="0.25">
      <c r="A34" s="5" t="s">
        <v>6937</v>
      </c>
      <c r="B34" s="5"/>
      <c r="C34" s="5"/>
      <c r="D34" s="5"/>
      <c r="E34" s="5"/>
      <c r="F34" s="5"/>
    </row>
    <row r="35" ht="42" customHeight="1" spans="1:6" x14ac:dyDescent="0.25">
      <c r="A35" s="6" t="s">
        <v>6938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4020</v>
      </c>
      <c r="C37" t="s">
        <v>34</v>
      </c>
      <c r="D37" s="7">
        <v>1.05</v>
      </c>
      <c r="E37" s="2">
        <v>525086</v>
      </c>
      <c r="F37" s="2">
        <v>551340.3</v>
      </c>
    </row>
    <row r="38" spans="1:6" x14ac:dyDescent="0.25">
      <c r="A38" t="s">
        <v>4049</v>
      </c>
      <c r="B38" t="s">
        <v>4176</v>
      </c>
      <c r="C38" t="s">
        <v>4177</v>
      </c>
      <c r="D38" s="7">
        <v>1</v>
      </c>
      <c r="E38" s="2">
        <v>72300.17</v>
      </c>
      <c r="F38" s="2">
        <v>72300.17</v>
      </c>
    </row>
    <row r="39" spans="1:6" x14ac:dyDescent="0.25">
      <c r="A39" t="s">
        <v>4049</v>
      </c>
      <c r="B39" t="s">
        <v>4313</v>
      </c>
      <c r="C39" t="s">
        <v>4177</v>
      </c>
      <c r="D39" s="7">
        <v>0.3</v>
      </c>
      <c r="E39" s="2">
        <v>124137.15</v>
      </c>
      <c r="F39" s="2">
        <v>37241.14</v>
      </c>
    </row>
    <row r="40" spans="1:6" x14ac:dyDescent="0.25">
      <c r="A40" t="s">
        <v>4052</v>
      </c>
      <c r="B40" t="s">
        <v>4414</v>
      </c>
      <c r="C40" t="s">
        <v>4106</v>
      </c>
      <c r="D40" s="7">
        <v>2</v>
      </c>
      <c r="E40" s="2">
        <v>5691.28</v>
      </c>
      <c r="F40" s="2">
        <v>11382.56</v>
      </c>
    </row>
    <row r="41" spans="1:6" x14ac:dyDescent="0.25">
      <c r="A41" t="s">
        <v>4052</v>
      </c>
      <c r="B41" t="s">
        <v>4286</v>
      </c>
      <c r="C41" t="s">
        <v>287</v>
      </c>
      <c r="D41" s="7">
        <v>2.22</v>
      </c>
      <c r="E41" s="2">
        <v>9375</v>
      </c>
      <c r="F41" s="2">
        <v>20831.25</v>
      </c>
    </row>
    <row r="42" spans="1:6" x14ac:dyDescent="0.25">
      <c r="A42" t="s">
        <v>4052</v>
      </c>
      <c r="B42" t="s">
        <v>4053</v>
      </c>
      <c r="C42" t="s">
        <v>4054</v>
      </c>
      <c r="D42" s="7">
        <v>3.4</v>
      </c>
      <c r="E42" s="2">
        <v>109541.31</v>
      </c>
      <c r="F42" s="2">
        <v>3724.4</v>
      </c>
    </row>
    <row r="43" spans="1:6" x14ac:dyDescent="0.25">
      <c r="A43" t="s">
        <v>4055</v>
      </c>
      <c r="D43" s="7"/>
      <c r="E43" s="2"/>
      <c r="F43" s="2">
        <f>SUBTOTAL(109,A_2_07_03[VALOR PARCIAL])</f>
      </c>
    </row>
    <row r="45" ht="30" customHeight="1" spans="1:6" x14ac:dyDescent="0.25">
      <c r="A45" s="5" t="s">
        <v>6939</v>
      </c>
      <c r="B45" s="5"/>
      <c r="C45" s="5"/>
      <c r="D45" s="5"/>
      <c r="E45" s="5"/>
      <c r="F45" s="5"/>
    </row>
    <row r="46" ht="42" customHeight="1" spans="1:6" x14ac:dyDescent="0.25">
      <c r="A46" s="6" t="s">
        <v>6940</v>
      </c>
      <c r="B46" s="6"/>
      <c r="C46" s="6"/>
      <c r="D46" s="6"/>
      <c r="E46" s="6"/>
      <c r="F46" s="6"/>
    </row>
    <row r="47" spans="1:6" x14ac:dyDescent="0.25">
      <c r="A47" t="s">
        <v>4044</v>
      </c>
      <c r="B47" t="s">
        <v>4045</v>
      </c>
      <c r="C47" t="s">
        <v>5</v>
      </c>
      <c r="D47" t="s">
        <v>4046</v>
      </c>
      <c r="E47" t="s">
        <v>4047</v>
      </c>
      <c r="F47" t="s">
        <v>4048</v>
      </c>
    </row>
    <row r="48" spans="1:6" x14ac:dyDescent="0.25">
      <c r="A48" t="s">
        <v>4062</v>
      </c>
      <c r="B48" t="s">
        <v>4023</v>
      </c>
      <c r="C48" t="s">
        <v>34</v>
      </c>
      <c r="D48" s="7">
        <v>1.05</v>
      </c>
      <c r="E48" s="2">
        <v>598074.17</v>
      </c>
      <c r="F48" s="2">
        <v>627977.88</v>
      </c>
    </row>
    <row r="49" spans="1:6" x14ac:dyDescent="0.25">
      <c r="A49" t="s">
        <v>4062</v>
      </c>
      <c r="B49" t="s">
        <v>4400</v>
      </c>
      <c r="C49" t="s">
        <v>42</v>
      </c>
      <c r="D49" s="7">
        <v>2.93</v>
      </c>
      <c r="E49" s="2">
        <v>5286.26</v>
      </c>
      <c r="F49" s="2">
        <v>15488.74</v>
      </c>
    </row>
    <row r="50" spans="1:6" x14ac:dyDescent="0.25">
      <c r="A50" t="s">
        <v>4062</v>
      </c>
      <c r="B50" t="s">
        <v>4070</v>
      </c>
      <c r="C50" t="s">
        <v>42</v>
      </c>
      <c r="D50" s="7">
        <v>6.46</v>
      </c>
      <c r="E50" s="2">
        <v>7381.08</v>
      </c>
      <c r="F50" s="2">
        <v>47681.78</v>
      </c>
    </row>
    <row r="51" spans="1:6" x14ac:dyDescent="0.25">
      <c r="A51" t="s">
        <v>4062</v>
      </c>
      <c r="B51" t="s">
        <v>4071</v>
      </c>
      <c r="C51" t="s">
        <v>42</v>
      </c>
      <c r="D51" s="7">
        <v>3.81</v>
      </c>
      <c r="E51" s="2">
        <v>2555</v>
      </c>
      <c r="F51" s="2">
        <v>9734.55</v>
      </c>
    </row>
    <row r="52" spans="1:6" x14ac:dyDescent="0.25">
      <c r="A52" t="s">
        <v>4062</v>
      </c>
      <c r="B52" t="s">
        <v>4065</v>
      </c>
      <c r="C52" t="s">
        <v>4066</v>
      </c>
      <c r="D52" s="7">
        <v>3.16</v>
      </c>
      <c r="E52" s="2">
        <v>3433</v>
      </c>
      <c r="F52" s="2">
        <v>10848.28</v>
      </c>
    </row>
    <row r="53" spans="1:6" x14ac:dyDescent="0.25">
      <c r="A53" t="s">
        <v>4049</v>
      </c>
      <c r="B53" t="s">
        <v>4176</v>
      </c>
      <c r="C53" t="s">
        <v>4177</v>
      </c>
      <c r="D53" s="7">
        <v>1.5</v>
      </c>
      <c r="E53" s="2">
        <v>72300.17</v>
      </c>
      <c r="F53" s="2">
        <v>108450.26</v>
      </c>
    </row>
    <row r="54" spans="1:6" x14ac:dyDescent="0.25">
      <c r="A54" t="s">
        <v>4049</v>
      </c>
      <c r="B54" t="s">
        <v>4313</v>
      </c>
      <c r="C54" t="s">
        <v>4177</v>
      </c>
      <c r="D54" s="7">
        <v>0.3</v>
      </c>
      <c r="E54" s="2">
        <v>124137.15</v>
      </c>
      <c r="F54" s="2">
        <v>37241.14</v>
      </c>
    </row>
    <row r="55" spans="1:6" x14ac:dyDescent="0.25">
      <c r="A55" t="s">
        <v>4052</v>
      </c>
      <c r="B55" t="s">
        <v>4414</v>
      </c>
      <c r="C55" t="s">
        <v>4106</v>
      </c>
      <c r="D55" s="7">
        <v>4</v>
      </c>
      <c r="E55" s="2">
        <v>5691.28</v>
      </c>
      <c r="F55" s="2">
        <v>22765.12</v>
      </c>
    </row>
    <row r="56" spans="1:6" x14ac:dyDescent="0.25">
      <c r="A56" t="s">
        <v>4052</v>
      </c>
      <c r="B56" t="s">
        <v>4286</v>
      </c>
      <c r="C56" t="s">
        <v>287</v>
      </c>
      <c r="D56" s="7">
        <v>2.22</v>
      </c>
      <c r="E56" s="2">
        <v>9375</v>
      </c>
      <c r="F56" s="2">
        <v>20831.25</v>
      </c>
    </row>
    <row r="57" spans="1:6" x14ac:dyDescent="0.25">
      <c r="A57" t="s">
        <v>4052</v>
      </c>
      <c r="B57" t="s">
        <v>4053</v>
      </c>
      <c r="C57" t="s">
        <v>4054</v>
      </c>
      <c r="D57" s="7">
        <v>3.4</v>
      </c>
      <c r="E57" s="2">
        <v>145691.4</v>
      </c>
      <c r="F57" s="2">
        <v>4953.51</v>
      </c>
    </row>
    <row r="58" spans="1:6" x14ac:dyDescent="0.25">
      <c r="A58" t="s">
        <v>4055</v>
      </c>
      <c r="D58" s="7"/>
      <c r="E58" s="2"/>
      <c r="F58" s="2">
        <f>SUBTOTAL(109,A_2_07_04[VALOR PARCIAL])</f>
      </c>
    </row>
    <row r="60" ht="30" customHeight="1" spans="1:6" x14ac:dyDescent="0.25">
      <c r="A60" s="5" t="s">
        <v>6941</v>
      </c>
      <c r="B60" s="5"/>
      <c r="C60" s="5"/>
      <c r="D60" s="5"/>
      <c r="E60" s="5"/>
      <c r="F60" s="5"/>
    </row>
    <row r="61" ht="42" customHeight="1" spans="1:6" x14ac:dyDescent="0.25">
      <c r="A61" s="6" t="s">
        <v>6942</v>
      </c>
      <c r="B61" s="6"/>
      <c r="C61" s="6"/>
      <c r="D61" s="6"/>
      <c r="E61" s="6"/>
      <c r="F61" s="6"/>
    </row>
    <row r="62" spans="1:6" x14ac:dyDescent="0.25">
      <c r="A62" t="s">
        <v>4044</v>
      </c>
      <c r="B62" t="s">
        <v>4045</v>
      </c>
      <c r="C62" t="s">
        <v>5</v>
      </c>
      <c r="D62" t="s">
        <v>4046</v>
      </c>
      <c r="E62" t="s">
        <v>4047</v>
      </c>
      <c r="F62" t="s">
        <v>4048</v>
      </c>
    </row>
    <row r="63" spans="1:6" x14ac:dyDescent="0.25">
      <c r="A63" t="s">
        <v>4062</v>
      </c>
      <c r="B63" t="s">
        <v>4023</v>
      </c>
      <c r="C63" t="s">
        <v>34</v>
      </c>
      <c r="D63" s="7">
        <v>1.05</v>
      </c>
      <c r="E63" s="2">
        <v>598074.17</v>
      </c>
      <c r="F63" s="2">
        <v>627977.88</v>
      </c>
    </row>
    <row r="64" spans="1:6" x14ac:dyDescent="0.25">
      <c r="A64" t="s">
        <v>4062</v>
      </c>
      <c r="B64" t="s">
        <v>4400</v>
      </c>
      <c r="C64" t="s">
        <v>42</v>
      </c>
      <c r="D64" s="7">
        <v>1.87</v>
      </c>
      <c r="E64" s="2">
        <v>5286.26</v>
      </c>
      <c r="F64" s="2">
        <v>9885.31</v>
      </c>
    </row>
    <row r="65" spans="1:6" x14ac:dyDescent="0.25">
      <c r="A65" t="s">
        <v>4062</v>
      </c>
      <c r="B65" t="s">
        <v>4070</v>
      </c>
      <c r="C65" t="s">
        <v>42</v>
      </c>
      <c r="D65" s="7">
        <v>4.11</v>
      </c>
      <c r="E65" s="2">
        <v>7381.08</v>
      </c>
      <c r="F65" s="2">
        <v>30336.24</v>
      </c>
    </row>
    <row r="66" spans="1:6" x14ac:dyDescent="0.25">
      <c r="A66" t="s">
        <v>4062</v>
      </c>
      <c r="B66" t="s">
        <v>4071</v>
      </c>
      <c r="C66" t="s">
        <v>42</v>
      </c>
      <c r="D66" s="7">
        <v>2.43</v>
      </c>
      <c r="E66" s="2">
        <v>2555</v>
      </c>
      <c r="F66" s="2">
        <v>6208.65</v>
      </c>
    </row>
    <row r="67" spans="1:6" x14ac:dyDescent="0.25">
      <c r="A67" t="s">
        <v>4062</v>
      </c>
      <c r="B67" t="s">
        <v>4065</v>
      </c>
      <c r="C67" t="s">
        <v>4066</v>
      </c>
      <c r="D67" s="7">
        <v>3.16</v>
      </c>
      <c r="E67" s="2">
        <v>3433</v>
      </c>
      <c r="F67" s="2">
        <v>10848.28</v>
      </c>
    </row>
    <row r="68" spans="1:6" x14ac:dyDescent="0.25">
      <c r="A68" t="s">
        <v>4049</v>
      </c>
      <c r="B68" t="s">
        <v>4176</v>
      </c>
      <c r="C68" t="s">
        <v>4177</v>
      </c>
      <c r="D68" s="7">
        <v>1.5</v>
      </c>
      <c r="E68" s="2">
        <v>72300.17</v>
      </c>
      <c r="F68" s="2">
        <v>108450.26</v>
      </c>
    </row>
    <row r="69" spans="1:6" x14ac:dyDescent="0.25">
      <c r="A69" t="s">
        <v>4049</v>
      </c>
      <c r="B69" t="s">
        <v>4313</v>
      </c>
      <c r="C69" t="s">
        <v>4177</v>
      </c>
      <c r="D69" s="7">
        <v>0.3</v>
      </c>
      <c r="E69" s="2">
        <v>124137.15</v>
      </c>
      <c r="F69" s="2">
        <v>37241.14</v>
      </c>
    </row>
    <row r="70" spans="1:6" x14ac:dyDescent="0.25">
      <c r="A70" t="s">
        <v>4052</v>
      </c>
      <c r="B70" t="s">
        <v>4414</v>
      </c>
      <c r="C70" t="s">
        <v>4106</v>
      </c>
      <c r="D70" s="7">
        <v>3</v>
      </c>
      <c r="E70" s="2">
        <v>5691.28</v>
      </c>
      <c r="F70" s="2">
        <v>17073.84</v>
      </c>
    </row>
    <row r="71" spans="1:6" x14ac:dyDescent="0.25">
      <c r="A71" t="s">
        <v>4052</v>
      </c>
      <c r="B71" t="s">
        <v>4286</v>
      </c>
      <c r="C71" t="s">
        <v>287</v>
      </c>
      <c r="D71" s="7">
        <v>1.67</v>
      </c>
      <c r="E71" s="2">
        <v>9375</v>
      </c>
      <c r="F71" s="2">
        <v>15656.25</v>
      </c>
    </row>
    <row r="72" spans="1:6" x14ac:dyDescent="0.25">
      <c r="A72" t="s">
        <v>4052</v>
      </c>
      <c r="B72" t="s">
        <v>4053</v>
      </c>
      <c r="C72" t="s">
        <v>4054</v>
      </c>
      <c r="D72" s="7">
        <v>3.4</v>
      </c>
      <c r="E72" s="2">
        <v>145691.4</v>
      </c>
      <c r="F72" s="2">
        <v>4953.51</v>
      </c>
    </row>
    <row r="73" spans="1:6" x14ac:dyDescent="0.25">
      <c r="A73" t="s">
        <v>4055</v>
      </c>
      <c r="D73" s="7"/>
      <c r="E73" s="2"/>
      <c r="F73" s="2">
        <f>SUBTOTAL(109,A_2_07_05[VALOR PARCIAL])</f>
      </c>
    </row>
    <row r="75" ht="30" customHeight="1" spans="1:6" x14ac:dyDescent="0.25">
      <c r="A75" s="5" t="s">
        <v>6943</v>
      </c>
      <c r="B75" s="5"/>
      <c r="C75" s="5"/>
      <c r="D75" s="5"/>
      <c r="E75" s="5"/>
      <c r="F75" s="5"/>
    </row>
    <row r="76" ht="42" customHeight="1" spans="1:6" x14ac:dyDescent="0.25">
      <c r="A76" s="6" t="s">
        <v>6944</v>
      </c>
      <c r="B76" s="6"/>
      <c r="C76" s="6"/>
      <c r="D76" s="6"/>
      <c r="E76" s="6"/>
      <c r="F76" s="6"/>
    </row>
    <row r="77" spans="1:6" x14ac:dyDescent="0.25">
      <c r="A77" t="s">
        <v>4044</v>
      </c>
      <c r="B77" t="s">
        <v>4045</v>
      </c>
      <c r="C77" t="s">
        <v>5</v>
      </c>
      <c r="D77" t="s">
        <v>4046</v>
      </c>
      <c r="E77" t="s">
        <v>4047</v>
      </c>
      <c r="F77" t="s">
        <v>4048</v>
      </c>
    </row>
    <row r="78" spans="1:6" x14ac:dyDescent="0.25">
      <c r="A78" t="s">
        <v>4062</v>
      </c>
      <c r="B78" t="s">
        <v>4023</v>
      </c>
      <c r="C78" t="s">
        <v>34</v>
      </c>
      <c r="D78" s="7">
        <v>1.05</v>
      </c>
      <c r="E78" s="2">
        <v>598074.17</v>
      </c>
      <c r="F78" s="2">
        <v>627977.88</v>
      </c>
    </row>
    <row r="79" spans="1:6" x14ac:dyDescent="0.25">
      <c r="A79" t="s">
        <v>4049</v>
      </c>
      <c r="B79" t="s">
        <v>4176</v>
      </c>
      <c r="C79" t="s">
        <v>4177</v>
      </c>
      <c r="D79" s="7">
        <v>1</v>
      </c>
      <c r="E79" s="2">
        <v>72300.17</v>
      </c>
      <c r="F79" s="2">
        <v>72300.17</v>
      </c>
    </row>
    <row r="80" spans="1:6" x14ac:dyDescent="0.25">
      <c r="A80" t="s">
        <v>4049</v>
      </c>
      <c r="B80" t="s">
        <v>4313</v>
      </c>
      <c r="C80" t="s">
        <v>4177</v>
      </c>
      <c r="D80" s="7">
        <v>0.3</v>
      </c>
      <c r="E80" s="2">
        <v>124137.15</v>
      </c>
      <c r="F80" s="2">
        <v>37241.14</v>
      </c>
    </row>
    <row r="81" spans="1:6" x14ac:dyDescent="0.25">
      <c r="A81" t="s">
        <v>4052</v>
      </c>
      <c r="B81" t="s">
        <v>4414</v>
      </c>
      <c r="C81" t="s">
        <v>4106</v>
      </c>
      <c r="D81" s="7">
        <v>2</v>
      </c>
      <c r="E81" s="2">
        <v>5691.28</v>
      </c>
      <c r="F81" s="2">
        <v>11382.56</v>
      </c>
    </row>
    <row r="82" spans="1:6" x14ac:dyDescent="0.25">
      <c r="A82" t="s">
        <v>4052</v>
      </c>
      <c r="B82" t="s">
        <v>4286</v>
      </c>
      <c r="C82" t="s">
        <v>287</v>
      </c>
      <c r="D82" s="7">
        <v>2.22</v>
      </c>
      <c r="E82" s="2">
        <v>9375</v>
      </c>
      <c r="F82" s="2">
        <v>20831.25</v>
      </c>
    </row>
    <row r="83" spans="1:6" x14ac:dyDescent="0.25">
      <c r="A83" t="s">
        <v>4052</v>
      </c>
      <c r="B83" t="s">
        <v>4053</v>
      </c>
      <c r="C83" t="s">
        <v>4054</v>
      </c>
      <c r="D83" s="7">
        <v>3.4</v>
      </c>
      <c r="E83" s="2">
        <v>109541.31</v>
      </c>
      <c r="F83" s="2">
        <v>3724.4</v>
      </c>
    </row>
    <row r="84" spans="1:6" x14ac:dyDescent="0.25">
      <c r="A84" t="s">
        <v>4055</v>
      </c>
      <c r="D84" s="7"/>
      <c r="E84" s="2"/>
      <c r="F84" s="2">
        <f>SUBTOTAL(109,A_2_07_06[VALOR PARCIAL])</f>
      </c>
    </row>
    <row r="86" ht="30" customHeight="1" spans="1:6" x14ac:dyDescent="0.25">
      <c r="A86" s="5" t="s">
        <v>6945</v>
      </c>
      <c r="B86" s="5"/>
      <c r="C86" s="5"/>
      <c r="D86" s="5"/>
      <c r="E86" s="5"/>
      <c r="F86" s="5"/>
    </row>
    <row r="87" ht="42" customHeight="1" spans="1:6" x14ac:dyDescent="0.25">
      <c r="A87" s="6" t="s">
        <v>6946</v>
      </c>
      <c r="B87" s="6"/>
      <c r="C87" s="6"/>
      <c r="D87" s="6"/>
      <c r="E87" s="6"/>
      <c r="F87" s="6"/>
    </row>
    <row r="88" spans="1:6" x14ac:dyDescent="0.25">
      <c r="A88" t="s">
        <v>4044</v>
      </c>
      <c r="B88" t="s">
        <v>4045</v>
      </c>
      <c r="C88" t="s">
        <v>5</v>
      </c>
      <c r="D88" t="s">
        <v>4046</v>
      </c>
      <c r="E88" t="s">
        <v>4047</v>
      </c>
      <c r="F88" t="s">
        <v>4048</v>
      </c>
    </row>
    <row r="89" spans="1:6" x14ac:dyDescent="0.25">
      <c r="A89" t="s">
        <v>4062</v>
      </c>
      <c r="B89" t="s">
        <v>6947</v>
      </c>
      <c r="C89" t="s">
        <v>63</v>
      </c>
      <c r="D89" s="7">
        <v>0.15</v>
      </c>
      <c r="E89" s="2">
        <v>185957</v>
      </c>
      <c r="F89" s="2">
        <v>27893.55</v>
      </c>
    </row>
    <row r="90" spans="1:6" x14ac:dyDescent="0.25">
      <c r="A90" t="s">
        <v>4049</v>
      </c>
      <c r="B90" t="s">
        <v>4176</v>
      </c>
      <c r="C90" t="s">
        <v>4177</v>
      </c>
      <c r="D90" s="7">
        <v>0.4</v>
      </c>
      <c r="E90" s="2">
        <v>72300.17</v>
      </c>
      <c r="F90" s="2">
        <v>28920.07</v>
      </c>
    </row>
    <row r="91" spans="1:6" x14ac:dyDescent="0.25">
      <c r="A91" t="s">
        <v>4049</v>
      </c>
      <c r="B91" t="s">
        <v>4313</v>
      </c>
      <c r="C91" t="s">
        <v>4177</v>
      </c>
      <c r="D91" s="7">
        <v>0.4</v>
      </c>
      <c r="E91" s="2">
        <v>124137.15</v>
      </c>
      <c r="F91" s="2">
        <v>49654.86</v>
      </c>
    </row>
    <row r="92" spans="1:6" x14ac:dyDescent="0.25">
      <c r="A92" t="s">
        <v>4049</v>
      </c>
      <c r="B92" t="s">
        <v>6948</v>
      </c>
      <c r="C92" t="s">
        <v>4177</v>
      </c>
      <c r="D92" s="7">
        <v>0.4</v>
      </c>
      <c r="E92" s="2">
        <v>124137.15</v>
      </c>
      <c r="F92" s="2">
        <v>49654.86</v>
      </c>
    </row>
    <row r="93" spans="1:6" x14ac:dyDescent="0.25">
      <c r="A93" t="s">
        <v>4052</v>
      </c>
      <c r="B93" t="s">
        <v>4123</v>
      </c>
      <c r="C93" t="s">
        <v>287</v>
      </c>
      <c r="D93" s="7">
        <v>0.67</v>
      </c>
      <c r="E93" s="2">
        <v>62400</v>
      </c>
      <c r="F93" s="2">
        <v>41620.8</v>
      </c>
    </row>
    <row r="94" spans="1:6" x14ac:dyDescent="0.25">
      <c r="A94" t="s">
        <v>4052</v>
      </c>
      <c r="B94" t="s">
        <v>6949</v>
      </c>
      <c r="C94" t="s">
        <v>287</v>
      </c>
      <c r="D94" s="7">
        <v>1</v>
      </c>
      <c r="E94" s="2">
        <v>7872</v>
      </c>
      <c r="F94" s="2">
        <v>7872</v>
      </c>
    </row>
    <row r="95" spans="1:6" x14ac:dyDescent="0.25">
      <c r="A95" t="s">
        <v>4052</v>
      </c>
      <c r="B95" t="s">
        <v>6950</v>
      </c>
      <c r="C95" t="s">
        <v>287</v>
      </c>
      <c r="D95" s="7">
        <v>0.67</v>
      </c>
      <c r="E95" s="2">
        <v>6822.07</v>
      </c>
      <c r="F95" s="2">
        <v>4550.32</v>
      </c>
    </row>
    <row r="96" spans="1:6" x14ac:dyDescent="0.25">
      <c r="A96" t="s">
        <v>4052</v>
      </c>
      <c r="B96" t="s">
        <v>4053</v>
      </c>
      <c r="C96" t="s">
        <v>4054</v>
      </c>
      <c r="D96" s="7">
        <v>6.7</v>
      </c>
      <c r="E96" s="2">
        <v>128229.79</v>
      </c>
      <c r="F96" s="2">
        <v>8591.4</v>
      </c>
    </row>
    <row r="97" spans="1:6" x14ac:dyDescent="0.25">
      <c r="A97" t="s">
        <v>4055</v>
      </c>
      <c r="D97" s="7"/>
      <c r="E97" s="2"/>
      <c r="F97" s="2">
        <f>SUBTOTAL(109,A_2_07_07[VALOR PARCIAL])</f>
      </c>
    </row>
    <row r="99" ht="30" customHeight="1" spans="1:6" x14ac:dyDescent="0.25">
      <c r="A99" s="5" t="s">
        <v>6951</v>
      </c>
      <c r="B99" s="5"/>
      <c r="C99" s="5"/>
      <c r="D99" s="5"/>
      <c r="E99" s="5"/>
      <c r="F99" s="5"/>
    </row>
    <row r="100" ht="42" customHeight="1" spans="1:6" x14ac:dyDescent="0.25">
      <c r="A100" s="6" t="s">
        <v>6952</v>
      </c>
      <c r="B100" s="6"/>
      <c r="C100" s="6"/>
      <c r="D100" s="6"/>
      <c r="E100" s="6"/>
      <c r="F100" s="6"/>
    </row>
    <row r="101" spans="1:6" x14ac:dyDescent="0.25">
      <c r="A101" t="s">
        <v>4044</v>
      </c>
      <c r="B101" t="s">
        <v>4045</v>
      </c>
      <c r="C101" t="s">
        <v>5</v>
      </c>
      <c r="D101" t="s">
        <v>4046</v>
      </c>
      <c r="E101" t="s">
        <v>4047</v>
      </c>
      <c r="F101" t="s">
        <v>4048</v>
      </c>
    </row>
    <row r="102" spans="1:6" x14ac:dyDescent="0.25">
      <c r="A102" t="s">
        <v>4062</v>
      </c>
      <c r="B102" t="s">
        <v>6947</v>
      </c>
      <c r="C102" t="s">
        <v>63</v>
      </c>
      <c r="D102" s="7">
        <v>0.25</v>
      </c>
      <c r="E102" s="2">
        <v>185957</v>
      </c>
      <c r="F102" s="2">
        <v>46489.25</v>
      </c>
    </row>
    <row r="103" spans="1:6" x14ac:dyDescent="0.25">
      <c r="A103" t="s">
        <v>4049</v>
      </c>
      <c r="B103" t="s">
        <v>4176</v>
      </c>
      <c r="C103" t="s">
        <v>4177</v>
      </c>
      <c r="D103" s="7">
        <v>0.4</v>
      </c>
      <c r="E103" s="2">
        <v>72300.17</v>
      </c>
      <c r="F103" s="2">
        <v>28920.07</v>
      </c>
    </row>
    <row r="104" spans="1:6" x14ac:dyDescent="0.25">
      <c r="A104" t="s">
        <v>4049</v>
      </c>
      <c r="B104" t="s">
        <v>4313</v>
      </c>
      <c r="C104" t="s">
        <v>4177</v>
      </c>
      <c r="D104" s="7">
        <v>0.4</v>
      </c>
      <c r="E104" s="2">
        <v>124137.15</v>
      </c>
      <c r="F104" s="2">
        <v>49654.86</v>
      </c>
    </row>
    <row r="105" spans="1:6" x14ac:dyDescent="0.25">
      <c r="A105" t="s">
        <v>4049</v>
      </c>
      <c r="B105" t="s">
        <v>6948</v>
      </c>
      <c r="C105" t="s">
        <v>4177</v>
      </c>
      <c r="D105" s="7">
        <v>0.4</v>
      </c>
      <c r="E105" s="2">
        <v>124137.15</v>
      </c>
      <c r="F105" s="2">
        <v>49654.86</v>
      </c>
    </row>
    <row r="106" spans="1:6" x14ac:dyDescent="0.25">
      <c r="A106" t="s">
        <v>4052</v>
      </c>
      <c r="B106" t="s">
        <v>4123</v>
      </c>
      <c r="C106" t="s">
        <v>287</v>
      </c>
      <c r="D106" s="7">
        <v>0.67</v>
      </c>
      <c r="E106" s="2">
        <v>62400</v>
      </c>
      <c r="F106" s="2">
        <v>41620.8</v>
      </c>
    </row>
    <row r="107" spans="1:6" x14ac:dyDescent="0.25">
      <c r="A107" t="s">
        <v>4052</v>
      </c>
      <c r="B107" t="s">
        <v>6949</v>
      </c>
      <c r="C107" t="s">
        <v>287</v>
      </c>
      <c r="D107" s="7">
        <v>1</v>
      </c>
      <c r="E107" s="2">
        <v>7872</v>
      </c>
      <c r="F107" s="2">
        <v>7872</v>
      </c>
    </row>
    <row r="108" spans="1:6" x14ac:dyDescent="0.25">
      <c r="A108" t="s">
        <v>4052</v>
      </c>
      <c r="B108" t="s">
        <v>6950</v>
      </c>
      <c r="C108" t="s">
        <v>287</v>
      </c>
      <c r="D108" s="7">
        <v>0.07</v>
      </c>
      <c r="E108" s="2">
        <v>6822.07</v>
      </c>
      <c r="F108" s="2">
        <v>455.03</v>
      </c>
    </row>
    <row r="109" spans="1:6" x14ac:dyDescent="0.25">
      <c r="A109" t="s">
        <v>4052</v>
      </c>
      <c r="B109" t="s">
        <v>4053</v>
      </c>
      <c r="C109" t="s">
        <v>4054</v>
      </c>
      <c r="D109" s="7">
        <v>6.7</v>
      </c>
      <c r="E109" s="2">
        <v>128229.79</v>
      </c>
      <c r="F109" s="2">
        <v>8591.4</v>
      </c>
    </row>
    <row r="110" spans="1:6" x14ac:dyDescent="0.25">
      <c r="A110" t="s">
        <v>4055</v>
      </c>
      <c r="D110" s="7"/>
      <c r="E110" s="2"/>
      <c r="F110" s="2">
        <f>SUBTOTAL(109,A_2_07_08[VALOR PARCIAL])</f>
      </c>
    </row>
    <row r="112" ht="30" customHeight="1" spans="1:6" x14ac:dyDescent="0.25">
      <c r="A112" s="5" t="s">
        <v>6953</v>
      </c>
      <c r="B112" s="5"/>
      <c r="C112" s="5"/>
      <c r="D112" s="5"/>
      <c r="E112" s="5"/>
      <c r="F112" s="5"/>
    </row>
    <row r="113" ht="42" customHeight="1" spans="1:6" x14ac:dyDescent="0.25">
      <c r="A113" s="6" t="s">
        <v>6954</v>
      </c>
      <c r="B113" s="6"/>
      <c r="C113" s="6"/>
      <c r="D113" s="6"/>
      <c r="E113" s="6"/>
      <c r="F113" s="6"/>
    </row>
    <row r="114" spans="1:6" x14ac:dyDescent="0.25">
      <c r="A114" t="s">
        <v>4044</v>
      </c>
      <c r="B114" t="s">
        <v>4045</v>
      </c>
      <c r="C114" t="s">
        <v>5</v>
      </c>
      <c r="D114" t="s">
        <v>4046</v>
      </c>
      <c r="E114" t="s">
        <v>4047</v>
      </c>
      <c r="F114" t="s">
        <v>4048</v>
      </c>
    </row>
    <row r="115" spans="1:6" x14ac:dyDescent="0.25">
      <c r="A115" t="s">
        <v>4062</v>
      </c>
      <c r="B115" t="s">
        <v>4012</v>
      </c>
      <c r="C115" t="s">
        <v>34</v>
      </c>
      <c r="D115" s="7">
        <v>0.15</v>
      </c>
      <c r="E115" s="2">
        <v>475506.98</v>
      </c>
      <c r="F115" s="2">
        <v>71326.05</v>
      </c>
    </row>
    <row r="116" spans="1:6" x14ac:dyDescent="0.25">
      <c r="A116" t="s">
        <v>4062</v>
      </c>
      <c r="B116" t="s">
        <v>6955</v>
      </c>
      <c r="C116" t="s">
        <v>4377</v>
      </c>
      <c r="D116" s="7">
        <v>3</v>
      </c>
      <c r="E116" s="2">
        <v>5178.75</v>
      </c>
      <c r="F116" s="2">
        <v>15536.25</v>
      </c>
    </row>
    <row r="117" spans="1:6" x14ac:dyDescent="0.25">
      <c r="A117" t="s">
        <v>4049</v>
      </c>
      <c r="B117" t="s">
        <v>4286</v>
      </c>
      <c r="C117" t="s">
        <v>287</v>
      </c>
      <c r="D117" s="7">
        <v>0.15</v>
      </c>
      <c r="E117" s="2">
        <v>9375</v>
      </c>
      <c r="F117" s="2">
        <v>1406.25</v>
      </c>
    </row>
    <row r="118" spans="1:6" x14ac:dyDescent="0.25">
      <c r="A118" t="s">
        <v>4049</v>
      </c>
      <c r="B118" t="s">
        <v>4176</v>
      </c>
      <c r="C118" t="s">
        <v>4177</v>
      </c>
      <c r="D118" s="7">
        <v>1</v>
      </c>
      <c r="E118" s="2">
        <v>72300.17</v>
      </c>
      <c r="F118" s="2">
        <v>72300.17</v>
      </c>
    </row>
    <row r="119" spans="1:6" x14ac:dyDescent="0.25">
      <c r="A119" t="s">
        <v>4049</v>
      </c>
      <c r="B119" t="s">
        <v>4313</v>
      </c>
      <c r="C119" t="s">
        <v>4177</v>
      </c>
      <c r="D119" s="7">
        <v>0.25</v>
      </c>
      <c r="E119" s="2">
        <v>124137.15</v>
      </c>
      <c r="F119" s="2">
        <v>31034.29</v>
      </c>
    </row>
    <row r="120" spans="1:6" x14ac:dyDescent="0.25">
      <c r="A120" t="s">
        <v>4052</v>
      </c>
      <c r="B120" t="s">
        <v>4053</v>
      </c>
      <c r="C120" t="s">
        <v>4054</v>
      </c>
      <c r="D120" s="7">
        <v>1.6</v>
      </c>
      <c r="E120" s="2">
        <v>103334.46</v>
      </c>
      <c r="F120" s="2">
        <v>1653.35</v>
      </c>
    </row>
    <row r="121" spans="1:6" x14ac:dyDescent="0.25">
      <c r="A121" t="s">
        <v>4055</v>
      </c>
      <c r="D121" s="7"/>
      <c r="E121" s="2"/>
      <c r="F121" s="2">
        <f>SUBTOTAL(109,A_2_07_09[VALOR PARCIAL])</f>
      </c>
    </row>
    <row r="123" ht="30" customHeight="1" spans="1:6" x14ac:dyDescent="0.25">
      <c r="A123" s="5" t="s">
        <v>6956</v>
      </c>
      <c r="B123" s="5"/>
      <c r="C123" s="5"/>
      <c r="D123" s="5"/>
      <c r="E123" s="5"/>
      <c r="F123" s="5"/>
    </row>
    <row r="124" ht="42" customHeight="1" spans="1:6" x14ac:dyDescent="0.25">
      <c r="A124" s="6" t="s">
        <v>6957</v>
      </c>
      <c r="B124" s="6"/>
      <c r="C124" s="6"/>
      <c r="D124" s="6"/>
      <c r="E124" s="6"/>
      <c r="F124" s="6"/>
    </row>
    <row r="125" spans="1:6" x14ac:dyDescent="0.25">
      <c r="A125" t="s">
        <v>4044</v>
      </c>
      <c r="B125" t="s">
        <v>4045</v>
      </c>
      <c r="C125" t="s">
        <v>5</v>
      </c>
      <c r="D125" t="s">
        <v>4046</v>
      </c>
      <c r="E125" t="s">
        <v>4047</v>
      </c>
      <c r="F125" t="s">
        <v>4048</v>
      </c>
    </row>
    <row r="126" spans="1:6" x14ac:dyDescent="0.25">
      <c r="A126" t="s">
        <v>4049</v>
      </c>
      <c r="B126" t="s">
        <v>4176</v>
      </c>
      <c r="C126" t="s">
        <v>4177</v>
      </c>
      <c r="D126" s="7">
        <v>0.45</v>
      </c>
      <c r="E126" s="2">
        <v>72300.17</v>
      </c>
      <c r="F126" s="2">
        <v>32535.08</v>
      </c>
    </row>
    <row r="127" spans="1:6" x14ac:dyDescent="0.25">
      <c r="A127" t="s">
        <v>4052</v>
      </c>
      <c r="B127" t="s">
        <v>4053</v>
      </c>
      <c r="C127" t="s">
        <v>4054</v>
      </c>
      <c r="D127" s="7">
        <v>5</v>
      </c>
      <c r="E127" s="2">
        <v>32535.08</v>
      </c>
      <c r="F127" s="2">
        <v>1626.75</v>
      </c>
    </row>
    <row r="128" spans="1:6" x14ac:dyDescent="0.25">
      <c r="A128" t="s">
        <v>4058</v>
      </c>
      <c r="B128" t="s">
        <v>6958</v>
      </c>
      <c r="C128" t="s">
        <v>6959</v>
      </c>
      <c r="D128" s="7">
        <v>1</v>
      </c>
      <c r="E128" s="2">
        <v>53439.54</v>
      </c>
      <c r="F128" s="2">
        <v>53439.54</v>
      </c>
    </row>
    <row r="129" spans="1:6" x14ac:dyDescent="0.25">
      <c r="A129" t="s">
        <v>4055</v>
      </c>
      <c r="D129" s="7"/>
      <c r="E129" s="2"/>
      <c r="F129" s="2">
        <f>SUBTOTAL(109,A_2_07_10[VALOR PARCIAL])</f>
      </c>
    </row>
  </sheetData>
  <mergeCells count="20">
    <mergeCell ref="A4:F4"/>
    <mergeCell ref="A5:F5"/>
    <mergeCell ref="A19:F19"/>
    <mergeCell ref="A20:F20"/>
    <mergeCell ref="A34:F34"/>
    <mergeCell ref="A35:F35"/>
    <mergeCell ref="A45:F45"/>
    <mergeCell ref="A46:F46"/>
    <mergeCell ref="A60:F60"/>
    <mergeCell ref="A61:F61"/>
    <mergeCell ref="A75:F75"/>
    <mergeCell ref="A76:F76"/>
    <mergeCell ref="A86:F86"/>
    <mergeCell ref="A87:F87"/>
    <mergeCell ref="A99:F99"/>
    <mergeCell ref="A100:F100"/>
    <mergeCell ref="A112:F112"/>
    <mergeCell ref="A113:F113"/>
    <mergeCell ref="A123:F123"/>
    <mergeCell ref="A124:F124"/>
  </mergeCells>
  <pageMargins left="0.7" right="0.7" top="0.75" bottom="0.75" header="0.3" footer="0.3"/>
  <pageSetup orientation="portrait" horizontalDpi="4294967295" verticalDpi="4294967295" scale="100" fitToWidth="1" fitToHeight="1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6960</v>
      </c>
    </row>
    <row r="2" spans="1:1" x14ac:dyDescent="0.25">
      <c r="A2" s="4" t="s">
        <v>6853</v>
      </c>
    </row>
    <row r="4" ht="30" customHeight="1" spans="1:6" x14ac:dyDescent="0.25">
      <c r="A4" s="5" t="s">
        <v>6961</v>
      </c>
      <c r="B4" s="5"/>
      <c r="C4" s="5"/>
      <c r="D4" s="5"/>
      <c r="E4" s="5"/>
      <c r="F4" s="5"/>
    </row>
    <row r="5" ht="42" customHeight="1" spans="1:6" x14ac:dyDescent="0.25">
      <c r="A5" s="6" t="s">
        <v>6962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6963</v>
      </c>
      <c r="C7" t="s">
        <v>63</v>
      </c>
      <c r="D7" s="7">
        <v>1</v>
      </c>
      <c r="E7" s="2">
        <v>353086</v>
      </c>
      <c r="F7" s="2">
        <v>353086</v>
      </c>
    </row>
    <row r="8" spans="1:6" x14ac:dyDescent="0.25">
      <c r="A8" t="s">
        <v>4049</v>
      </c>
      <c r="B8" t="s">
        <v>4241</v>
      </c>
      <c r="C8" t="s">
        <v>4051</v>
      </c>
      <c r="D8" s="7">
        <v>3</v>
      </c>
      <c r="E8" s="2">
        <v>9941.22</v>
      </c>
      <c r="F8" s="2">
        <v>29823.66</v>
      </c>
    </row>
    <row r="9" spans="1:6" x14ac:dyDescent="0.25">
      <c r="A9" t="s">
        <v>4049</v>
      </c>
      <c r="B9" t="s">
        <v>4242</v>
      </c>
      <c r="C9" t="s">
        <v>4051</v>
      </c>
      <c r="D9" s="7">
        <v>3</v>
      </c>
      <c r="E9" s="2">
        <v>17069.53</v>
      </c>
      <c r="F9" s="2">
        <v>51208.59</v>
      </c>
    </row>
    <row r="10" spans="1:6" x14ac:dyDescent="0.25">
      <c r="A10" t="s">
        <v>4052</v>
      </c>
      <c r="B10" t="s">
        <v>4053</v>
      </c>
      <c r="C10" t="s">
        <v>4054</v>
      </c>
      <c r="D10" s="7">
        <v>6.6</v>
      </c>
      <c r="E10" s="2">
        <v>81032.25</v>
      </c>
      <c r="F10" s="2">
        <v>5348.13</v>
      </c>
    </row>
    <row r="11" spans="1:6" x14ac:dyDescent="0.25">
      <c r="A11" t="s">
        <v>4055</v>
      </c>
      <c r="D11" s="7"/>
      <c r="E11" s="2"/>
      <c r="F11" s="2">
        <f>SUBTOTAL(109,A_2_08_01[VALOR PARCIAL])</f>
      </c>
    </row>
    <row r="13" ht="30" customHeight="1" spans="1:6" x14ac:dyDescent="0.25">
      <c r="A13" s="5" t="s">
        <v>6964</v>
      </c>
      <c r="B13" s="5"/>
      <c r="C13" s="5"/>
      <c r="D13" s="5"/>
      <c r="E13" s="5"/>
      <c r="F13" s="5"/>
    </row>
    <row r="14" ht="42" customHeight="1" spans="1:6" x14ac:dyDescent="0.25">
      <c r="A14" s="6" t="s">
        <v>6965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6966</v>
      </c>
      <c r="C16" t="s">
        <v>63</v>
      </c>
      <c r="D16" s="7">
        <v>1</v>
      </c>
      <c r="E16" s="2">
        <v>509685</v>
      </c>
      <c r="F16" s="2">
        <v>509685</v>
      </c>
    </row>
    <row r="17" spans="1:6" x14ac:dyDescent="0.25">
      <c r="A17" t="s">
        <v>4049</v>
      </c>
      <c r="B17" t="s">
        <v>4241</v>
      </c>
      <c r="C17" t="s">
        <v>4051</v>
      </c>
      <c r="D17" s="7">
        <v>3</v>
      </c>
      <c r="E17" s="2">
        <v>9941.22</v>
      </c>
      <c r="F17" s="2">
        <v>29823.66</v>
      </c>
    </row>
    <row r="18" spans="1:6" x14ac:dyDescent="0.25">
      <c r="A18" t="s">
        <v>4049</v>
      </c>
      <c r="B18" t="s">
        <v>4242</v>
      </c>
      <c r="C18" t="s">
        <v>4051</v>
      </c>
      <c r="D18" s="7">
        <v>3</v>
      </c>
      <c r="E18" s="2">
        <v>17069.53</v>
      </c>
      <c r="F18" s="2">
        <v>51208.59</v>
      </c>
    </row>
    <row r="19" spans="1:6" x14ac:dyDescent="0.25">
      <c r="A19" t="s">
        <v>4052</v>
      </c>
      <c r="B19" t="s">
        <v>4053</v>
      </c>
      <c r="C19" t="s">
        <v>4054</v>
      </c>
      <c r="D19" s="7">
        <v>6.6</v>
      </c>
      <c r="E19" s="2">
        <v>81032.25</v>
      </c>
      <c r="F19" s="2">
        <v>5348.13</v>
      </c>
    </row>
    <row r="20" spans="1:6" x14ac:dyDescent="0.25">
      <c r="A20" t="s">
        <v>4055</v>
      </c>
      <c r="D20" s="7"/>
      <c r="E20" s="2"/>
      <c r="F20" s="2">
        <f>SUBTOTAL(109,A_2_08_02[VALOR PARCIAL])</f>
      </c>
    </row>
    <row r="22" ht="30" customHeight="1" spans="1:6" x14ac:dyDescent="0.25">
      <c r="A22" s="5" t="s">
        <v>6967</v>
      </c>
      <c r="B22" s="5"/>
      <c r="C22" s="5"/>
      <c r="D22" s="5"/>
      <c r="E22" s="5"/>
      <c r="F22" s="5"/>
    </row>
    <row r="23" ht="42" customHeight="1" spans="1:6" x14ac:dyDescent="0.25">
      <c r="A23" s="6" t="s">
        <v>6968</v>
      </c>
      <c r="B23" s="6"/>
      <c r="C23" s="6"/>
      <c r="D23" s="6"/>
      <c r="E23" s="6"/>
      <c r="F23" s="6"/>
    </row>
    <row r="24" spans="1:6" x14ac:dyDescent="0.25">
      <c r="A24" t="s">
        <v>4044</v>
      </c>
      <c r="B24" t="s">
        <v>4045</v>
      </c>
      <c r="C24" t="s">
        <v>5</v>
      </c>
      <c r="D24" t="s">
        <v>4046</v>
      </c>
      <c r="E24" t="s">
        <v>4047</v>
      </c>
      <c r="F24" t="s">
        <v>4048</v>
      </c>
    </row>
    <row r="25" spans="1:6" x14ac:dyDescent="0.25">
      <c r="A25" t="s">
        <v>4062</v>
      </c>
      <c r="B25" t="s">
        <v>6969</v>
      </c>
      <c r="C25" t="s">
        <v>63</v>
      </c>
      <c r="D25" s="7">
        <v>1</v>
      </c>
      <c r="E25" s="2">
        <v>1230760</v>
      </c>
      <c r="F25" s="2">
        <v>1230760</v>
      </c>
    </row>
    <row r="26" spans="1:6" x14ac:dyDescent="0.25">
      <c r="A26" t="s">
        <v>4049</v>
      </c>
      <c r="B26" t="s">
        <v>4241</v>
      </c>
      <c r="C26" t="s">
        <v>4051</v>
      </c>
      <c r="D26" s="7">
        <v>3</v>
      </c>
      <c r="E26" s="2">
        <v>9941.22</v>
      </c>
      <c r="F26" s="2">
        <v>29823.66</v>
      </c>
    </row>
    <row r="27" spans="1:6" x14ac:dyDescent="0.25">
      <c r="A27" t="s">
        <v>4049</v>
      </c>
      <c r="B27" t="s">
        <v>4242</v>
      </c>
      <c r="C27" t="s">
        <v>4051</v>
      </c>
      <c r="D27" s="7">
        <v>3</v>
      </c>
      <c r="E27" s="2">
        <v>17069.53</v>
      </c>
      <c r="F27" s="2">
        <v>51208.59</v>
      </c>
    </row>
    <row r="28" spans="1:6" x14ac:dyDescent="0.25">
      <c r="A28" t="s">
        <v>4052</v>
      </c>
      <c r="B28" t="s">
        <v>4053</v>
      </c>
      <c r="C28" t="s">
        <v>4054</v>
      </c>
      <c r="D28" s="7">
        <v>6.6</v>
      </c>
      <c r="E28" s="2">
        <v>81032.25</v>
      </c>
      <c r="F28" s="2">
        <v>5348.13</v>
      </c>
    </row>
    <row r="29" spans="1:6" x14ac:dyDescent="0.25">
      <c r="A29" t="s">
        <v>4055</v>
      </c>
      <c r="D29" s="7"/>
      <c r="E29" s="2"/>
      <c r="F29" s="2">
        <f>SUBTOTAL(109,A_2_08_03[VALOR PARCIAL])</f>
      </c>
    </row>
    <row r="31" ht="30" customHeight="1" spans="1:6" x14ac:dyDescent="0.25">
      <c r="A31" s="5" t="s">
        <v>6970</v>
      </c>
      <c r="B31" s="5"/>
      <c r="C31" s="5"/>
      <c r="D31" s="5"/>
      <c r="E31" s="5"/>
      <c r="F31" s="5"/>
    </row>
    <row r="32" ht="42" customHeight="1" spans="1:6" x14ac:dyDescent="0.25">
      <c r="A32" s="6" t="s">
        <v>6971</v>
      </c>
      <c r="B32" s="6"/>
      <c r="C32" s="6"/>
      <c r="D32" s="6"/>
      <c r="E32" s="6"/>
      <c r="F32" s="6"/>
    </row>
    <row r="33" spans="1:6" x14ac:dyDescent="0.25">
      <c r="A33" t="s">
        <v>4044</v>
      </c>
      <c r="B33" t="s">
        <v>4045</v>
      </c>
      <c r="C33" t="s">
        <v>5</v>
      </c>
      <c r="D33" t="s">
        <v>4046</v>
      </c>
      <c r="E33" t="s">
        <v>4047</v>
      </c>
      <c r="F33" t="s">
        <v>4048</v>
      </c>
    </row>
    <row r="34" spans="1:6" x14ac:dyDescent="0.25">
      <c r="A34" t="s">
        <v>4062</v>
      </c>
      <c r="B34" t="s">
        <v>6972</v>
      </c>
      <c r="C34" t="s">
        <v>63</v>
      </c>
      <c r="D34" s="7">
        <v>1</v>
      </c>
      <c r="E34" s="2">
        <v>405162</v>
      </c>
      <c r="F34" s="2">
        <v>405162</v>
      </c>
    </row>
    <row r="35" spans="1:6" x14ac:dyDescent="0.25">
      <c r="A35" t="s">
        <v>4062</v>
      </c>
      <c r="B35" t="s">
        <v>4659</v>
      </c>
      <c r="C35" t="s">
        <v>4377</v>
      </c>
      <c r="D35" s="7">
        <v>0</v>
      </c>
      <c r="E35" s="2">
        <v>31500</v>
      </c>
      <c r="F35" s="2">
        <v>55.13</v>
      </c>
    </row>
    <row r="36" spans="1:6" x14ac:dyDescent="0.25">
      <c r="A36" t="s">
        <v>4062</v>
      </c>
      <c r="B36" t="s">
        <v>4376</v>
      </c>
      <c r="C36" t="s">
        <v>4377</v>
      </c>
      <c r="D36" s="7">
        <v>0</v>
      </c>
      <c r="E36" s="2">
        <v>72237.67</v>
      </c>
      <c r="F36" s="2">
        <v>126.42</v>
      </c>
    </row>
    <row r="37" spans="1:6" x14ac:dyDescent="0.25">
      <c r="A37" t="s">
        <v>4049</v>
      </c>
      <c r="B37" t="s">
        <v>4176</v>
      </c>
      <c r="C37" t="s">
        <v>4177</v>
      </c>
      <c r="D37" s="7">
        <v>0.38</v>
      </c>
      <c r="E37" s="2">
        <v>72300.17</v>
      </c>
      <c r="F37" s="2">
        <v>27112.56</v>
      </c>
    </row>
    <row r="38" spans="1:6" x14ac:dyDescent="0.25">
      <c r="A38" t="s">
        <v>4049</v>
      </c>
      <c r="B38" t="s">
        <v>4313</v>
      </c>
      <c r="C38" t="s">
        <v>4177</v>
      </c>
      <c r="D38" s="7">
        <v>0.38</v>
      </c>
      <c r="E38" s="2">
        <v>124137.15</v>
      </c>
      <c r="F38" s="2">
        <v>46551.43</v>
      </c>
    </row>
    <row r="39" spans="1:6" x14ac:dyDescent="0.25">
      <c r="A39" t="s">
        <v>4052</v>
      </c>
      <c r="B39" t="s">
        <v>4053</v>
      </c>
      <c r="C39" t="s">
        <v>4054</v>
      </c>
      <c r="D39" s="7">
        <v>6.7</v>
      </c>
      <c r="E39" s="2">
        <v>73663.99</v>
      </c>
      <c r="F39" s="2">
        <v>4935.49</v>
      </c>
    </row>
    <row r="40" spans="1:6" x14ac:dyDescent="0.25">
      <c r="A40" t="s">
        <v>4055</v>
      </c>
      <c r="D40" s="7"/>
      <c r="E40" s="2"/>
      <c r="F40" s="2">
        <f>SUBTOTAL(109,A_2_08_04[VALOR PARCIAL])</f>
      </c>
    </row>
    <row r="42" ht="30" customHeight="1" spans="1:6" x14ac:dyDescent="0.25">
      <c r="A42" s="5" t="s">
        <v>6973</v>
      </c>
      <c r="B42" s="5"/>
      <c r="C42" s="5"/>
      <c r="D42" s="5"/>
      <c r="E42" s="5"/>
      <c r="F42" s="5"/>
    </row>
    <row r="43" ht="42" customHeight="1" spans="1:6" x14ac:dyDescent="0.25">
      <c r="A43" s="6" t="s">
        <v>6974</v>
      </c>
      <c r="B43" s="6"/>
      <c r="C43" s="6"/>
      <c r="D43" s="6"/>
      <c r="E43" s="6"/>
      <c r="F43" s="6"/>
    </row>
    <row r="44" spans="1:6" x14ac:dyDescent="0.25">
      <c r="A44" t="s">
        <v>4044</v>
      </c>
      <c r="B44" t="s">
        <v>4045</v>
      </c>
      <c r="C44" t="s">
        <v>5</v>
      </c>
      <c r="D44" t="s">
        <v>4046</v>
      </c>
      <c r="E44" t="s">
        <v>4047</v>
      </c>
      <c r="F44" t="s">
        <v>4048</v>
      </c>
    </row>
    <row r="45" spans="1:6" x14ac:dyDescent="0.25">
      <c r="A45" t="s">
        <v>4062</v>
      </c>
      <c r="B45" t="s">
        <v>6975</v>
      </c>
      <c r="C45" t="s">
        <v>63</v>
      </c>
      <c r="D45" s="7">
        <v>1</v>
      </c>
      <c r="E45" s="2">
        <v>353074</v>
      </c>
      <c r="F45" s="2">
        <v>353074</v>
      </c>
    </row>
    <row r="46" spans="1:6" x14ac:dyDescent="0.25">
      <c r="A46" t="s">
        <v>4062</v>
      </c>
      <c r="B46" t="s">
        <v>4659</v>
      </c>
      <c r="C46" t="s">
        <v>4377</v>
      </c>
      <c r="D46" s="7">
        <v>0</v>
      </c>
      <c r="E46" s="2">
        <v>31500</v>
      </c>
      <c r="F46" s="2">
        <v>55.13</v>
      </c>
    </row>
    <row r="47" spans="1:6" x14ac:dyDescent="0.25">
      <c r="A47" t="s">
        <v>4062</v>
      </c>
      <c r="B47" t="s">
        <v>4376</v>
      </c>
      <c r="C47" t="s">
        <v>4377</v>
      </c>
      <c r="D47" s="7">
        <v>0</v>
      </c>
      <c r="E47" s="2">
        <v>72237.67</v>
      </c>
      <c r="F47" s="2">
        <v>126.42</v>
      </c>
    </row>
    <row r="48" spans="1:6" x14ac:dyDescent="0.25">
      <c r="A48" t="s">
        <v>4062</v>
      </c>
      <c r="B48" t="s">
        <v>6976</v>
      </c>
      <c r="C48" t="s">
        <v>63</v>
      </c>
      <c r="D48" s="7">
        <v>1</v>
      </c>
      <c r="E48" s="2">
        <v>593816</v>
      </c>
      <c r="F48" s="2">
        <v>593816</v>
      </c>
    </row>
    <row r="49" spans="1:6" x14ac:dyDescent="0.25">
      <c r="A49" t="s">
        <v>4062</v>
      </c>
      <c r="B49" t="s">
        <v>4659</v>
      </c>
      <c r="C49" t="s">
        <v>4377</v>
      </c>
      <c r="D49" s="7">
        <v>0</v>
      </c>
      <c r="E49" s="2">
        <v>31500</v>
      </c>
      <c r="F49" s="2">
        <v>137.81</v>
      </c>
    </row>
    <row r="50" spans="1:6" x14ac:dyDescent="0.25">
      <c r="A50" t="s">
        <v>4062</v>
      </c>
      <c r="B50" t="s">
        <v>4376</v>
      </c>
      <c r="C50" t="s">
        <v>4377</v>
      </c>
      <c r="D50" s="7">
        <v>0</v>
      </c>
      <c r="E50" s="2">
        <v>72237.67</v>
      </c>
      <c r="F50" s="2">
        <v>316.04</v>
      </c>
    </row>
    <row r="51" spans="1:6" x14ac:dyDescent="0.25">
      <c r="A51" t="s">
        <v>4062</v>
      </c>
      <c r="B51" t="s">
        <v>6977</v>
      </c>
      <c r="C51" t="s">
        <v>63</v>
      </c>
      <c r="D51" s="7">
        <v>1</v>
      </c>
      <c r="E51" s="2">
        <v>512562</v>
      </c>
      <c r="F51" s="2">
        <v>512562</v>
      </c>
    </row>
    <row r="52" spans="1:6" x14ac:dyDescent="0.25">
      <c r="A52" t="s">
        <v>4062</v>
      </c>
      <c r="B52" t="s">
        <v>6978</v>
      </c>
      <c r="C52" t="s">
        <v>63</v>
      </c>
      <c r="D52" s="7">
        <v>1</v>
      </c>
      <c r="E52" s="2">
        <v>716741</v>
      </c>
      <c r="F52" s="2">
        <v>716741</v>
      </c>
    </row>
    <row r="53" spans="1:6" x14ac:dyDescent="0.25">
      <c r="A53" t="s">
        <v>4049</v>
      </c>
      <c r="B53" t="s">
        <v>4176</v>
      </c>
      <c r="C53" t="s">
        <v>4177</v>
      </c>
      <c r="D53" s="7">
        <v>0.38</v>
      </c>
      <c r="E53" s="2">
        <v>72300.17</v>
      </c>
      <c r="F53" s="2">
        <v>27112.56</v>
      </c>
    </row>
    <row r="54" spans="1:6" x14ac:dyDescent="0.25">
      <c r="A54" t="s">
        <v>4049</v>
      </c>
      <c r="B54" t="s">
        <v>4313</v>
      </c>
      <c r="C54" t="s">
        <v>4177</v>
      </c>
      <c r="D54" s="7">
        <v>0.38</v>
      </c>
      <c r="E54" s="2">
        <v>124137.15</v>
      </c>
      <c r="F54" s="2">
        <v>46551.43</v>
      </c>
    </row>
    <row r="55" spans="1:6" x14ac:dyDescent="0.25">
      <c r="A55" t="s">
        <v>4049</v>
      </c>
      <c r="B55" t="s">
        <v>6979</v>
      </c>
      <c r="C55" t="s">
        <v>63</v>
      </c>
      <c r="D55" s="7">
        <v>1</v>
      </c>
      <c r="E55" s="2">
        <v>1054340</v>
      </c>
      <c r="F55" s="2">
        <v>1054340</v>
      </c>
    </row>
    <row r="56" spans="1:6" x14ac:dyDescent="0.25">
      <c r="A56" t="s">
        <v>4049</v>
      </c>
      <c r="B56" t="s">
        <v>4659</v>
      </c>
      <c r="C56" t="s">
        <v>4377</v>
      </c>
      <c r="D56" s="7">
        <v>0.01</v>
      </c>
      <c r="E56" s="2">
        <v>31500</v>
      </c>
      <c r="F56" s="2">
        <v>206.72</v>
      </c>
    </row>
    <row r="57" spans="1:6" x14ac:dyDescent="0.25">
      <c r="A57" t="s">
        <v>4049</v>
      </c>
      <c r="B57" t="s">
        <v>4376</v>
      </c>
      <c r="C57" t="s">
        <v>4377</v>
      </c>
      <c r="D57" s="7">
        <v>0.01</v>
      </c>
      <c r="E57" s="2">
        <v>72237.67</v>
      </c>
      <c r="F57" s="2">
        <v>474.06</v>
      </c>
    </row>
    <row r="58" spans="1:6" x14ac:dyDescent="0.25">
      <c r="A58" t="s">
        <v>4052</v>
      </c>
      <c r="B58" t="s">
        <v>4053</v>
      </c>
      <c r="C58" t="s">
        <v>4054</v>
      </c>
      <c r="D58" s="7">
        <v>6.7</v>
      </c>
      <c r="E58" s="2">
        <v>73663.99</v>
      </c>
      <c r="F58" s="2">
        <v>4935.49</v>
      </c>
    </row>
    <row r="59" spans="1:6" x14ac:dyDescent="0.25">
      <c r="A59" t="s">
        <v>4055</v>
      </c>
      <c r="D59" s="7"/>
      <c r="E59" s="2"/>
      <c r="F59" s="2">
        <f>SUBTOTAL(109,A_2_08_05[VALOR PARCIAL])</f>
      </c>
    </row>
    <row r="61" ht="30" customHeight="1" spans="1:6" x14ac:dyDescent="0.25">
      <c r="A61" s="5" t="s">
        <v>6980</v>
      </c>
      <c r="B61" s="5"/>
      <c r="C61" s="5"/>
      <c r="D61" s="5"/>
      <c r="E61" s="5"/>
      <c r="F61" s="5"/>
    </row>
    <row r="62" ht="42" customHeight="1" spans="1:6" x14ac:dyDescent="0.25">
      <c r="A62" s="6" t="s">
        <v>6981</v>
      </c>
      <c r="B62" s="6"/>
      <c r="C62" s="6"/>
      <c r="D62" s="6"/>
      <c r="E62" s="6"/>
      <c r="F62" s="6"/>
    </row>
    <row r="63" spans="1:6" x14ac:dyDescent="0.25">
      <c r="A63" t="s">
        <v>4044</v>
      </c>
      <c r="B63" t="s">
        <v>4045</v>
      </c>
      <c r="C63" t="s">
        <v>5</v>
      </c>
      <c r="D63" t="s">
        <v>4046</v>
      </c>
      <c r="E63" t="s">
        <v>4047</v>
      </c>
      <c r="F63" t="s">
        <v>4048</v>
      </c>
    </row>
    <row r="64" spans="1:6" x14ac:dyDescent="0.25">
      <c r="A64" t="s">
        <v>4062</v>
      </c>
      <c r="B64" t="s">
        <v>6982</v>
      </c>
      <c r="C64" t="s">
        <v>63</v>
      </c>
      <c r="D64" s="7">
        <v>1</v>
      </c>
      <c r="E64" s="2">
        <v>1396095</v>
      </c>
      <c r="F64" s="2">
        <v>1396095</v>
      </c>
    </row>
    <row r="65" spans="1:6" x14ac:dyDescent="0.25">
      <c r="A65" t="s">
        <v>4062</v>
      </c>
      <c r="B65" t="s">
        <v>4659</v>
      </c>
      <c r="C65" t="s">
        <v>4377</v>
      </c>
      <c r="D65" s="7">
        <v>0.01</v>
      </c>
      <c r="E65" s="2">
        <v>31500</v>
      </c>
      <c r="F65" s="2">
        <v>330.75</v>
      </c>
    </row>
    <row r="66" spans="1:6" x14ac:dyDescent="0.25">
      <c r="A66" t="s">
        <v>4062</v>
      </c>
      <c r="B66" t="s">
        <v>4376</v>
      </c>
      <c r="C66" t="s">
        <v>4377</v>
      </c>
      <c r="D66" s="7">
        <v>0.01</v>
      </c>
      <c r="E66" s="2">
        <v>72237.67</v>
      </c>
      <c r="F66" s="2">
        <v>758.5</v>
      </c>
    </row>
    <row r="67" spans="1:6" x14ac:dyDescent="0.25">
      <c r="A67" t="s">
        <v>4049</v>
      </c>
      <c r="B67" t="s">
        <v>4176</v>
      </c>
      <c r="C67" t="s">
        <v>4177</v>
      </c>
      <c r="D67" s="7">
        <v>0.38</v>
      </c>
      <c r="E67" s="2">
        <v>72300.17</v>
      </c>
      <c r="F67" s="2">
        <v>27112.56</v>
      </c>
    </row>
    <row r="68" spans="1:6" x14ac:dyDescent="0.25">
      <c r="A68" t="s">
        <v>4049</v>
      </c>
      <c r="B68" t="s">
        <v>4313</v>
      </c>
      <c r="C68" t="s">
        <v>4177</v>
      </c>
      <c r="D68" s="7">
        <v>0.38</v>
      </c>
      <c r="E68" s="2">
        <v>124137.15</v>
      </c>
      <c r="F68" s="2">
        <v>46551.43</v>
      </c>
    </row>
    <row r="69" spans="1:6" x14ac:dyDescent="0.25">
      <c r="A69" t="s">
        <v>4052</v>
      </c>
      <c r="B69" t="s">
        <v>4053</v>
      </c>
      <c r="C69" t="s">
        <v>4054</v>
      </c>
      <c r="D69" s="7">
        <v>6.7</v>
      </c>
      <c r="E69" s="2">
        <v>73663.99</v>
      </c>
      <c r="F69" s="2">
        <v>4935.49</v>
      </c>
    </row>
    <row r="70" spans="1:6" x14ac:dyDescent="0.25">
      <c r="A70" t="s">
        <v>4055</v>
      </c>
      <c r="D70" s="7"/>
      <c r="E70" s="2"/>
      <c r="F70" s="2">
        <f>SUBTOTAL(109,A_2_08_10[VALOR PARCIAL])</f>
      </c>
    </row>
    <row r="72" ht="30" customHeight="1" spans="1:6" x14ac:dyDescent="0.25">
      <c r="A72" s="5" t="s">
        <v>6983</v>
      </c>
      <c r="B72" s="5"/>
      <c r="C72" s="5"/>
      <c r="D72" s="5"/>
      <c r="E72" s="5"/>
      <c r="F72" s="5"/>
    </row>
    <row r="73" ht="42" customHeight="1" spans="1:6" x14ac:dyDescent="0.25">
      <c r="A73" s="6" t="s">
        <v>6984</v>
      </c>
      <c r="B73" s="6"/>
      <c r="C73" s="6"/>
      <c r="D73" s="6"/>
      <c r="E73" s="6"/>
      <c r="F73" s="6"/>
    </row>
    <row r="74" spans="1:6" x14ac:dyDescent="0.25">
      <c r="A74" t="s">
        <v>4044</v>
      </c>
      <c r="B74" t="s">
        <v>4045</v>
      </c>
      <c r="C74" t="s">
        <v>5</v>
      </c>
      <c r="D74" t="s">
        <v>4046</v>
      </c>
      <c r="E74" t="s">
        <v>4047</v>
      </c>
      <c r="F74" t="s">
        <v>4048</v>
      </c>
    </row>
    <row r="75" spans="1:6" x14ac:dyDescent="0.25">
      <c r="A75" t="s">
        <v>4062</v>
      </c>
      <c r="B75" t="s">
        <v>6985</v>
      </c>
      <c r="C75" t="s">
        <v>63</v>
      </c>
      <c r="D75" s="7">
        <v>1</v>
      </c>
      <c r="E75" s="2">
        <v>1271270</v>
      </c>
      <c r="F75" s="2">
        <v>1271270</v>
      </c>
    </row>
    <row r="76" spans="1:6" x14ac:dyDescent="0.25">
      <c r="A76" t="s">
        <v>4062</v>
      </c>
      <c r="B76" t="s">
        <v>4659</v>
      </c>
      <c r="C76" t="s">
        <v>4377</v>
      </c>
      <c r="D76" s="7">
        <v>0.01</v>
      </c>
      <c r="E76" s="2">
        <v>31500</v>
      </c>
      <c r="F76" s="2">
        <v>330.75</v>
      </c>
    </row>
    <row r="77" spans="1:6" x14ac:dyDescent="0.25">
      <c r="A77" t="s">
        <v>4062</v>
      </c>
      <c r="B77" t="s">
        <v>4376</v>
      </c>
      <c r="C77" t="s">
        <v>4377</v>
      </c>
      <c r="D77" s="7">
        <v>0.01</v>
      </c>
      <c r="E77" s="2">
        <v>72237.67</v>
      </c>
      <c r="F77" s="2">
        <v>758.5</v>
      </c>
    </row>
    <row r="78" spans="1:6" x14ac:dyDescent="0.25">
      <c r="A78" t="s">
        <v>4049</v>
      </c>
      <c r="B78" t="s">
        <v>4176</v>
      </c>
      <c r="C78" t="s">
        <v>4177</v>
      </c>
      <c r="D78" s="7">
        <v>0.38</v>
      </c>
      <c r="E78" s="2">
        <v>72300.17</v>
      </c>
      <c r="F78" s="2">
        <v>27112.56</v>
      </c>
    </row>
    <row r="79" spans="1:6" x14ac:dyDescent="0.25">
      <c r="A79" t="s">
        <v>4049</v>
      </c>
      <c r="B79" t="s">
        <v>4313</v>
      </c>
      <c r="C79" t="s">
        <v>4177</v>
      </c>
      <c r="D79" s="7">
        <v>0.38</v>
      </c>
      <c r="E79" s="2">
        <v>124137.15</v>
      </c>
      <c r="F79" s="2">
        <v>46551.43</v>
      </c>
    </row>
    <row r="80" spans="1:6" x14ac:dyDescent="0.25">
      <c r="A80" t="s">
        <v>4052</v>
      </c>
      <c r="B80" t="s">
        <v>4053</v>
      </c>
      <c r="C80" t="s">
        <v>4054</v>
      </c>
      <c r="D80" s="7">
        <v>6.7</v>
      </c>
      <c r="E80" s="2">
        <v>73663.99</v>
      </c>
      <c r="F80" s="2">
        <v>4935.49</v>
      </c>
    </row>
    <row r="81" spans="1:6" x14ac:dyDescent="0.25">
      <c r="A81" t="s">
        <v>4055</v>
      </c>
      <c r="D81" s="7"/>
      <c r="E81" s="2"/>
      <c r="F81" s="2">
        <f>SUBTOTAL(109,A_2_08_11[VALOR PARCIAL])</f>
      </c>
    </row>
    <row r="83" ht="30" customHeight="1" spans="1:6" x14ac:dyDescent="0.25">
      <c r="A83" s="5" t="s">
        <v>6986</v>
      </c>
      <c r="B83" s="5"/>
      <c r="C83" s="5"/>
      <c r="D83" s="5"/>
      <c r="E83" s="5"/>
      <c r="F83" s="5"/>
    </row>
    <row r="84" ht="42" customHeight="1" spans="1:6" x14ac:dyDescent="0.25">
      <c r="A84" s="6" t="s">
        <v>6987</v>
      </c>
      <c r="B84" s="6"/>
      <c r="C84" s="6"/>
      <c r="D84" s="6"/>
      <c r="E84" s="6"/>
      <c r="F84" s="6"/>
    </row>
    <row r="85" spans="1:6" x14ac:dyDescent="0.25">
      <c r="A85" t="s">
        <v>4044</v>
      </c>
      <c r="B85" t="s">
        <v>4045</v>
      </c>
      <c r="C85" t="s">
        <v>5</v>
      </c>
      <c r="D85" t="s">
        <v>4046</v>
      </c>
      <c r="E85" t="s">
        <v>4047</v>
      </c>
      <c r="F85" t="s">
        <v>4048</v>
      </c>
    </row>
    <row r="86" spans="1:6" x14ac:dyDescent="0.25">
      <c r="A86" t="s">
        <v>4062</v>
      </c>
      <c r="B86" t="s">
        <v>6988</v>
      </c>
      <c r="C86" t="s">
        <v>63</v>
      </c>
      <c r="D86" s="7">
        <v>1</v>
      </c>
      <c r="E86" s="2">
        <v>2035061</v>
      </c>
      <c r="F86" s="2">
        <v>2035061</v>
      </c>
    </row>
    <row r="87" spans="1:6" x14ac:dyDescent="0.25">
      <c r="A87" t="s">
        <v>4062</v>
      </c>
      <c r="B87" t="s">
        <v>4659</v>
      </c>
      <c r="C87" t="s">
        <v>4377</v>
      </c>
      <c r="D87" s="7">
        <v>0.01</v>
      </c>
      <c r="E87" s="2">
        <v>31500</v>
      </c>
      <c r="F87" s="2">
        <v>425.25</v>
      </c>
    </row>
    <row r="88" spans="1:6" x14ac:dyDescent="0.25">
      <c r="A88" t="s">
        <v>4062</v>
      </c>
      <c r="B88" t="s">
        <v>4376</v>
      </c>
      <c r="C88" t="s">
        <v>4377</v>
      </c>
      <c r="D88" s="7">
        <v>0.01</v>
      </c>
      <c r="E88" s="2">
        <v>72237.67</v>
      </c>
      <c r="F88" s="2">
        <v>975.21</v>
      </c>
    </row>
    <row r="89" spans="1:6" x14ac:dyDescent="0.25">
      <c r="A89" t="s">
        <v>4049</v>
      </c>
      <c r="B89" t="s">
        <v>4176</v>
      </c>
      <c r="C89" t="s">
        <v>4177</v>
      </c>
      <c r="D89" s="7">
        <v>0.38</v>
      </c>
      <c r="E89" s="2">
        <v>72300.17</v>
      </c>
      <c r="F89" s="2">
        <v>27112.56</v>
      </c>
    </row>
    <row r="90" spans="1:6" x14ac:dyDescent="0.25">
      <c r="A90" t="s">
        <v>4049</v>
      </c>
      <c r="B90" t="s">
        <v>4313</v>
      </c>
      <c r="C90" t="s">
        <v>4177</v>
      </c>
      <c r="D90" s="7">
        <v>0.38</v>
      </c>
      <c r="E90" s="2">
        <v>124137.15</v>
      </c>
      <c r="F90" s="2">
        <v>46551.43</v>
      </c>
    </row>
    <row r="91" spans="1:6" x14ac:dyDescent="0.25">
      <c r="A91" t="s">
        <v>4052</v>
      </c>
      <c r="B91" t="s">
        <v>4053</v>
      </c>
      <c r="C91" t="s">
        <v>4054</v>
      </c>
      <c r="D91" s="7">
        <v>6.7</v>
      </c>
      <c r="E91" s="2">
        <v>73663.99</v>
      </c>
      <c r="F91" s="2">
        <v>4935.49</v>
      </c>
    </row>
    <row r="92" spans="1:6" x14ac:dyDescent="0.25">
      <c r="A92" t="s">
        <v>4055</v>
      </c>
      <c r="D92" s="7"/>
      <c r="E92" s="2"/>
      <c r="F92" s="2">
        <f>SUBTOTAL(109,A_2_08_12[VALOR PARCIAL])</f>
      </c>
    </row>
    <row r="94" ht="30" customHeight="1" spans="1:6" x14ac:dyDescent="0.25">
      <c r="A94" s="5" t="s">
        <v>6989</v>
      </c>
      <c r="B94" s="5"/>
      <c r="C94" s="5"/>
      <c r="D94" s="5"/>
      <c r="E94" s="5"/>
      <c r="F94" s="5"/>
    </row>
    <row r="95" ht="42" customHeight="1" spans="1:6" x14ac:dyDescent="0.25">
      <c r="A95" s="6" t="s">
        <v>6990</v>
      </c>
      <c r="B95" s="6"/>
      <c r="C95" s="6"/>
      <c r="D95" s="6"/>
      <c r="E95" s="6"/>
      <c r="F95" s="6"/>
    </row>
    <row r="96" spans="1:6" x14ac:dyDescent="0.25">
      <c r="A96" t="s">
        <v>4044</v>
      </c>
      <c r="B96" t="s">
        <v>4045</v>
      </c>
      <c r="C96" t="s">
        <v>5</v>
      </c>
      <c r="D96" t="s">
        <v>4046</v>
      </c>
      <c r="E96" t="s">
        <v>4047</v>
      </c>
      <c r="F96" t="s">
        <v>4048</v>
      </c>
    </row>
    <row r="97" spans="1:6" x14ac:dyDescent="0.25">
      <c r="A97" t="s">
        <v>4062</v>
      </c>
      <c r="B97" t="s">
        <v>6991</v>
      </c>
      <c r="C97" t="s">
        <v>63</v>
      </c>
      <c r="D97" s="7">
        <v>1</v>
      </c>
      <c r="E97" s="2">
        <v>1870200</v>
      </c>
      <c r="F97" s="2">
        <v>1870200</v>
      </c>
    </row>
    <row r="98" spans="1:6" x14ac:dyDescent="0.25">
      <c r="A98" t="s">
        <v>4062</v>
      </c>
      <c r="B98" t="s">
        <v>4659</v>
      </c>
      <c r="C98" t="s">
        <v>4377</v>
      </c>
      <c r="D98" s="7">
        <v>0.01</v>
      </c>
      <c r="E98" s="2">
        <v>31500</v>
      </c>
      <c r="F98" s="2">
        <v>425.25</v>
      </c>
    </row>
    <row r="99" spans="1:6" x14ac:dyDescent="0.25">
      <c r="A99" t="s">
        <v>4062</v>
      </c>
      <c r="B99" t="s">
        <v>4376</v>
      </c>
      <c r="C99" t="s">
        <v>4377</v>
      </c>
      <c r="D99" s="7">
        <v>0.01</v>
      </c>
      <c r="E99" s="2">
        <v>72237.67</v>
      </c>
      <c r="F99" s="2">
        <v>975.21</v>
      </c>
    </row>
    <row r="100" spans="1:6" x14ac:dyDescent="0.25">
      <c r="A100" t="s">
        <v>4049</v>
      </c>
      <c r="B100" t="s">
        <v>4176</v>
      </c>
      <c r="C100" t="s">
        <v>4177</v>
      </c>
      <c r="D100" s="7">
        <v>0.38</v>
      </c>
      <c r="E100" s="2">
        <v>72300.17</v>
      </c>
      <c r="F100" s="2">
        <v>27112.56</v>
      </c>
    </row>
    <row r="101" spans="1:6" x14ac:dyDescent="0.25">
      <c r="A101" t="s">
        <v>4049</v>
      </c>
      <c r="B101" t="s">
        <v>4313</v>
      </c>
      <c r="C101" t="s">
        <v>4177</v>
      </c>
      <c r="D101" s="7">
        <v>0.38</v>
      </c>
      <c r="E101" s="2">
        <v>124137.15</v>
      </c>
      <c r="F101" s="2">
        <v>46551.43</v>
      </c>
    </row>
    <row r="102" spans="1:6" x14ac:dyDescent="0.25">
      <c r="A102" t="s">
        <v>4052</v>
      </c>
      <c r="B102" t="s">
        <v>4053</v>
      </c>
      <c r="C102" t="s">
        <v>4054</v>
      </c>
      <c r="D102" s="7">
        <v>6.7</v>
      </c>
      <c r="E102" s="2">
        <v>73663.99</v>
      </c>
      <c r="F102" s="2">
        <v>4935.49</v>
      </c>
    </row>
    <row r="103" spans="1:6" x14ac:dyDescent="0.25">
      <c r="A103" t="s">
        <v>4055</v>
      </c>
      <c r="D103" s="7"/>
      <c r="E103" s="2"/>
      <c r="F103" s="2">
        <f>SUBTOTAL(109,A_2_08_13[VALOR PARCIAL])</f>
      </c>
    </row>
    <row r="105" ht="30" customHeight="1" spans="1:6" x14ac:dyDescent="0.25">
      <c r="A105" s="5" t="s">
        <v>6992</v>
      </c>
      <c r="B105" s="5"/>
      <c r="C105" s="5"/>
      <c r="D105" s="5"/>
      <c r="E105" s="5"/>
      <c r="F105" s="5"/>
    </row>
    <row r="106" ht="42" customHeight="1" spans="1:6" x14ac:dyDescent="0.25">
      <c r="A106" s="6" t="s">
        <v>6993</v>
      </c>
      <c r="B106" s="6"/>
      <c r="C106" s="6"/>
      <c r="D106" s="6"/>
      <c r="E106" s="6"/>
      <c r="F106" s="6"/>
    </row>
    <row r="107" spans="1:6" x14ac:dyDescent="0.25">
      <c r="A107" t="s">
        <v>4044</v>
      </c>
      <c r="B107" t="s">
        <v>4045</v>
      </c>
      <c r="C107" t="s">
        <v>5</v>
      </c>
      <c r="D107" t="s">
        <v>4046</v>
      </c>
      <c r="E107" t="s">
        <v>4047</v>
      </c>
      <c r="F107" t="s">
        <v>4048</v>
      </c>
    </row>
    <row r="108" spans="1:6" x14ac:dyDescent="0.25">
      <c r="A108" t="s">
        <v>4062</v>
      </c>
      <c r="B108" t="s">
        <v>6994</v>
      </c>
      <c r="C108" t="s">
        <v>63</v>
      </c>
      <c r="D108" s="7">
        <v>1</v>
      </c>
      <c r="E108" s="2">
        <v>372922</v>
      </c>
      <c r="F108" s="2">
        <v>372922</v>
      </c>
    </row>
    <row r="109" spans="1:6" x14ac:dyDescent="0.25">
      <c r="A109" t="s">
        <v>4062</v>
      </c>
      <c r="B109" t="s">
        <v>4659</v>
      </c>
      <c r="C109" t="s">
        <v>4377</v>
      </c>
      <c r="D109" s="7">
        <v>0</v>
      </c>
      <c r="E109" s="2">
        <v>31500</v>
      </c>
      <c r="F109" s="2">
        <v>55.13</v>
      </c>
    </row>
    <row r="110" spans="1:6" x14ac:dyDescent="0.25">
      <c r="A110" t="s">
        <v>4062</v>
      </c>
      <c r="B110" t="s">
        <v>4376</v>
      </c>
      <c r="C110" t="s">
        <v>4377</v>
      </c>
      <c r="D110" s="7">
        <v>0</v>
      </c>
      <c r="E110" s="2">
        <v>72237.67</v>
      </c>
      <c r="F110" s="2">
        <v>126.42</v>
      </c>
    </row>
    <row r="111" spans="1:6" x14ac:dyDescent="0.25">
      <c r="A111" t="s">
        <v>4049</v>
      </c>
      <c r="B111" t="s">
        <v>4176</v>
      </c>
      <c r="C111" t="s">
        <v>4177</v>
      </c>
      <c r="D111" s="7">
        <v>0.85</v>
      </c>
      <c r="E111" s="2">
        <v>72300.17</v>
      </c>
      <c r="F111" s="2">
        <v>61455.14</v>
      </c>
    </row>
    <row r="112" spans="1:6" x14ac:dyDescent="0.25">
      <c r="A112" t="s">
        <v>4049</v>
      </c>
      <c r="B112" t="s">
        <v>4313</v>
      </c>
      <c r="C112" t="s">
        <v>4177</v>
      </c>
      <c r="D112" s="7">
        <v>0.8</v>
      </c>
      <c r="E112" s="2">
        <v>124137.15</v>
      </c>
      <c r="F112" s="2">
        <v>99309.72</v>
      </c>
    </row>
    <row r="113" spans="1:6" x14ac:dyDescent="0.25">
      <c r="A113" t="s">
        <v>4052</v>
      </c>
      <c r="B113" t="s">
        <v>4053</v>
      </c>
      <c r="C113" t="s">
        <v>4054</v>
      </c>
      <c r="D113" s="7">
        <v>6.6</v>
      </c>
      <c r="E113" s="2">
        <v>160764.86</v>
      </c>
      <c r="F113" s="2">
        <v>10610.48</v>
      </c>
    </row>
    <row r="114" spans="1:6" x14ac:dyDescent="0.25">
      <c r="A114" t="s">
        <v>4055</v>
      </c>
      <c r="D114" s="7"/>
      <c r="E114" s="2"/>
      <c r="F114" s="2">
        <f>SUBTOTAL(109,A_2_08_14[VALOR PARCIAL])</f>
      </c>
    </row>
    <row r="116" ht="30" customHeight="1" spans="1:6" x14ac:dyDescent="0.25">
      <c r="A116" s="5" t="s">
        <v>6995</v>
      </c>
      <c r="B116" s="5"/>
      <c r="C116" s="5"/>
      <c r="D116" s="5"/>
      <c r="E116" s="5"/>
      <c r="F116" s="5"/>
    </row>
    <row r="117" ht="42" customHeight="1" spans="1:6" x14ac:dyDescent="0.25">
      <c r="A117" s="6" t="s">
        <v>6996</v>
      </c>
      <c r="B117" s="6"/>
      <c r="C117" s="6"/>
      <c r="D117" s="6"/>
      <c r="E117" s="6"/>
      <c r="F117" s="6"/>
    </row>
    <row r="118" spans="1:6" x14ac:dyDescent="0.25">
      <c r="A118" t="s">
        <v>4044</v>
      </c>
      <c r="B118" t="s">
        <v>4045</v>
      </c>
      <c r="C118" t="s">
        <v>5</v>
      </c>
      <c r="D118" t="s">
        <v>4046</v>
      </c>
      <c r="E118" t="s">
        <v>4047</v>
      </c>
      <c r="F118" t="s">
        <v>4048</v>
      </c>
    </row>
    <row r="119" spans="1:6" x14ac:dyDescent="0.25">
      <c r="A119" t="s">
        <v>4062</v>
      </c>
      <c r="B119" t="s">
        <v>6997</v>
      </c>
      <c r="C119" t="s">
        <v>63</v>
      </c>
      <c r="D119" s="7">
        <v>1</v>
      </c>
      <c r="E119" s="2">
        <v>621409.59</v>
      </c>
      <c r="F119" s="2">
        <v>621409.59</v>
      </c>
    </row>
    <row r="120" spans="1:6" x14ac:dyDescent="0.25">
      <c r="A120" t="s">
        <v>4062</v>
      </c>
      <c r="B120" t="s">
        <v>4659</v>
      </c>
      <c r="C120" t="s">
        <v>4377</v>
      </c>
      <c r="D120" s="7">
        <v>0</v>
      </c>
      <c r="E120" s="2">
        <v>31500</v>
      </c>
      <c r="F120" s="2">
        <v>137.81</v>
      </c>
    </row>
    <row r="121" spans="1:6" x14ac:dyDescent="0.25">
      <c r="A121" t="s">
        <v>4062</v>
      </c>
      <c r="B121" t="s">
        <v>4376</v>
      </c>
      <c r="C121" t="s">
        <v>4377</v>
      </c>
      <c r="D121" s="7">
        <v>0</v>
      </c>
      <c r="E121" s="2">
        <v>72237.67</v>
      </c>
      <c r="F121" s="2">
        <v>316.04</v>
      </c>
    </row>
    <row r="122" spans="1:6" x14ac:dyDescent="0.25">
      <c r="A122" t="s">
        <v>4049</v>
      </c>
      <c r="B122" t="s">
        <v>4176</v>
      </c>
      <c r="C122" t="s">
        <v>4177</v>
      </c>
      <c r="D122" s="7">
        <v>0.85</v>
      </c>
      <c r="E122" s="2">
        <v>72300.17</v>
      </c>
      <c r="F122" s="2">
        <v>61455.14</v>
      </c>
    </row>
    <row r="123" spans="1:6" x14ac:dyDescent="0.25">
      <c r="A123" t="s">
        <v>4049</v>
      </c>
      <c r="B123" t="s">
        <v>4313</v>
      </c>
      <c r="C123" t="s">
        <v>4177</v>
      </c>
      <c r="D123" s="7">
        <v>0.8</v>
      </c>
      <c r="E123" s="2">
        <v>124137.15</v>
      </c>
      <c r="F123" s="2">
        <v>99309.72</v>
      </c>
    </row>
    <row r="124" spans="1:6" x14ac:dyDescent="0.25">
      <c r="A124" t="s">
        <v>4052</v>
      </c>
      <c r="B124" t="s">
        <v>4053</v>
      </c>
      <c r="C124" t="s">
        <v>4054</v>
      </c>
      <c r="D124" s="7">
        <v>9.9</v>
      </c>
      <c r="E124" s="2">
        <v>160764.86</v>
      </c>
      <c r="F124" s="2">
        <v>15915.72</v>
      </c>
    </row>
    <row r="125" spans="1:6" x14ac:dyDescent="0.25">
      <c r="A125" t="s">
        <v>4055</v>
      </c>
      <c r="D125" s="7"/>
      <c r="E125" s="2"/>
      <c r="F125" s="2">
        <f>SUBTOTAL(109,A_2_08_15[VALOR PARCIAL])</f>
      </c>
    </row>
    <row r="127" ht="30" customHeight="1" spans="1:6" x14ac:dyDescent="0.25">
      <c r="A127" s="5" t="s">
        <v>6998</v>
      </c>
      <c r="B127" s="5"/>
      <c r="C127" s="5"/>
      <c r="D127" s="5"/>
      <c r="E127" s="5"/>
      <c r="F127" s="5"/>
    </row>
    <row r="128" ht="42" customHeight="1" spans="1:6" x14ac:dyDescent="0.25">
      <c r="A128" s="6" t="s">
        <v>6999</v>
      </c>
      <c r="B128" s="6"/>
      <c r="C128" s="6"/>
      <c r="D128" s="6"/>
      <c r="E128" s="6"/>
      <c r="F128" s="6"/>
    </row>
    <row r="129" spans="1:6" x14ac:dyDescent="0.25">
      <c r="A129" t="s">
        <v>4044</v>
      </c>
      <c r="B129" t="s">
        <v>4045</v>
      </c>
      <c r="C129" t="s">
        <v>5</v>
      </c>
      <c r="D129" t="s">
        <v>4046</v>
      </c>
      <c r="E129" t="s">
        <v>4047</v>
      </c>
      <c r="F129" t="s">
        <v>4048</v>
      </c>
    </row>
    <row r="130" spans="1:6" x14ac:dyDescent="0.25">
      <c r="A130" t="s">
        <v>4062</v>
      </c>
      <c r="B130" t="s">
        <v>7000</v>
      </c>
      <c r="C130" t="s">
        <v>63</v>
      </c>
      <c r="D130" s="7">
        <v>1</v>
      </c>
      <c r="E130" s="2">
        <v>789609.92</v>
      </c>
      <c r="F130" s="2">
        <v>789609.92</v>
      </c>
    </row>
    <row r="131" spans="1:6" x14ac:dyDescent="0.25">
      <c r="A131" t="s">
        <v>4062</v>
      </c>
      <c r="B131" t="s">
        <v>4659</v>
      </c>
      <c r="C131" t="s">
        <v>4377</v>
      </c>
      <c r="D131" s="7">
        <v>0.01</v>
      </c>
      <c r="E131" s="2">
        <v>31500</v>
      </c>
      <c r="F131" s="2">
        <v>206.72</v>
      </c>
    </row>
    <row r="132" spans="1:6" x14ac:dyDescent="0.25">
      <c r="A132" t="s">
        <v>4062</v>
      </c>
      <c r="B132" t="s">
        <v>4376</v>
      </c>
      <c r="C132" t="s">
        <v>4377</v>
      </c>
      <c r="D132" s="7">
        <v>0.01</v>
      </c>
      <c r="E132" s="2">
        <v>72237.67</v>
      </c>
      <c r="F132" s="2">
        <v>474.06</v>
      </c>
    </row>
    <row r="133" spans="1:6" x14ac:dyDescent="0.25">
      <c r="A133" t="s">
        <v>4049</v>
      </c>
      <c r="B133" t="s">
        <v>4176</v>
      </c>
      <c r="C133" t="s">
        <v>4177</v>
      </c>
      <c r="D133" s="7">
        <v>0.85</v>
      </c>
      <c r="E133" s="2">
        <v>72300.17</v>
      </c>
      <c r="F133" s="2">
        <v>61455.14</v>
      </c>
    </row>
    <row r="134" spans="1:6" x14ac:dyDescent="0.25">
      <c r="A134" t="s">
        <v>4049</v>
      </c>
      <c r="B134" t="s">
        <v>4313</v>
      </c>
      <c r="C134" t="s">
        <v>4177</v>
      </c>
      <c r="D134" s="7">
        <v>0.8</v>
      </c>
      <c r="E134" s="2">
        <v>124137.15</v>
      </c>
      <c r="F134" s="2">
        <v>99309.72</v>
      </c>
    </row>
    <row r="135" spans="1:6" x14ac:dyDescent="0.25">
      <c r="A135" t="s">
        <v>4052</v>
      </c>
      <c r="B135" t="s">
        <v>4053</v>
      </c>
      <c r="C135" t="s">
        <v>4054</v>
      </c>
      <c r="D135" s="7">
        <v>9.9</v>
      </c>
      <c r="E135" s="2">
        <v>160764.86</v>
      </c>
      <c r="F135" s="2">
        <v>15915.72</v>
      </c>
    </row>
    <row r="136" spans="1:6" x14ac:dyDescent="0.25">
      <c r="A136" t="s">
        <v>4055</v>
      </c>
      <c r="D136" s="7"/>
      <c r="E136" s="2"/>
      <c r="F136" s="2">
        <f>SUBTOTAL(109,A_2_08_16[VALOR PARCIAL])</f>
      </c>
    </row>
    <row r="138" ht="30" customHeight="1" spans="1:6" x14ac:dyDescent="0.25">
      <c r="A138" s="5" t="s">
        <v>7001</v>
      </c>
      <c r="B138" s="5"/>
      <c r="C138" s="5"/>
      <c r="D138" s="5"/>
      <c r="E138" s="5"/>
      <c r="F138" s="5"/>
    </row>
    <row r="139" ht="42" customHeight="1" spans="1:6" x14ac:dyDescent="0.25">
      <c r="A139" s="6" t="s">
        <v>7002</v>
      </c>
      <c r="B139" s="6"/>
      <c r="C139" s="6"/>
      <c r="D139" s="6"/>
      <c r="E139" s="6"/>
      <c r="F139" s="6"/>
    </row>
    <row r="140" spans="1:6" x14ac:dyDescent="0.25">
      <c r="A140" t="s">
        <v>4044</v>
      </c>
      <c r="B140" t="s">
        <v>4045</v>
      </c>
      <c r="C140" t="s">
        <v>5</v>
      </c>
      <c r="D140" t="s">
        <v>4046</v>
      </c>
      <c r="E140" t="s">
        <v>4047</v>
      </c>
      <c r="F140" t="s">
        <v>4048</v>
      </c>
    </row>
    <row r="141" spans="1:6" x14ac:dyDescent="0.25">
      <c r="A141" t="s">
        <v>4062</v>
      </c>
      <c r="B141" t="s">
        <v>7003</v>
      </c>
      <c r="C141" t="s">
        <v>63</v>
      </c>
      <c r="D141" s="7">
        <v>1</v>
      </c>
      <c r="E141" s="2">
        <v>1396094.59</v>
      </c>
      <c r="F141" s="2">
        <v>1396094.59</v>
      </c>
    </row>
    <row r="142" spans="1:6" x14ac:dyDescent="0.25">
      <c r="A142" t="s">
        <v>4062</v>
      </c>
      <c r="B142" t="s">
        <v>4659</v>
      </c>
      <c r="C142" t="s">
        <v>4377</v>
      </c>
      <c r="D142" s="7">
        <v>0.01</v>
      </c>
      <c r="E142" s="2">
        <v>31500</v>
      </c>
      <c r="F142" s="2">
        <v>330.75</v>
      </c>
    </row>
    <row r="143" spans="1:6" x14ac:dyDescent="0.25">
      <c r="A143" t="s">
        <v>4062</v>
      </c>
      <c r="B143" t="s">
        <v>4376</v>
      </c>
      <c r="C143" t="s">
        <v>4377</v>
      </c>
      <c r="D143" s="7">
        <v>0.01</v>
      </c>
      <c r="E143" s="2">
        <v>72237.67</v>
      </c>
      <c r="F143" s="2">
        <v>758.5</v>
      </c>
    </row>
    <row r="144" spans="1:6" x14ac:dyDescent="0.25">
      <c r="A144" t="s">
        <v>4049</v>
      </c>
      <c r="B144" t="s">
        <v>4176</v>
      </c>
      <c r="C144" t="s">
        <v>4177</v>
      </c>
      <c r="D144" s="7">
        <v>0.85</v>
      </c>
      <c r="E144" s="2">
        <v>72300.17</v>
      </c>
      <c r="F144" s="2">
        <v>61455.14</v>
      </c>
    </row>
    <row r="145" spans="1:6" x14ac:dyDescent="0.25">
      <c r="A145" t="s">
        <v>4049</v>
      </c>
      <c r="B145" t="s">
        <v>4313</v>
      </c>
      <c r="C145" t="s">
        <v>4177</v>
      </c>
      <c r="D145" s="7">
        <v>0.8</v>
      </c>
      <c r="E145" s="2">
        <v>124137.15</v>
      </c>
      <c r="F145" s="2">
        <v>99309.72</v>
      </c>
    </row>
    <row r="146" spans="1:6" x14ac:dyDescent="0.25">
      <c r="A146" t="s">
        <v>4052</v>
      </c>
      <c r="B146" t="s">
        <v>4053</v>
      </c>
      <c r="C146" t="s">
        <v>4054</v>
      </c>
      <c r="D146" s="7">
        <v>9.9</v>
      </c>
      <c r="E146" s="2">
        <v>160764.86</v>
      </c>
      <c r="F146" s="2">
        <v>15915.72</v>
      </c>
    </row>
    <row r="147" spans="1:6" x14ac:dyDescent="0.25">
      <c r="A147" t="s">
        <v>4055</v>
      </c>
      <c r="D147" s="7"/>
      <c r="E147" s="2"/>
      <c r="F147" s="2">
        <f>SUBTOTAL(109,A_2_08_17[VALOR PARCIAL])</f>
      </c>
    </row>
    <row r="149" ht="30" customHeight="1" spans="1:6" x14ac:dyDescent="0.25">
      <c r="A149" s="5" t="s">
        <v>7004</v>
      </c>
      <c r="B149" s="5"/>
      <c r="C149" s="5"/>
      <c r="D149" s="5"/>
      <c r="E149" s="5"/>
      <c r="F149" s="5"/>
    </row>
    <row r="150" ht="42" customHeight="1" spans="1:6" x14ac:dyDescent="0.25">
      <c r="A150" s="6" t="s">
        <v>7005</v>
      </c>
      <c r="B150" s="6"/>
      <c r="C150" s="6"/>
      <c r="D150" s="6"/>
      <c r="E150" s="6"/>
      <c r="F150" s="6"/>
    </row>
    <row r="151" spans="1:6" x14ac:dyDescent="0.25">
      <c r="A151" t="s">
        <v>4044</v>
      </c>
      <c r="B151" t="s">
        <v>4045</v>
      </c>
      <c r="C151" t="s">
        <v>5</v>
      </c>
      <c r="D151" t="s">
        <v>4046</v>
      </c>
      <c r="E151" t="s">
        <v>4047</v>
      </c>
      <c r="F151" t="s">
        <v>4048</v>
      </c>
    </row>
    <row r="152" spans="1:6" x14ac:dyDescent="0.25">
      <c r="A152" t="s">
        <v>4062</v>
      </c>
      <c r="B152" t="s">
        <v>7006</v>
      </c>
      <c r="C152" t="s">
        <v>63</v>
      </c>
      <c r="D152" s="7">
        <v>1</v>
      </c>
      <c r="E152" s="2">
        <v>284629</v>
      </c>
      <c r="F152" s="2">
        <v>284629</v>
      </c>
    </row>
    <row r="153" spans="1:6" x14ac:dyDescent="0.25">
      <c r="A153" t="s">
        <v>4049</v>
      </c>
      <c r="B153" t="s">
        <v>4241</v>
      </c>
      <c r="C153" t="s">
        <v>4051</v>
      </c>
      <c r="D153" s="7">
        <v>0.4</v>
      </c>
      <c r="E153" s="2">
        <v>9941.22</v>
      </c>
      <c r="F153" s="2">
        <v>3976.49</v>
      </c>
    </row>
    <row r="154" spans="1:6" x14ac:dyDescent="0.25">
      <c r="A154" t="s">
        <v>4049</v>
      </c>
      <c r="B154" t="s">
        <v>4242</v>
      </c>
      <c r="C154" t="s">
        <v>4051</v>
      </c>
      <c r="D154" s="7">
        <v>0.4</v>
      </c>
      <c r="E154" s="2">
        <v>17069.53</v>
      </c>
      <c r="F154" s="2">
        <v>6827.81</v>
      </c>
    </row>
    <row r="155" spans="1:6" x14ac:dyDescent="0.25">
      <c r="A155" t="s">
        <v>4052</v>
      </c>
      <c r="B155" t="s">
        <v>4053</v>
      </c>
      <c r="C155" t="s">
        <v>4054</v>
      </c>
      <c r="D155" s="7">
        <v>6.6</v>
      </c>
      <c r="E155" s="2">
        <v>10804.3</v>
      </c>
      <c r="F155" s="2">
        <v>713.08</v>
      </c>
    </row>
    <row r="156" spans="1:6" x14ac:dyDescent="0.25">
      <c r="A156" t="s">
        <v>4055</v>
      </c>
      <c r="D156" s="7"/>
      <c r="E156" s="2"/>
      <c r="F156" s="2">
        <f>SUBTOTAL(109,A_2_08_18[VALOR PARCIAL])</f>
      </c>
    </row>
    <row r="158" ht="30" customHeight="1" spans="1:6" x14ac:dyDescent="0.25">
      <c r="A158" s="5" t="s">
        <v>7007</v>
      </c>
      <c r="B158" s="5"/>
      <c r="C158" s="5"/>
      <c r="D158" s="5"/>
      <c r="E158" s="5"/>
      <c r="F158" s="5"/>
    </row>
    <row r="159" ht="42" customHeight="1" spans="1:6" x14ac:dyDescent="0.25">
      <c r="A159" s="6" t="s">
        <v>7008</v>
      </c>
      <c r="B159" s="6"/>
      <c r="C159" s="6"/>
      <c r="D159" s="6"/>
      <c r="E159" s="6"/>
      <c r="F159" s="6"/>
    </row>
    <row r="160" spans="1:6" x14ac:dyDescent="0.25">
      <c r="A160" t="s">
        <v>4044</v>
      </c>
      <c r="B160" t="s">
        <v>4045</v>
      </c>
      <c r="C160" t="s">
        <v>5</v>
      </c>
      <c r="D160" t="s">
        <v>4046</v>
      </c>
      <c r="E160" t="s">
        <v>4047</v>
      </c>
      <c r="F160" t="s">
        <v>4048</v>
      </c>
    </row>
    <row r="161" spans="1:6" x14ac:dyDescent="0.25">
      <c r="A161" t="s">
        <v>4062</v>
      </c>
      <c r="B161" t="s">
        <v>7009</v>
      </c>
      <c r="C161" t="s">
        <v>63</v>
      </c>
      <c r="D161" s="7">
        <v>1</v>
      </c>
      <c r="E161" s="2">
        <v>2595509</v>
      </c>
      <c r="F161" s="2">
        <v>2595509</v>
      </c>
    </row>
    <row r="162" spans="1:6" x14ac:dyDescent="0.25">
      <c r="A162" t="s">
        <v>4049</v>
      </c>
      <c r="B162" t="s">
        <v>4241</v>
      </c>
      <c r="C162" t="s">
        <v>4051</v>
      </c>
      <c r="D162" s="7">
        <v>1</v>
      </c>
      <c r="E162" s="2">
        <v>9941.22</v>
      </c>
      <c r="F162" s="2">
        <v>9941.22</v>
      </c>
    </row>
    <row r="163" spans="1:6" x14ac:dyDescent="0.25">
      <c r="A163" t="s">
        <v>4049</v>
      </c>
      <c r="B163" t="s">
        <v>4242</v>
      </c>
      <c r="C163" t="s">
        <v>4051</v>
      </c>
      <c r="D163" s="7">
        <v>1</v>
      </c>
      <c r="E163" s="2">
        <v>17069.53</v>
      </c>
      <c r="F163" s="2">
        <v>17069.53</v>
      </c>
    </row>
    <row r="164" spans="1:6" x14ac:dyDescent="0.25">
      <c r="A164" t="s">
        <v>4052</v>
      </c>
      <c r="B164" t="s">
        <v>4053</v>
      </c>
      <c r="C164" t="s">
        <v>4054</v>
      </c>
      <c r="D164" s="7">
        <v>6.6</v>
      </c>
      <c r="E164" s="2">
        <v>27010.75</v>
      </c>
      <c r="F164" s="2">
        <v>1782.71</v>
      </c>
    </row>
    <row r="165" spans="1:6" x14ac:dyDescent="0.25">
      <c r="A165" t="s">
        <v>4055</v>
      </c>
      <c r="D165" s="7"/>
      <c r="E165" s="2"/>
      <c r="F165" s="2">
        <f>SUBTOTAL(109,A_2_08_19[VALOR PARCIAL])</f>
      </c>
    </row>
    <row r="167" ht="30" customHeight="1" spans="1:6" x14ac:dyDescent="0.25">
      <c r="A167" s="5" t="s">
        <v>7010</v>
      </c>
      <c r="B167" s="5"/>
      <c r="C167" s="5"/>
      <c r="D167" s="5"/>
      <c r="E167" s="5"/>
      <c r="F167" s="5"/>
    </row>
    <row r="168" ht="42" customHeight="1" spans="1:6" x14ac:dyDescent="0.25">
      <c r="A168" s="6" t="s">
        <v>7011</v>
      </c>
      <c r="B168" s="6"/>
      <c r="C168" s="6"/>
      <c r="D168" s="6"/>
      <c r="E168" s="6"/>
      <c r="F168" s="6"/>
    </row>
    <row r="169" spans="1:6" x14ac:dyDescent="0.25">
      <c r="A169" t="s">
        <v>4044</v>
      </c>
      <c r="B169" t="s">
        <v>4045</v>
      </c>
      <c r="C169" t="s">
        <v>5</v>
      </c>
      <c r="D169" t="s">
        <v>4046</v>
      </c>
      <c r="E169" t="s">
        <v>4047</v>
      </c>
      <c r="F169" t="s">
        <v>4048</v>
      </c>
    </row>
    <row r="170" spans="1:6" x14ac:dyDescent="0.25">
      <c r="A170" t="s">
        <v>4062</v>
      </c>
      <c r="B170" t="s">
        <v>7012</v>
      </c>
      <c r="C170" t="s">
        <v>63</v>
      </c>
      <c r="D170" s="7">
        <v>1</v>
      </c>
      <c r="E170" s="2">
        <v>3421012</v>
      </c>
      <c r="F170" s="2">
        <v>3421012</v>
      </c>
    </row>
    <row r="171" spans="1:6" x14ac:dyDescent="0.25">
      <c r="A171" t="s">
        <v>4049</v>
      </c>
      <c r="B171" t="s">
        <v>4241</v>
      </c>
      <c r="C171" t="s">
        <v>4051</v>
      </c>
      <c r="D171" s="7">
        <v>0.4</v>
      </c>
      <c r="E171" s="2">
        <v>9941.22</v>
      </c>
      <c r="F171" s="2">
        <v>3976.49</v>
      </c>
    </row>
    <row r="172" spans="1:6" x14ac:dyDescent="0.25">
      <c r="A172" t="s">
        <v>4049</v>
      </c>
      <c r="B172" t="s">
        <v>4242</v>
      </c>
      <c r="C172" t="s">
        <v>4051</v>
      </c>
      <c r="D172" s="7">
        <v>0.4</v>
      </c>
      <c r="E172" s="2">
        <v>17069.53</v>
      </c>
      <c r="F172" s="2">
        <v>6827.81</v>
      </c>
    </row>
    <row r="173" spans="1:6" x14ac:dyDescent="0.25">
      <c r="A173" t="s">
        <v>4052</v>
      </c>
      <c r="B173" t="s">
        <v>4053</v>
      </c>
      <c r="C173" t="s">
        <v>4054</v>
      </c>
      <c r="D173" s="7">
        <v>6.6</v>
      </c>
      <c r="E173" s="2">
        <v>10804.3</v>
      </c>
      <c r="F173" s="2">
        <v>713.08</v>
      </c>
    </row>
    <row r="174" spans="1:6" x14ac:dyDescent="0.25">
      <c r="A174" t="s">
        <v>4055</v>
      </c>
      <c r="D174" s="7"/>
      <c r="E174" s="2"/>
      <c r="F174" s="2">
        <f>SUBTOTAL(109,A_2_08_20[VALOR PARCIAL])</f>
      </c>
    </row>
    <row r="176" ht="30" customHeight="1" spans="1:6" x14ac:dyDescent="0.25">
      <c r="A176" s="5" t="s">
        <v>7013</v>
      </c>
      <c r="B176" s="5"/>
      <c r="C176" s="5"/>
      <c r="D176" s="5"/>
      <c r="E176" s="5"/>
      <c r="F176" s="5"/>
    </row>
    <row r="177" ht="42" customHeight="1" spans="1:6" x14ac:dyDescent="0.25">
      <c r="A177" s="6" t="s">
        <v>7014</v>
      </c>
      <c r="B177" s="6"/>
      <c r="C177" s="6"/>
      <c r="D177" s="6"/>
      <c r="E177" s="6"/>
      <c r="F177" s="6"/>
    </row>
    <row r="178" spans="1:6" x14ac:dyDescent="0.25">
      <c r="A178" t="s">
        <v>4044</v>
      </c>
      <c r="B178" t="s">
        <v>4045</v>
      </c>
      <c r="C178" t="s">
        <v>5</v>
      </c>
      <c r="D178" t="s">
        <v>4046</v>
      </c>
      <c r="E178" t="s">
        <v>4047</v>
      </c>
      <c r="F178" t="s">
        <v>4048</v>
      </c>
    </row>
    <row r="179" spans="1:6" x14ac:dyDescent="0.25">
      <c r="A179" t="s">
        <v>4062</v>
      </c>
      <c r="B179" t="s">
        <v>7015</v>
      </c>
      <c r="C179" t="s">
        <v>63</v>
      </c>
      <c r="D179" s="7">
        <v>1</v>
      </c>
      <c r="E179" s="2">
        <v>5869556</v>
      </c>
      <c r="F179" s="2">
        <v>5869556</v>
      </c>
    </row>
    <row r="180" spans="1:6" x14ac:dyDescent="0.25">
      <c r="A180" t="s">
        <v>4049</v>
      </c>
      <c r="B180" t="s">
        <v>4241</v>
      </c>
      <c r="C180" t="s">
        <v>4051</v>
      </c>
      <c r="D180" s="7">
        <v>0.6</v>
      </c>
      <c r="E180" s="2">
        <v>9941.22</v>
      </c>
      <c r="F180" s="2">
        <v>5964.73</v>
      </c>
    </row>
    <row r="181" spans="1:6" x14ac:dyDescent="0.25">
      <c r="A181" t="s">
        <v>4049</v>
      </c>
      <c r="B181" t="s">
        <v>4242</v>
      </c>
      <c r="C181" t="s">
        <v>4051</v>
      </c>
      <c r="D181" s="7">
        <v>0.6</v>
      </c>
      <c r="E181" s="2">
        <v>17069.53</v>
      </c>
      <c r="F181" s="2">
        <v>10241.72</v>
      </c>
    </row>
    <row r="182" spans="1:6" x14ac:dyDescent="0.25">
      <c r="A182" t="s">
        <v>4052</v>
      </c>
      <c r="B182" t="s">
        <v>4053</v>
      </c>
      <c r="C182" t="s">
        <v>4054</v>
      </c>
      <c r="D182" s="7">
        <v>6.6</v>
      </c>
      <c r="E182" s="2">
        <v>16206.45</v>
      </c>
      <c r="F182" s="2">
        <v>1069.63</v>
      </c>
    </row>
    <row r="183" spans="1:6" x14ac:dyDescent="0.25">
      <c r="A183" t="s">
        <v>4055</v>
      </c>
      <c r="D183" s="7"/>
      <c r="E183" s="2"/>
      <c r="F183" s="2">
        <f>SUBTOTAL(109,A_2_08_21[VALOR PARCIAL])</f>
      </c>
    </row>
    <row r="185" ht="30" customHeight="1" spans="1:6" x14ac:dyDescent="0.25">
      <c r="A185" s="5" t="s">
        <v>7016</v>
      </c>
      <c r="B185" s="5"/>
      <c r="C185" s="5"/>
      <c r="D185" s="5"/>
      <c r="E185" s="5"/>
      <c r="F185" s="5"/>
    </row>
    <row r="186" ht="42" customHeight="1" spans="1:6" x14ac:dyDescent="0.25">
      <c r="A186" s="6" t="s">
        <v>7017</v>
      </c>
      <c r="B186" s="6"/>
      <c r="C186" s="6"/>
      <c r="D186" s="6"/>
      <c r="E186" s="6"/>
      <c r="F186" s="6"/>
    </row>
    <row r="187" spans="1:6" x14ac:dyDescent="0.25">
      <c r="A187" t="s">
        <v>4044</v>
      </c>
      <c r="B187" t="s">
        <v>4045</v>
      </c>
      <c r="C187" t="s">
        <v>5</v>
      </c>
      <c r="D187" t="s">
        <v>4046</v>
      </c>
      <c r="E187" t="s">
        <v>4047</v>
      </c>
      <c r="F187" t="s">
        <v>4048</v>
      </c>
    </row>
    <row r="188" spans="1:6" x14ac:dyDescent="0.25">
      <c r="A188" t="s">
        <v>4062</v>
      </c>
      <c r="B188" t="s">
        <v>7018</v>
      </c>
      <c r="C188" t="s">
        <v>63</v>
      </c>
      <c r="D188" s="7">
        <v>1</v>
      </c>
      <c r="E188" s="2">
        <v>850371</v>
      </c>
      <c r="F188" s="2">
        <v>850371</v>
      </c>
    </row>
    <row r="189" spans="1:6" x14ac:dyDescent="0.25">
      <c r="A189" t="s">
        <v>4049</v>
      </c>
      <c r="B189" t="s">
        <v>4241</v>
      </c>
      <c r="C189" t="s">
        <v>4051</v>
      </c>
      <c r="D189" s="7">
        <v>1</v>
      </c>
      <c r="E189" s="2">
        <v>9941.22</v>
      </c>
      <c r="F189" s="2">
        <v>9941.22</v>
      </c>
    </row>
    <row r="190" spans="1:6" x14ac:dyDescent="0.25">
      <c r="A190" t="s">
        <v>4049</v>
      </c>
      <c r="B190" t="s">
        <v>4242</v>
      </c>
      <c r="C190" t="s">
        <v>4051</v>
      </c>
      <c r="D190" s="7">
        <v>1</v>
      </c>
      <c r="E190" s="2">
        <v>17069.53</v>
      </c>
      <c r="F190" s="2">
        <v>17069.53</v>
      </c>
    </row>
    <row r="191" spans="1:6" x14ac:dyDescent="0.25">
      <c r="A191" t="s">
        <v>4052</v>
      </c>
      <c r="B191" t="s">
        <v>4053</v>
      </c>
      <c r="C191" t="s">
        <v>4054</v>
      </c>
      <c r="D191" s="7">
        <v>6.6</v>
      </c>
      <c r="E191" s="2">
        <v>27010.75</v>
      </c>
      <c r="F191" s="2">
        <v>1782.71</v>
      </c>
    </row>
    <row r="192" spans="1:6" x14ac:dyDescent="0.25">
      <c r="A192" t="s">
        <v>4055</v>
      </c>
      <c r="D192" s="7"/>
      <c r="E192" s="2"/>
      <c r="F192" s="2">
        <f>SUBTOTAL(109,A_2_08_22[VALOR PARCIAL])</f>
      </c>
    </row>
    <row r="194" ht="30" customHeight="1" spans="1:6" x14ac:dyDescent="0.25">
      <c r="A194" s="5" t="s">
        <v>7019</v>
      </c>
      <c r="B194" s="5"/>
      <c r="C194" s="5"/>
      <c r="D194" s="5"/>
      <c r="E194" s="5"/>
      <c r="F194" s="5"/>
    </row>
    <row r="195" ht="42" customHeight="1" spans="1:6" x14ac:dyDescent="0.25">
      <c r="A195" s="6" t="s">
        <v>7020</v>
      </c>
      <c r="B195" s="6"/>
      <c r="C195" s="6"/>
      <c r="D195" s="6"/>
      <c r="E195" s="6"/>
      <c r="F195" s="6"/>
    </row>
    <row r="196" spans="1:6" x14ac:dyDescent="0.25">
      <c r="A196" t="s">
        <v>4044</v>
      </c>
      <c r="B196" t="s">
        <v>4045</v>
      </c>
      <c r="C196" t="s">
        <v>5</v>
      </c>
      <c r="D196" t="s">
        <v>4046</v>
      </c>
      <c r="E196" t="s">
        <v>4047</v>
      </c>
      <c r="F196" t="s">
        <v>4048</v>
      </c>
    </row>
    <row r="197" spans="1:6" x14ac:dyDescent="0.25">
      <c r="A197" t="s">
        <v>4062</v>
      </c>
      <c r="B197" t="s">
        <v>7021</v>
      </c>
      <c r="C197" t="s">
        <v>63</v>
      </c>
      <c r="D197" s="7">
        <v>1</v>
      </c>
      <c r="E197" s="2">
        <v>190028</v>
      </c>
      <c r="F197" s="2">
        <v>190028</v>
      </c>
    </row>
    <row r="198" spans="1:6" x14ac:dyDescent="0.25">
      <c r="A198" t="s">
        <v>4049</v>
      </c>
      <c r="B198" t="s">
        <v>4241</v>
      </c>
      <c r="C198" t="s">
        <v>4051</v>
      </c>
      <c r="D198" s="7">
        <v>2</v>
      </c>
      <c r="E198" s="2">
        <v>9941.22</v>
      </c>
      <c r="F198" s="2">
        <v>19882.44</v>
      </c>
    </row>
    <row r="199" spans="1:6" x14ac:dyDescent="0.25">
      <c r="A199" t="s">
        <v>4049</v>
      </c>
      <c r="B199" t="s">
        <v>4242</v>
      </c>
      <c r="C199" t="s">
        <v>4051</v>
      </c>
      <c r="D199" s="7">
        <v>2</v>
      </c>
      <c r="E199" s="2">
        <v>17069.53</v>
      </c>
      <c r="F199" s="2">
        <v>34139.06</v>
      </c>
    </row>
    <row r="200" spans="1:6" x14ac:dyDescent="0.25">
      <c r="A200" t="s">
        <v>4052</v>
      </c>
      <c r="B200" t="s">
        <v>4113</v>
      </c>
      <c r="C200" t="s">
        <v>4106</v>
      </c>
      <c r="D200" s="7">
        <v>0.1</v>
      </c>
      <c r="E200" s="2">
        <v>43805.88</v>
      </c>
      <c r="F200" s="2">
        <v>4380.59</v>
      </c>
    </row>
    <row r="201" spans="1:6" x14ac:dyDescent="0.25">
      <c r="A201" t="s">
        <v>4052</v>
      </c>
      <c r="B201" t="s">
        <v>4053</v>
      </c>
      <c r="C201" t="s">
        <v>4054</v>
      </c>
      <c r="D201" s="7">
        <v>6.6</v>
      </c>
      <c r="E201" s="2">
        <v>54021.5</v>
      </c>
      <c r="F201" s="2">
        <v>3565.42</v>
      </c>
    </row>
    <row r="202" spans="1:6" x14ac:dyDescent="0.25">
      <c r="A202" t="s">
        <v>4055</v>
      </c>
      <c r="D202" s="7"/>
      <c r="E202" s="2"/>
      <c r="F202" s="2">
        <f>SUBTOTAL(109,A_2_08_23[VALOR PARCIAL])</f>
      </c>
    </row>
    <row r="204" ht="30" customHeight="1" spans="1:6" x14ac:dyDescent="0.25">
      <c r="A204" s="5" t="s">
        <v>7022</v>
      </c>
      <c r="B204" s="5"/>
      <c r="C204" s="5"/>
      <c r="D204" s="5"/>
      <c r="E204" s="5"/>
      <c r="F204" s="5"/>
    </row>
    <row r="205" ht="42" customHeight="1" spans="1:6" x14ac:dyDescent="0.25">
      <c r="A205" s="6" t="s">
        <v>7023</v>
      </c>
      <c r="B205" s="6"/>
      <c r="C205" s="6"/>
      <c r="D205" s="6"/>
      <c r="E205" s="6"/>
      <c r="F205" s="6"/>
    </row>
    <row r="206" spans="1:6" x14ac:dyDescent="0.25">
      <c r="A206" t="s">
        <v>4044</v>
      </c>
      <c r="B206" t="s">
        <v>4045</v>
      </c>
      <c r="C206" t="s">
        <v>5</v>
      </c>
      <c r="D206" t="s">
        <v>4046</v>
      </c>
      <c r="E206" t="s">
        <v>4047</v>
      </c>
      <c r="F206" t="s">
        <v>4048</v>
      </c>
    </row>
    <row r="207" spans="1:6" x14ac:dyDescent="0.25">
      <c r="A207" t="s">
        <v>4062</v>
      </c>
      <c r="B207" t="s">
        <v>7024</v>
      </c>
      <c r="C207" t="s">
        <v>63</v>
      </c>
      <c r="D207" s="7">
        <v>1</v>
      </c>
      <c r="E207" s="2">
        <v>307315</v>
      </c>
      <c r="F207" s="2">
        <v>307315</v>
      </c>
    </row>
    <row r="208" spans="1:6" x14ac:dyDescent="0.25">
      <c r="A208" t="s">
        <v>4049</v>
      </c>
      <c r="B208" t="s">
        <v>4241</v>
      </c>
      <c r="C208" t="s">
        <v>4051</v>
      </c>
      <c r="D208" s="7">
        <v>2</v>
      </c>
      <c r="E208" s="2">
        <v>9941.22</v>
      </c>
      <c r="F208" s="2">
        <v>19882.44</v>
      </c>
    </row>
    <row r="209" spans="1:6" x14ac:dyDescent="0.25">
      <c r="A209" t="s">
        <v>4049</v>
      </c>
      <c r="B209" t="s">
        <v>4242</v>
      </c>
      <c r="C209" t="s">
        <v>4051</v>
      </c>
      <c r="D209" s="7">
        <v>2</v>
      </c>
      <c r="E209" s="2">
        <v>17069.53</v>
      </c>
      <c r="F209" s="2">
        <v>34139.06</v>
      </c>
    </row>
    <row r="210" spans="1:6" x14ac:dyDescent="0.25">
      <c r="A210" t="s">
        <v>4052</v>
      </c>
      <c r="B210" t="s">
        <v>4113</v>
      </c>
      <c r="C210" t="s">
        <v>4106</v>
      </c>
      <c r="D210" s="7">
        <v>0.1</v>
      </c>
      <c r="E210" s="2">
        <v>43805.88</v>
      </c>
      <c r="F210" s="2">
        <v>4380.59</v>
      </c>
    </row>
    <row r="211" spans="1:6" x14ac:dyDescent="0.25">
      <c r="A211" t="s">
        <v>4052</v>
      </c>
      <c r="B211" t="s">
        <v>4053</v>
      </c>
      <c r="C211" t="s">
        <v>4054</v>
      </c>
      <c r="D211" s="7">
        <v>6.6</v>
      </c>
      <c r="E211" s="2">
        <v>54021.5</v>
      </c>
      <c r="F211" s="2">
        <v>3565.42</v>
      </c>
    </row>
    <row r="212" spans="1:6" x14ac:dyDescent="0.25">
      <c r="A212" t="s">
        <v>4055</v>
      </c>
      <c r="D212" s="7"/>
      <c r="E212" s="2"/>
      <c r="F212" s="2">
        <f>SUBTOTAL(109,A_2_08_24[VALOR PARCIAL])</f>
      </c>
    </row>
    <row r="214" ht="30" customHeight="1" spans="1:6" x14ac:dyDescent="0.25">
      <c r="A214" s="5" t="s">
        <v>7025</v>
      </c>
      <c r="B214" s="5"/>
      <c r="C214" s="5"/>
      <c r="D214" s="5"/>
      <c r="E214" s="5"/>
      <c r="F214" s="5"/>
    </row>
    <row r="215" ht="42" customHeight="1" spans="1:6" x14ac:dyDescent="0.25">
      <c r="A215" s="6" t="s">
        <v>7026</v>
      </c>
      <c r="B215" s="6"/>
      <c r="C215" s="6"/>
      <c r="D215" s="6"/>
      <c r="E215" s="6"/>
      <c r="F215" s="6"/>
    </row>
    <row r="216" spans="1:6" x14ac:dyDescent="0.25">
      <c r="A216" t="s">
        <v>4044</v>
      </c>
      <c r="B216" t="s">
        <v>4045</v>
      </c>
      <c r="C216" t="s">
        <v>5</v>
      </c>
      <c r="D216" t="s">
        <v>4046</v>
      </c>
      <c r="E216" t="s">
        <v>4047</v>
      </c>
      <c r="F216" t="s">
        <v>4048</v>
      </c>
    </row>
    <row r="217" spans="1:6" x14ac:dyDescent="0.25">
      <c r="A217" t="s">
        <v>4062</v>
      </c>
      <c r="B217" t="s">
        <v>7027</v>
      </c>
      <c r="C217" t="s">
        <v>63</v>
      </c>
      <c r="D217" s="7">
        <v>1</v>
      </c>
      <c r="E217" s="2">
        <v>371958</v>
      </c>
      <c r="F217" s="2">
        <v>371958</v>
      </c>
    </row>
    <row r="218" spans="1:6" x14ac:dyDescent="0.25">
      <c r="A218" t="s">
        <v>4049</v>
      </c>
      <c r="B218" t="s">
        <v>4113</v>
      </c>
      <c r="C218" t="s">
        <v>4106</v>
      </c>
      <c r="D218" s="7">
        <v>0.1</v>
      </c>
      <c r="E218" s="2">
        <v>43805.88</v>
      </c>
      <c r="F218" s="2">
        <v>4380.59</v>
      </c>
    </row>
    <row r="219" spans="1:6" x14ac:dyDescent="0.25">
      <c r="A219" t="s">
        <v>4049</v>
      </c>
      <c r="B219" t="s">
        <v>4241</v>
      </c>
      <c r="C219" t="s">
        <v>4051</v>
      </c>
      <c r="D219" s="7">
        <v>2</v>
      </c>
      <c r="E219" s="2">
        <v>9941.22</v>
      </c>
      <c r="F219" s="2">
        <v>19882.44</v>
      </c>
    </row>
    <row r="220" spans="1:6" x14ac:dyDescent="0.25">
      <c r="A220" t="s">
        <v>4049</v>
      </c>
      <c r="B220" t="s">
        <v>4242</v>
      </c>
      <c r="C220" t="s">
        <v>4051</v>
      </c>
      <c r="D220" s="7">
        <v>2</v>
      </c>
      <c r="E220" s="2">
        <v>17069.53</v>
      </c>
      <c r="F220" s="2">
        <v>34139.06</v>
      </c>
    </row>
    <row r="221" spans="1:6" x14ac:dyDescent="0.25">
      <c r="A221" t="s">
        <v>4052</v>
      </c>
      <c r="B221" t="s">
        <v>4053</v>
      </c>
      <c r="C221" t="s">
        <v>4054</v>
      </c>
      <c r="D221" s="7">
        <v>6.6</v>
      </c>
      <c r="E221" s="2">
        <v>54021.5</v>
      </c>
      <c r="F221" s="2">
        <v>3565.42</v>
      </c>
    </row>
    <row r="222" spans="1:6" x14ac:dyDescent="0.25">
      <c r="A222" t="s">
        <v>4055</v>
      </c>
      <c r="D222" s="7"/>
      <c r="E222" s="2"/>
      <c r="F222" s="2">
        <f>SUBTOTAL(109,A_2_08_25[VALOR PARCIAL])</f>
      </c>
    </row>
    <row r="224" ht="30" customHeight="1" spans="1:6" x14ac:dyDescent="0.25">
      <c r="A224" s="5" t="s">
        <v>7028</v>
      </c>
      <c r="B224" s="5"/>
      <c r="C224" s="5"/>
      <c r="D224" s="5"/>
      <c r="E224" s="5"/>
      <c r="F224" s="5"/>
    </row>
    <row r="225" ht="42" customHeight="1" spans="1:6" x14ac:dyDescent="0.25">
      <c r="A225" s="6" t="s">
        <v>7029</v>
      </c>
      <c r="B225" s="6"/>
      <c r="C225" s="6"/>
      <c r="D225" s="6"/>
      <c r="E225" s="6"/>
      <c r="F225" s="6"/>
    </row>
    <row r="226" spans="1:6" x14ac:dyDescent="0.25">
      <c r="A226" t="s">
        <v>4044</v>
      </c>
      <c r="B226" t="s">
        <v>4045</v>
      </c>
      <c r="C226" t="s">
        <v>5</v>
      </c>
      <c r="D226" t="s">
        <v>4046</v>
      </c>
      <c r="E226" t="s">
        <v>4047</v>
      </c>
      <c r="F226" t="s">
        <v>4048</v>
      </c>
    </row>
    <row r="227" spans="1:6" x14ac:dyDescent="0.25">
      <c r="A227" t="s">
        <v>4062</v>
      </c>
      <c r="B227" t="s">
        <v>7030</v>
      </c>
      <c r="C227" t="s">
        <v>63</v>
      </c>
      <c r="D227" s="7">
        <v>1</v>
      </c>
      <c r="E227" s="2">
        <v>525951</v>
      </c>
      <c r="F227" s="2">
        <v>525951</v>
      </c>
    </row>
    <row r="228" spans="1:6" x14ac:dyDescent="0.25">
      <c r="A228" t="s">
        <v>4049</v>
      </c>
      <c r="B228" t="s">
        <v>4241</v>
      </c>
      <c r="C228" t="s">
        <v>4051</v>
      </c>
      <c r="D228" s="7">
        <v>2</v>
      </c>
      <c r="E228" s="2">
        <v>9941.22</v>
      </c>
      <c r="F228" s="2">
        <v>19882.44</v>
      </c>
    </row>
    <row r="229" spans="1:6" x14ac:dyDescent="0.25">
      <c r="A229" t="s">
        <v>4049</v>
      </c>
      <c r="B229" t="s">
        <v>4242</v>
      </c>
      <c r="C229" t="s">
        <v>4051</v>
      </c>
      <c r="D229" s="7">
        <v>2</v>
      </c>
      <c r="E229" s="2">
        <v>17069.53</v>
      </c>
      <c r="F229" s="2">
        <v>34139.06</v>
      </c>
    </row>
    <row r="230" spans="1:6" x14ac:dyDescent="0.25">
      <c r="A230" t="s">
        <v>4052</v>
      </c>
      <c r="B230" t="s">
        <v>4113</v>
      </c>
      <c r="C230" t="s">
        <v>4106</v>
      </c>
      <c r="D230" s="7">
        <v>0.1</v>
      </c>
      <c r="E230" s="2">
        <v>43805.88</v>
      </c>
      <c r="F230" s="2">
        <v>4380.59</v>
      </c>
    </row>
    <row r="231" spans="1:6" x14ac:dyDescent="0.25">
      <c r="A231" t="s">
        <v>4052</v>
      </c>
      <c r="B231" t="s">
        <v>4053</v>
      </c>
      <c r="C231" t="s">
        <v>4054</v>
      </c>
      <c r="D231" s="7">
        <v>6.6</v>
      </c>
      <c r="E231" s="2">
        <v>54021.5</v>
      </c>
      <c r="F231" s="2">
        <v>3565.42</v>
      </c>
    </row>
    <row r="232" spans="1:6" x14ac:dyDescent="0.25">
      <c r="A232" t="s">
        <v>4055</v>
      </c>
      <c r="D232" s="7"/>
      <c r="E232" s="2"/>
      <c r="F232" s="2">
        <f>SUBTOTAL(109,A_2_08_26[VALOR PARCIAL])</f>
      </c>
    </row>
    <row r="234" ht="30" customHeight="1" spans="1:6" x14ac:dyDescent="0.25">
      <c r="A234" s="5" t="s">
        <v>7031</v>
      </c>
      <c r="B234" s="5"/>
      <c r="C234" s="5"/>
      <c r="D234" s="5"/>
      <c r="E234" s="5"/>
      <c r="F234" s="5"/>
    </row>
    <row r="235" ht="42" customHeight="1" spans="1:6" x14ac:dyDescent="0.25">
      <c r="A235" s="6" t="s">
        <v>7032</v>
      </c>
      <c r="B235" s="6"/>
      <c r="C235" s="6"/>
      <c r="D235" s="6"/>
      <c r="E235" s="6"/>
      <c r="F235" s="6"/>
    </row>
    <row r="236" spans="1:6" x14ac:dyDescent="0.25">
      <c r="A236" t="s">
        <v>4044</v>
      </c>
      <c r="B236" t="s">
        <v>4045</v>
      </c>
      <c r="C236" t="s">
        <v>5</v>
      </c>
      <c r="D236" t="s">
        <v>4046</v>
      </c>
      <c r="E236" t="s">
        <v>4047</v>
      </c>
      <c r="F236" t="s">
        <v>4048</v>
      </c>
    </row>
    <row r="237" spans="1:6" x14ac:dyDescent="0.25">
      <c r="A237" t="s">
        <v>4062</v>
      </c>
      <c r="B237" t="s">
        <v>7033</v>
      </c>
      <c r="C237" t="s">
        <v>63</v>
      </c>
      <c r="D237" s="7">
        <v>1</v>
      </c>
      <c r="E237" s="2">
        <v>302110</v>
      </c>
      <c r="F237" s="2">
        <v>302110</v>
      </c>
    </row>
    <row r="238" spans="1:6" x14ac:dyDescent="0.25">
      <c r="A238" t="s">
        <v>4049</v>
      </c>
      <c r="B238" t="s">
        <v>4176</v>
      </c>
      <c r="C238" t="s">
        <v>4177</v>
      </c>
      <c r="D238" s="7">
        <v>0.25</v>
      </c>
      <c r="E238" s="2">
        <v>72300.17</v>
      </c>
      <c r="F238" s="2">
        <v>18075.04</v>
      </c>
    </row>
    <row r="239" spans="1:6" x14ac:dyDescent="0.25">
      <c r="A239" t="s">
        <v>4049</v>
      </c>
      <c r="B239" t="s">
        <v>4313</v>
      </c>
      <c r="C239" t="s">
        <v>4177</v>
      </c>
      <c r="D239" s="7">
        <v>0.25</v>
      </c>
      <c r="E239" s="2">
        <v>124137.15</v>
      </c>
      <c r="F239" s="2">
        <v>31034.29</v>
      </c>
    </row>
    <row r="240" spans="1:6" x14ac:dyDescent="0.25">
      <c r="A240" t="s">
        <v>4052</v>
      </c>
      <c r="B240" t="s">
        <v>4053</v>
      </c>
      <c r="C240" t="s">
        <v>4054</v>
      </c>
      <c r="D240" s="7">
        <v>6.6</v>
      </c>
      <c r="E240" s="2">
        <v>49109.33</v>
      </c>
      <c r="F240" s="2">
        <v>3241.22</v>
      </c>
    </row>
    <row r="241" spans="1:6" x14ac:dyDescent="0.25">
      <c r="A241" t="s">
        <v>4055</v>
      </c>
      <c r="D241" s="7"/>
      <c r="E241" s="2"/>
      <c r="F241" s="2">
        <f>SUBTOTAL(109,A_2_08_27[VALOR PARCIAL])</f>
      </c>
    </row>
    <row r="243" ht="30" customHeight="1" spans="1:6" x14ac:dyDescent="0.25">
      <c r="A243" s="5" t="s">
        <v>7034</v>
      </c>
      <c r="B243" s="5"/>
      <c r="C243" s="5"/>
      <c r="D243" s="5"/>
      <c r="E243" s="5"/>
      <c r="F243" s="5"/>
    </row>
    <row r="244" ht="42" customHeight="1" spans="1:6" x14ac:dyDescent="0.25">
      <c r="A244" s="6" t="s">
        <v>7035</v>
      </c>
      <c r="B244" s="6"/>
      <c r="C244" s="6"/>
      <c r="D244" s="6"/>
      <c r="E244" s="6"/>
      <c r="F244" s="6"/>
    </row>
    <row r="245" spans="1:6" x14ac:dyDescent="0.25">
      <c r="A245" t="s">
        <v>4044</v>
      </c>
      <c r="B245" t="s">
        <v>4045</v>
      </c>
      <c r="C245" t="s">
        <v>5</v>
      </c>
      <c r="D245" t="s">
        <v>4046</v>
      </c>
      <c r="E245" t="s">
        <v>4047</v>
      </c>
      <c r="F245" t="s">
        <v>4048</v>
      </c>
    </row>
    <row r="246" spans="1:6" x14ac:dyDescent="0.25">
      <c r="A246" t="s">
        <v>4062</v>
      </c>
      <c r="B246" t="s">
        <v>7036</v>
      </c>
      <c r="C246" t="s">
        <v>63</v>
      </c>
      <c r="D246" s="7">
        <v>1</v>
      </c>
      <c r="E246" s="2">
        <v>345839.41</v>
      </c>
      <c r="F246" s="2">
        <v>345839.41</v>
      </c>
    </row>
    <row r="247" spans="1:6" x14ac:dyDescent="0.25">
      <c r="A247" t="s">
        <v>4049</v>
      </c>
      <c r="B247" t="s">
        <v>4176</v>
      </c>
      <c r="C247" t="s">
        <v>4177</v>
      </c>
      <c r="D247" s="7">
        <v>0.25</v>
      </c>
      <c r="E247" s="2">
        <v>72300.17</v>
      </c>
      <c r="F247" s="2">
        <v>18075.04</v>
      </c>
    </row>
    <row r="248" spans="1:6" x14ac:dyDescent="0.25">
      <c r="A248" t="s">
        <v>4049</v>
      </c>
      <c r="B248" t="s">
        <v>4313</v>
      </c>
      <c r="C248" t="s">
        <v>4177</v>
      </c>
      <c r="D248" s="7">
        <v>0.25</v>
      </c>
      <c r="E248" s="2">
        <v>124137.15</v>
      </c>
      <c r="F248" s="2">
        <v>31034.29</v>
      </c>
    </row>
    <row r="249" spans="1:6" x14ac:dyDescent="0.25">
      <c r="A249" t="s">
        <v>4052</v>
      </c>
      <c r="B249" t="s">
        <v>4053</v>
      </c>
      <c r="C249" t="s">
        <v>4054</v>
      </c>
      <c r="D249" s="7">
        <v>6.6</v>
      </c>
      <c r="E249" s="2">
        <v>49109.33</v>
      </c>
      <c r="F249" s="2">
        <v>3241.22</v>
      </c>
    </row>
    <row r="250" spans="1:6" x14ac:dyDescent="0.25">
      <c r="A250" t="s">
        <v>4055</v>
      </c>
      <c r="D250" s="7"/>
      <c r="E250" s="2"/>
      <c r="F250" s="2">
        <f>SUBTOTAL(109,A_2_08_28[VALOR PARCIAL])</f>
      </c>
    </row>
    <row r="252" ht="30" customHeight="1" spans="1:6" x14ac:dyDescent="0.25">
      <c r="A252" s="5" t="s">
        <v>7037</v>
      </c>
      <c r="B252" s="5"/>
      <c r="C252" s="5"/>
      <c r="D252" s="5"/>
      <c r="E252" s="5"/>
      <c r="F252" s="5"/>
    </row>
    <row r="253" ht="42" customHeight="1" spans="1:6" x14ac:dyDescent="0.25">
      <c r="A253" s="6" t="s">
        <v>7038</v>
      </c>
      <c r="B253" s="6"/>
      <c r="C253" s="6"/>
      <c r="D253" s="6"/>
      <c r="E253" s="6"/>
      <c r="F253" s="6"/>
    </row>
    <row r="254" spans="1:6" x14ac:dyDescent="0.25">
      <c r="A254" t="s">
        <v>4044</v>
      </c>
      <c r="B254" t="s">
        <v>4045</v>
      </c>
      <c r="C254" t="s">
        <v>5</v>
      </c>
      <c r="D254" t="s">
        <v>4046</v>
      </c>
      <c r="E254" t="s">
        <v>4047</v>
      </c>
      <c r="F254" t="s">
        <v>4048</v>
      </c>
    </row>
    <row r="255" spans="1:6" x14ac:dyDescent="0.25">
      <c r="A255" t="s">
        <v>4062</v>
      </c>
      <c r="B255" t="s">
        <v>7039</v>
      </c>
      <c r="C255" t="s">
        <v>63</v>
      </c>
      <c r="D255" s="7">
        <v>1</v>
      </c>
      <c r="E255" s="2">
        <v>44886</v>
      </c>
      <c r="F255" s="2">
        <v>44886</v>
      </c>
    </row>
    <row r="256" spans="1:6" x14ac:dyDescent="0.25">
      <c r="A256" t="s">
        <v>4062</v>
      </c>
      <c r="B256" t="s">
        <v>4659</v>
      </c>
      <c r="C256" t="s">
        <v>4377</v>
      </c>
      <c r="D256" s="7">
        <v>0.02</v>
      </c>
      <c r="E256" s="2">
        <v>31500</v>
      </c>
      <c r="F256" s="2">
        <v>630</v>
      </c>
    </row>
    <row r="257" spans="1:6" x14ac:dyDescent="0.25">
      <c r="A257" t="s">
        <v>4062</v>
      </c>
      <c r="B257" t="s">
        <v>4376</v>
      </c>
      <c r="C257" t="s">
        <v>4377</v>
      </c>
      <c r="D257" s="7">
        <v>0.02</v>
      </c>
      <c r="E257" s="2">
        <v>72237.67</v>
      </c>
      <c r="F257" s="2">
        <v>1444.75</v>
      </c>
    </row>
    <row r="258" spans="1:6" x14ac:dyDescent="0.25">
      <c r="A258" t="s">
        <v>4049</v>
      </c>
      <c r="B258" t="s">
        <v>4241</v>
      </c>
      <c r="C258" t="s">
        <v>4051</v>
      </c>
      <c r="D258" s="7">
        <v>1.6</v>
      </c>
      <c r="E258" s="2">
        <v>9941.22</v>
      </c>
      <c r="F258" s="2">
        <v>15905.95</v>
      </c>
    </row>
    <row r="259" spans="1:6" x14ac:dyDescent="0.25">
      <c r="A259" t="s">
        <v>4049</v>
      </c>
      <c r="B259" t="s">
        <v>4242</v>
      </c>
      <c r="C259" t="s">
        <v>4051</v>
      </c>
      <c r="D259" s="7">
        <v>1.6</v>
      </c>
      <c r="E259" s="2">
        <v>17069.53</v>
      </c>
      <c r="F259" s="2">
        <v>27311.25</v>
      </c>
    </row>
    <row r="260" spans="1:6" x14ac:dyDescent="0.25">
      <c r="A260" t="s">
        <v>4052</v>
      </c>
      <c r="B260" t="s">
        <v>4053</v>
      </c>
      <c r="C260" t="s">
        <v>4054</v>
      </c>
      <c r="D260" s="7">
        <v>6.6</v>
      </c>
      <c r="E260" s="2">
        <v>43217.2</v>
      </c>
      <c r="F260" s="2">
        <v>2852.34</v>
      </c>
    </row>
    <row r="261" spans="1:6" x14ac:dyDescent="0.25">
      <c r="A261" t="s">
        <v>4055</v>
      </c>
      <c r="D261" s="7"/>
      <c r="E261" s="2"/>
      <c r="F261" s="2">
        <f>SUBTOTAL(109,A_2_08_29[VALOR PARCIAL])</f>
      </c>
    </row>
    <row r="263" ht="30" customHeight="1" spans="1:6" x14ac:dyDescent="0.25">
      <c r="A263" s="5" t="s">
        <v>7040</v>
      </c>
      <c r="B263" s="5"/>
      <c r="C263" s="5"/>
      <c r="D263" s="5"/>
      <c r="E263" s="5"/>
      <c r="F263" s="5"/>
    </row>
    <row r="264" ht="42" customHeight="1" spans="1:6" x14ac:dyDescent="0.25">
      <c r="A264" s="6" t="s">
        <v>7041</v>
      </c>
      <c r="B264" s="6"/>
      <c r="C264" s="6"/>
      <c r="D264" s="6"/>
      <c r="E264" s="6"/>
      <c r="F264" s="6"/>
    </row>
    <row r="265" spans="1:6" x14ac:dyDescent="0.25">
      <c r="A265" t="s">
        <v>4044</v>
      </c>
      <c r="B265" t="s">
        <v>4045</v>
      </c>
      <c r="C265" t="s">
        <v>5</v>
      </c>
      <c r="D265" t="s">
        <v>4046</v>
      </c>
      <c r="E265" t="s">
        <v>4047</v>
      </c>
      <c r="F265" t="s">
        <v>4048</v>
      </c>
    </row>
    <row r="266" spans="1:6" x14ac:dyDescent="0.25">
      <c r="A266" t="s">
        <v>4062</v>
      </c>
      <c r="B266" t="s">
        <v>7042</v>
      </c>
      <c r="C266" t="s">
        <v>63</v>
      </c>
      <c r="D266" s="7">
        <v>1</v>
      </c>
      <c r="E266" s="2">
        <v>27729</v>
      </c>
      <c r="F266" s="2">
        <v>27729</v>
      </c>
    </row>
    <row r="267" spans="1:6" x14ac:dyDescent="0.25">
      <c r="A267" t="s">
        <v>4062</v>
      </c>
      <c r="B267" t="s">
        <v>4659</v>
      </c>
      <c r="C267" t="s">
        <v>4377</v>
      </c>
      <c r="D267" s="7">
        <v>0.02</v>
      </c>
      <c r="E267" s="2">
        <v>31500</v>
      </c>
      <c r="F267" s="2">
        <v>630</v>
      </c>
    </row>
    <row r="268" spans="1:6" x14ac:dyDescent="0.25">
      <c r="A268" t="s">
        <v>4062</v>
      </c>
      <c r="B268" t="s">
        <v>4376</v>
      </c>
      <c r="C268" t="s">
        <v>4377</v>
      </c>
      <c r="D268" s="7">
        <v>0.02</v>
      </c>
      <c r="E268" s="2">
        <v>72237.67</v>
      </c>
      <c r="F268" s="2">
        <v>1444.75</v>
      </c>
    </row>
    <row r="269" spans="1:6" x14ac:dyDescent="0.25">
      <c r="A269" t="s">
        <v>4049</v>
      </c>
      <c r="B269" t="s">
        <v>4241</v>
      </c>
      <c r="C269" t="s">
        <v>4051</v>
      </c>
      <c r="D269" s="7">
        <v>1.6</v>
      </c>
      <c r="E269" s="2">
        <v>9941.22</v>
      </c>
      <c r="F269" s="2">
        <v>15905.95</v>
      </c>
    </row>
    <row r="270" spans="1:6" x14ac:dyDescent="0.25">
      <c r="A270" t="s">
        <v>4049</v>
      </c>
      <c r="B270" t="s">
        <v>4242</v>
      </c>
      <c r="C270" t="s">
        <v>4051</v>
      </c>
      <c r="D270" s="7">
        <v>1.6</v>
      </c>
      <c r="E270" s="2">
        <v>17069.53</v>
      </c>
      <c r="F270" s="2">
        <v>27311.25</v>
      </c>
    </row>
    <row r="271" spans="1:6" x14ac:dyDescent="0.25">
      <c r="A271" t="s">
        <v>4052</v>
      </c>
      <c r="B271" t="s">
        <v>4053</v>
      </c>
      <c r="C271" t="s">
        <v>4054</v>
      </c>
      <c r="D271" s="7">
        <v>6.6</v>
      </c>
      <c r="E271" s="2">
        <v>43217.2</v>
      </c>
      <c r="F271" s="2">
        <v>2852.34</v>
      </c>
    </row>
    <row r="272" spans="1:6" x14ac:dyDescent="0.25">
      <c r="A272" t="s">
        <v>4055</v>
      </c>
      <c r="D272" s="7"/>
      <c r="E272" s="2"/>
      <c r="F272" s="2">
        <f>SUBTOTAL(109,A_2_08_30[VALOR PARCIAL])</f>
      </c>
    </row>
    <row r="274" ht="30" customHeight="1" spans="1:6" x14ac:dyDescent="0.25">
      <c r="A274" s="5" t="s">
        <v>7043</v>
      </c>
      <c r="B274" s="5"/>
      <c r="C274" s="5"/>
      <c r="D274" s="5"/>
      <c r="E274" s="5"/>
      <c r="F274" s="5"/>
    </row>
    <row r="275" ht="42" customHeight="1" spans="1:6" x14ac:dyDescent="0.25">
      <c r="A275" s="6" t="s">
        <v>7044</v>
      </c>
      <c r="B275" s="6"/>
      <c r="C275" s="6"/>
      <c r="D275" s="6"/>
      <c r="E275" s="6"/>
      <c r="F275" s="6"/>
    </row>
    <row r="276" spans="1:6" x14ac:dyDescent="0.25">
      <c r="A276" t="s">
        <v>4044</v>
      </c>
      <c r="B276" t="s">
        <v>4045</v>
      </c>
      <c r="C276" t="s">
        <v>5</v>
      </c>
      <c r="D276" t="s">
        <v>4046</v>
      </c>
      <c r="E276" t="s">
        <v>4047</v>
      </c>
      <c r="F276" t="s">
        <v>4048</v>
      </c>
    </row>
    <row r="277" spans="1:6" x14ac:dyDescent="0.25">
      <c r="A277" t="s">
        <v>4062</v>
      </c>
      <c r="B277" t="s">
        <v>7045</v>
      </c>
      <c r="C277" t="s">
        <v>63</v>
      </c>
      <c r="D277" s="7">
        <v>1</v>
      </c>
      <c r="E277" s="2">
        <v>102391</v>
      </c>
      <c r="F277" s="2">
        <v>102391</v>
      </c>
    </row>
    <row r="278" spans="1:6" x14ac:dyDescent="0.25">
      <c r="A278" t="s">
        <v>4062</v>
      </c>
      <c r="B278" t="s">
        <v>4659</v>
      </c>
      <c r="C278" t="s">
        <v>4377</v>
      </c>
      <c r="D278" s="7">
        <v>0.02</v>
      </c>
      <c r="E278" s="2">
        <v>31500</v>
      </c>
      <c r="F278" s="2">
        <v>630</v>
      </c>
    </row>
    <row r="279" spans="1:6" x14ac:dyDescent="0.25">
      <c r="A279" t="s">
        <v>4062</v>
      </c>
      <c r="B279" t="s">
        <v>4376</v>
      </c>
      <c r="C279" t="s">
        <v>4377</v>
      </c>
      <c r="D279" s="7">
        <v>0.02</v>
      </c>
      <c r="E279" s="2">
        <v>72237.67</v>
      </c>
      <c r="F279" s="2">
        <v>1444.75</v>
      </c>
    </row>
    <row r="280" spans="1:6" x14ac:dyDescent="0.25">
      <c r="A280" t="s">
        <v>4049</v>
      </c>
      <c r="B280" t="s">
        <v>4241</v>
      </c>
      <c r="C280" t="s">
        <v>4051</v>
      </c>
      <c r="D280" s="7">
        <v>1.6</v>
      </c>
      <c r="E280" s="2">
        <v>9941.22</v>
      </c>
      <c r="F280" s="2">
        <v>15905.95</v>
      </c>
    </row>
    <row r="281" spans="1:6" x14ac:dyDescent="0.25">
      <c r="A281" t="s">
        <v>4049</v>
      </c>
      <c r="B281" t="s">
        <v>4242</v>
      </c>
      <c r="C281" t="s">
        <v>4051</v>
      </c>
      <c r="D281" s="7">
        <v>1.6</v>
      </c>
      <c r="E281" s="2">
        <v>17069.53</v>
      </c>
      <c r="F281" s="2">
        <v>27311.25</v>
      </c>
    </row>
    <row r="282" spans="1:6" x14ac:dyDescent="0.25">
      <c r="A282" t="s">
        <v>4052</v>
      </c>
      <c r="B282" t="s">
        <v>4053</v>
      </c>
      <c r="C282" t="s">
        <v>4054</v>
      </c>
      <c r="D282" s="7">
        <v>6.6</v>
      </c>
      <c r="E282" s="2">
        <v>43217.2</v>
      </c>
      <c r="F282" s="2">
        <v>2852.34</v>
      </c>
    </row>
    <row r="283" spans="1:6" x14ac:dyDescent="0.25">
      <c r="A283" t="s">
        <v>4055</v>
      </c>
      <c r="D283" s="7"/>
      <c r="E283" s="2"/>
      <c r="F283" s="2">
        <f>SUBTOTAL(109,A_2_08_31[VALOR PARCIAL])</f>
      </c>
    </row>
    <row r="285" ht="30" customHeight="1" spans="1:6" x14ac:dyDescent="0.25">
      <c r="A285" s="5" t="s">
        <v>7046</v>
      </c>
      <c r="B285" s="5"/>
      <c r="C285" s="5"/>
      <c r="D285" s="5"/>
      <c r="E285" s="5"/>
      <c r="F285" s="5"/>
    </row>
    <row r="286" ht="42" customHeight="1" spans="1:6" x14ac:dyDescent="0.25">
      <c r="A286" s="6" t="s">
        <v>7047</v>
      </c>
      <c r="B286" s="6"/>
      <c r="C286" s="6"/>
      <c r="D286" s="6"/>
      <c r="E286" s="6"/>
      <c r="F286" s="6"/>
    </row>
    <row r="287" spans="1:6" x14ac:dyDescent="0.25">
      <c r="A287" t="s">
        <v>4044</v>
      </c>
      <c r="B287" t="s">
        <v>4045</v>
      </c>
      <c r="C287" t="s">
        <v>5</v>
      </c>
      <c r="D287" t="s">
        <v>4046</v>
      </c>
      <c r="E287" t="s">
        <v>4047</v>
      </c>
      <c r="F287" t="s">
        <v>4048</v>
      </c>
    </row>
    <row r="288" spans="1:6" x14ac:dyDescent="0.25">
      <c r="A288" t="s">
        <v>4062</v>
      </c>
      <c r="B288" t="s">
        <v>7048</v>
      </c>
      <c r="C288" t="s">
        <v>63</v>
      </c>
      <c r="D288" s="7">
        <v>1</v>
      </c>
      <c r="E288" s="2">
        <v>245308.5</v>
      </c>
      <c r="F288" s="2">
        <v>245308.5</v>
      </c>
    </row>
    <row r="289" spans="1:6" x14ac:dyDescent="0.25">
      <c r="A289" t="s">
        <v>4049</v>
      </c>
      <c r="B289" t="s">
        <v>4241</v>
      </c>
      <c r="C289" t="s">
        <v>4051</v>
      </c>
      <c r="D289" s="7">
        <v>1.6</v>
      </c>
      <c r="E289" s="2">
        <v>9941.22</v>
      </c>
      <c r="F289" s="2">
        <v>15905.95</v>
      </c>
    </row>
    <row r="290" spans="1:6" x14ac:dyDescent="0.25">
      <c r="A290" t="s">
        <v>4049</v>
      </c>
      <c r="B290" t="s">
        <v>4242</v>
      </c>
      <c r="C290" t="s">
        <v>4051</v>
      </c>
      <c r="D290" s="7">
        <v>1.6</v>
      </c>
      <c r="E290" s="2">
        <v>17069.53</v>
      </c>
      <c r="F290" s="2">
        <v>27311.25</v>
      </c>
    </row>
    <row r="291" spans="1:6" x14ac:dyDescent="0.25">
      <c r="A291" t="s">
        <v>4052</v>
      </c>
      <c r="B291" t="s">
        <v>4053</v>
      </c>
      <c r="C291" t="s">
        <v>4054</v>
      </c>
      <c r="D291" s="7">
        <v>6.6</v>
      </c>
      <c r="E291" s="2">
        <v>43217.2</v>
      </c>
      <c r="F291" s="2">
        <v>2852.34</v>
      </c>
    </row>
    <row r="292" spans="1:6" x14ac:dyDescent="0.25">
      <c r="A292" t="s">
        <v>4055</v>
      </c>
      <c r="D292" s="7"/>
      <c r="E292" s="2"/>
      <c r="F292" s="2">
        <f>SUBTOTAL(109,A_2_08_32[VALOR PARCIAL])</f>
      </c>
    </row>
  </sheetData>
  <mergeCells count="56">
    <mergeCell ref="A4:F4"/>
    <mergeCell ref="A5:F5"/>
    <mergeCell ref="A13:F13"/>
    <mergeCell ref="A14:F14"/>
    <mergeCell ref="A22:F22"/>
    <mergeCell ref="A23:F23"/>
    <mergeCell ref="A31:F31"/>
    <mergeCell ref="A32:F32"/>
    <mergeCell ref="A42:F42"/>
    <mergeCell ref="A43:F43"/>
    <mergeCell ref="A61:F61"/>
    <mergeCell ref="A62:F62"/>
    <mergeCell ref="A72:F72"/>
    <mergeCell ref="A73:F73"/>
    <mergeCell ref="A83:F83"/>
    <mergeCell ref="A84:F84"/>
    <mergeCell ref="A94:F94"/>
    <mergeCell ref="A95:F95"/>
    <mergeCell ref="A105:F105"/>
    <mergeCell ref="A106:F106"/>
    <mergeCell ref="A116:F116"/>
    <mergeCell ref="A117:F117"/>
    <mergeCell ref="A127:F127"/>
    <mergeCell ref="A128:F128"/>
    <mergeCell ref="A138:F138"/>
    <mergeCell ref="A139:F139"/>
    <mergeCell ref="A149:F149"/>
    <mergeCell ref="A150:F150"/>
    <mergeCell ref="A158:F158"/>
    <mergeCell ref="A159:F159"/>
    <mergeCell ref="A167:F167"/>
    <mergeCell ref="A168:F168"/>
    <mergeCell ref="A176:F176"/>
    <mergeCell ref="A177:F177"/>
    <mergeCell ref="A185:F185"/>
    <mergeCell ref="A186:F186"/>
    <mergeCell ref="A194:F194"/>
    <mergeCell ref="A195:F195"/>
    <mergeCell ref="A204:F204"/>
    <mergeCell ref="A205:F205"/>
    <mergeCell ref="A214:F214"/>
    <mergeCell ref="A215:F215"/>
    <mergeCell ref="A224:F224"/>
    <mergeCell ref="A225:F225"/>
    <mergeCell ref="A234:F234"/>
    <mergeCell ref="A235:F235"/>
    <mergeCell ref="A243:F243"/>
    <mergeCell ref="A244:F244"/>
    <mergeCell ref="A252:F252"/>
    <mergeCell ref="A253:F253"/>
    <mergeCell ref="A263:F263"/>
    <mergeCell ref="A264:F264"/>
    <mergeCell ref="A274:F274"/>
    <mergeCell ref="A275:F275"/>
    <mergeCell ref="A285:F285"/>
    <mergeCell ref="A286:F286"/>
  </mergeCells>
  <pageMargins left="0.7" right="0.7" top="0.75" bottom="0.75" header="0.3" footer="0.3"/>
  <pageSetup orientation="portrait" horizontalDpi="4294967295" verticalDpi="4294967295" scale="100" fitToWidth="1" fitToHeight="1"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7049</v>
      </c>
    </row>
    <row r="2" spans="1:1" x14ac:dyDescent="0.25">
      <c r="A2" s="4" t="s">
        <v>5030</v>
      </c>
    </row>
    <row r="4" ht="30" customHeight="1" spans="1:6" x14ac:dyDescent="0.25">
      <c r="A4" s="5" t="s">
        <v>7050</v>
      </c>
      <c r="B4" s="5"/>
      <c r="C4" s="5"/>
      <c r="D4" s="5"/>
      <c r="E4" s="5"/>
      <c r="F4" s="5"/>
    </row>
    <row r="5" ht="42" customHeight="1" spans="1:6" x14ac:dyDescent="0.25">
      <c r="A5" s="6" t="s">
        <v>7051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4063</v>
      </c>
      <c r="C7" t="s">
        <v>231</v>
      </c>
      <c r="D7" s="7">
        <v>11</v>
      </c>
      <c r="E7" s="2">
        <v>7400</v>
      </c>
      <c r="F7" s="2">
        <v>81400</v>
      </c>
    </row>
    <row r="8" spans="1:6" x14ac:dyDescent="0.25">
      <c r="A8" t="s">
        <v>4062</v>
      </c>
      <c r="B8" t="s">
        <v>6140</v>
      </c>
      <c r="C8" t="s">
        <v>42</v>
      </c>
      <c r="D8" s="7">
        <v>33</v>
      </c>
      <c r="E8" s="2">
        <v>13966.67</v>
      </c>
      <c r="F8" s="2">
        <v>460900.11</v>
      </c>
    </row>
    <row r="9" spans="1:6" x14ac:dyDescent="0.25">
      <c r="A9" t="s">
        <v>4062</v>
      </c>
      <c r="B9" t="s">
        <v>4549</v>
      </c>
      <c r="C9" t="s">
        <v>63</v>
      </c>
      <c r="D9" s="7">
        <v>400</v>
      </c>
      <c r="E9" s="2">
        <v>7483.5</v>
      </c>
      <c r="F9" s="2">
        <v>2993400</v>
      </c>
    </row>
    <row r="10" spans="1:6" x14ac:dyDescent="0.25">
      <c r="A10" t="s">
        <v>4062</v>
      </c>
      <c r="B10" t="s">
        <v>4067</v>
      </c>
      <c r="C10" t="s">
        <v>231</v>
      </c>
      <c r="D10" s="7">
        <v>412</v>
      </c>
      <c r="E10" s="2">
        <v>7080</v>
      </c>
      <c r="F10" s="2">
        <v>2916960</v>
      </c>
    </row>
    <row r="11" spans="1:6" x14ac:dyDescent="0.25">
      <c r="A11" t="s">
        <v>4049</v>
      </c>
      <c r="B11" t="s">
        <v>4176</v>
      </c>
      <c r="C11" t="s">
        <v>4177</v>
      </c>
      <c r="D11" s="7">
        <v>7</v>
      </c>
      <c r="E11" s="2">
        <v>72300.17</v>
      </c>
      <c r="F11" s="2">
        <v>506101.19</v>
      </c>
    </row>
    <row r="12" spans="1:6" x14ac:dyDescent="0.25">
      <c r="A12" t="s">
        <v>4049</v>
      </c>
      <c r="B12" t="s">
        <v>4313</v>
      </c>
      <c r="C12" t="s">
        <v>4177</v>
      </c>
      <c r="D12" s="7">
        <v>7</v>
      </c>
      <c r="E12" s="2">
        <v>124137.15</v>
      </c>
      <c r="F12" s="2">
        <v>868960.05</v>
      </c>
    </row>
    <row r="13" spans="1:6" x14ac:dyDescent="0.25">
      <c r="A13" t="s">
        <v>4052</v>
      </c>
      <c r="B13" t="s">
        <v>4053</v>
      </c>
      <c r="C13" t="s">
        <v>4054</v>
      </c>
      <c r="D13" s="7">
        <v>8</v>
      </c>
      <c r="E13" s="2">
        <v>1375061.24</v>
      </c>
      <c r="F13" s="2">
        <v>110004.9</v>
      </c>
    </row>
    <row r="14" spans="1:6" x14ac:dyDescent="0.25">
      <c r="A14" t="s">
        <v>4055</v>
      </c>
      <c r="D14" s="7"/>
      <c r="E14" s="2"/>
      <c r="F14" s="2">
        <f>SUBTOTAL(109,A_2_09_01[VALOR PARCIAL])</f>
      </c>
    </row>
    <row r="16" ht="30" customHeight="1" spans="1:6" x14ac:dyDescent="0.25">
      <c r="A16" s="5" t="s">
        <v>7052</v>
      </c>
      <c r="B16" s="5"/>
      <c r="C16" s="5"/>
      <c r="D16" s="5"/>
      <c r="E16" s="5"/>
      <c r="F16" s="5"/>
    </row>
    <row r="17" ht="42" customHeight="1" spans="1:6" x14ac:dyDescent="0.25">
      <c r="A17" s="6" t="s">
        <v>7053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4062</v>
      </c>
      <c r="B19" t="s">
        <v>4063</v>
      </c>
      <c r="C19" t="s">
        <v>231</v>
      </c>
      <c r="D19" s="7">
        <v>16</v>
      </c>
      <c r="E19" s="2">
        <v>7400</v>
      </c>
      <c r="F19" s="2">
        <v>118400</v>
      </c>
    </row>
    <row r="20" spans="1:6" x14ac:dyDescent="0.25">
      <c r="A20" t="s">
        <v>4062</v>
      </c>
      <c r="B20" t="s">
        <v>6140</v>
      </c>
      <c r="C20" t="s">
        <v>42</v>
      </c>
      <c r="D20" s="7">
        <v>40</v>
      </c>
      <c r="E20" s="2">
        <v>13966.67</v>
      </c>
      <c r="F20" s="2">
        <v>558666.8</v>
      </c>
    </row>
    <row r="21" spans="1:6" x14ac:dyDescent="0.25">
      <c r="A21" t="s">
        <v>4062</v>
      </c>
      <c r="B21" t="s">
        <v>4549</v>
      </c>
      <c r="C21" t="s">
        <v>63</v>
      </c>
      <c r="D21" s="7">
        <v>400</v>
      </c>
      <c r="E21" s="2">
        <v>7483.5</v>
      </c>
      <c r="F21" s="2">
        <v>2993400</v>
      </c>
    </row>
    <row r="22" spans="1:6" x14ac:dyDescent="0.25">
      <c r="A22" t="s">
        <v>4062</v>
      </c>
      <c r="B22" t="s">
        <v>4067</v>
      </c>
      <c r="C22" t="s">
        <v>231</v>
      </c>
      <c r="D22" s="7">
        <v>335</v>
      </c>
      <c r="E22" s="2">
        <v>7080</v>
      </c>
      <c r="F22" s="2">
        <v>2371800</v>
      </c>
    </row>
    <row r="23" spans="1:6" x14ac:dyDescent="0.25">
      <c r="A23" t="s">
        <v>4049</v>
      </c>
      <c r="B23" t="s">
        <v>4176</v>
      </c>
      <c r="C23" t="s">
        <v>4177</v>
      </c>
      <c r="D23" s="7">
        <v>15</v>
      </c>
      <c r="E23" s="2">
        <v>72300.17</v>
      </c>
      <c r="F23" s="2">
        <v>1084502.55</v>
      </c>
    </row>
    <row r="24" spans="1:6" x14ac:dyDescent="0.25">
      <c r="A24" t="s">
        <v>4049</v>
      </c>
      <c r="B24" t="s">
        <v>4313</v>
      </c>
      <c r="C24" t="s">
        <v>4177</v>
      </c>
      <c r="D24" s="7">
        <v>15</v>
      </c>
      <c r="E24" s="2">
        <v>124137.15</v>
      </c>
      <c r="F24" s="2">
        <v>1862057.25</v>
      </c>
    </row>
    <row r="25" spans="1:6" x14ac:dyDescent="0.25">
      <c r="A25" t="s">
        <v>4052</v>
      </c>
      <c r="B25" t="s">
        <v>4053</v>
      </c>
      <c r="C25" t="s">
        <v>4054</v>
      </c>
      <c r="D25" s="7">
        <v>12.5</v>
      </c>
      <c r="E25" s="2">
        <v>2946559.8</v>
      </c>
      <c r="F25" s="2">
        <v>368319.97</v>
      </c>
    </row>
    <row r="26" spans="1:6" x14ac:dyDescent="0.25">
      <c r="A26" t="s">
        <v>4055</v>
      </c>
      <c r="D26" s="7"/>
      <c r="E26" s="2"/>
      <c r="F26" s="2">
        <f>SUBTOTAL(109,A_2_09_02[VALOR PARCIAL])</f>
      </c>
    </row>
    <row r="28" ht="30" customHeight="1" spans="1:6" x14ac:dyDescent="0.25">
      <c r="A28" s="5" t="s">
        <v>7054</v>
      </c>
      <c r="B28" s="5"/>
      <c r="C28" s="5"/>
      <c r="D28" s="5"/>
      <c r="E28" s="5"/>
      <c r="F28" s="5"/>
    </row>
    <row r="29" ht="42" customHeight="1" spans="1:6" x14ac:dyDescent="0.25">
      <c r="A29" s="6" t="s">
        <v>7055</v>
      </c>
      <c r="B29" s="6"/>
      <c r="C29" s="6"/>
      <c r="D29" s="6"/>
      <c r="E29" s="6"/>
      <c r="F29" s="6"/>
    </row>
    <row r="30" spans="1:6" x14ac:dyDescent="0.25">
      <c r="A30" t="s">
        <v>4044</v>
      </c>
      <c r="B30" t="s">
        <v>4045</v>
      </c>
      <c r="C30" t="s">
        <v>5</v>
      </c>
      <c r="D30" t="s">
        <v>4046</v>
      </c>
      <c r="E30" t="s">
        <v>4047</v>
      </c>
      <c r="F30" t="s">
        <v>4048</v>
      </c>
    </row>
    <row r="31" spans="1:6" x14ac:dyDescent="0.25">
      <c r="A31" t="s">
        <v>4062</v>
      </c>
      <c r="B31" t="s">
        <v>4547</v>
      </c>
      <c r="C31" t="s">
        <v>34</v>
      </c>
      <c r="D31" s="7">
        <v>0.1</v>
      </c>
      <c r="E31" s="2">
        <v>57129.33</v>
      </c>
      <c r="F31" s="2">
        <v>5712.93</v>
      </c>
    </row>
    <row r="32" spans="1:6" x14ac:dyDescent="0.25">
      <c r="A32" t="s">
        <v>4062</v>
      </c>
      <c r="B32" t="s">
        <v>5854</v>
      </c>
      <c r="C32" t="s">
        <v>21</v>
      </c>
      <c r="D32" s="7">
        <v>1</v>
      </c>
      <c r="E32" s="2">
        <v>4750</v>
      </c>
      <c r="F32" s="2">
        <v>4750</v>
      </c>
    </row>
    <row r="33" spans="1:6" x14ac:dyDescent="0.25">
      <c r="A33" t="s">
        <v>4062</v>
      </c>
      <c r="B33" t="s">
        <v>7056</v>
      </c>
      <c r="C33" t="s">
        <v>63</v>
      </c>
      <c r="D33" s="7">
        <v>12</v>
      </c>
      <c r="E33" s="2">
        <v>4000</v>
      </c>
      <c r="F33" s="2">
        <v>48000</v>
      </c>
    </row>
    <row r="34" spans="1:6" x14ac:dyDescent="0.25">
      <c r="A34" t="s">
        <v>4049</v>
      </c>
      <c r="B34" t="s">
        <v>4050</v>
      </c>
      <c r="C34" t="s">
        <v>4051</v>
      </c>
      <c r="D34" s="7">
        <v>0.6</v>
      </c>
      <c r="E34" s="2">
        <v>9037.33</v>
      </c>
      <c r="F34" s="2">
        <v>5422.4</v>
      </c>
    </row>
    <row r="35" spans="1:6" x14ac:dyDescent="0.25">
      <c r="A35" t="s">
        <v>4049</v>
      </c>
      <c r="B35" t="s">
        <v>4073</v>
      </c>
      <c r="C35" t="s">
        <v>4051</v>
      </c>
      <c r="D35" s="7">
        <v>0.6</v>
      </c>
      <c r="E35" s="2">
        <v>15517.89</v>
      </c>
      <c r="F35" s="2">
        <v>9310.73</v>
      </c>
    </row>
    <row r="36" spans="1:6" x14ac:dyDescent="0.25">
      <c r="A36" t="s">
        <v>4052</v>
      </c>
      <c r="B36" t="s">
        <v>4053</v>
      </c>
      <c r="C36" t="s">
        <v>4054</v>
      </c>
      <c r="D36" s="7">
        <v>0.7</v>
      </c>
      <c r="E36" s="2">
        <v>14733.13</v>
      </c>
      <c r="F36" s="2">
        <v>103.13</v>
      </c>
    </row>
    <row r="37" spans="1:6" x14ac:dyDescent="0.25">
      <c r="A37" t="s">
        <v>4055</v>
      </c>
      <c r="D37" s="7"/>
      <c r="E37" s="2"/>
      <c r="F37" s="2">
        <f>SUBTOTAL(109,A_2_09_03[VALOR PARCIAL])</f>
      </c>
    </row>
    <row r="39" ht="30" customHeight="1" spans="1:6" x14ac:dyDescent="0.25">
      <c r="A39" s="5" t="s">
        <v>7057</v>
      </c>
      <c r="B39" s="5"/>
      <c r="C39" s="5"/>
      <c r="D39" s="5"/>
      <c r="E39" s="5"/>
      <c r="F39" s="5"/>
    </row>
    <row r="40" ht="42" customHeight="1" spans="1:6" x14ac:dyDescent="0.25">
      <c r="A40" s="6" t="s">
        <v>7058</v>
      </c>
      <c r="B40" s="6"/>
      <c r="C40" s="6"/>
      <c r="D40" s="6"/>
      <c r="E40" s="6"/>
      <c r="F40" s="6"/>
    </row>
    <row r="41" spans="1:6" x14ac:dyDescent="0.25">
      <c r="A41" t="s">
        <v>4044</v>
      </c>
      <c r="B41" t="s">
        <v>4045</v>
      </c>
      <c r="C41" t="s">
        <v>5</v>
      </c>
      <c r="D41" t="s">
        <v>4046</v>
      </c>
      <c r="E41" t="s">
        <v>4047</v>
      </c>
      <c r="F41" t="s">
        <v>4048</v>
      </c>
    </row>
    <row r="42" spans="1:6" x14ac:dyDescent="0.25">
      <c r="A42" t="s">
        <v>4062</v>
      </c>
      <c r="B42" t="s">
        <v>7059</v>
      </c>
      <c r="C42" t="s">
        <v>34</v>
      </c>
      <c r="D42" s="7">
        <v>0.05</v>
      </c>
      <c r="E42" s="2">
        <v>40100</v>
      </c>
      <c r="F42" s="2">
        <v>2005</v>
      </c>
    </row>
    <row r="43" spans="1:6" x14ac:dyDescent="0.25">
      <c r="A43" t="s">
        <v>4062</v>
      </c>
      <c r="B43" t="s">
        <v>7060</v>
      </c>
      <c r="C43" t="s">
        <v>63</v>
      </c>
      <c r="D43" s="7">
        <v>2</v>
      </c>
      <c r="E43" s="2">
        <v>5983.5</v>
      </c>
      <c r="F43" s="2">
        <v>11967</v>
      </c>
    </row>
    <row r="44" spans="1:6" x14ac:dyDescent="0.25">
      <c r="A44" t="s">
        <v>4049</v>
      </c>
      <c r="B44" t="s">
        <v>4176</v>
      </c>
      <c r="C44" t="s">
        <v>4177</v>
      </c>
      <c r="D44" s="7">
        <v>0.05</v>
      </c>
      <c r="E44" s="2">
        <v>72300.17</v>
      </c>
      <c r="F44" s="2">
        <v>3802.99</v>
      </c>
    </row>
    <row r="45" spans="1:6" x14ac:dyDescent="0.25">
      <c r="A45" t="s">
        <v>4052</v>
      </c>
      <c r="B45" t="s">
        <v>4053</v>
      </c>
      <c r="C45" t="s">
        <v>4054</v>
      </c>
      <c r="D45" s="7">
        <v>5</v>
      </c>
      <c r="E45" s="2">
        <v>3802.99</v>
      </c>
      <c r="F45" s="2">
        <v>190.15</v>
      </c>
    </row>
    <row r="46" spans="1:6" x14ac:dyDescent="0.25">
      <c r="A46" t="s">
        <v>4055</v>
      </c>
      <c r="D46" s="7"/>
      <c r="E46" s="2"/>
      <c r="F46" s="2">
        <f>SUBTOTAL(109,A_2_09_04[VALOR PARCIAL])</f>
      </c>
    </row>
    <row r="48" ht="30" customHeight="1" spans="1:6" x14ac:dyDescent="0.25">
      <c r="A48" s="5" t="s">
        <v>7061</v>
      </c>
      <c r="B48" s="5"/>
      <c r="C48" s="5"/>
      <c r="D48" s="5"/>
      <c r="E48" s="5"/>
      <c r="F48" s="5"/>
    </row>
    <row r="49" ht="42" customHeight="1" spans="1:6" x14ac:dyDescent="0.25">
      <c r="A49" s="6" t="s">
        <v>7062</v>
      </c>
      <c r="B49" s="6"/>
      <c r="C49" s="6"/>
      <c r="D49" s="6"/>
      <c r="E49" s="6"/>
      <c r="F49" s="6"/>
    </row>
    <row r="50" spans="1:6" x14ac:dyDescent="0.25">
      <c r="A50" t="s">
        <v>4044</v>
      </c>
      <c r="B50" t="s">
        <v>4045</v>
      </c>
      <c r="C50" t="s">
        <v>5</v>
      </c>
      <c r="D50" t="s">
        <v>4046</v>
      </c>
      <c r="E50" t="s">
        <v>4047</v>
      </c>
      <c r="F50" t="s">
        <v>4048</v>
      </c>
    </row>
    <row r="51" spans="1:6" x14ac:dyDescent="0.25">
      <c r="A51" t="s">
        <v>4062</v>
      </c>
      <c r="B51" t="s">
        <v>7063</v>
      </c>
      <c r="C51" t="s">
        <v>63</v>
      </c>
      <c r="D51" s="7">
        <v>111</v>
      </c>
      <c r="E51" s="2">
        <v>1248.67</v>
      </c>
      <c r="F51" s="2">
        <v>138602.37</v>
      </c>
    </row>
    <row r="52" spans="1:6" x14ac:dyDescent="0.25">
      <c r="A52" t="s">
        <v>4062</v>
      </c>
      <c r="B52" t="s">
        <v>7064</v>
      </c>
      <c r="C52" t="s">
        <v>7065</v>
      </c>
      <c r="D52" s="7">
        <v>2</v>
      </c>
      <c r="E52" s="2">
        <v>4628</v>
      </c>
      <c r="F52" s="2">
        <v>9256</v>
      </c>
    </row>
    <row r="53" spans="1:6" x14ac:dyDescent="0.25">
      <c r="A53" t="s">
        <v>4049</v>
      </c>
      <c r="B53" t="s">
        <v>4176</v>
      </c>
      <c r="C53" t="s">
        <v>4177</v>
      </c>
      <c r="D53" s="7">
        <v>11.5</v>
      </c>
      <c r="E53" s="2">
        <v>72300.17</v>
      </c>
      <c r="F53" s="2">
        <v>831451.95</v>
      </c>
    </row>
    <row r="54" spans="1:6" x14ac:dyDescent="0.25">
      <c r="A54" t="s">
        <v>4049</v>
      </c>
      <c r="B54" t="s">
        <v>4313</v>
      </c>
      <c r="C54" t="s">
        <v>4177</v>
      </c>
      <c r="D54" s="7">
        <v>11.5</v>
      </c>
      <c r="E54" s="2">
        <v>124137.15</v>
      </c>
      <c r="F54" s="2">
        <v>1427577.22</v>
      </c>
    </row>
    <row r="55" spans="1:6" x14ac:dyDescent="0.25">
      <c r="A55" t="s">
        <v>4052</v>
      </c>
      <c r="B55" t="s">
        <v>4053</v>
      </c>
      <c r="C55" t="s">
        <v>4054</v>
      </c>
      <c r="D55" s="7">
        <v>5.8</v>
      </c>
      <c r="E55" s="2">
        <v>2259029.17</v>
      </c>
      <c r="F55" s="2">
        <v>131023.69</v>
      </c>
    </row>
    <row r="56" spans="1:6" x14ac:dyDescent="0.25">
      <c r="A56" t="s">
        <v>4055</v>
      </c>
      <c r="D56" s="7"/>
      <c r="E56" s="2"/>
      <c r="F56" s="2">
        <f>SUBTOTAL(109,A_2_09_05[VALOR PARCIAL])</f>
      </c>
    </row>
    <row r="58" ht="30" customHeight="1" spans="1:6" x14ac:dyDescent="0.25">
      <c r="A58" s="5" t="s">
        <v>7066</v>
      </c>
      <c r="B58" s="5"/>
      <c r="C58" s="5"/>
      <c r="D58" s="5"/>
      <c r="E58" s="5"/>
      <c r="F58" s="5"/>
    </row>
    <row r="59" ht="42" customHeight="1" spans="1:6" x14ac:dyDescent="0.25">
      <c r="A59" s="6" t="s">
        <v>7062</v>
      </c>
      <c r="B59" s="6"/>
      <c r="C59" s="6"/>
      <c r="D59" s="6"/>
      <c r="E59" s="6"/>
      <c r="F59" s="6"/>
    </row>
    <row r="60" spans="1:6" x14ac:dyDescent="0.25">
      <c r="A60" t="s">
        <v>4044</v>
      </c>
      <c r="B60" t="s">
        <v>4045</v>
      </c>
      <c r="C60" t="s">
        <v>5</v>
      </c>
      <c r="D60" t="s">
        <v>4046</v>
      </c>
      <c r="E60" t="s">
        <v>4047</v>
      </c>
      <c r="F60" t="s">
        <v>4048</v>
      </c>
    </row>
    <row r="61" spans="1:6" x14ac:dyDescent="0.25">
      <c r="A61" t="s">
        <v>4062</v>
      </c>
      <c r="B61" t="s">
        <v>7063</v>
      </c>
      <c r="C61" t="s">
        <v>63</v>
      </c>
      <c r="D61" s="7">
        <v>111</v>
      </c>
      <c r="E61" s="2">
        <v>1248.67</v>
      </c>
      <c r="F61" s="2">
        <v>138602.37</v>
      </c>
    </row>
    <row r="62" spans="1:6" x14ac:dyDescent="0.25">
      <c r="A62" t="s">
        <v>4062</v>
      </c>
      <c r="B62" t="s">
        <v>7064</v>
      </c>
      <c r="C62" t="s">
        <v>7065</v>
      </c>
      <c r="D62" s="7">
        <v>2</v>
      </c>
      <c r="E62" s="2">
        <v>4628</v>
      </c>
      <c r="F62" s="2">
        <v>9256</v>
      </c>
    </row>
    <row r="63" spans="1:6" x14ac:dyDescent="0.25">
      <c r="A63" t="s">
        <v>4049</v>
      </c>
      <c r="B63" t="s">
        <v>4176</v>
      </c>
      <c r="C63" t="s">
        <v>4177</v>
      </c>
      <c r="D63" s="7">
        <v>11.5</v>
      </c>
      <c r="E63" s="2">
        <v>72300.17</v>
      </c>
      <c r="F63" s="2">
        <v>831451.95</v>
      </c>
    </row>
    <row r="64" spans="1:6" x14ac:dyDescent="0.25">
      <c r="A64" t="s">
        <v>4049</v>
      </c>
      <c r="B64" t="s">
        <v>4313</v>
      </c>
      <c r="C64" t="s">
        <v>4177</v>
      </c>
      <c r="D64" s="7">
        <v>11.5</v>
      </c>
      <c r="E64" s="2">
        <v>124137.15</v>
      </c>
      <c r="F64" s="2">
        <v>1427577.22</v>
      </c>
    </row>
    <row r="65" spans="1:6" x14ac:dyDescent="0.25">
      <c r="A65" t="s">
        <v>4052</v>
      </c>
      <c r="B65" t="s">
        <v>4053</v>
      </c>
      <c r="C65" t="s">
        <v>4054</v>
      </c>
      <c r="D65" s="7">
        <v>5.8</v>
      </c>
      <c r="E65" s="2">
        <v>2259029.17</v>
      </c>
      <c r="F65" s="2">
        <v>131023.69</v>
      </c>
    </row>
    <row r="66" spans="1:6" x14ac:dyDescent="0.25">
      <c r="A66" t="s">
        <v>4055</v>
      </c>
      <c r="D66" s="7"/>
      <c r="E66" s="2"/>
      <c r="F66" s="2">
        <f>SUBTOTAL(109,A_2_09_06[VALOR PARCIAL])</f>
      </c>
    </row>
    <row r="68" ht="30" customHeight="1" spans="1:6" x14ac:dyDescent="0.25">
      <c r="A68" s="5" t="s">
        <v>7067</v>
      </c>
      <c r="B68" s="5"/>
      <c r="C68" s="5"/>
      <c r="D68" s="5"/>
      <c r="E68" s="5"/>
      <c r="F68" s="5"/>
    </row>
    <row r="69" ht="42" customHeight="1" spans="1:6" x14ac:dyDescent="0.25">
      <c r="A69" s="6" t="s">
        <v>7068</v>
      </c>
      <c r="B69" s="6"/>
      <c r="C69" s="6"/>
      <c r="D69" s="6"/>
      <c r="E69" s="6"/>
      <c r="F69" s="6"/>
    </row>
    <row r="70" spans="1:6" x14ac:dyDescent="0.25">
      <c r="A70" t="s">
        <v>4044</v>
      </c>
      <c r="B70" t="s">
        <v>4045</v>
      </c>
      <c r="C70" t="s">
        <v>5</v>
      </c>
      <c r="D70" t="s">
        <v>4046</v>
      </c>
      <c r="E70" t="s">
        <v>4047</v>
      </c>
      <c r="F70" t="s">
        <v>4048</v>
      </c>
    </row>
    <row r="71" spans="1:6" x14ac:dyDescent="0.25">
      <c r="A71" t="s">
        <v>4049</v>
      </c>
      <c r="B71" t="s">
        <v>4176</v>
      </c>
      <c r="C71" t="s">
        <v>4177</v>
      </c>
      <c r="D71" s="7">
        <v>0.04</v>
      </c>
      <c r="E71" s="2">
        <v>72300.17</v>
      </c>
      <c r="F71" s="2">
        <v>2530.51</v>
      </c>
    </row>
    <row r="72" spans="1:6" x14ac:dyDescent="0.25">
      <c r="A72" t="s">
        <v>4049</v>
      </c>
      <c r="B72" t="s">
        <v>4313</v>
      </c>
      <c r="C72" t="s">
        <v>4177</v>
      </c>
      <c r="D72" s="7">
        <v>0.01</v>
      </c>
      <c r="E72" s="2">
        <v>124137.15</v>
      </c>
      <c r="F72" s="2">
        <v>620.69</v>
      </c>
    </row>
    <row r="73" spans="1:6" x14ac:dyDescent="0.25">
      <c r="A73" t="s">
        <v>4052</v>
      </c>
      <c r="B73" t="s">
        <v>4053</v>
      </c>
      <c r="C73" t="s">
        <v>4054</v>
      </c>
      <c r="D73" s="7">
        <v>8.4</v>
      </c>
      <c r="E73" s="2">
        <v>3151.2</v>
      </c>
      <c r="F73" s="2">
        <v>264.7</v>
      </c>
    </row>
    <row r="74" spans="1:6" x14ac:dyDescent="0.25">
      <c r="A74" t="s">
        <v>4055</v>
      </c>
      <c r="D74" s="7"/>
      <c r="E74" s="2"/>
      <c r="F74" s="2">
        <f>SUBTOTAL(109,A_2_09_07[VALOR PARCIAL])</f>
      </c>
    </row>
    <row r="76" ht="30" customHeight="1" spans="1:6" x14ac:dyDescent="0.25">
      <c r="A76" s="5" t="s">
        <v>7069</v>
      </c>
      <c r="B76" s="5"/>
      <c r="C76" s="5"/>
      <c r="D76" s="5"/>
      <c r="E76" s="5"/>
      <c r="F76" s="5"/>
    </row>
    <row r="77" ht="42" customHeight="1" spans="1:6" x14ac:dyDescent="0.25">
      <c r="A77" s="6" t="s">
        <v>7070</v>
      </c>
      <c r="B77" s="6"/>
      <c r="C77" s="6"/>
      <c r="D77" s="6"/>
      <c r="E77" s="6"/>
      <c r="F77" s="6"/>
    </row>
    <row r="78" spans="1:6" x14ac:dyDescent="0.25">
      <c r="A78" t="s">
        <v>4044</v>
      </c>
      <c r="B78" t="s">
        <v>4045</v>
      </c>
      <c r="C78" t="s">
        <v>5</v>
      </c>
      <c r="D78" t="s">
        <v>4046</v>
      </c>
      <c r="E78" t="s">
        <v>4047</v>
      </c>
      <c r="F78" t="s">
        <v>4048</v>
      </c>
    </row>
    <row r="79" spans="1:6" x14ac:dyDescent="0.25">
      <c r="A79" t="s">
        <v>4049</v>
      </c>
      <c r="B79" t="s">
        <v>4176</v>
      </c>
      <c r="C79" t="s">
        <v>4177</v>
      </c>
      <c r="D79" s="7">
        <v>0.04</v>
      </c>
      <c r="E79" s="2">
        <v>72300.17</v>
      </c>
      <c r="F79" s="2">
        <v>2530.51</v>
      </c>
    </row>
    <row r="80" spans="1:6" x14ac:dyDescent="0.25">
      <c r="A80" t="s">
        <v>4049</v>
      </c>
      <c r="B80" t="s">
        <v>4313</v>
      </c>
      <c r="C80" t="s">
        <v>4177</v>
      </c>
      <c r="D80" s="7">
        <v>0.01</v>
      </c>
      <c r="E80" s="2">
        <v>124137.15</v>
      </c>
      <c r="F80" s="2">
        <v>620.69</v>
      </c>
    </row>
    <row r="81" spans="1:6" x14ac:dyDescent="0.25">
      <c r="A81" t="s">
        <v>4052</v>
      </c>
      <c r="B81" t="s">
        <v>4053</v>
      </c>
      <c r="C81" t="s">
        <v>4054</v>
      </c>
      <c r="D81" s="7">
        <v>8</v>
      </c>
      <c r="E81" s="2">
        <v>3151.2</v>
      </c>
      <c r="F81" s="2">
        <v>252.1</v>
      </c>
    </row>
    <row r="82" spans="1:6" x14ac:dyDescent="0.25">
      <c r="A82" t="s">
        <v>4055</v>
      </c>
      <c r="D82" s="7"/>
      <c r="E82" s="2"/>
      <c r="F82" s="2">
        <f>SUBTOTAL(109,A_2_09_08[VALOR PARCIAL])</f>
      </c>
    </row>
    <row r="84" ht="30" customHeight="1" spans="1:6" x14ac:dyDescent="0.25">
      <c r="A84" s="5" t="s">
        <v>7071</v>
      </c>
      <c r="B84" s="5"/>
      <c r="C84" s="5"/>
      <c r="D84" s="5"/>
      <c r="E84" s="5"/>
      <c r="F84" s="5"/>
    </row>
    <row r="85" ht="42" customHeight="1" spans="1:6" x14ac:dyDescent="0.25">
      <c r="A85" s="6" t="s">
        <v>7072</v>
      </c>
      <c r="B85" s="6"/>
      <c r="C85" s="6"/>
      <c r="D85" s="6"/>
      <c r="E85" s="6"/>
      <c r="F85" s="6"/>
    </row>
    <row r="86" spans="1:6" x14ac:dyDescent="0.25">
      <c r="A86" t="s">
        <v>4044</v>
      </c>
      <c r="B86" t="s">
        <v>4045</v>
      </c>
      <c r="C86" t="s">
        <v>5</v>
      </c>
      <c r="D86" t="s">
        <v>4046</v>
      </c>
      <c r="E86" t="s">
        <v>4047</v>
      </c>
      <c r="F86" t="s">
        <v>4048</v>
      </c>
    </row>
    <row r="87" spans="1:6" x14ac:dyDescent="0.25">
      <c r="A87" t="s">
        <v>4062</v>
      </c>
      <c r="B87" t="s">
        <v>7063</v>
      </c>
      <c r="C87" t="s">
        <v>63</v>
      </c>
      <c r="D87" s="7">
        <v>1222</v>
      </c>
      <c r="E87" s="2">
        <v>1248.67</v>
      </c>
      <c r="F87" s="2">
        <v>1525874.74</v>
      </c>
    </row>
    <row r="88" spans="1:6" x14ac:dyDescent="0.25">
      <c r="A88" t="s">
        <v>4062</v>
      </c>
      <c r="B88" t="s">
        <v>7073</v>
      </c>
      <c r="C88" t="s">
        <v>231</v>
      </c>
      <c r="D88" s="7">
        <v>77.8</v>
      </c>
      <c r="E88" s="2">
        <v>2563.33</v>
      </c>
      <c r="F88" s="2">
        <v>199427.07</v>
      </c>
    </row>
    <row r="89" spans="1:6" x14ac:dyDescent="0.25">
      <c r="A89" t="s">
        <v>4062</v>
      </c>
      <c r="B89" t="s">
        <v>7074</v>
      </c>
      <c r="C89" t="s">
        <v>231</v>
      </c>
      <c r="D89" s="7">
        <v>11.1</v>
      </c>
      <c r="E89" s="2">
        <v>4950</v>
      </c>
      <c r="F89" s="2">
        <v>54945</v>
      </c>
    </row>
    <row r="90" spans="1:6" x14ac:dyDescent="0.25">
      <c r="A90" t="s">
        <v>4062</v>
      </c>
      <c r="B90" t="s">
        <v>7075</v>
      </c>
      <c r="C90" t="s">
        <v>231</v>
      </c>
      <c r="D90" s="7">
        <v>3.3</v>
      </c>
      <c r="E90" s="2">
        <v>39800</v>
      </c>
      <c r="F90" s="2">
        <v>131340</v>
      </c>
    </row>
    <row r="91" spans="1:6" x14ac:dyDescent="0.25">
      <c r="A91" t="s">
        <v>4062</v>
      </c>
      <c r="B91" t="s">
        <v>7064</v>
      </c>
      <c r="C91" t="s">
        <v>7065</v>
      </c>
      <c r="D91" s="7">
        <v>2</v>
      </c>
      <c r="E91" s="2">
        <v>4628</v>
      </c>
      <c r="F91" s="2">
        <v>9256</v>
      </c>
    </row>
    <row r="92" spans="1:6" x14ac:dyDescent="0.25">
      <c r="A92" t="s">
        <v>4062</v>
      </c>
      <c r="B92" t="s">
        <v>7076</v>
      </c>
      <c r="C92" t="s">
        <v>231</v>
      </c>
      <c r="D92" s="7">
        <v>55.6</v>
      </c>
      <c r="E92" s="2">
        <v>1650</v>
      </c>
      <c r="F92" s="2">
        <v>91740</v>
      </c>
    </row>
    <row r="93" spans="1:6" x14ac:dyDescent="0.25">
      <c r="A93" t="s">
        <v>4049</v>
      </c>
      <c r="B93" t="s">
        <v>4176</v>
      </c>
      <c r="C93" t="s">
        <v>4177</v>
      </c>
      <c r="D93" s="7">
        <v>15</v>
      </c>
      <c r="E93" s="2">
        <v>72300.17</v>
      </c>
      <c r="F93" s="2">
        <v>1084502.55</v>
      </c>
    </row>
    <row r="94" spans="1:6" x14ac:dyDescent="0.25">
      <c r="A94" t="s">
        <v>4049</v>
      </c>
      <c r="B94" t="s">
        <v>4313</v>
      </c>
      <c r="C94" t="s">
        <v>4177</v>
      </c>
      <c r="D94" s="7">
        <v>15</v>
      </c>
      <c r="E94" s="2">
        <v>124137.15</v>
      </c>
      <c r="F94" s="2">
        <v>1862057.25</v>
      </c>
    </row>
    <row r="95" spans="1:6" x14ac:dyDescent="0.25">
      <c r="A95" t="s">
        <v>4052</v>
      </c>
      <c r="B95" t="s">
        <v>4053</v>
      </c>
      <c r="C95" t="s">
        <v>4054</v>
      </c>
      <c r="D95" s="7">
        <v>7</v>
      </c>
      <c r="E95" s="2">
        <v>2946559.8</v>
      </c>
      <c r="F95" s="2">
        <v>206259.19</v>
      </c>
    </row>
    <row r="96" spans="1:6" x14ac:dyDescent="0.25">
      <c r="A96" t="s">
        <v>4055</v>
      </c>
      <c r="D96" s="7"/>
      <c r="E96" s="2"/>
      <c r="F96" s="2">
        <f>SUBTOTAL(109,A_2_09_09[VALOR PARCIAL])</f>
      </c>
    </row>
  </sheetData>
  <mergeCells count="18">
    <mergeCell ref="A4:F4"/>
    <mergeCell ref="A5:F5"/>
    <mergeCell ref="A16:F16"/>
    <mergeCell ref="A17:F17"/>
    <mergeCell ref="A28:F28"/>
    <mergeCell ref="A29:F29"/>
    <mergeCell ref="A39:F39"/>
    <mergeCell ref="A40:F40"/>
    <mergeCell ref="A48:F48"/>
    <mergeCell ref="A49:F49"/>
    <mergeCell ref="A58:F58"/>
    <mergeCell ref="A59:F59"/>
    <mergeCell ref="A68:F68"/>
    <mergeCell ref="A69:F69"/>
    <mergeCell ref="A76:F76"/>
    <mergeCell ref="A77:F77"/>
    <mergeCell ref="A84:F84"/>
    <mergeCell ref="A85:F85"/>
  </mergeCells>
  <pageMargins left="0.7" right="0.7" top="0.75" bottom="0.75" header="0.3" footer="0.3"/>
  <pageSetup orientation="portrait" horizontalDpi="4294967295" verticalDpi="4294967295" scale="100" fitToWidth="1" fitToHeight="1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7077</v>
      </c>
    </row>
    <row r="2" spans="1:1" x14ac:dyDescent="0.25">
      <c r="A2" s="4" t="s">
        <v>7078</v>
      </c>
    </row>
    <row r="4" ht="30" customHeight="1" spans="1:6" x14ac:dyDescent="0.25">
      <c r="A4" s="5" t="s">
        <v>7079</v>
      </c>
      <c r="B4" s="5"/>
      <c r="C4" s="5"/>
      <c r="D4" s="5"/>
      <c r="E4" s="5"/>
      <c r="F4" s="5"/>
    </row>
    <row r="5" ht="42" customHeight="1" spans="1:6" x14ac:dyDescent="0.25">
      <c r="A5" s="6" t="s">
        <v>7080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4049</v>
      </c>
      <c r="B7" t="s">
        <v>4176</v>
      </c>
      <c r="C7" t="s">
        <v>4177</v>
      </c>
      <c r="D7" s="7">
        <v>10</v>
      </c>
      <c r="E7" s="2">
        <v>72300.17</v>
      </c>
      <c r="F7" s="2">
        <v>723001.7</v>
      </c>
    </row>
    <row r="8" spans="1:6" x14ac:dyDescent="0.25">
      <c r="A8" t="s">
        <v>4052</v>
      </c>
      <c r="B8" t="s">
        <v>4306</v>
      </c>
      <c r="C8" t="s">
        <v>287</v>
      </c>
      <c r="D8" s="7">
        <v>6.67</v>
      </c>
      <c r="E8" s="2">
        <v>155433.33</v>
      </c>
      <c r="F8" s="2">
        <v>1036227.38</v>
      </c>
    </row>
    <row r="9" spans="1:6" x14ac:dyDescent="0.25">
      <c r="A9" t="s">
        <v>4052</v>
      </c>
      <c r="B9" t="s">
        <v>4085</v>
      </c>
      <c r="C9" t="s">
        <v>287</v>
      </c>
      <c r="D9" s="7">
        <v>6.67</v>
      </c>
      <c r="E9" s="2">
        <v>5732.5</v>
      </c>
      <c r="F9" s="2">
        <v>38216.86</v>
      </c>
    </row>
    <row r="10" spans="1:6" x14ac:dyDescent="0.25">
      <c r="A10" t="s">
        <v>4052</v>
      </c>
      <c r="B10" t="s">
        <v>4053</v>
      </c>
      <c r="C10" t="s">
        <v>4054</v>
      </c>
      <c r="D10" s="7">
        <v>5</v>
      </c>
      <c r="E10" s="2">
        <v>723001.7</v>
      </c>
      <c r="F10" s="2">
        <v>36150.08</v>
      </c>
    </row>
    <row r="11" spans="1:6" x14ac:dyDescent="0.25">
      <c r="A11" t="s">
        <v>4055</v>
      </c>
      <c r="D11" s="7"/>
      <c r="E11" s="2"/>
      <c r="F11" s="2">
        <f>SUBTOTAL(109,A_3_01_01[VALOR PARCIAL])</f>
      </c>
    </row>
    <row r="13" ht="30" customHeight="1" spans="1:6" x14ac:dyDescent="0.25">
      <c r="A13" s="5" t="s">
        <v>7081</v>
      </c>
      <c r="B13" s="5"/>
      <c r="C13" s="5"/>
      <c r="D13" s="5"/>
      <c r="E13" s="5"/>
      <c r="F13" s="5"/>
    </row>
    <row r="14" ht="42" customHeight="1" spans="1:6" x14ac:dyDescent="0.25">
      <c r="A14" s="6" t="s">
        <v>7082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4049</v>
      </c>
      <c r="B16" t="s">
        <v>4176</v>
      </c>
      <c r="C16" t="s">
        <v>4177</v>
      </c>
      <c r="D16" s="7">
        <v>10</v>
      </c>
      <c r="E16" s="2">
        <v>72300.17</v>
      </c>
      <c r="F16" s="2">
        <v>723001.7</v>
      </c>
    </row>
    <row r="17" spans="1:6" x14ac:dyDescent="0.25">
      <c r="A17" t="s">
        <v>4052</v>
      </c>
      <c r="B17" t="s">
        <v>4306</v>
      </c>
      <c r="C17" t="s">
        <v>287</v>
      </c>
      <c r="D17" s="7">
        <v>6.67</v>
      </c>
      <c r="E17" s="2">
        <v>155433.33</v>
      </c>
      <c r="F17" s="2">
        <v>1036227.38</v>
      </c>
    </row>
    <row r="18" spans="1:6" x14ac:dyDescent="0.25">
      <c r="A18" t="s">
        <v>4052</v>
      </c>
      <c r="B18" t="s">
        <v>4085</v>
      </c>
      <c r="C18" t="s">
        <v>287</v>
      </c>
      <c r="D18" s="7">
        <v>6.67</v>
      </c>
      <c r="E18" s="2">
        <v>5732.5</v>
      </c>
      <c r="F18" s="2">
        <v>38216.86</v>
      </c>
    </row>
    <row r="19" spans="1:6" x14ac:dyDescent="0.25">
      <c r="A19" t="s">
        <v>4052</v>
      </c>
      <c r="B19" t="s">
        <v>4053</v>
      </c>
      <c r="C19" t="s">
        <v>4054</v>
      </c>
      <c r="D19" s="7">
        <v>5</v>
      </c>
      <c r="E19" s="2">
        <v>723001.7</v>
      </c>
      <c r="F19" s="2">
        <v>36150.08</v>
      </c>
    </row>
    <row r="20" spans="1:6" x14ac:dyDescent="0.25">
      <c r="A20" t="s">
        <v>4058</v>
      </c>
      <c r="B20" t="s">
        <v>4314</v>
      </c>
      <c r="C20" t="s">
        <v>34</v>
      </c>
      <c r="D20" s="7">
        <v>10</v>
      </c>
      <c r="E20" s="2">
        <v>63714</v>
      </c>
      <c r="F20" s="2">
        <v>637140</v>
      </c>
    </row>
    <row r="21" spans="1:6" x14ac:dyDescent="0.25">
      <c r="A21" t="s">
        <v>4055</v>
      </c>
      <c r="D21" s="7"/>
      <c r="E21" s="2"/>
      <c r="F21" s="2">
        <f>SUBTOTAL(109,A_3_01_02[VALOR PARCIAL])</f>
      </c>
    </row>
    <row r="23" ht="30" customHeight="1" spans="1:6" x14ac:dyDescent="0.25">
      <c r="A23" s="5" t="s">
        <v>7083</v>
      </c>
      <c r="B23" s="5"/>
      <c r="C23" s="5"/>
      <c r="D23" s="5"/>
      <c r="E23" s="5"/>
      <c r="F23" s="5"/>
    </row>
    <row r="24" ht="42" customHeight="1" spans="1:6" x14ac:dyDescent="0.25">
      <c r="A24" s="6" t="s">
        <v>7084</v>
      </c>
      <c r="B24" s="6"/>
      <c r="C24" s="6"/>
      <c r="D24" s="6"/>
      <c r="E24" s="6"/>
      <c r="F24" s="6"/>
    </row>
    <row r="25" spans="1:6" x14ac:dyDescent="0.25">
      <c r="A25" t="s">
        <v>4044</v>
      </c>
      <c r="B25" t="s">
        <v>4045</v>
      </c>
      <c r="C25" t="s">
        <v>5</v>
      </c>
      <c r="D25" t="s">
        <v>4046</v>
      </c>
      <c r="E25" t="s">
        <v>4047</v>
      </c>
      <c r="F25" t="s">
        <v>4048</v>
      </c>
    </row>
    <row r="26" spans="1:6" x14ac:dyDescent="0.25">
      <c r="A26" t="s">
        <v>4049</v>
      </c>
      <c r="B26" t="s">
        <v>4176</v>
      </c>
      <c r="C26" t="s">
        <v>4177</v>
      </c>
      <c r="D26" s="7">
        <v>14</v>
      </c>
      <c r="E26" s="2">
        <v>72300.17</v>
      </c>
      <c r="F26" s="2">
        <v>1012202.38</v>
      </c>
    </row>
    <row r="27" spans="1:6" x14ac:dyDescent="0.25">
      <c r="A27" t="s">
        <v>4052</v>
      </c>
      <c r="B27" t="s">
        <v>7085</v>
      </c>
      <c r="C27" t="s">
        <v>287</v>
      </c>
      <c r="D27" s="7">
        <v>2.78</v>
      </c>
      <c r="E27" s="2">
        <v>7226.17</v>
      </c>
      <c r="F27" s="2">
        <v>20074.3</v>
      </c>
    </row>
    <row r="28" spans="1:6" x14ac:dyDescent="0.25">
      <c r="A28" t="s">
        <v>4052</v>
      </c>
      <c r="B28" t="s">
        <v>4085</v>
      </c>
      <c r="C28" t="s">
        <v>287</v>
      </c>
      <c r="D28" s="7">
        <v>9.71</v>
      </c>
      <c r="E28" s="2">
        <v>5732.5</v>
      </c>
      <c r="F28" s="2">
        <v>55655.12</v>
      </c>
    </row>
    <row r="29" spans="1:6" x14ac:dyDescent="0.25">
      <c r="A29" t="s">
        <v>4052</v>
      </c>
      <c r="B29" t="s">
        <v>4053</v>
      </c>
      <c r="C29" t="s">
        <v>4054</v>
      </c>
      <c r="D29" s="7">
        <v>5</v>
      </c>
      <c r="E29" s="2">
        <v>1012202.38</v>
      </c>
      <c r="F29" s="2">
        <v>50610.12</v>
      </c>
    </row>
    <row r="30" spans="1:6" x14ac:dyDescent="0.25">
      <c r="A30" t="s">
        <v>4055</v>
      </c>
      <c r="D30" s="7"/>
      <c r="E30" s="2"/>
      <c r="F30" s="2">
        <f>SUBTOTAL(109,A_3_01_03[VALOR PARCIAL])</f>
      </c>
    </row>
    <row r="32" ht="30" customHeight="1" spans="1:6" x14ac:dyDescent="0.25">
      <c r="A32" s="5" t="s">
        <v>7086</v>
      </c>
      <c r="B32" s="5"/>
      <c r="C32" s="5"/>
      <c r="D32" s="5"/>
      <c r="E32" s="5"/>
      <c r="F32" s="5"/>
    </row>
    <row r="33" ht="42" customHeight="1" spans="1:6" x14ac:dyDescent="0.25">
      <c r="A33" s="6" t="s">
        <v>7087</v>
      </c>
      <c r="B33" s="6"/>
      <c r="C33" s="6"/>
      <c r="D33" s="6"/>
      <c r="E33" s="6"/>
      <c r="F33" s="6"/>
    </row>
    <row r="34" spans="1:6" x14ac:dyDescent="0.25">
      <c r="A34" t="s">
        <v>4044</v>
      </c>
      <c r="B34" t="s">
        <v>4045</v>
      </c>
      <c r="C34" t="s">
        <v>5</v>
      </c>
      <c r="D34" t="s">
        <v>4046</v>
      </c>
      <c r="E34" t="s">
        <v>4047</v>
      </c>
      <c r="F34" t="s">
        <v>4048</v>
      </c>
    </row>
    <row r="35" spans="1:6" x14ac:dyDescent="0.25">
      <c r="A35" t="s">
        <v>4062</v>
      </c>
      <c r="B35" t="s">
        <v>7088</v>
      </c>
      <c r="C35" t="s">
        <v>4171</v>
      </c>
      <c r="D35" s="7">
        <v>1</v>
      </c>
      <c r="E35" s="2">
        <v>29333</v>
      </c>
      <c r="F35" s="2">
        <v>29333</v>
      </c>
    </row>
    <row r="36" spans="1:6" x14ac:dyDescent="0.25">
      <c r="A36" t="s">
        <v>4049</v>
      </c>
      <c r="B36" t="s">
        <v>7089</v>
      </c>
      <c r="C36" t="s">
        <v>4177</v>
      </c>
      <c r="D36" s="7">
        <v>4</v>
      </c>
      <c r="E36" s="2">
        <v>121418.06</v>
      </c>
      <c r="F36" s="2">
        <v>485672.24</v>
      </c>
    </row>
    <row r="37" spans="1:6" x14ac:dyDescent="0.25">
      <c r="A37" t="s">
        <v>4049</v>
      </c>
      <c r="B37" t="s">
        <v>7090</v>
      </c>
      <c r="C37" t="s">
        <v>4177</v>
      </c>
      <c r="D37" s="7">
        <v>4</v>
      </c>
      <c r="E37" s="2">
        <v>105563.04</v>
      </c>
      <c r="F37" s="2">
        <v>422252.16</v>
      </c>
    </row>
    <row r="38" spans="1:6" x14ac:dyDescent="0.25">
      <c r="A38" t="s">
        <v>4049</v>
      </c>
      <c r="B38" t="s">
        <v>7091</v>
      </c>
      <c r="C38" t="s">
        <v>4177</v>
      </c>
      <c r="D38" s="7">
        <v>4</v>
      </c>
      <c r="E38" s="2">
        <v>105563.04</v>
      </c>
      <c r="F38" s="2">
        <v>422252.16</v>
      </c>
    </row>
    <row r="39" spans="1:6" x14ac:dyDescent="0.25">
      <c r="A39" t="s">
        <v>4049</v>
      </c>
      <c r="B39" t="s">
        <v>7092</v>
      </c>
      <c r="C39" t="s">
        <v>4177</v>
      </c>
      <c r="D39" s="7">
        <v>5</v>
      </c>
      <c r="E39" s="2">
        <v>195479.38</v>
      </c>
      <c r="F39" s="2">
        <v>977396.9</v>
      </c>
    </row>
    <row r="40" spans="1:6" x14ac:dyDescent="0.25">
      <c r="A40" t="s">
        <v>4049</v>
      </c>
      <c r="B40" t="s">
        <v>7093</v>
      </c>
      <c r="C40" t="s">
        <v>4177</v>
      </c>
      <c r="D40" s="7">
        <v>4</v>
      </c>
      <c r="E40" s="2">
        <v>50188.55</v>
      </c>
      <c r="F40" s="2">
        <v>200754.2</v>
      </c>
    </row>
    <row r="41" spans="1:6" x14ac:dyDescent="0.25">
      <c r="A41" t="s">
        <v>4052</v>
      </c>
      <c r="B41" t="s">
        <v>7094</v>
      </c>
      <c r="C41" t="s">
        <v>287</v>
      </c>
      <c r="D41" s="7">
        <v>24</v>
      </c>
      <c r="E41" s="2">
        <v>6250</v>
      </c>
      <c r="F41" s="2">
        <v>150000</v>
      </c>
    </row>
    <row r="42" spans="1:6" x14ac:dyDescent="0.25">
      <c r="A42" t="s">
        <v>4052</v>
      </c>
      <c r="B42" t="s">
        <v>4053</v>
      </c>
      <c r="C42" t="s">
        <v>4054</v>
      </c>
      <c r="D42" s="7">
        <v>5</v>
      </c>
      <c r="E42" s="2">
        <v>2508327.66</v>
      </c>
      <c r="F42" s="2">
        <v>125416.38</v>
      </c>
    </row>
    <row r="43" spans="1:6" x14ac:dyDescent="0.25">
      <c r="A43" t="s">
        <v>4055</v>
      </c>
      <c r="D43" s="7"/>
      <c r="E43" s="2"/>
      <c r="F43" s="2">
        <f>SUBTOTAL(109,A_3_01_04[VALOR PARCIAL])</f>
      </c>
    </row>
    <row r="45" ht="30" customHeight="1" spans="1:6" x14ac:dyDescent="0.25">
      <c r="A45" s="5" t="s">
        <v>7095</v>
      </c>
      <c r="B45" s="5"/>
      <c r="C45" s="5"/>
      <c r="D45" s="5"/>
      <c r="E45" s="5"/>
      <c r="F45" s="5"/>
    </row>
    <row r="46" ht="42" customHeight="1" spans="1:6" x14ac:dyDescent="0.25">
      <c r="A46" s="6" t="s">
        <v>7096</v>
      </c>
      <c r="B46" s="6"/>
      <c r="C46" s="6"/>
      <c r="D46" s="6"/>
      <c r="E46" s="6"/>
      <c r="F46" s="6"/>
    </row>
    <row r="47" spans="1:6" x14ac:dyDescent="0.25">
      <c r="A47" t="s">
        <v>4044</v>
      </c>
      <c r="B47" t="s">
        <v>4045</v>
      </c>
      <c r="C47" t="s">
        <v>5</v>
      </c>
      <c r="D47" t="s">
        <v>4046</v>
      </c>
      <c r="E47" t="s">
        <v>4047</v>
      </c>
      <c r="F47" t="s">
        <v>4048</v>
      </c>
    </row>
    <row r="48" spans="1:6" x14ac:dyDescent="0.25">
      <c r="A48" t="s">
        <v>4049</v>
      </c>
      <c r="B48" t="s">
        <v>4176</v>
      </c>
      <c r="C48" t="s">
        <v>4177</v>
      </c>
      <c r="D48" s="7">
        <v>0</v>
      </c>
      <c r="E48" s="2">
        <v>72300.17</v>
      </c>
      <c r="F48" s="2">
        <v>72.3</v>
      </c>
    </row>
    <row r="49" spans="1:6" x14ac:dyDescent="0.25">
      <c r="A49" t="s">
        <v>4049</v>
      </c>
      <c r="B49" t="s">
        <v>4313</v>
      </c>
      <c r="C49" t="s">
        <v>4177</v>
      </c>
      <c r="D49" s="7">
        <v>0</v>
      </c>
      <c r="E49" s="2">
        <v>124137.15</v>
      </c>
      <c r="F49" s="2">
        <v>24.83</v>
      </c>
    </row>
    <row r="50" spans="1:6" x14ac:dyDescent="0.25">
      <c r="A50" t="s">
        <v>4049</v>
      </c>
      <c r="B50" t="s">
        <v>7097</v>
      </c>
      <c r="C50" t="s">
        <v>7098</v>
      </c>
      <c r="D50" s="7">
        <v>1</v>
      </c>
      <c r="E50" s="2">
        <v>146.18</v>
      </c>
      <c r="F50" s="2">
        <v>146.18</v>
      </c>
    </row>
    <row r="51" spans="1:6" x14ac:dyDescent="0.25">
      <c r="A51" t="s">
        <v>4052</v>
      </c>
      <c r="B51" t="s">
        <v>7099</v>
      </c>
      <c r="C51" t="s">
        <v>4106</v>
      </c>
      <c r="D51" s="7">
        <v>0</v>
      </c>
      <c r="E51" s="2">
        <v>147140</v>
      </c>
      <c r="F51" s="2">
        <v>147.14</v>
      </c>
    </row>
    <row r="52" spans="1:6" x14ac:dyDescent="0.25">
      <c r="A52" t="s">
        <v>4052</v>
      </c>
      <c r="B52" t="s">
        <v>7100</v>
      </c>
      <c r="C52" t="s">
        <v>287</v>
      </c>
      <c r="D52" s="7">
        <v>0</v>
      </c>
      <c r="E52" s="2">
        <v>326171.09</v>
      </c>
      <c r="F52" s="2">
        <v>652.34</v>
      </c>
    </row>
    <row r="53" spans="1:6" x14ac:dyDescent="0.25">
      <c r="A53" t="s">
        <v>4052</v>
      </c>
      <c r="B53" t="s">
        <v>4053</v>
      </c>
      <c r="C53" t="s">
        <v>4054</v>
      </c>
      <c r="D53" s="7">
        <v>1</v>
      </c>
      <c r="E53" s="2">
        <v>97.13</v>
      </c>
      <c r="F53" s="2">
        <v>0.97</v>
      </c>
    </row>
    <row r="54" spans="1:6" x14ac:dyDescent="0.25">
      <c r="A54" t="s">
        <v>4055</v>
      </c>
      <c r="D54" s="7"/>
      <c r="E54" s="2"/>
      <c r="F54" s="2">
        <f>SUBTOTAL(109,A_3_01_05[VALOR PARCIAL])</f>
      </c>
    </row>
    <row r="56" ht="30" customHeight="1" spans="1:6" x14ac:dyDescent="0.25">
      <c r="A56" s="5" t="s">
        <v>7101</v>
      </c>
      <c r="B56" s="5"/>
      <c r="C56" s="5"/>
      <c r="D56" s="5"/>
      <c r="E56" s="5"/>
      <c r="F56" s="5"/>
    </row>
    <row r="57" ht="42" customHeight="1" spans="1:6" x14ac:dyDescent="0.25">
      <c r="A57" s="6" t="s">
        <v>7102</v>
      </c>
      <c r="B57" s="6"/>
      <c r="C57" s="6"/>
      <c r="D57" s="6"/>
      <c r="E57" s="6"/>
      <c r="F57" s="6"/>
    </row>
    <row r="58" spans="1:6" x14ac:dyDescent="0.25">
      <c r="A58" t="s">
        <v>4044</v>
      </c>
      <c r="B58" t="s">
        <v>4045</v>
      </c>
      <c r="C58" t="s">
        <v>5</v>
      </c>
      <c r="D58" t="s">
        <v>4046</v>
      </c>
      <c r="E58" t="s">
        <v>4047</v>
      </c>
      <c r="F58" t="s">
        <v>4048</v>
      </c>
    </row>
    <row r="59" spans="1:6" x14ac:dyDescent="0.25">
      <c r="A59" t="s">
        <v>4049</v>
      </c>
      <c r="B59" t="s">
        <v>4176</v>
      </c>
      <c r="C59" t="s">
        <v>4177</v>
      </c>
      <c r="D59" s="7">
        <v>0.05</v>
      </c>
      <c r="E59" s="2">
        <v>72300.17</v>
      </c>
      <c r="F59" s="2">
        <v>3615.01</v>
      </c>
    </row>
    <row r="60" spans="1:6" x14ac:dyDescent="0.25">
      <c r="A60" t="s">
        <v>4052</v>
      </c>
      <c r="B60" t="s">
        <v>4053</v>
      </c>
      <c r="C60" t="s">
        <v>4054</v>
      </c>
      <c r="D60" s="7">
        <v>5</v>
      </c>
      <c r="E60" s="2">
        <v>3615.01</v>
      </c>
      <c r="F60" s="2">
        <v>180.75</v>
      </c>
    </row>
    <row r="61" spans="1:6" x14ac:dyDescent="0.25">
      <c r="A61" t="s">
        <v>4055</v>
      </c>
      <c r="D61" s="7"/>
      <c r="E61" s="2"/>
      <c r="F61" s="2">
        <f>SUBTOTAL(109,A_3_01_06[VALOR PARCIAL])</f>
      </c>
    </row>
    <row r="63" ht="30" customHeight="1" spans="1:6" x14ac:dyDescent="0.25">
      <c r="A63" s="5" t="s">
        <v>7103</v>
      </c>
      <c r="B63" s="5"/>
      <c r="C63" s="5"/>
      <c r="D63" s="5"/>
      <c r="E63" s="5"/>
      <c r="F63" s="5"/>
    </row>
    <row r="64" ht="42" customHeight="1" spans="1:6" x14ac:dyDescent="0.25">
      <c r="A64" s="6" t="s">
        <v>7104</v>
      </c>
      <c r="B64" s="6"/>
      <c r="C64" s="6"/>
      <c r="D64" s="6"/>
      <c r="E64" s="6"/>
      <c r="F64" s="6"/>
    </row>
    <row r="65" spans="1:6" x14ac:dyDescent="0.25">
      <c r="A65" t="s">
        <v>4044</v>
      </c>
      <c r="B65" t="s">
        <v>4045</v>
      </c>
      <c r="C65" t="s">
        <v>5</v>
      </c>
      <c r="D65" t="s">
        <v>4046</v>
      </c>
      <c r="E65" t="s">
        <v>4047</v>
      </c>
      <c r="F65" t="s">
        <v>4048</v>
      </c>
    </row>
    <row r="66" spans="1:6" x14ac:dyDescent="0.25">
      <c r="A66" t="s">
        <v>4062</v>
      </c>
      <c r="B66" t="s">
        <v>7059</v>
      </c>
      <c r="C66" t="s">
        <v>34</v>
      </c>
      <c r="D66" s="7">
        <v>2</v>
      </c>
      <c r="E66" s="2">
        <v>40100</v>
      </c>
      <c r="F66" s="2">
        <v>80200</v>
      </c>
    </row>
    <row r="67" spans="1:6" x14ac:dyDescent="0.25">
      <c r="A67" t="s">
        <v>4062</v>
      </c>
      <c r="B67" t="s">
        <v>7105</v>
      </c>
      <c r="C67" t="s">
        <v>21</v>
      </c>
      <c r="D67" s="7">
        <v>4</v>
      </c>
      <c r="E67" s="2">
        <v>1121</v>
      </c>
      <c r="F67" s="2">
        <v>4484</v>
      </c>
    </row>
    <row r="68" spans="1:6" x14ac:dyDescent="0.25">
      <c r="A68" t="s">
        <v>4062</v>
      </c>
      <c r="B68" t="s">
        <v>7106</v>
      </c>
      <c r="C68" t="s">
        <v>231</v>
      </c>
      <c r="D68" s="7">
        <v>1</v>
      </c>
      <c r="E68" s="2">
        <v>5233.33</v>
      </c>
      <c r="F68" s="2">
        <v>5233.33</v>
      </c>
    </row>
    <row r="69" spans="1:6" x14ac:dyDescent="0.25">
      <c r="A69" t="s">
        <v>4049</v>
      </c>
      <c r="B69" t="s">
        <v>4176</v>
      </c>
      <c r="C69" t="s">
        <v>4177</v>
      </c>
      <c r="D69" s="7">
        <v>0.5</v>
      </c>
      <c r="E69" s="2">
        <v>72300.17</v>
      </c>
      <c r="F69" s="2">
        <v>36150.08</v>
      </c>
    </row>
    <row r="70" spans="1:6" x14ac:dyDescent="0.25">
      <c r="A70" t="s">
        <v>4052</v>
      </c>
      <c r="B70" t="s">
        <v>4084</v>
      </c>
      <c r="C70" t="s">
        <v>287</v>
      </c>
      <c r="D70" s="7">
        <v>1</v>
      </c>
      <c r="E70" s="2">
        <v>145366.67</v>
      </c>
      <c r="F70" s="2">
        <v>145366.67</v>
      </c>
    </row>
    <row r="71" spans="1:6" x14ac:dyDescent="0.25">
      <c r="A71" t="s">
        <v>4052</v>
      </c>
      <c r="B71" t="s">
        <v>4053</v>
      </c>
      <c r="C71" t="s">
        <v>4054</v>
      </c>
      <c r="D71" s="7">
        <v>6.7</v>
      </c>
      <c r="E71" s="2">
        <v>36150.08</v>
      </c>
      <c r="F71" s="2">
        <v>2422.06</v>
      </c>
    </row>
    <row r="72" spans="1:6" x14ac:dyDescent="0.25">
      <c r="A72" t="s">
        <v>4055</v>
      </c>
      <c r="D72" s="7"/>
      <c r="E72" s="2"/>
      <c r="F72" s="2">
        <f>SUBTOTAL(109,A_3_01_07[VALOR PARCIAL])</f>
      </c>
    </row>
  </sheetData>
  <mergeCells count="14">
    <mergeCell ref="A4:F4"/>
    <mergeCell ref="A5:F5"/>
    <mergeCell ref="A13:F13"/>
    <mergeCell ref="A14:F14"/>
    <mergeCell ref="A23:F23"/>
    <mergeCell ref="A24:F24"/>
    <mergeCell ref="A32:F32"/>
    <mergeCell ref="A33:F33"/>
    <mergeCell ref="A45:F45"/>
    <mergeCell ref="A46:F46"/>
    <mergeCell ref="A56:F56"/>
    <mergeCell ref="A57:F57"/>
    <mergeCell ref="A63:F63"/>
    <mergeCell ref="A64:F64"/>
  </mergeCells>
  <pageMargins left="0.7" right="0.7" top="0.75" bottom="0.75" header="0.3" footer="0.3"/>
  <pageSetup orientation="portrait" horizontalDpi="4294967295" verticalDpi="4294967295" scale="100" fitToWidth="1" fitToHeight="1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7107</v>
      </c>
    </row>
    <row r="2" spans="1:1" x14ac:dyDescent="0.25">
      <c r="A2" s="4" t="s">
        <v>5813</v>
      </c>
    </row>
    <row r="4" ht="30" customHeight="1" spans="1:6" x14ac:dyDescent="0.25">
      <c r="A4" s="5" t="s">
        <v>7108</v>
      </c>
      <c r="B4" s="5"/>
      <c r="C4" s="5"/>
      <c r="D4" s="5"/>
      <c r="E4" s="5"/>
      <c r="F4" s="5"/>
    </row>
    <row r="5" ht="42" customHeight="1" spans="1:6" x14ac:dyDescent="0.25">
      <c r="A5" s="6" t="s">
        <v>7109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4049</v>
      </c>
      <c r="B7" t="s">
        <v>4176</v>
      </c>
      <c r="C7" t="s">
        <v>4177</v>
      </c>
      <c r="D7" s="7">
        <v>0</v>
      </c>
      <c r="E7" s="2">
        <v>72300.17</v>
      </c>
      <c r="F7" s="2">
        <v>151.83</v>
      </c>
    </row>
    <row r="8" spans="1:6" x14ac:dyDescent="0.25">
      <c r="A8" t="s">
        <v>4052</v>
      </c>
      <c r="B8" t="s">
        <v>4305</v>
      </c>
      <c r="C8" t="s">
        <v>287</v>
      </c>
      <c r="D8" s="7">
        <v>0.02</v>
      </c>
      <c r="E8" s="2">
        <v>166043.14</v>
      </c>
      <c r="F8" s="2">
        <v>3320.86</v>
      </c>
    </row>
    <row r="9" spans="1:6" x14ac:dyDescent="0.25">
      <c r="A9" t="s">
        <v>4055</v>
      </c>
      <c r="D9" s="7"/>
      <c r="E9" s="2"/>
      <c r="F9" s="2">
        <f>SUBTOTAL(109,A_3_02_01[VALOR PARCIAL])</f>
      </c>
    </row>
    <row r="11" ht="30" customHeight="1" spans="1:6" x14ac:dyDescent="0.25">
      <c r="A11" s="5" t="s">
        <v>7110</v>
      </c>
      <c r="B11" s="5"/>
      <c r="C11" s="5"/>
      <c r="D11" s="5"/>
      <c r="E11" s="5"/>
      <c r="F11" s="5"/>
    </row>
    <row r="12" ht="42" customHeight="1" spans="1:6" x14ac:dyDescent="0.25">
      <c r="A12" s="6" t="s">
        <v>7111</v>
      </c>
      <c r="B12" s="6"/>
      <c r="C12" s="6"/>
      <c r="D12" s="6"/>
      <c r="E12" s="6"/>
      <c r="F12" s="6"/>
    </row>
    <row r="13" spans="1:6" x14ac:dyDescent="0.25">
      <c r="A13" t="s">
        <v>4044</v>
      </c>
      <c r="B13" t="s">
        <v>4045</v>
      </c>
      <c r="C13" t="s">
        <v>5</v>
      </c>
      <c r="D13" t="s">
        <v>4046</v>
      </c>
      <c r="E13" t="s">
        <v>4047</v>
      </c>
      <c r="F13" t="s">
        <v>4048</v>
      </c>
    </row>
    <row r="14" spans="1:6" x14ac:dyDescent="0.25">
      <c r="A14" t="s">
        <v>4049</v>
      </c>
      <c r="B14" t="s">
        <v>4176</v>
      </c>
      <c r="C14" t="s">
        <v>4177</v>
      </c>
      <c r="D14" s="7">
        <v>0.01</v>
      </c>
      <c r="E14" s="2">
        <v>72300.17</v>
      </c>
      <c r="F14" s="2">
        <v>361.5</v>
      </c>
    </row>
    <row r="15" spans="1:6" x14ac:dyDescent="0.25">
      <c r="A15" t="s">
        <v>4049</v>
      </c>
      <c r="B15" t="s">
        <v>4304</v>
      </c>
      <c r="C15" t="s">
        <v>4177</v>
      </c>
      <c r="D15" s="7">
        <v>0.01</v>
      </c>
      <c r="E15" s="2">
        <v>50188.55</v>
      </c>
      <c r="F15" s="2">
        <v>250.94</v>
      </c>
    </row>
    <row r="16" spans="1:6" x14ac:dyDescent="0.25">
      <c r="A16" t="s">
        <v>4052</v>
      </c>
      <c r="B16" t="s">
        <v>4306</v>
      </c>
      <c r="C16" t="s">
        <v>287</v>
      </c>
      <c r="D16" s="7">
        <v>0.08</v>
      </c>
      <c r="E16" s="2">
        <v>155433.33</v>
      </c>
      <c r="F16" s="2">
        <v>12434.67</v>
      </c>
    </row>
    <row r="17" spans="1:6" x14ac:dyDescent="0.25">
      <c r="A17" t="s">
        <v>4052</v>
      </c>
      <c r="B17" t="s">
        <v>4053</v>
      </c>
      <c r="C17" t="s">
        <v>4054</v>
      </c>
      <c r="D17" s="7">
        <v>0.7</v>
      </c>
      <c r="E17" s="2">
        <v>612.44</v>
      </c>
      <c r="F17" s="2">
        <v>4.29</v>
      </c>
    </row>
    <row r="18" spans="1:6" x14ac:dyDescent="0.25">
      <c r="A18" t="s">
        <v>4058</v>
      </c>
      <c r="B18" t="s">
        <v>4307</v>
      </c>
      <c r="C18" t="s">
        <v>34</v>
      </c>
      <c r="D18" s="7">
        <v>1</v>
      </c>
      <c r="E18" s="2">
        <v>1250</v>
      </c>
      <c r="F18" s="2">
        <v>1250</v>
      </c>
    </row>
    <row r="19" spans="1:6" x14ac:dyDescent="0.25">
      <c r="A19" t="s">
        <v>4055</v>
      </c>
      <c r="D19" s="7"/>
      <c r="E19" s="2"/>
      <c r="F19" s="2">
        <f>SUBTOTAL(109,A_3_02_02[VALOR PARCIAL])</f>
      </c>
    </row>
    <row r="21" ht="30" customHeight="1" spans="1:6" x14ac:dyDescent="0.25">
      <c r="A21" s="5" t="s">
        <v>7112</v>
      </c>
      <c r="B21" s="5"/>
      <c r="C21" s="5"/>
      <c r="D21" s="5"/>
      <c r="E21" s="5"/>
      <c r="F21" s="5"/>
    </row>
    <row r="22" ht="42" customHeight="1" spans="1:6" x14ac:dyDescent="0.25">
      <c r="A22" s="6" t="s">
        <v>7113</v>
      </c>
      <c r="B22" s="6"/>
      <c r="C22" s="6"/>
      <c r="D22" s="6"/>
      <c r="E22" s="6"/>
      <c r="F22" s="6"/>
    </row>
    <row r="23" spans="1:6" x14ac:dyDescent="0.25">
      <c r="A23" t="s">
        <v>4044</v>
      </c>
      <c r="B23" t="s">
        <v>4045</v>
      </c>
      <c r="C23" t="s">
        <v>5</v>
      </c>
      <c r="D23" t="s">
        <v>4046</v>
      </c>
      <c r="E23" t="s">
        <v>4047</v>
      </c>
      <c r="F23" t="s">
        <v>4048</v>
      </c>
    </row>
    <row r="24" spans="1:6" x14ac:dyDescent="0.25">
      <c r="A24" t="s">
        <v>4052</v>
      </c>
      <c r="B24" t="s">
        <v>4306</v>
      </c>
      <c r="C24" t="s">
        <v>287</v>
      </c>
      <c r="D24" s="7">
        <v>0.03</v>
      </c>
      <c r="E24" s="2">
        <v>155433.33</v>
      </c>
      <c r="F24" s="2">
        <v>5175.93</v>
      </c>
    </row>
    <row r="25" spans="1:6" x14ac:dyDescent="0.25">
      <c r="A25" t="s">
        <v>4058</v>
      </c>
      <c r="B25" t="s">
        <v>4314</v>
      </c>
      <c r="C25" t="s">
        <v>34</v>
      </c>
      <c r="D25" s="7">
        <v>0.1</v>
      </c>
      <c r="E25" s="2">
        <v>63714</v>
      </c>
      <c r="F25" s="2">
        <v>6371.4</v>
      </c>
    </row>
    <row r="26" spans="1:6" x14ac:dyDescent="0.25">
      <c r="A26" t="s">
        <v>4055</v>
      </c>
      <c r="D26" s="7"/>
      <c r="E26" s="2"/>
      <c r="F26" s="2">
        <f>SUBTOTAL(109,A_3_02_03[VALOR PARCIAL])</f>
      </c>
    </row>
    <row r="28" ht="30" customHeight="1" spans="1:6" x14ac:dyDescent="0.25">
      <c r="A28" s="5" t="s">
        <v>7114</v>
      </c>
      <c r="B28" s="5"/>
      <c r="C28" s="5"/>
      <c r="D28" s="5"/>
      <c r="E28" s="5"/>
      <c r="F28" s="5"/>
    </row>
    <row r="29" ht="42" customHeight="1" spans="1:6" x14ac:dyDescent="0.25">
      <c r="A29" s="6" t="s">
        <v>7115</v>
      </c>
      <c r="B29" s="6"/>
      <c r="C29" s="6"/>
      <c r="D29" s="6"/>
      <c r="E29" s="6"/>
      <c r="F29" s="6"/>
    </row>
    <row r="30" spans="1:6" x14ac:dyDescent="0.25">
      <c r="A30" t="s">
        <v>4044</v>
      </c>
      <c r="B30" t="s">
        <v>4045</v>
      </c>
      <c r="C30" t="s">
        <v>5</v>
      </c>
      <c r="D30" t="s">
        <v>4046</v>
      </c>
      <c r="E30" t="s">
        <v>4047</v>
      </c>
      <c r="F30" t="s">
        <v>4048</v>
      </c>
    </row>
    <row r="31" spans="1:6" x14ac:dyDescent="0.25">
      <c r="A31" t="s">
        <v>4062</v>
      </c>
      <c r="B31" t="s">
        <v>7116</v>
      </c>
      <c r="C31" t="s">
        <v>42</v>
      </c>
      <c r="D31" s="7">
        <v>3</v>
      </c>
      <c r="E31" s="2">
        <v>1321</v>
      </c>
      <c r="F31" s="2">
        <v>3963</v>
      </c>
    </row>
    <row r="32" spans="1:6" x14ac:dyDescent="0.25">
      <c r="A32" t="s">
        <v>4062</v>
      </c>
      <c r="B32" t="s">
        <v>7117</v>
      </c>
      <c r="C32" t="s">
        <v>63</v>
      </c>
      <c r="D32" s="7">
        <v>1</v>
      </c>
      <c r="E32" s="2">
        <v>47788.31</v>
      </c>
      <c r="F32" s="2">
        <v>47788.31</v>
      </c>
    </row>
    <row r="33" spans="1:6" x14ac:dyDescent="0.25">
      <c r="A33" t="s">
        <v>4062</v>
      </c>
      <c r="B33" t="s">
        <v>7118</v>
      </c>
      <c r="C33" t="s">
        <v>231</v>
      </c>
      <c r="D33" s="7">
        <v>2</v>
      </c>
      <c r="E33" s="2">
        <v>13756</v>
      </c>
      <c r="F33" s="2">
        <v>27512</v>
      </c>
    </row>
    <row r="34" spans="1:6" x14ac:dyDescent="0.25">
      <c r="A34" t="s">
        <v>4049</v>
      </c>
      <c r="B34" t="s">
        <v>4123</v>
      </c>
      <c r="C34" t="s">
        <v>287</v>
      </c>
      <c r="D34" s="7">
        <v>0.1</v>
      </c>
      <c r="E34" s="2">
        <v>62400</v>
      </c>
      <c r="F34" s="2">
        <v>6240</v>
      </c>
    </row>
    <row r="35" spans="1:6" x14ac:dyDescent="0.25">
      <c r="A35" t="s">
        <v>4049</v>
      </c>
      <c r="B35" t="s">
        <v>4176</v>
      </c>
      <c r="C35" t="s">
        <v>4177</v>
      </c>
      <c r="D35" s="7">
        <v>0.5</v>
      </c>
      <c r="E35" s="2">
        <v>72300.17</v>
      </c>
      <c r="F35" s="2">
        <v>36150.08</v>
      </c>
    </row>
    <row r="36" spans="1:6" x14ac:dyDescent="0.25">
      <c r="A36" t="s">
        <v>4049</v>
      </c>
      <c r="B36" t="s">
        <v>7119</v>
      </c>
      <c r="C36" t="s">
        <v>4177</v>
      </c>
      <c r="D36" s="7">
        <v>0.1</v>
      </c>
      <c r="E36" s="2">
        <v>124137.15</v>
      </c>
      <c r="F36" s="2">
        <v>12413.72</v>
      </c>
    </row>
    <row r="37" spans="1:6" x14ac:dyDescent="0.25">
      <c r="A37" t="s">
        <v>4052</v>
      </c>
      <c r="B37" t="s">
        <v>4053</v>
      </c>
      <c r="C37" t="s">
        <v>4054</v>
      </c>
      <c r="D37" s="7">
        <v>3.3</v>
      </c>
      <c r="E37" s="2">
        <v>48563.8</v>
      </c>
      <c r="F37" s="2">
        <v>1602.61</v>
      </c>
    </row>
    <row r="38" spans="1:6" x14ac:dyDescent="0.25">
      <c r="A38" t="s">
        <v>4055</v>
      </c>
      <c r="D38" s="7"/>
      <c r="E38" s="2"/>
      <c r="F38" s="2">
        <f>SUBTOTAL(109,A_3_02_04[VALOR PARCIAL])</f>
      </c>
    </row>
    <row r="40" ht="30" customHeight="1" spans="1:6" x14ac:dyDescent="0.25">
      <c r="A40" s="5" t="s">
        <v>7120</v>
      </c>
      <c r="B40" s="5"/>
      <c r="C40" s="5"/>
      <c r="D40" s="5"/>
      <c r="E40" s="5"/>
      <c r="F40" s="5"/>
    </row>
    <row r="41" ht="42" customHeight="1" spans="1:6" x14ac:dyDescent="0.25">
      <c r="A41" s="6" t="s">
        <v>7121</v>
      </c>
      <c r="B41" s="6"/>
      <c r="C41" s="6"/>
      <c r="D41" s="6"/>
      <c r="E41" s="6"/>
      <c r="F41" s="6"/>
    </row>
    <row r="42" spans="1:6" x14ac:dyDescent="0.25">
      <c r="A42" t="s">
        <v>4044</v>
      </c>
      <c r="B42" t="s">
        <v>4045</v>
      </c>
      <c r="C42" t="s">
        <v>5</v>
      </c>
      <c r="D42" t="s">
        <v>4046</v>
      </c>
      <c r="E42" t="s">
        <v>4047</v>
      </c>
      <c r="F42" t="s">
        <v>4048</v>
      </c>
    </row>
    <row r="43" spans="1:6" x14ac:dyDescent="0.25">
      <c r="A43" t="s">
        <v>4049</v>
      </c>
      <c r="B43" t="s">
        <v>4176</v>
      </c>
      <c r="C43" t="s">
        <v>4177</v>
      </c>
      <c r="D43" s="7">
        <v>0</v>
      </c>
      <c r="E43" s="2">
        <v>72300.17</v>
      </c>
      <c r="F43" s="2">
        <v>137.37</v>
      </c>
    </row>
    <row r="44" spans="1:6" x14ac:dyDescent="0.25">
      <c r="A44" t="s">
        <v>4049</v>
      </c>
      <c r="B44" t="s">
        <v>4304</v>
      </c>
      <c r="C44" t="s">
        <v>4177</v>
      </c>
      <c r="D44" s="7">
        <v>0</v>
      </c>
      <c r="E44" s="2">
        <v>50188.55</v>
      </c>
      <c r="F44" s="2">
        <v>95.36</v>
      </c>
    </row>
    <row r="45" spans="1:6" x14ac:dyDescent="0.25">
      <c r="A45" t="s">
        <v>4052</v>
      </c>
      <c r="B45" t="s">
        <v>4317</v>
      </c>
      <c r="C45" t="s">
        <v>287</v>
      </c>
      <c r="D45" s="7">
        <v>0.15</v>
      </c>
      <c r="E45" s="2">
        <v>280401.54</v>
      </c>
      <c r="F45" s="2">
        <v>42060.23</v>
      </c>
    </row>
    <row r="46" spans="1:6" x14ac:dyDescent="0.25">
      <c r="A46" t="s">
        <v>4052</v>
      </c>
      <c r="B46" t="s">
        <v>4306</v>
      </c>
      <c r="C46" t="s">
        <v>287</v>
      </c>
      <c r="D46" s="7">
        <v>0.15</v>
      </c>
      <c r="E46" s="2">
        <v>155433.33</v>
      </c>
      <c r="F46" s="2">
        <v>23315</v>
      </c>
    </row>
    <row r="47" spans="1:6" x14ac:dyDescent="0.25">
      <c r="A47" t="s">
        <v>4052</v>
      </c>
      <c r="B47" t="s">
        <v>4053</v>
      </c>
      <c r="C47" t="s">
        <v>4054</v>
      </c>
      <c r="D47" s="7">
        <v>1</v>
      </c>
      <c r="E47" s="2">
        <v>65607.96</v>
      </c>
      <c r="F47" s="2">
        <v>656.08</v>
      </c>
    </row>
    <row r="48" spans="1:6" x14ac:dyDescent="0.25">
      <c r="A48" t="s">
        <v>4055</v>
      </c>
      <c r="D48" s="7"/>
      <c r="E48" s="2"/>
      <c r="F48" s="2">
        <f>SUBTOTAL(109,A_3_02_05[VALOR PARCIAL])</f>
      </c>
    </row>
    <row r="50" ht="30" customHeight="1" spans="1:6" x14ac:dyDescent="0.25">
      <c r="A50" s="5" t="s">
        <v>7122</v>
      </c>
      <c r="B50" s="5"/>
      <c r="C50" s="5"/>
      <c r="D50" s="5"/>
      <c r="E50" s="5"/>
      <c r="F50" s="5"/>
    </row>
    <row r="51" ht="42" customHeight="1" spans="1:6" x14ac:dyDescent="0.25">
      <c r="A51" s="6" t="s">
        <v>7123</v>
      </c>
      <c r="B51" s="6"/>
      <c r="C51" s="6"/>
      <c r="D51" s="6"/>
      <c r="E51" s="6"/>
      <c r="F51" s="6"/>
    </row>
    <row r="52" spans="1:6" x14ac:dyDescent="0.25">
      <c r="A52" t="s">
        <v>4044</v>
      </c>
      <c r="B52" t="s">
        <v>4045</v>
      </c>
      <c r="C52" t="s">
        <v>5</v>
      </c>
      <c r="D52" t="s">
        <v>4046</v>
      </c>
      <c r="E52" t="s">
        <v>4047</v>
      </c>
      <c r="F52" t="s">
        <v>4048</v>
      </c>
    </row>
    <row r="53" spans="1:6" x14ac:dyDescent="0.25">
      <c r="A53" t="s">
        <v>4062</v>
      </c>
      <c r="B53" t="s">
        <v>7116</v>
      </c>
      <c r="C53" t="s">
        <v>42</v>
      </c>
      <c r="D53" s="7">
        <v>3</v>
      </c>
      <c r="E53" s="2">
        <v>1321</v>
      </c>
      <c r="F53" s="2">
        <v>3963</v>
      </c>
    </row>
    <row r="54" spans="1:6" x14ac:dyDescent="0.25">
      <c r="A54" t="s">
        <v>4062</v>
      </c>
      <c r="B54" t="s">
        <v>7118</v>
      </c>
      <c r="C54" t="s">
        <v>231</v>
      </c>
      <c r="D54" s="7">
        <v>1</v>
      </c>
      <c r="E54" s="2">
        <v>13756</v>
      </c>
      <c r="F54" s="2">
        <v>13756</v>
      </c>
    </row>
    <row r="55" spans="1:6" x14ac:dyDescent="0.25">
      <c r="A55" t="s">
        <v>4049</v>
      </c>
      <c r="B55" t="s">
        <v>4176</v>
      </c>
      <c r="C55" t="s">
        <v>4177</v>
      </c>
      <c r="D55" s="7">
        <v>0.1</v>
      </c>
      <c r="E55" s="2">
        <v>72300.17</v>
      </c>
      <c r="F55" s="2">
        <v>7230.02</v>
      </c>
    </row>
    <row r="56" spans="1:6" x14ac:dyDescent="0.25">
      <c r="A56" t="s">
        <v>4049</v>
      </c>
      <c r="B56" t="s">
        <v>7119</v>
      </c>
      <c r="C56" t="s">
        <v>4177</v>
      </c>
      <c r="D56" s="7">
        <v>0.1</v>
      </c>
      <c r="E56" s="2">
        <v>124137.15</v>
      </c>
      <c r="F56" s="2">
        <v>12413.72</v>
      </c>
    </row>
    <row r="57" spans="1:6" x14ac:dyDescent="0.25">
      <c r="A57" t="s">
        <v>4052</v>
      </c>
      <c r="B57" t="s">
        <v>4305</v>
      </c>
      <c r="C57" t="s">
        <v>287</v>
      </c>
      <c r="D57" s="7">
        <v>0.08</v>
      </c>
      <c r="E57" s="2">
        <v>166043.14</v>
      </c>
      <c r="F57" s="2">
        <v>13831.39</v>
      </c>
    </row>
    <row r="58" spans="1:6" x14ac:dyDescent="0.25">
      <c r="A58" t="s">
        <v>4052</v>
      </c>
      <c r="B58" t="s">
        <v>4084</v>
      </c>
      <c r="C58" t="s">
        <v>287</v>
      </c>
      <c r="D58" s="7">
        <v>0.07</v>
      </c>
      <c r="E58" s="2">
        <v>145366.67</v>
      </c>
      <c r="F58" s="2">
        <v>9695.96</v>
      </c>
    </row>
    <row r="59" spans="1:6" x14ac:dyDescent="0.25">
      <c r="A59" t="s">
        <v>4052</v>
      </c>
      <c r="B59" t="s">
        <v>4123</v>
      </c>
      <c r="C59" t="s">
        <v>287</v>
      </c>
      <c r="D59" s="7">
        <v>0.08</v>
      </c>
      <c r="E59" s="2">
        <v>62400</v>
      </c>
      <c r="F59" s="2">
        <v>5197.92</v>
      </c>
    </row>
    <row r="60" spans="1:6" x14ac:dyDescent="0.25">
      <c r="A60" t="s">
        <v>4052</v>
      </c>
      <c r="B60" t="s">
        <v>4053</v>
      </c>
      <c r="C60" t="s">
        <v>4054</v>
      </c>
      <c r="D60" s="7">
        <v>7.5</v>
      </c>
      <c r="E60" s="2">
        <v>19643.74</v>
      </c>
      <c r="F60" s="2">
        <v>1473.28</v>
      </c>
    </row>
    <row r="61" spans="1:6" x14ac:dyDescent="0.25">
      <c r="A61" t="s">
        <v>4058</v>
      </c>
      <c r="B61" t="s">
        <v>4314</v>
      </c>
      <c r="C61" t="s">
        <v>34</v>
      </c>
      <c r="D61" s="7">
        <v>0.07</v>
      </c>
      <c r="E61" s="2">
        <v>63714</v>
      </c>
      <c r="F61" s="2">
        <v>4249.72</v>
      </c>
    </row>
    <row r="62" spans="1:6" x14ac:dyDescent="0.25">
      <c r="A62" t="s">
        <v>4055</v>
      </c>
      <c r="D62" s="7"/>
      <c r="E62" s="2"/>
      <c r="F62" s="2">
        <f>SUBTOTAL(109,A_3_02_06[VALOR PARCIAL])</f>
      </c>
    </row>
    <row r="64" ht="30" customHeight="1" spans="1:6" x14ac:dyDescent="0.25">
      <c r="A64" s="5" t="s">
        <v>7124</v>
      </c>
      <c r="B64" s="5"/>
      <c r="C64" s="5"/>
      <c r="D64" s="5"/>
      <c r="E64" s="5"/>
      <c r="F64" s="5"/>
    </row>
    <row r="65" ht="42" customHeight="1" spans="1:6" x14ac:dyDescent="0.25">
      <c r="A65" s="6" t="s">
        <v>7125</v>
      </c>
      <c r="B65" s="6"/>
      <c r="C65" s="6"/>
      <c r="D65" s="6"/>
      <c r="E65" s="6"/>
      <c r="F65" s="6"/>
    </row>
    <row r="66" spans="1:6" x14ac:dyDescent="0.25">
      <c r="A66" t="s">
        <v>4044</v>
      </c>
      <c r="B66" t="s">
        <v>4045</v>
      </c>
      <c r="C66" t="s">
        <v>5</v>
      </c>
      <c r="D66" t="s">
        <v>4046</v>
      </c>
      <c r="E66" t="s">
        <v>4047</v>
      </c>
      <c r="F66" t="s">
        <v>4048</v>
      </c>
    </row>
    <row r="67" spans="1:6" x14ac:dyDescent="0.25">
      <c r="A67" t="s">
        <v>4049</v>
      </c>
      <c r="B67" t="s">
        <v>4176</v>
      </c>
      <c r="C67" t="s">
        <v>4177</v>
      </c>
      <c r="D67" s="7">
        <v>0</v>
      </c>
      <c r="E67" s="2">
        <v>72300.17</v>
      </c>
      <c r="F67" s="2">
        <v>303.66</v>
      </c>
    </row>
    <row r="68" spans="1:6" x14ac:dyDescent="0.25">
      <c r="A68" t="s">
        <v>4052</v>
      </c>
      <c r="B68" t="s">
        <v>4118</v>
      </c>
      <c r="C68" t="s">
        <v>287</v>
      </c>
      <c r="D68" s="7">
        <v>0.04</v>
      </c>
      <c r="E68" s="2">
        <v>107433.33</v>
      </c>
      <c r="F68" s="2">
        <v>4512.2</v>
      </c>
    </row>
    <row r="69" spans="1:6" x14ac:dyDescent="0.25">
      <c r="A69" t="s">
        <v>4052</v>
      </c>
      <c r="B69" t="s">
        <v>4053</v>
      </c>
      <c r="C69" t="s">
        <v>4054</v>
      </c>
      <c r="D69" s="7">
        <v>3.3</v>
      </c>
      <c r="E69" s="2">
        <v>303.66</v>
      </c>
      <c r="F69" s="2">
        <v>10.02</v>
      </c>
    </row>
    <row r="70" spans="1:6" x14ac:dyDescent="0.25">
      <c r="A70" t="s">
        <v>4058</v>
      </c>
      <c r="B70" t="s">
        <v>4059</v>
      </c>
      <c r="C70" t="s">
        <v>3545</v>
      </c>
      <c r="D70" s="7">
        <v>6.5</v>
      </c>
      <c r="E70" s="2">
        <v>1325</v>
      </c>
      <c r="F70" s="2">
        <v>8612.5</v>
      </c>
    </row>
    <row r="71" spans="1:6" x14ac:dyDescent="0.25">
      <c r="A71" t="s">
        <v>4055</v>
      </c>
      <c r="D71" s="7"/>
      <c r="E71" s="2"/>
      <c r="F71" s="2">
        <f>SUBTOTAL(109,A_3_02_07[VALOR PARCIAL])</f>
      </c>
    </row>
    <row r="73" ht="30" customHeight="1" spans="1:6" x14ac:dyDescent="0.25">
      <c r="A73" s="5" t="s">
        <v>7126</v>
      </c>
      <c r="B73" s="5"/>
      <c r="C73" s="5"/>
      <c r="D73" s="5"/>
      <c r="E73" s="5"/>
      <c r="F73" s="5"/>
    </row>
    <row r="74" ht="42" customHeight="1" spans="1:6" x14ac:dyDescent="0.25">
      <c r="A74" s="6" t="s">
        <v>7127</v>
      </c>
      <c r="B74" s="6"/>
      <c r="C74" s="6"/>
      <c r="D74" s="6"/>
      <c r="E74" s="6"/>
      <c r="F74" s="6"/>
    </row>
    <row r="75" spans="1:6" x14ac:dyDescent="0.25">
      <c r="A75" t="s">
        <v>4044</v>
      </c>
      <c r="B75" t="s">
        <v>4045</v>
      </c>
      <c r="C75" t="s">
        <v>5</v>
      </c>
      <c r="D75" t="s">
        <v>4046</v>
      </c>
      <c r="E75" t="s">
        <v>4047</v>
      </c>
      <c r="F75" t="s">
        <v>4048</v>
      </c>
    </row>
    <row r="76" spans="1:6" x14ac:dyDescent="0.25">
      <c r="A76" t="s">
        <v>4062</v>
      </c>
      <c r="B76" t="s">
        <v>4921</v>
      </c>
      <c r="C76" t="s">
        <v>63</v>
      </c>
      <c r="D76" s="7">
        <v>1</v>
      </c>
      <c r="E76" s="2">
        <v>426.33</v>
      </c>
      <c r="F76" s="2">
        <v>426.33</v>
      </c>
    </row>
    <row r="77" spans="1:6" x14ac:dyDescent="0.25">
      <c r="A77" t="s">
        <v>4062</v>
      </c>
      <c r="B77" t="s">
        <v>7116</v>
      </c>
      <c r="C77" t="s">
        <v>42</v>
      </c>
      <c r="D77" s="7">
        <v>2</v>
      </c>
      <c r="E77" s="2">
        <v>1321</v>
      </c>
      <c r="F77" s="2">
        <v>2642</v>
      </c>
    </row>
    <row r="78" spans="1:6" x14ac:dyDescent="0.25">
      <c r="A78" t="s">
        <v>4062</v>
      </c>
      <c r="B78" t="s">
        <v>7118</v>
      </c>
      <c r="C78" t="s">
        <v>231</v>
      </c>
      <c r="D78" s="7">
        <v>0.13</v>
      </c>
      <c r="E78" s="2">
        <v>13756</v>
      </c>
      <c r="F78" s="2">
        <v>1719.5</v>
      </c>
    </row>
    <row r="79" spans="1:6" x14ac:dyDescent="0.25">
      <c r="A79" t="s">
        <v>4062</v>
      </c>
      <c r="B79" t="s">
        <v>7128</v>
      </c>
      <c r="C79" t="s">
        <v>42</v>
      </c>
      <c r="D79" s="7">
        <v>0.5</v>
      </c>
      <c r="E79" s="2">
        <v>761.5</v>
      </c>
      <c r="F79" s="2">
        <v>380.75</v>
      </c>
    </row>
    <row r="80" spans="1:6" x14ac:dyDescent="0.25">
      <c r="A80" t="s">
        <v>4049</v>
      </c>
      <c r="B80" t="s">
        <v>4176</v>
      </c>
      <c r="C80" t="s">
        <v>4177</v>
      </c>
      <c r="D80" s="7">
        <v>0.5</v>
      </c>
      <c r="E80" s="2">
        <v>72300.17</v>
      </c>
      <c r="F80" s="2">
        <v>36150.08</v>
      </c>
    </row>
    <row r="81" spans="1:6" x14ac:dyDescent="0.25">
      <c r="A81" t="s">
        <v>4049</v>
      </c>
      <c r="B81" t="s">
        <v>4313</v>
      </c>
      <c r="C81" t="s">
        <v>4177</v>
      </c>
      <c r="D81" s="7">
        <v>0.3</v>
      </c>
      <c r="E81" s="2">
        <v>124137.15</v>
      </c>
      <c r="F81" s="2">
        <v>37241.14</v>
      </c>
    </row>
    <row r="82" spans="1:6" x14ac:dyDescent="0.25">
      <c r="A82" t="s">
        <v>4052</v>
      </c>
      <c r="B82" t="s">
        <v>4123</v>
      </c>
      <c r="C82" t="s">
        <v>287</v>
      </c>
      <c r="D82" s="7">
        <v>0.4</v>
      </c>
      <c r="E82" s="2">
        <v>62400</v>
      </c>
      <c r="F82" s="2">
        <v>24960</v>
      </c>
    </row>
    <row r="83" spans="1:6" x14ac:dyDescent="0.25">
      <c r="A83" t="s">
        <v>4052</v>
      </c>
      <c r="B83" t="s">
        <v>7129</v>
      </c>
      <c r="C83" t="s">
        <v>287</v>
      </c>
      <c r="D83" s="7">
        <v>0.13</v>
      </c>
      <c r="E83" s="2">
        <v>9929.67</v>
      </c>
      <c r="F83" s="2">
        <v>1241.21</v>
      </c>
    </row>
    <row r="84" spans="1:6" x14ac:dyDescent="0.25">
      <c r="A84" t="s">
        <v>4052</v>
      </c>
      <c r="B84" t="s">
        <v>4306</v>
      </c>
      <c r="C84" t="s">
        <v>287</v>
      </c>
      <c r="D84" s="7">
        <v>0.01</v>
      </c>
      <c r="E84" s="2">
        <v>155433.33</v>
      </c>
      <c r="F84" s="2">
        <v>1554.33</v>
      </c>
    </row>
    <row r="85" spans="1:6" x14ac:dyDescent="0.25">
      <c r="A85" t="s">
        <v>4052</v>
      </c>
      <c r="B85" t="s">
        <v>4053</v>
      </c>
      <c r="C85" t="s">
        <v>4054</v>
      </c>
      <c r="D85" s="7">
        <v>3.3</v>
      </c>
      <c r="E85" s="2">
        <v>73391.22</v>
      </c>
      <c r="F85" s="2">
        <v>2421.91</v>
      </c>
    </row>
    <row r="86" spans="1:6" x14ac:dyDescent="0.25">
      <c r="A86" t="s">
        <v>4058</v>
      </c>
      <c r="B86" t="s">
        <v>7130</v>
      </c>
      <c r="C86" t="s">
        <v>34</v>
      </c>
      <c r="D86" s="7">
        <v>1</v>
      </c>
      <c r="E86" s="2">
        <v>22342.27</v>
      </c>
      <c r="F86" s="2">
        <v>22342.27</v>
      </c>
    </row>
    <row r="87" spans="1:6" x14ac:dyDescent="0.25">
      <c r="A87" t="s">
        <v>4058</v>
      </c>
      <c r="B87" t="s">
        <v>4059</v>
      </c>
      <c r="C87" t="s">
        <v>3545</v>
      </c>
      <c r="D87" s="7">
        <v>7</v>
      </c>
      <c r="E87" s="2">
        <v>1325</v>
      </c>
      <c r="F87" s="2">
        <v>9275</v>
      </c>
    </row>
    <row r="88" spans="1:6" x14ac:dyDescent="0.25">
      <c r="A88" t="s">
        <v>4055</v>
      </c>
      <c r="D88" s="7"/>
      <c r="E88" s="2"/>
      <c r="F88" s="2">
        <f>SUBTOTAL(109,A_3_02_08[VALOR PARCIAL])</f>
      </c>
    </row>
    <row r="90" ht="30" customHeight="1" spans="1:6" x14ac:dyDescent="0.25">
      <c r="A90" s="5" t="s">
        <v>7131</v>
      </c>
      <c r="B90" s="5"/>
      <c r="C90" s="5"/>
      <c r="D90" s="5"/>
      <c r="E90" s="5"/>
      <c r="F90" s="5"/>
    </row>
    <row r="91" ht="42" customHeight="1" spans="1:6" x14ac:dyDescent="0.25">
      <c r="A91" s="6" t="s">
        <v>7132</v>
      </c>
      <c r="B91" s="6"/>
      <c r="C91" s="6"/>
      <c r="D91" s="6"/>
      <c r="E91" s="6"/>
      <c r="F91" s="6"/>
    </row>
    <row r="92" spans="1:6" x14ac:dyDescent="0.25">
      <c r="A92" t="s">
        <v>4044</v>
      </c>
      <c r="B92" t="s">
        <v>4045</v>
      </c>
      <c r="C92" t="s">
        <v>5</v>
      </c>
      <c r="D92" t="s">
        <v>4046</v>
      </c>
      <c r="E92" t="s">
        <v>4047</v>
      </c>
      <c r="F92" t="s">
        <v>4048</v>
      </c>
    </row>
    <row r="93" spans="1:6" x14ac:dyDescent="0.25">
      <c r="A93" t="s">
        <v>4062</v>
      </c>
      <c r="B93" t="s">
        <v>4921</v>
      </c>
      <c r="C93" t="s">
        <v>63</v>
      </c>
      <c r="D93" s="7">
        <v>1</v>
      </c>
      <c r="E93" s="2">
        <v>426.33</v>
      </c>
      <c r="F93" s="2">
        <v>426.33</v>
      </c>
    </row>
    <row r="94" spans="1:6" x14ac:dyDescent="0.25">
      <c r="A94" t="s">
        <v>4062</v>
      </c>
      <c r="B94" t="s">
        <v>7116</v>
      </c>
      <c r="C94" t="s">
        <v>42</v>
      </c>
      <c r="D94" s="7">
        <v>4</v>
      </c>
      <c r="E94" s="2">
        <v>1321</v>
      </c>
      <c r="F94" s="2">
        <v>5284</v>
      </c>
    </row>
    <row r="95" spans="1:6" x14ac:dyDescent="0.25">
      <c r="A95" t="s">
        <v>4062</v>
      </c>
      <c r="B95" t="s">
        <v>7118</v>
      </c>
      <c r="C95" t="s">
        <v>231</v>
      </c>
      <c r="D95" s="7">
        <v>0.4</v>
      </c>
      <c r="E95" s="2">
        <v>13756</v>
      </c>
      <c r="F95" s="2">
        <v>5502.4</v>
      </c>
    </row>
    <row r="96" spans="1:6" x14ac:dyDescent="0.25">
      <c r="A96" t="s">
        <v>4062</v>
      </c>
      <c r="B96" t="s">
        <v>7128</v>
      </c>
      <c r="C96" t="s">
        <v>42</v>
      </c>
      <c r="D96" s="7">
        <v>1</v>
      </c>
      <c r="E96" s="2">
        <v>761.5</v>
      </c>
      <c r="F96" s="2">
        <v>761.5</v>
      </c>
    </row>
    <row r="97" spans="1:6" x14ac:dyDescent="0.25">
      <c r="A97" t="s">
        <v>4049</v>
      </c>
      <c r="B97" t="s">
        <v>4176</v>
      </c>
      <c r="C97" t="s">
        <v>4177</v>
      </c>
      <c r="D97" s="7">
        <v>0.17</v>
      </c>
      <c r="E97" s="2">
        <v>72300.17</v>
      </c>
      <c r="F97" s="2">
        <v>12291.03</v>
      </c>
    </row>
    <row r="98" spans="1:6" x14ac:dyDescent="0.25">
      <c r="A98" t="s">
        <v>4049</v>
      </c>
      <c r="B98" t="s">
        <v>4313</v>
      </c>
      <c r="C98" t="s">
        <v>4177</v>
      </c>
      <c r="D98" s="7">
        <v>0.04</v>
      </c>
      <c r="E98" s="2">
        <v>124137.15</v>
      </c>
      <c r="F98" s="2">
        <v>4965.49</v>
      </c>
    </row>
    <row r="99" spans="1:6" x14ac:dyDescent="0.25">
      <c r="A99" t="s">
        <v>4052</v>
      </c>
      <c r="B99" t="s">
        <v>4123</v>
      </c>
      <c r="C99" t="s">
        <v>287</v>
      </c>
      <c r="D99" s="7">
        <v>0.5</v>
      </c>
      <c r="E99" s="2">
        <v>62400</v>
      </c>
      <c r="F99" s="2">
        <v>31200</v>
      </c>
    </row>
    <row r="100" spans="1:6" x14ac:dyDescent="0.25">
      <c r="A100" t="s">
        <v>4052</v>
      </c>
      <c r="B100" t="s">
        <v>4118</v>
      </c>
      <c r="C100" t="s">
        <v>287</v>
      </c>
      <c r="D100" s="7">
        <v>0.07</v>
      </c>
      <c r="E100" s="2">
        <v>107433.33</v>
      </c>
      <c r="F100" s="2">
        <v>7165.8</v>
      </c>
    </row>
    <row r="101" spans="1:6" x14ac:dyDescent="0.25">
      <c r="A101" t="s">
        <v>4052</v>
      </c>
      <c r="B101" t="s">
        <v>4053</v>
      </c>
      <c r="C101" t="s">
        <v>4054</v>
      </c>
      <c r="D101" s="7">
        <v>5</v>
      </c>
      <c r="E101" s="2">
        <v>17256.52</v>
      </c>
      <c r="F101" s="2">
        <v>862.83</v>
      </c>
    </row>
    <row r="102" spans="1:6" x14ac:dyDescent="0.25">
      <c r="A102" t="s">
        <v>4055</v>
      </c>
      <c r="D102" s="7"/>
      <c r="E102" s="2"/>
      <c r="F102" s="2">
        <f>SUBTOTAL(109,A_3_02_09[VALOR PARCIAL])</f>
      </c>
    </row>
    <row r="104" ht="30" customHeight="1" spans="1:6" x14ac:dyDescent="0.25">
      <c r="A104" s="5" t="s">
        <v>7133</v>
      </c>
      <c r="B104" s="5"/>
      <c r="C104" s="5"/>
      <c r="D104" s="5"/>
      <c r="E104" s="5"/>
      <c r="F104" s="5"/>
    </row>
    <row r="105" ht="42" customHeight="1" spans="1:6" x14ac:dyDescent="0.25">
      <c r="A105" s="6" t="s">
        <v>7134</v>
      </c>
      <c r="B105" s="6"/>
      <c r="C105" s="6"/>
      <c r="D105" s="6"/>
      <c r="E105" s="6"/>
      <c r="F105" s="6"/>
    </row>
    <row r="106" spans="1:6" x14ac:dyDescent="0.25">
      <c r="A106" t="s">
        <v>4044</v>
      </c>
      <c r="B106" t="s">
        <v>4045</v>
      </c>
      <c r="C106" t="s">
        <v>5</v>
      </c>
      <c r="D106" t="s">
        <v>4046</v>
      </c>
      <c r="E106" t="s">
        <v>4047</v>
      </c>
      <c r="F106" t="s">
        <v>4048</v>
      </c>
    </row>
    <row r="107" spans="1:6" x14ac:dyDescent="0.25">
      <c r="A107" t="s">
        <v>4062</v>
      </c>
      <c r="B107" t="s">
        <v>7135</v>
      </c>
      <c r="C107" t="s">
        <v>34</v>
      </c>
      <c r="D107" s="7">
        <v>1.3</v>
      </c>
      <c r="E107" s="2">
        <v>58644.33</v>
      </c>
      <c r="F107" s="2">
        <v>76237.63</v>
      </c>
    </row>
    <row r="108" spans="1:6" x14ac:dyDescent="0.25">
      <c r="A108" t="s">
        <v>4049</v>
      </c>
      <c r="B108" t="s">
        <v>4176</v>
      </c>
      <c r="C108" t="s">
        <v>4177</v>
      </c>
      <c r="D108" s="7">
        <v>0.01</v>
      </c>
      <c r="E108" s="2">
        <v>72300.17</v>
      </c>
      <c r="F108" s="2">
        <v>997.74</v>
      </c>
    </row>
    <row r="109" spans="1:6" x14ac:dyDescent="0.25">
      <c r="A109" t="s">
        <v>4049</v>
      </c>
      <c r="B109" t="s">
        <v>4313</v>
      </c>
      <c r="C109" t="s">
        <v>4177</v>
      </c>
      <c r="D109" s="7">
        <v>0</v>
      </c>
      <c r="E109" s="2">
        <v>124137.15</v>
      </c>
      <c r="F109" s="2">
        <v>384.83</v>
      </c>
    </row>
    <row r="110" spans="1:6" x14ac:dyDescent="0.25">
      <c r="A110" t="s">
        <v>4052</v>
      </c>
      <c r="B110" t="s">
        <v>4305</v>
      </c>
      <c r="C110" t="s">
        <v>287</v>
      </c>
      <c r="D110" s="7">
        <v>0.03</v>
      </c>
      <c r="E110" s="2">
        <v>166043.14</v>
      </c>
      <c r="F110" s="2">
        <v>4981.29</v>
      </c>
    </row>
    <row r="111" spans="1:6" x14ac:dyDescent="0.25">
      <c r="A111" t="s">
        <v>4052</v>
      </c>
      <c r="B111" t="s">
        <v>4118</v>
      </c>
      <c r="C111" t="s">
        <v>287</v>
      </c>
      <c r="D111" s="7">
        <v>0.03</v>
      </c>
      <c r="E111" s="2">
        <v>107433.33</v>
      </c>
      <c r="F111" s="2">
        <v>3223</v>
      </c>
    </row>
    <row r="112" spans="1:6" x14ac:dyDescent="0.25">
      <c r="A112" t="s">
        <v>4052</v>
      </c>
      <c r="B112" t="s">
        <v>4081</v>
      </c>
      <c r="C112" t="s">
        <v>287</v>
      </c>
      <c r="D112" s="7">
        <v>0.03</v>
      </c>
      <c r="E112" s="2">
        <v>98968.79</v>
      </c>
      <c r="F112" s="2">
        <v>2969.06</v>
      </c>
    </row>
    <row r="113" spans="1:6" x14ac:dyDescent="0.25">
      <c r="A113" t="s">
        <v>4055</v>
      </c>
      <c r="D113" s="7"/>
      <c r="E113" s="2"/>
      <c r="F113" s="2">
        <f>SUBTOTAL(109,A_3_02_10[VALOR PARCIAL])</f>
      </c>
    </row>
    <row r="115" ht="30" customHeight="1" spans="1:6" x14ac:dyDescent="0.25">
      <c r="A115" s="5" t="s">
        <v>7136</v>
      </c>
      <c r="B115" s="5"/>
      <c r="C115" s="5"/>
      <c r="D115" s="5"/>
      <c r="E115" s="5"/>
      <c r="F115" s="5"/>
    </row>
    <row r="116" ht="42" customHeight="1" spans="1:6" x14ac:dyDescent="0.25">
      <c r="A116" s="6" t="s">
        <v>7137</v>
      </c>
      <c r="B116" s="6"/>
      <c r="C116" s="6"/>
      <c r="D116" s="6"/>
      <c r="E116" s="6"/>
      <c r="F116" s="6"/>
    </row>
    <row r="117" spans="1:6" x14ac:dyDescent="0.25">
      <c r="A117" t="s">
        <v>4044</v>
      </c>
      <c r="B117" t="s">
        <v>4045</v>
      </c>
      <c r="C117" t="s">
        <v>5</v>
      </c>
      <c r="D117" t="s">
        <v>4046</v>
      </c>
      <c r="E117" t="s">
        <v>4047</v>
      </c>
      <c r="F117" t="s">
        <v>4048</v>
      </c>
    </row>
    <row r="118" spans="1:6" x14ac:dyDescent="0.25">
      <c r="A118" t="s">
        <v>4062</v>
      </c>
      <c r="B118" t="s">
        <v>7135</v>
      </c>
      <c r="C118" t="s">
        <v>34</v>
      </c>
      <c r="D118" s="7">
        <v>1.1</v>
      </c>
      <c r="E118" s="2">
        <v>58644.33</v>
      </c>
      <c r="F118" s="2">
        <v>64508.76</v>
      </c>
    </row>
    <row r="119" spans="1:6" x14ac:dyDescent="0.25">
      <c r="A119" t="s">
        <v>4049</v>
      </c>
      <c r="B119" t="s">
        <v>4176</v>
      </c>
      <c r="C119" t="s">
        <v>4177</v>
      </c>
      <c r="D119" s="7">
        <v>0</v>
      </c>
      <c r="E119" s="2">
        <v>72300.17</v>
      </c>
      <c r="F119" s="2">
        <v>224.13</v>
      </c>
    </row>
    <row r="120" spans="1:6" x14ac:dyDescent="0.25">
      <c r="A120" t="s">
        <v>4049</v>
      </c>
      <c r="B120" t="s">
        <v>4313</v>
      </c>
      <c r="C120" t="s">
        <v>4177</v>
      </c>
      <c r="D120" s="7">
        <v>0</v>
      </c>
      <c r="E120" s="2">
        <v>124137.15</v>
      </c>
      <c r="F120" s="2">
        <v>384.83</v>
      </c>
    </row>
    <row r="121" spans="1:6" x14ac:dyDescent="0.25">
      <c r="A121" t="s">
        <v>4052</v>
      </c>
      <c r="B121" t="s">
        <v>4305</v>
      </c>
      <c r="C121" t="s">
        <v>287</v>
      </c>
      <c r="D121" s="7">
        <v>0.03</v>
      </c>
      <c r="E121" s="2">
        <v>166043.14</v>
      </c>
      <c r="F121" s="2">
        <v>4981.29</v>
      </c>
    </row>
    <row r="122" spans="1:6" x14ac:dyDescent="0.25">
      <c r="A122" t="s">
        <v>4052</v>
      </c>
      <c r="B122" t="s">
        <v>4118</v>
      </c>
      <c r="C122" t="s">
        <v>287</v>
      </c>
      <c r="D122" s="7">
        <v>0.03</v>
      </c>
      <c r="E122" s="2">
        <v>107433.33</v>
      </c>
      <c r="F122" s="2">
        <v>3223</v>
      </c>
    </row>
    <row r="123" spans="1:6" x14ac:dyDescent="0.25">
      <c r="A123" t="s">
        <v>4055</v>
      </c>
      <c r="D123" s="7"/>
      <c r="E123" s="2"/>
      <c r="F123" s="2">
        <f>SUBTOTAL(109,A_3_02_11[VALOR PARCIAL])</f>
      </c>
    </row>
    <row r="125" ht="30" customHeight="1" spans="1:6" x14ac:dyDescent="0.25">
      <c r="A125" s="5" t="s">
        <v>7138</v>
      </c>
      <c r="B125" s="5"/>
      <c r="C125" s="5"/>
      <c r="D125" s="5"/>
      <c r="E125" s="5"/>
      <c r="F125" s="5"/>
    </row>
    <row r="126" ht="42" customHeight="1" spans="1:6" x14ac:dyDescent="0.25">
      <c r="A126" s="6" t="s">
        <v>7139</v>
      </c>
      <c r="B126" s="6"/>
      <c r="C126" s="6"/>
      <c r="D126" s="6"/>
      <c r="E126" s="6"/>
      <c r="F126" s="6"/>
    </row>
    <row r="127" spans="1:6" x14ac:dyDescent="0.25">
      <c r="A127" t="s">
        <v>4044</v>
      </c>
      <c r="B127" t="s">
        <v>4045</v>
      </c>
      <c r="C127" t="s">
        <v>5</v>
      </c>
      <c r="D127" t="s">
        <v>4046</v>
      </c>
      <c r="E127" t="s">
        <v>4047</v>
      </c>
      <c r="F127" t="s">
        <v>4048</v>
      </c>
    </row>
    <row r="128" spans="1:6" x14ac:dyDescent="0.25">
      <c r="A128" t="s">
        <v>4049</v>
      </c>
      <c r="B128" t="s">
        <v>4176</v>
      </c>
      <c r="C128" t="s">
        <v>4177</v>
      </c>
      <c r="D128" s="7">
        <v>0</v>
      </c>
      <c r="E128" s="2">
        <v>72300.17</v>
      </c>
      <c r="F128" s="2">
        <v>180.75</v>
      </c>
    </row>
    <row r="129" spans="1:6" x14ac:dyDescent="0.25">
      <c r="A129" t="s">
        <v>4049</v>
      </c>
      <c r="B129" t="s">
        <v>4313</v>
      </c>
      <c r="C129" t="s">
        <v>4177</v>
      </c>
      <c r="D129" s="7">
        <v>0</v>
      </c>
      <c r="E129" s="2">
        <v>124137.15</v>
      </c>
      <c r="F129" s="2">
        <v>310.34</v>
      </c>
    </row>
    <row r="130" spans="1:6" x14ac:dyDescent="0.25">
      <c r="A130" t="s">
        <v>4052</v>
      </c>
      <c r="B130" t="s">
        <v>4077</v>
      </c>
      <c r="C130" t="s">
        <v>287</v>
      </c>
      <c r="D130" s="7">
        <v>0.03</v>
      </c>
      <c r="E130" s="2">
        <v>74712.95</v>
      </c>
      <c r="F130" s="2">
        <v>2487.94</v>
      </c>
    </row>
    <row r="131" spans="1:6" x14ac:dyDescent="0.25">
      <c r="A131" t="s">
        <v>4052</v>
      </c>
      <c r="B131" t="s">
        <v>4078</v>
      </c>
      <c r="C131" t="s">
        <v>287</v>
      </c>
      <c r="D131" s="7">
        <v>0.03</v>
      </c>
      <c r="E131" s="2">
        <v>157100</v>
      </c>
      <c r="F131" s="2">
        <v>5231.43</v>
      </c>
    </row>
    <row r="132" spans="1:6" x14ac:dyDescent="0.25">
      <c r="A132" t="s">
        <v>4052</v>
      </c>
      <c r="B132" t="s">
        <v>4118</v>
      </c>
      <c r="C132" t="s">
        <v>287</v>
      </c>
      <c r="D132" s="7">
        <v>0.03</v>
      </c>
      <c r="E132" s="2">
        <v>107433.33</v>
      </c>
      <c r="F132" s="2">
        <v>3577.53</v>
      </c>
    </row>
    <row r="133" spans="1:6" x14ac:dyDescent="0.25">
      <c r="A133" t="s">
        <v>4052</v>
      </c>
      <c r="B133" t="s">
        <v>4081</v>
      </c>
      <c r="C133" t="s">
        <v>287</v>
      </c>
      <c r="D133" s="7">
        <v>0.03</v>
      </c>
      <c r="E133" s="2">
        <v>98968.79</v>
      </c>
      <c r="F133" s="2">
        <v>3295.66</v>
      </c>
    </row>
    <row r="134" spans="1:6" x14ac:dyDescent="0.25">
      <c r="A134" t="s">
        <v>4055</v>
      </c>
      <c r="D134" s="7"/>
      <c r="E134" s="2"/>
      <c r="F134" s="2">
        <f>SUBTOTAL(109,A_3_02_12[VALOR PARCIAL])</f>
      </c>
    </row>
  </sheetData>
  <mergeCells count="24">
    <mergeCell ref="A4:F4"/>
    <mergeCell ref="A5:F5"/>
    <mergeCell ref="A11:F11"/>
    <mergeCell ref="A12:F12"/>
    <mergeCell ref="A21:F21"/>
    <mergeCell ref="A22:F22"/>
    <mergeCell ref="A28:F28"/>
    <mergeCell ref="A29:F29"/>
    <mergeCell ref="A40:F40"/>
    <mergeCell ref="A41:F41"/>
    <mergeCell ref="A50:F50"/>
    <mergeCell ref="A51:F51"/>
    <mergeCell ref="A64:F64"/>
    <mergeCell ref="A65:F65"/>
    <mergeCell ref="A73:F73"/>
    <mergeCell ref="A74:F74"/>
    <mergeCell ref="A90:F90"/>
    <mergeCell ref="A91:F91"/>
    <mergeCell ref="A104:F104"/>
    <mergeCell ref="A105:F105"/>
    <mergeCell ref="A115:F115"/>
    <mergeCell ref="A116:F116"/>
    <mergeCell ref="A125:F125"/>
    <mergeCell ref="A126:F126"/>
  </mergeCells>
  <pageMargins left="0.7" right="0.7" top="0.75" bottom="0.75" header="0.3" footer="0.3"/>
  <pageSetup orientation="portrait" horizontalDpi="4294967295" verticalDpi="4294967295" scale="100" fitToWidth="1" fitToHeight="1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7140</v>
      </c>
    </row>
    <row r="2" spans="1:1" x14ac:dyDescent="0.25">
      <c r="A2" s="4" t="s">
        <v>6853</v>
      </c>
    </row>
    <row r="4" ht="30" customHeight="1" spans="1:6" x14ac:dyDescent="0.25">
      <c r="A4" s="5" t="s">
        <v>7141</v>
      </c>
      <c r="B4" s="5"/>
      <c r="C4" s="5"/>
      <c r="D4" s="5"/>
      <c r="E4" s="5"/>
      <c r="F4" s="5"/>
    </row>
    <row r="5" ht="42" customHeight="1" spans="1:6" x14ac:dyDescent="0.25">
      <c r="A5" s="6" t="s">
        <v>7142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4290</v>
      </c>
      <c r="C7" t="s">
        <v>42</v>
      </c>
      <c r="D7" s="7">
        <v>2</v>
      </c>
      <c r="E7" s="2">
        <v>4500</v>
      </c>
      <c r="F7" s="2">
        <v>9000</v>
      </c>
    </row>
    <row r="8" spans="1:6" x14ac:dyDescent="0.25">
      <c r="A8" t="s">
        <v>4062</v>
      </c>
      <c r="B8" t="s">
        <v>4300</v>
      </c>
      <c r="C8" t="s">
        <v>63</v>
      </c>
      <c r="D8" s="7">
        <v>1</v>
      </c>
      <c r="E8" s="2">
        <v>107814</v>
      </c>
      <c r="F8" s="2">
        <v>107814</v>
      </c>
    </row>
    <row r="9" spans="1:6" x14ac:dyDescent="0.25">
      <c r="A9" t="s">
        <v>4062</v>
      </c>
      <c r="B9" t="s">
        <v>4277</v>
      </c>
      <c r="C9" t="s">
        <v>34</v>
      </c>
      <c r="D9" s="7">
        <v>1.05</v>
      </c>
      <c r="E9" s="2">
        <v>50575</v>
      </c>
      <c r="F9" s="2">
        <v>53103.75</v>
      </c>
    </row>
    <row r="10" spans="1:6" x14ac:dyDescent="0.25">
      <c r="A10" t="s">
        <v>4062</v>
      </c>
      <c r="B10" t="s">
        <v>7143</v>
      </c>
      <c r="C10" t="s">
        <v>231</v>
      </c>
      <c r="D10" s="7">
        <v>0.5</v>
      </c>
      <c r="E10" s="2">
        <v>4293.67</v>
      </c>
      <c r="F10" s="2">
        <v>2146.84</v>
      </c>
    </row>
    <row r="11" spans="1:6" x14ac:dyDescent="0.25">
      <c r="A11" t="s">
        <v>4049</v>
      </c>
      <c r="B11" t="s">
        <v>4176</v>
      </c>
      <c r="C11" t="s">
        <v>4177</v>
      </c>
      <c r="D11" s="7">
        <v>0.2</v>
      </c>
      <c r="E11" s="2">
        <v>72300.17</v>
      </c>
      <c r="F11" s="2">
        <v>14460.03</v>
      </c>
    </row>
    <row r="12" spans="1:6" x14ac:dyDescent="0.25">
      <c r="A12" t="s">
        <v>4049</v>
      </c>
      <c r="B12" t="s">
        <v>4313</v>
      </c>
      <c r="C12" t="s">
        <v>4177</v>
      </c>
      <c r="D12" s="7">
        <v>0.2</v>
      </c>
      <c r="E12" s="2">
        <v>124137.15</v>
      </c>
      <c r="F12" s="2">
        <v>24827.43</v>
      </c>
    </row>
    <row r="13" spans="1:6" x14ac:dyDescent="0.25">
      <c r="A13" t="s">
        <v>4052</v>
      </c>
      <c r="B13" t="s">
        <v>4053</v>
      </c>
      <c r="C13" t="s">
        <v>4054</v>
      </c>
      <c r="D13" s="7">
        <v>6.7</v>
      </c>
      <c r="E13" s="2">
        <v>39287.46</v>
      </c>
      <c r="F13" s="2">
        <v>2632.26</v>
      </c>
    </row>
    <row r="14" spans="1:6" x14ac:dyDescent="0.25">
      <c r="A14" t="s">
        <v>4055</v>
      </c>
      <c r="D14" s="7"/>
      <c r="E14" s="2"/>
      <c r="F14" s="2">
        <f>SUBTOTAL(109,A_3_03_01[VALOR PARCIAL])</f>
      </c>
    </row>
    <row r="16" ht="30" customHeight="1" spans="1:6" x14ac:dyDescent="0.25">
      <c r="A16" s="5" t="s">
        <v>7144</v>
      </c>
      <c r="B16" s="5"/>
      <c r="C16" s="5"/>
      <c r="D16" s="5"/>
      <c r="E16" s="5"/>
      <c r="F16" s="5"/>
    </row>
    <row r="17" ht="42" customHeight="1" spans="1:6" x14ac:dyDescent="0.25">
      <c r="A17" s="6" t="s">
        <v>7145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4062</v>
      </c>
      <c r="B19" t="s">
        <v>7146</v>
      </c>
      <c r="C19" t="s">
        <v>21</v>
      </c>
      <c r="D19" s="7">
        <v>3.5</v>
      </c>
      <c r="E19" s="2">
        <v>5694.67</v>
      </c>
      <c r="F19" s="2">
        <v>19931.35</v>
      </c>
    </row>
    <row r="20" spans="1:6" x14ac:dyDescent="0.25">
      <c r="A20" t="s">
        <v>4062</v>
      </c>
      <c r="B20" t="s">
        <v>4369</v>
      </c>
      <c r="C20" t="s">
        <v>34</v>
      </c>
      <c r="D20" s="7">
        <v>0.8</v>
      </c>
      <c r="E20" s="2">
        <v>89250</v>
      </c>
      <c r="F20" s="2">
        <v>71400</v>
      </c>
    </row>
    <row r="21" spans="1:6" x14ac:dyDescent="0.25">
      <c r="A21" t="s">
        <v>4062</v>
      </c>
      <c r="B21" t="s">
        <v>7147</v>
      </c>
      <c r="C21" t="s">
        <v>34</v>
      </c>
      <c r="D21" s="7">
        <v>0.1</v>
      </c>
      <c r="E21" s="2">
        <v>30214.05</v>
      </c>
      <c r="F21" s="2">
        <v>3021.41</v>
      </c>
    </row>
    <row r="22" spans="1:6" x14ac:dyDescent="0.25">
      <c r="A22" t="s">
        <v>4062</v>
      </c>
      <c r="B22" t="s">
        <v>7148</v>
      </c>
      <c r="C22" t="s">
        <v>34</v>
      </c>
      <c r="D22" s="7">
        <v>0.4</v>
      </c>
      <c r="E22" s="2">
        <v>47600</v>
      </c>
      <c r="F22" s="2">
        <v>19040</v>
      </c>
    </row>
    <row r="23" spans="1:6" x14ac:dyDescent="0.25">
      <c r="A23" t="s">
        <v>4049</v>
      </c>
      <c r="B23" t="s">
        <v>4176</v>
      </c>
      <c r="C23" t="s">
        <v>4177</v>
      </c>
      <c r="D23" s="7">
        <v>0.75</v>
      </c>
      <c r="E23" s="2">
        <v>72300.17</v>
      </c>
      <c r="F23" s="2">
        <v>54225.13</v>
      </c>
    </row>
    <row r="24" spans="1:6" x14ac:dyDescent="0.25">
      <c r="A24" t="s">
        <v>4049</v>
      </c>
      <c r="B24" t="s">
        <v>4313</v>
      </c>
      <c r="C24" t="s">
        <v>4177</v>
      </c>
      <c r="D24" s="7">
        <v>0.25</v>
      </c>
      <c r="E24" s="2">
        <v>124137.15</v>
      </c>
      <c r="F24" s="2">
        <v>31034.29</v>
      </c>
    </row>
    <row r="25" spans="1:6" x14ac:dyDescent="0.25">
      <c r="A25" t="s">
        <v>4052</v>
      </c>
      <c r="B25" t="s">
        <v>4053</v>
      </c>
      <c r="C25" t="s">
        <v>4054</v>
      </c>
      <c r="D25" s="7">
        <v>3.3</v>
      </c>
      <c r="E25" s="2">
        <v>85259.42</v>
      </c>
      <c r="F25" s="2">
        <v>2813.56</v>
      </c>
    </row>
    <row r="26" spans="1:6" x14ac:dyDescent="0.25">
      <c r="A26" t="s">
        <v>4055</v>
      </c>
      <c r="D26" s="7"/>
      <c r="E26" s="2"/>
      <c r="F26" s="2">
        <f>SUBTOTAL(109,A_3_03_02[VALOR PARCIAL])</f>
      </c>
    </row>
    <row r="28" ht="30" customHeight="1" spans="1:6" x14ac:dyDescent="0.25">
      <c r="A28" s="5" t="s">
        <v>7149</v>
      </c>
      <c r="B28" s="5"/>
      <c r="C28" s="5"/>
      <c r="D28" s="5"/>
      <c r="E28" s="5"/>
      <c r="F28" s="5"/>
    </row>
    <row r="29" ht="42" customHeight="1" spans="1:6" x14ac:dyDescent="0.25">
      <c r="A29" s="6" t="s">
        <v>7150</v>
      </c>
      <c r="B29" s="6"/>
      <c r="C29" s="6"/>
      <c r="D29" s="6"/>
      <c r="E29" s="6"/>
      <c r="F29" s="6"/>
    </row>
    <row r="30" spans="1:6" x14ac:dyDescent="0.25">
      <c r="A30" t="s">
        <v>4044</v>
      </c>
      <c r="B30" t="s">
        <v>4045</v>
      </c>
      <c r="C30" t="s">
        <v>5</v>
      </c>
      <c r="D30" t="s">
        <v>4046</v>
      </c>
      <c r="E30" t="s">
        <v>4047</v>
      </c>
      <c r="F30" t="s">
        <v>4048</v>
      </c>
    </row>
    <row r="31" spans="1:6" x14ac:dyDescent="0.25">
      <c r="A31" t="s">
        <v>4062</v>
      </c>
      <c r="B31" t="s">
        <v>4298</v>
      </c>
      <c r="C31" t="s">
        <v>42</v>
      </c>
      <c r="D31" s="7">
        <v>5</v>
      </c>
      <c r="E31" s="2">
        <v>6466.67</v>
      </c>
      <c r="F31" s="2">
        <v>32333.35</v>
      </c>
    </row>
    <row r="32" spans="1:6" x14ac:dyDescent="0.25">
      <c r="A32" t="s">
        <v>4062</v>
      </c>
      <c r="B32" t="s">
        <v>4299</v>
      </c>
      <c r="C32" t="s">
        <v>63</v>
      </c>
      <c r="D32" s="7">
        <v>0.4</v>
      </c>
      <c r="E32" s="2">
        <v>9284.05</v>
      </c>
      <c r="F32" s="2">
        <v>3713.62</v>
      </c>
    </row>
    <row r="33" spans="1:6" x14ac:dyDescent="0.25">
      <c r="A33" t="s">
        <v>4062</v>
      </c>
      <c r="B33" t="s">
        <v>7151</v>
      </c>
      <c r="C33" t="s">
        <v>63</v>
      </c>
      <c r="D33" s="7">
        <v>0.5</v>
      </c>
      <c r="E33" s="2">
        <v>76529</v>
      </c>
      <c r="F33" s="2">
        <v>38264.5</v>
      </c>
    </row>
    <row r="34" spans="1:6" x14ac:dyDescent="0.25">
      <c r="A34" t="s">
        <v>4062</v>
      </c>
      <c r="B34" t="s">
        <v>4277</v>
      </c>
      <c r="C34" t="s">
        <v>34</v>
      </c>
      <c r="D34" s="7">
        <v>1.2</v>
      </c>
      <c r="E34" s="2">
        <v>50575</v>
      </c>
      <c r="F34" s="2">
        <v>60690</v>
      </c>
    </row>
    <row r="35" spans="1:6" x14ac:dyDescent="0.25">
      <c r="A35" t="s">
        <v>4062</v>
      </c>
      <c r="B35" t="s">
        <v>4065</v>
      </c>
      <c r="C35" t="s">
        <v>4066</v>
      </c>
      <c r="D35" s="7">
        <v>0.3</v>
      </c>
      <c r="E35" s="2">
        <v>3433</v>
      </c>
      <c r="F35" s="2">
        <v>1029.9</v>
      </c>
    </row>
    <row r="36" spans="1:6" x14ac:dyDescent="0.25">
      <c r="A36" t="s">
        <v>4062</v>
      </c>
      <c r="B36" t="s">
        <v>4301</v>
      </c>
      <c r="C36" t="s">
        <v>231</v>
      </c>
      <c r="D36" s="7">
        <v>1.4</v>
      </c>
      <c r="E36" s="2">
        <v>4850</v>
      </c>
      <c r="F36" s="2">
        <v>6790</v>
      </c>
    </row>
    <row r="37" spans="1:6" x14ac:dyDescent="0.25">
      <c r="A37" t="s">
        <v>4049</v>
      </c>
      <c r="B37" t="s">
        <v>4050</v>
      </c>
      <c r="C37" t="s">
        <v>4051</v>
      </c>
      <c r="D37" s="7">
        <v>4.25</v>
      </c>
      <c r="E37" s="2">
        <v>9037.33</v>
      </c>
      <c r="F37" s="2">
        <v>38408.65</v>
      </c>
    </row>
    <row r="38" spans="1:6" x14ac:dyDescent="0.25">
      <c r="A38" t="s">
        <v>4049</v>
      </c>
      <c r="B38" t="s">
        <v>4073</v>
      </c>
      <c r="C38" t="s">
        <v>4051</v>
      </c>
      <c r="D38" s="7">
        <v>0.85</v>
      </c>
      <c r="E38" s="2">
        <v>15517.89</v>
      </c>
      <c r="F38" s="2">
        <v>13190.21</v>
      </c>
    </row>
    <row r="39" spans="1:6" x14ac:dyDescent="0.25">
      <c r="A39" t="s">
        <v>4052</v>
      </c>
      <c r="B39" t="s">
        <v>4053</v>
      </c>
      <c r="C39" t="s">
        <v>4054</v>
      </c>
      <c r="D39" s="7">
        <v>3</v>
      </c>
      <c r="E39" s="2">
        <v>51598.86</v>
      </c>
      <c r="F39" s="2">
        <v>1547.97</v>
      </c>
    </row>
    <row r="40" spans="1:6" x14ac:dyDescent="0.25">
      <c r="A40" t="s">
        <v>4055</v>
      </c>
      <c r="D40" s="7"/>
      <c r="E40" s="2"/>
      <c r="F40" s="2">
        <f>SUBTOTAL(109,A_3_03_03[VALOR PARCIAL])</f>
      </c>
    </row>
    <row r="42" ht="30" customHeight="1" spans="1:6" x14ac:dyDescent="0.25">
      <c r="A42" s="5" t="s">
        <v>7152</v>
      </c>
      <c r="B42" s="5"/>
      <c r="C42" s="5"/>
      <c r="D42" s="5"/>
      <c r="E42" s="5"/>
      <c r="F42" s="5"/>
    </row>
    <row r="43" ht="42" customHeight="1" spans="1:6" x14ac:dyDescent="0.25">
      <c r="A43" s="6" t="s">
        <v>7153</v>
      </c>
      <c r="B43" s="6"/>
      <c r="C43" s="6"/>
      <c r="D43" s="6"/>
      <c r="E43" s="6"/>
      <c r="F43" s="6"/>
    </row>
    <row r="44" spans="1:6" x14ac:dyDescent="0.25">
      <c r="A44" t="s">
        <v>4044</v>
      </c>
      <c r="B44" t="s">
        <v>4045</v>
      </c>
      <c r="C44" t="s">
        <v>5</v>
      </c>
      <c r="D44" t="s">
        <v>4046</v>
      </c>
      <c r="E44" t="s">
        <v>4047</v>
      </c>
      <c r="F44" t="s">
        <v>4048</v>
      </c>
    </row>
    <row r="45" spans="1:6" x14ac:dyDescent="0.25">
      <c r="A45" t="s">
        <v>4049</v>
      </c>
      <c r="B45" t="s">
        <v>4176</v>
      </c>
      <c r="C45" t="s">
        <v>4177</v>
      </c>
      <c r="D45" s="7">
        <v>0.05</v>
      </c>
      <c r="E45" s="2">
        <v>72300.17</v>
      </c>
      <c r="F45" s="2">
        <v>3615.01</v>
      </c>
    </row>
    <row r="46" spans="1:6" x14ac:dyDescent="0.25">
      <c r="A46" t="s">
        <v>4052</v>
      </c>
      <c r="B46" t="s">
        <v>4053</v>
      </c>
      <c r="C46" t="s">
        <v>4054</v>
      </c>
      <c r="D46" s="7">
        <v>6.4</v>
      </c>
      <c r="E46" s="2">
        <v>3615.01</v>
      </c>
      <c r="F46" s="2">
        <v>231.36</v>
      </c>
    </row>
    <row r="47" spans="1:6" x14ac:dyDescent="0.25">
      <c r="A47" t="s">
        <v>4055</v>
      </c>
      <c r="D47" s="7"/>
      <c r="E47" s="2"/>
      <c r="F47" s="2">
        <f>SUBTOTAL(109,A_3_03_04[VALOR PARCIAL])</f>
      </c>
    </row>
    <row r="49" ht="30" customHeight="1" spans="1:6" x14ac:dyDescent="0.25">
      <c r="A49" s="5" t="s">
        <v>7154</v>
      </c>
      <c r="B49" s="5"/>
      <c r="C49" s="5"/>
      <c r="D49" s="5"/>
      <c r="E49" s="5"/>
      <c r="F49" s="5"/>
    </row>
    <row r="50" ht="42" customHeight="1" spans="1:6" x14ac:dyDescent="0.25">
      <c r="A50" s="6" t="s">
        <v>7155</v>
      </c>
      <c r="B50" s="6"/>
      <c r="C50" s="6"/>
      <c r="D50" s="6"/>
      <c r="E50" s="6"/>
      <c r="F50" s="6"/>
    </row>
    <row r="51" spans="1:6" x14ac:dyDescent="0.25">
      <c r="A51" t="s">
        <v>4044</v>
      </c>
      <c r="B51" t="s">
        <v>4045</v>
      </c>
      <c r="C51" t="s">
        <v>5</v>
      </c>
      <c r="D51" t="s">
        <v>4046</v>
      </c>
      <c r="E51" t="s">
        <v>4047</v>
      </c>
      <c r="F51" t="s">
        <v>4048</v>
      </c>
    </row>
    <row r="52" spans="1:6" x14ac:dyDescent="0.25">
      <c r="A52" t="s">
        <v>4062</v>
      </c>
      <c r="B52" t="s">
        <v>4390</v>
      </c>
      <c r="C52" t="s">
        <v>231</v>
      </c>
      <c r="D52" s="7">
        <v>0.1</v>
      </c>
      <c r="E52" s="2">
        <v>4155</v>
      </c>
      <c r="F52" s="2">
        <v>415.5</v>
      </c>
    </row>
    <row r="53" spans="1:6" x14ac:dyDescent="0.25">
      <c r="A53" t="s">
        <v>4062</v>
      </c>
      <c r="B53" t="s">
        <v>4012</v>
      </c>
      <c r="C53" t="s">
        <v>34</v>
      </c>
      <c r="D53" s="7">
        <v>1.05</v>
      </c>
      <c r="E53" s="2">
        <v>475506.98</v>
      </c>
      <c r="F53" s="2">
        <v>499282.33</v>
      </c>
    </row>
    <row r="54" spans="1:6" x14ac:dyDescent="0.25">
      <c r="A54" t="s">
        <v>4062</v>
      </c>
      <c r="B54" t="s">
        <v>4325</v>
      </c>
      <c r="C54" t="s">
        <v>42</v>
      </c>
      <c r="D54" s="7">
        <v>3</v>
      </c>
      <c r="E54" s="2">
        <v>4947</v>
      </c>
      <c r="F54" s="2">
        <v>14841</v>
      </c>
    </row>
    <row r="55" spans="1:6" x14ac:dyDescent="0.25">
      <c r="A55" t="s">
        <v>4062</v>
      </c>
      <c r="B55" t="s">
        <v>4065</v>
      </c>
      <c r="C55" t="s">
        <v>4066</v>
      </c>
      <c r="D55" s="7">
        <v>0.16</v>
      </c>
      <c r="E55" s="2">
        <v>3433</v>
      </c>
      <c r="F55" s="2">
        <v>549.28</v>
      </c>
    </row>
    <row r="56" spans="1:6" x14ac:dyDescent="0.25">
      <c r="A56" t="s">
        <v>4049</v>
      </c>
      <c r="B56" t="s">
        <v>4176</v>
      </c>
      <c r="C56" t="s">
        <v>4177</v>
      </c>
      <c r="D56" s="7">
        <v>0.3</v>
      </c>
      <c r="E56" s="2">
        <v>72300.17</v>
      </c>
      <c r="F56" s="2">
        <v>21690.05</v>
      </c>
    </row>
    <row r="57" spans="1:6" x14ac:dyDescent="0.25">
      <c r="A57" t="s">
        <v>4049</v>
      </c>
      <c r="B57" t="s">
        <v>4313</v>
      </c>
      <c r="C57" t="s">
        <v>4177</v>
      </c>
      <c r="D57" s="7">
        <v>0.3</v>
      </c>
      <c r="E57" s="2">
        <v>124137.15</v>
      </c>
      <c r="F57" s="2">
        <v>37241.14</v>
      </c>
    </row>
    <row r="58" spans="1:6" x14ac:dyDescent="0.25">
      <c r="A58" t="s">
        <v>4052</v>
      </c>
      <c r="B58" t="s">
        <v>4053</v>
      </c>
      <c r="C58" t="s">
        <v>4054</v>
      </c>
      <c r="D58" s="7">
        <v>3.3</v>
      </c>
      <c r="E58" s="2">
        <v>58931.19</v>
      </c>
      <c r="F58" s="2">
        <v>1944.73</v>
      </c>
    </row>
    <row r="59" spans="1:6" x14ac:dyDescent="0.25">
      <c r="A59" t="s">
        <v>4055</v>
      </c>
      <c r="D59" s="7"/>
      <c r="E59" s="2"/>
      <c r="F59" s="2">
        <f>SUBTOTAL(109,A_3_03_05[VALOR PARCIAL])</f>
      </c>
    </row>
    <row r="61" ht="30" customHeight="1" spans="1:6" x14ac:dyDescent="0.25">
      <c r="A61" s="5" t="s">
        <v>7156</v>
      </c>
      <c r="B61" s="5"/>
      <c r="C61" s="5"/>
      <c r="D61" s="5"/>
      <c r="E61" s="5"/>
      <c r="F61" s="5"/>
    </row>
    <row r="62" ht="42" customHeight="1" spans="1:6" x14ac:dyDescent="0.25">
      <c r="A62" s="6" t="s">
        <v>7157</v>
      </c>
      <c r="B62" s="6"/>
      <c r="C62" s="6"/>
      <c r="D62" s="6"/>
      <c r="E62" s="6"/>
      <c r="F62" s="6"/>
    </row>
    <row r="63" spans="1:6" x14ac:dyDescent="0.25">
      <c r="A63" t="s">
        <v>4044</v>
      </c>
      <c r="B63" t="s">
        <v>4045</v>
      </c>
      <c r="C63" t="s">
        <v>5</v>
      </c>
      <c r="D63" t="s">
        <v>4046</v>
      </c>
      <c r="E63" t="s">
        <v>4047</v>
      </c>
      <c r="F63" t="s">
        <v>4048</v>
      </c>
    </row>
    <row r="64" spans="1:6" x14ac:dyDescent="0.25">
      <c r="A64" t="s">
        <v>4062</v>
      </c>
      <c r="B64" t="s">
        <v>4012</v>
      </c>
      <c r="C64" t="s">
        <v>34</v>
      </c>
      <c r="D64" s="7">
        <v>1</v>
      </c>
      <c r="E64" s="2">
        <v>475506.98</v>
      </c>
      <c r="F64" s="2">
        <v>475506.98</v>
      </c>
    </row>
    <row r="65" spans="1:6" x14ac:dyDescent="0.25">
      <c r="A65" t="s">
        <v>4062</v>
      </c>
      <c r="B65" t="s">
        <v>4400</v>
      </c>
      <c r="C65" t="s">
        <v>42</v>
      </c>
      <c r="D65" s="7">
        <v>0.59</v>
      </c>
      <c r="E65" s="2">
        <v>5286.26</v>
      </c>
      <c r="F65" s="2">
        <v>3118.89</v>
      </c>
    </row>
    <row r="66" spans="1:6" x14ac:dyDescent="0.25">
      <c r="A66" t="s">
        <v>4062</v>
      </c>
      <c r="B66" t="s">
        <v>4070</v>
      </c>
      <c r="C66" t="s">
        <v>42</v>
      </c>
      <c r="D66" s="7">
        <v>1.31</v>
      </c>
      <c r="E66" s="2">
        <v>7381.08</v>
      </c>
      <c r="F66" s="2">
        <v>9669.21</v>
      </c>
    </row>
    <row r="67" spans="1:6" x14ac:dyDescent="0.25">
      <c r="A67" t="s">
        <v>4062</v>
      </c>
      <c r="B67" t="s">
        <v>4071</v>
      </c>
      <c r="C67" t="s">
        <v>42</v>
      </c>
      <c r="D67" s="7">
        <v>0.77</v>
      </c>
      <c r="E67" s="2">
        <v>2555</v>
      </c>
      <c r="F67" s="2">
        <v>1967.35</v>
      </c>
    </row>
    <row r="68" spans="1:6" x14ac:dyDescent="0.25">
      <c r="A68" t="s">
        <v>4062</v>
      </c>
      <c r="B68" t="s">
        <v>4065</v>
      </c>
      <c r="C68" t="s">
        <v>4066</v>
      </c>
      <c r="D68" s="7">
        <v>0.64</v>
      </c>
      <c r="E68" s="2">
        <v>3433</v>
      </c>
      <c r="F68" s="2">
        <v>2197.12</v>
      </c>
    </row>
    <row r="69" spans="1:6" x14ac:dyDescent="0.25">
      <c r="A69" t="s">
        <v>4049</v>
      </c>
      <c r="B69" t="s">
        <v>4176</v>
      </c>
      <c r="C69" t="s">
        <v>4177</v>
      </c>
      <c r="D69" s="7">
        <v>1</v>
      </c>
      <c r="E69" s="2">
        <v>72300.17</v>
      </c>
      <c r="F69" s="2">
        <v>72300.17</v>
      </c>
    </row>
    <row r="70" spans="1:6" x14ac:dyDescent="0.25">
      <c r="A70" t="s">
        <v>4049</v>
      </c>
      <c r="B70" t="s">
        <v>4313</v>
      </c>
      <c r="C70" t="s">
        <v>4177</v>
      </c>
      <c r="D70" s="7">
        <v>0.27</v>
      </c>
      <c r="E70" s="2">
        <v>124137.15</v>
      </c>
      <c r="F70" s="2">
        <v>33517.03</v>
      </c>
    </row>
    <row r="71" spans="1:6" x14ac:dyDescent="0.25">
      <c r="A71" t="s">
        <v>4052</v>
      </c>
      <c r="B71" t="s">
        <v>4414</v>
      </c>
      <c r="C71" t="s">
        <v>4106</v>
      </c>
      <c r="D71" s="7">
        <v>4.5</v>
      </c>
      <c r="E71" s="2">
        <v>5691.28</v>
      </c>
      <c r="F71" s="2">
        <v>25610.76</v>
      </c>
    </row>
    <row r="72" spans="1:6" x14ac:dyDescent="0.25">
      <c r="A72" t="s">
        <v>4052</v>
      </c>
      <c r="B72" t="s">
        <v>4053</v>
      </c>
      <c r="C72" t="s">
        <v>4054</v>
      </c>
      <c r="D72" s="7">
        <v>6.7</v>
      </c>
      <c r="E72" s="2">
        <v>105817.2</v>
      </c>
      <c r="F72" s="2">
        <v>7089.75</v>
      </c>
    </row>
    <row r="73" spans="1:6" x14ac:dyDescent="0.25">
      <c r="A73" t="s">
        <v>4055</v>
      </c>
      <c r="D73" s="7"/>
      <c r="E73" s="2"/>
      <c r="F73" s="2">
        <f>SUBTOTAL(109,A_3_03_06[VALOR PARCIAL])</f>
      </c>
    </row>
    <row r="75" ht="30" customHeight="1" spans="1:6" x14ac:dyDescent="0.25">
      <c r="A75" s="5" t="s">
        <v>7158</v>
      </c>
      <c r="B75" s="5"/>
      <c r="C75" s="5"/>
      <c r="D75" s="5"/>
      <c r="E75" s="5"/>
      <c r="F75" s="5"/>
    </row>
    <row r="76" ht="42" customHeight="1" spans="1:6" x14ac:dyDescent="0.25">
      <c r="A76" s="6" t="s">
        <v>7159</v>
      </c>
      <c r="B76" s="6"/>
      <c r="C76" s="6"/>
      <c r="D76" s="6"/>
      <c r="E76" s="6"/>
      <c r="F76" s="6"/>
    </row>
    <row r="77" spans="1:6" x14ac:dyDescent="0.25">
      <c r="A77" t="s">
        <v>4044</v>
      </c>
      <c r="B77" t="s">
        <v>4045</v>
      </c>
      <c r="C77" t="s">
        <v>5</v>
      </c>
      <c r="D77" t="s">
        <v>4046</v>
      </c>
      <c r="E77" t="s">
        <v>4047</v>
      </c>
      <c r="F77" t="s">
        <v>4048</v>
      </c>
    </row>
    <row r="78" spans="1:6" x14ac:dyDescent="0.25">
      <c r="A78" t="s">
        <v>4062</v>
      </c>
      <c r="B78" t="s">
        <v>3972</v>
      </c>
      <c r="C78" t="s">
        <v>34</v>
      </c>
      <c r="D78" s="7">
        <v>0.12</v>
      </c>
      <c r="E78" s="2">
        <v>470829.15</v>
      </c>
      <c r="F78" s="2">
        <v>56499.5</v>
      </c>
    </row>
    <row r="79" spans="1:6" x14ac:dyDescent="0.25">
      <c r="A79" t="s">
        <v>4062</v>
      </c>
      <c r="B79" t="s">
        <v>4400</v>
      </c>
      <c r="C79" t="s">
        <v>42</v>
      </c>
      <c r="D79" s="7">
        <v>2</v>
      </c>
      <c r="E79" s="2">
        <v>5286.26</v>
      </c>
      <c r="F79" s="2">
        <v>10572.52</v>
      </c>
    </row>
    <row r="80" spans="1:6" x14ac:dyDescent="0.25">
      <c r="A80" t="s">
        <v>4062</v>
      </c>
      <c r="B80" t="s">
        <v>4070</v>
      </c>
      <c r="C80" t="s">
        <v>42</v>
      </c>
      <c r="D80" s="7">
        <v>4</v>
      </c>
      <c r="E80" s="2">
        <v>7381.08</v>
      </c>
      <c r="F80" s="2">
        <v>29524.32</v>
      </c>
    </row>
    <row r="81" spans="1:6" x14ac:dyDescent="0.25">
      <c r="A81" t="s">
        <v>4062</v>
      </c>
      <c r="B81" t="s">
        <v>4071</v>
      </c>
      <c r="C81" t="s">
        <v>42</v>
      </c>
      <c r="D81" s="7">
        <v>0.39</v>
      </c>
      <c r="E81" s="2">
        <v>2555</v>
      </c>
      <c r="F81" s="2">
        <v>996.45</v>
      </c>
    </row>
    <row r="82" spans="1:6" x14ac:dyDescent="0.25">
      <c r="A82" t="s">
        <v>4062</v>
      </c>
      <c r="B82" t="s">
        <v>4300</v>
      </c>
      <c r="C82" t="s">
        <v>63</v>
      </c>
      <c r="D82" s="7">
        <v>0.5</v>
      </c>
      <c r="E82" s="2">
        <v>107814</v>
      </c>
      <c r="F82" s="2">
        <v>53907</v>
      </c>
    </row>
    <row r="83" spans="1:6" x14ac:dyDescent="0.25">
      <c r="A83" t="s">
        <v>4062</v>
      </c>
      <c r="B83" t="s">
        <v>4277</v>
      </c>
      <c r="C83" t="s">
        <v>34</v>
      </c>
      <c r="D83" s="7">
        <v>1</v>
      </c>
      <c r="E83" s="2">
        <v>50575</v>
      </c>
      <c r="F83" s="2">
        <v>50575</v>
      </c>
    </row>
    <row r="84" spans="1:6" x14ac:dyDescent="0.25">
      <c r="A84" t="s">
        <v>4062</v>
      </c>
      <c r="B84" t="s">
        <v>4065</v>
      </c>
      <c r="C84" t="s">
        <v>4066</v>
      </c>
      <c r="D84" s="7">
        <v>0.3</v>
      </c>
      <c r="E84" s="2">
        <v>3433</v>
      </c>
      <c r="F84" s="2">
        <v>1029.9</v>
      </c>
    </row>
    <row r="85" spans="1:6" x14ac:dyDescent="0.25">
      <c r="A85" t="s">
        <v>4062</v>
      </c>
      <c r="B85" t="s">
        <v>4301</v>
      </c>
      <c r="C85" t="s">
        <v>231</v>
      </c>
      <c r="D85" s="7">
        <v>1</v>
      </c>
      <c r="E85" s="2">
        <v>4850</v>
      </c>
      <c r="F85" s="2">
        <v>4850</v>
      </c>
    </row>
    <row r="86" spans="1:6" x14ac:dyDescent="0.25">
      <c r="A86" t="s">
        <v>4049</v>
      </c>
      <c r="B86" t="s">
        <v>4176</v>
      </c>
      <c r="C86" t="s">
        <v>4177</v>
      </c>
      <c r="D86" s="7">
        <v>0.53</v>
      </c>
      <c r="E86" s="2">
        <v>72300.17</v>
      </c>
      <c r="F86" s="2">
        <v>38319.09</v>
      </c>
    </row>
    <row r="87" spans="1:6" x14ac:dyDescent="0.25">
      <c r="A87" t="s">
        <v>4049</v>
      </c>
      <c r="B87" t="s">
        <v>4313</v>
      </c>
      <c r="C87" t="s">
        <v>4177</v>
      </c>
      <c r="D87" s="7">
        <v>0.13</v>
      </c>
      <c r="E87" s="2">
        <v>124137.15</v>
      </c>
      <c r="F87" s="2">
        <v>16137.83</v>
      </c>
    </row>
    <row r="88" spans="1:6" x14ac:dyDescent="0.25">
      <c r="A88" t="s">
        <v>4052</v>
      </c>
      <c r="B88" t="s">
        <v>4414</v>
      </c>
      <c r="C88" t="s">
        <v>4106</v>
      </c>
      <c r="D88" s="7">
        <v>2.5</v>
      </c>
      <c r="E88" s="2">
        <v>5691.28</v>
      </c>
      <c r="F88" s="2">
        <v>14228.2</v>
      </c>
    </row>
    <row r="89" spans="1:6" x14ac:dyDescent="0.25">
      <c r="A89" t="s">
        <v>4052</v>
      </c>
      <c r="B89" t="s">
        <v>4053</v>
      </c>
      <c r="C89" t="s">
        <v>4054</v>
      </c>
      <c r="D89" s="7">
        <v>6.7</v>
      </c>
      <c r="E89" s="2">
        <v>54456.92</v>
      </c>
      <c r="F89" s="2">
        <v>3648.61</v>
      </c>
    </row>
    <row r="90" spans="1:6" x14ac:dyDescent="0.25">
      <c r="A90" t="s">
        <v>4055</v>
      </c>
      <c r="D90" s="7"/>
      <c r="E90" s="2"/>
      <c r="F90" s="2">
        <f>SUBTOTAL(109,A_3_03_07[VALOR PARCIAL])</f>
      </c>
    </row>
    <row r="92" ht="30" customHeight="1" spans="1:6" x14ac:dyDescent="0.25">
      <c r="A92" s="5" t="s">
        <v>7160</v>
      </c>
      <c r="B92" s="5"/>
      <c r="C92" s="5"/>
      <c r="D92" s="5"/>
      <c r="E92" s="5"/>
      <c r="F92" s="5"/>
    </row>
    <row r="93" ht="42" customHeight="1" spans="1:6" x14ac:dyDescent="0.25">
      <c r="A93" s="6" t="s">
        <v>7161</v>
      </c>
      <c r="B93" s="6"/>
      <c r="C93" s="6"/>
      <c r="D93" s="6"/>
      <c r="E93" s="6"/>
      <c r="F93" s="6"/>
    </row>
    <row r="94" spans="1:6" x14ac:dyDescent="0.25">
      <c r="A94" t="s">
        <v>4044</v>
      </c>
      <c r="B94" t="s">
        <v>4045</v>
      </c>
      <c r="C94" t="s">
        <v>5</v>
      </c>
      <c r="D94" t="s">
        <v>4046</v>
      </c>
      <c r="E94" t="s">
        <v>4047</v>
      </c>
      <c r="F94" t="s">
        <v>4048</v>
      </c>
    </row>
    <row r="95" spans="1:6" x14ac:dyDescent="0.25">
      <c r="A95" t="s">
        <v>4062</v>
      </c>
      <c r="B95" t="s">
        <v>7162</v>
      </c>
      <c r="C95" t="s">
        <v>42</v>
      </c>
      <c r="D95" s="7">
        <v>1</v>
      </c>
      <c r="E95" s="2">
        <v>23227</v>
      </c>
      <c r="F95" s="2">
        <v>23227</v>
      </c>
    </row>
    <row r="96" spans="1:6" x14ac:dyDescent="0.25">
      <c r="A96" t="s">
        <v>4062</v>
      </c>
      <c r="B96" t="s">
        <v>4369</v>
      </c>
      <c r="C96" t="s">
        <v>34</v>
      </c>
      <c r="D96" s="7">
        <v>0.03</v>
      </c>
      <c r="E96" s="2">
        <v>89250</v>
      </c>
      <c r="F96" s="2">
        <v>2677.5</v>
      </c>
    </row>
    <row r="97" spans="1:6" x14ac:dyDescent="0.25">
      <c r="A97" t="s">
        <v>4049</v>
      </c>
      <c r="B97" t="s">
        <v>4241</v>
      </c>
      <c r="C97" t="s">
        <v>4051</v>
      </c>
      <c r="D97" s="7">
        <v>0.3</v>
      </c>
      <c r="E97" s="2">
        <v>9941.22</v>
      </c>
      <c r="F97" s="2">
        <v>2982.37</v>
      </c>
    </row>
    <row r="98" spans="1:6" x14ac:dyDescent="0.25">
      <c r="A98" t="s">
        <v>4049</v>
      </c>
      <c r="B98" t="s">
        <v>4242</v>
      </c>
      <c r="C98" t="s">
        <v>4051</v>
      </c>
      <c r="D98" s="7">
        <v>0.3</v>
      </c>
      <c r="E98" s="2">
        <v>17069.53</v>
      </c>
      <c r="F98" s="2">
        <v>5120.86</v>
      </c>
    </row>
    <row r="99" spans="1:6" x14ac:dyDescent="0.25">
      <c r="A99" t="s">
        <v>4052</v>
      </c>
      <c r="B99" t="s">
        <v>4053</v>
      </c>
      <c r="C99" t="s">
        <v>4054</v>
      </c>
      <c r="D99" s="7">
        <v>5</v>
      </c>
      <c r="E99" s="2">
        <v>8103.23</v>
      </c>
      <c r="F99" s="2">
        <v>405.16</v>
      </c>
    </row>
    <row r="100" spans="1:6" x14ac:dyDescent="0.25">
      <c r="A100" t="s">
        <v>4055</v>
      </c>
      <c r="D100" s="7"/>
      <c r="E100" s="2"/>
      <c r="F100" s="2">
        <f>SUBTOTAL(109,A_3_03_08[VALOR PARCIAL])</f>
      </c>
    </row>
    <row r="102" ht="30" customHeight="1" spans="1:6" x14ac:dyDescent="0.25">
      <c r="A102" s="5" t="s">
        <v>7163</v>
      </c>
      <c r="B102" s="5"/>
      <c r="C102" s="5"/>
      <c r="D102" s="5"/>
      <c r="E102" s="5"/>
      <c r="F102" s="5"/>
    </row>
    <row r="103" ht="42" customHeight="1" spans="1:6" x14ac:dyDescent="0.25">
      <c r="A103" s="6" t="s">
        <v>7164</v>
      </c>
      <c r="B103" s="6"/>
      <c r="C103" s="6"/>
      <c r="D103" s="6"/>
      <c r="E103" s="6"/>
      <c r="F103" s="6"/>
    </row>
    <row r="104" spans="1:6" x14ac:dyDescent="0.25">
      <c r="A104" t="s">
        <v>4044</v>
      </c>
      <c r="B104" t="s">
        <v>4045</v>
      </c>
      <c r="C104" t="s">
        <v>5</v>
      </c>
      <c r="D104" t="s">
        <v>4046</v>
      </c>
      <c r="E104" t="s">
        <v>4047</v>
      </c>
      <c r="F104" t="s">
        <v>4048</v>
      </c>
    </row>
    <row r="105" spans="1:6" x14ac:dyDescent="0.25">
      <c r="A105" t="s">
        <v>4062</v>
      </c>
      <c r="B105" t="s">
        <v>7165</v>
      </c>
      <c r="C105" t="s">
        <v>42</v>
      </c>
      <c r="D105" s="7">
        <v>1</v>
      </c>
      <c r="E105" s="2">
        <v>15076</v>
      </c>
      <c r="F105" s="2">
        <v>15076</v>
      </c>
    </row>
    <row r="106" spans="1:6" x14ac:dyDescent="0.25">
      <c r="A106" t="s">
        <v>4049</v>
      </c>
      <c r="B106" t="s">
        <v>7166</v>
      </c>
      <c r="C106" t="s">
        <v>287</v>
      </c>
      <c r="D106" s="7">
        <v>0.8</v>
      </c>
      <c r="E106" s="2">
        <v>181997</v>
      </c>
      <c r="F106" s="2">
        <v>145597.6</v>
      </c>
    </row>
    <row r="107" spans="1:6" x14ac:dyDescent="0.25">
      <c r="A107" t="s">
        <v>4049</v>
      </c>
      <c r="B107" t="s">
        <v>4241</v>
      </c>
      <c r="C107" t="s">
        <v>4051</v>
      </c>
      <c r="D107" s="7">
        <v>1.4</v>
      </c>
      <c r="E107" s="2">
        <v>9941.22</v>
      </c>
      <c r="F107" s="2">
        <v>13917.71</v>
      </c>
    </row>
    <row r="108" spans="1:6" x14ac:dyDescent="0.25">
      <c r="A108" t="s">
        <v>4049</v>
      </c>
      <c r="B108" t="s">
        <v>4242</v>
      </c>
      <c r="C108" t="s">
        <v>4051</v>
      </c>
      <c r="D108" s="7">
        <v>1</v>
      </c>
      <c r="E108" s="2">
        <v>17069.53</v>
      </c>
      <c r="F108" s="2">
        <v>17069.53</v>
      </c>
    </row>
    <row r="109" spans="1:6" x14ac:dyDescent="0.25">
      <c r="A109" t="s">
        <v>4052</v>
      </c>
      <c r="B109" t="s">
        <v>4053</v>
      </c>
      <c r="C109" t="s">
        <v>4054</v>
      </c>
      <c r="D109" s="7">
        <v>5</v>
      </c>
      <c r="E109" s="2">
        <v>30987.24</v>
      </c>
      <c r="F109" s="2">
        <v>1549.36</v>
      </c>
    </row>
    <row r="110" spans="1:6" x14ac:dyDescent="0.25">
      <c r="A110" t="s">
        <v>4055</v>
      </c>
      <c r="D110" s="7"/>
      <c r="E110" s="2"/>
      <c r="F110" s="2">
        <f>SUBTOTAL(109,A_3_03_09[VALOR PARCIAL])</f>
      </c>
    </row>
    <row r="112" ht="30" customHeight="1" spans="1:6" x14ac:dyDescent="0.25">
      <c r="A112" s="5" t="s">
        <v>7167</v>
      </c>
      <c r="B112" s="5"/>
      <c r="C112" s="5"/>
      <c r="D112" s="5"/>
      <c r="E112" s="5"/>
      <c r="F112" s="5"/>
    </row>
    <row r="113" ht="42" customHeight="1" spans="1:6" x14ac:dyDescent="0.25">
      <c r="A113" s="6" t="s">
        <v>7168</v>
      </c>
      <c r="B113" s="6"/>
      <c r="C113" s="6"/>
      <c r="D113" s="6"/>
      <c r="E113" s="6"/>
      <c r="F113" s="6"/>
    </row>
    <row r="114" spans="1:6" x14ac:dyDescent="0.25">
      <c r="A114" t="s">
        <v>4044</v>
      </c>
      <c r="B114" t="s">
        <v>4045</v>
      </c>
      <c r="C114" t="s">
        <v>5</v>
      </c>
      <c r="D114" t="s">
        <v>4046</v>
      </c>
      <c r="E114" t="s">
        <v>4047</v>
      </c>
      <c r="F114" t="s">
        <v>4048</v>
      </c>
    </row>
    <row r="115" spans="1:6" x14ac:dyDescent="0.25">
      <c r="A115" t="s">
        <v>4049</v>
      </c>
      <c r="B115" t="s">
        <v>4176</v>
      </c>
      <c r="C115" t="s">
        <v>4177</v>
      </c>
      <c r="D115" s="7">
        <v>0.3</v>
      </c>
      <c r="E115" s="2">
        <v>72300.17</v>
      </c>
      <c r="F115" s="2">
        <v>21690.05</v>
      </c>
    </row>
    <row r="116" spans="1:6" x14ac:dyDescent="0.25">
      <c r="A116" t="s">
        <v>4049</v>
      </c>
      <c r="B116" t="s">
        <v>4313</v>
      </c>
      <c r="C116" t="s">
        <v>4177</v>
      </c>
      <c r="D116" s="7">
        <v>0.2</v>
      </c>
      <c r="E116" s="2">
        <v>124137.15</v>
      </c>
      <c r="F116" s="2">
        <v>24827.43</v>
      </c>
    </row>
    <row r="117" spans="1:6" x14ac:dyDescent="0.25">
      <c r="A117" t="s">
        <v>4052</v>
      </c>
      <c r="B117" t="s">
        <v>4053</v>
      </c>
      <c r="C117" t="s">
        <v>4054</v>
      </c>
      <c r="D117" s="7">
        <v>5</v>
      </c>
      <c r="E117" s="2">
        <v>46517.48</v>
      </c>
      <c r="F117" s="2">
        <v>2325.87</v>
      </c>
    </row>
    <row r="118" spans="1:6" x14ac:dyDescent="0.25">
      <c r="A118" t="s">
        <v>4055</v>
      </c>
      <c r="D118" s="7"/>
      <c r="E118" s="2"/>
      <c r="F118" s="2">
        <f>SUBTOTAL(109,A_3_03_10[VALOR PARCIAL])</f>
      </c>
    </row>
    <row r="120" ht="30" customHeight="1" spans="1:6" x14ac:dyDescent="0.25">
      <c r="A120" s="5" t="s">
        <v>7169</v>
      </c>
      <c r="B120" s="5"/>
      <c r="C120" s="5"/>
      <c r="D120" s="5"/>
      <c r="E120" s="5"/>
      <c r="F120" s="5"/>
    </row>
    <row r="121" ht="42" customHeight="1" spans="1:6" x14ac:dyDescent="0.25">
      <c r="A121" s="6" t="s">
        <v>7170</v>
      </c>
      <c r="B121" s="6"/>
      <c r="C121" s="6"/>
      <c r="D121" s="6"/>
      <c r="E121" s="6"/>
      <c r="F121" s="6"/>
    </row>
    <row r="122" spans="1:6" x14ac:dyDescent="0.25">
      <c r="A122" t="s">
        <v>4044</v>
      </c>
      <c r="B122" t="s">
        <v>4045</v>
      </c>
      <c r="C122" t="s">
        <v>5</v>
      </c>
      <c r="D122" t="s">
        <v>4046</v>
      </c>
      <c r="E122" t="s">
        <v>4047</v>
      </c>
      <c r="F122" t="s">
        <v>4048</v>
      </c>
    </row>
    <row r="123" spans="1:6" x14ac:dyDescent="0.25">
      <c r="A123" t="s">
        <v>4049</v>
      </c>
      <c r="B123" t="s">
        <v>4176</v>
      </c>
      <c r="C123" t="s">
        <v>4177</v>
      </c>
      <c r="D123" s="7">
        <v>0.5</v>
      </c>
      <c r="E123" s="2">
        <v>72300.17</v>
      </c>
      <c r="F123" s="2">
        <v>36150.08</v>
      </c>
    </row>
    <row r="124" spans="1:6" x14ac:dyDescent="0.25">
      <c r="A124" t="s">
        <v>4049</v>
      </c>
      <c r="B124" t="s">
        <v>4313</v>
      </c>
      <c r="C124" t="s">
        <v>4177</v>
      </c>
      <c r="D124" s="7">
        <v>0.25</v>
      </c>
      <c r="E124" s="2">
        <v>124137.15</v>
      </c>
      <c r="F124" s="2">
        <v>31034.29</v>
      </c>
    </row>
    <row r="125" spans="1:6" x14ac:dyDescent="0.25">
      <c r="A125" t="s">
        <v>4052</v>
      </c>
      <c r="B125" t="s">
        <v>4053</v>
      </c>
      <c r="C125" t="s">
        <v>4054</v>
      </c>
      <c r="D125" s="7">
        <v>3.3</v>
      </c>
      <c r="E125" s="2">
        <v>67184.37</v>
      </c>
      <c r="F125" s="2">
        <v>2217.08</v>
      </c>
    </row>
    <row r="126" spans="1:6" x14ac:dyDescent="0.25">
      <c r="A126" t="s">
        <v>4055</v>
      </c>
      <c r="D126" s="7"/>
      <c r="E126" s="2"/>
      <c r="F126" s="2">
        <f>SUBTOTAL(109,A_3_03_11[VALOR PARCIAL])</f>
      </c>
    </row>
    <row r="128" ht="30" customHeight="1" spans="1:6" x14ac:dyDescent="0.25">
      <c r="A128" s="5" t="s">
        <v>7171</v>
      </c>
      <c r="B128" s="5"/>
      <c r="C128" s="5"/>
      <c r="D128" s="5"/>
      <c r="E128" s="5"/>
      <c r="F128" s="5"/>
    </row>
    <row r="129" ht="42" customHeight="1" spans="1:6" x14ac:dyDescent="0.25">
      <c r="A129" s="6" t="s">
        <v>7172</v>
      </c>
      <c r="B129" s="6"/>
      <c r="C129" s="6"/>
      <c r="D129" s="6"/>
      <c r="E129" s="6"/>
      <c r="F129" s="6"/>
    </row>
    <row r="130" spans="1:6" x14ac:dyDescent="0.25">
      <c r="A130" t="s">
        <v>4044</v>
      </c>
      <c r="B130" t="s">
        <v>4045</v>
      </c>
      <c r="C130" t="s">
        <v>5</v>
      </c>
      <c r="D130" t="s">
        <v>4046</v>
      </c>
      <c r="E130" t="s">
        <v>4047</v>
      </c>
      <c r="F130" t="s">
        <v>4048</v>
      </c>
    </row>
    <row r="131" spans="1:6" x14ac:dyDescent="0.25">
      <c r="A131" t="s">
        <v>4062</v>
      </c>
      <c r="B131" t="s">
        <v>5205</v>
      </c>
      <c r="C131" t="s">
        <v>34</v>
      </c>
      <c r="D131" s="7">
        <v>1.3</v>
      </c>
      <c r="E131" s="2">
        <v>28333.33</v>
      </c>
      <c r="F131" s="2">
        <v>36833.33</v>
      </c>
    </row>
    <row r="132" spans="1:6" x14ac:dyDescent="0.25">
      <c r="A132" t="s">
        <v>4062</v>
      </c>
      <c r="B132" t="s">
        <v>4076</v>
      </c>
      <c r="C132" t="s">
        <v>3963</v>
      </c>
      <c r="D132" s="7">
        <v>25</v>
      </c>
      <c r="E132" s="2">
        <v>21</v>
      </c>
      <c r="F132" s="2">
        <v>525</v>
      </c>
    </row>
    <row r="133" spans="1:6" x14ac:dyDescent="0.25">
      <c r="A133" t="s">
        <v>4049</v>
      </c>
      <c r="B133" t="s">
        <v>4176</v>
      </c>
      <c r="C133" t="s">
        <v>4177</v>
      </c>
      <c r="D133" s="7">
        <v>0.1</v>
      </c>
      <c r="E133" s="2">
        <v>72300.17</v>
      </c>
      <c r="F133" s="2">
        <v>7230.02</v>
      </c>
    </row>
    <row r="134" spans="1:6" x14ac:dyDescent="0.25">
      <c r="A134" t="s">
        <v>4049</v>
      </c>
      <c r="B134" t="s">
        <v>4313</v>
      </c>
      <c r="C134" t="s">
        <v>4177</v>
      </c>
      <c r="D134" s="7">
        <v>0.1</v>
      </c>
      <c r="E134" s="2">
        <v>124137.15</v>
      </c>
      <c r="F134" s="2">
        <v>12413.72</v>
      </c>
    </row>
    <row r="135" spans="1:6" x14ac:dyDescent="0.25">
      <c r="A135" t="s">
        <v>4052</v>
      </c>
      <c r="B135" t="s">
        <v>4084</v>
      </c>
      <c r="C135" t="s">
        <v>287</v>
      </c>
      <c r="D135" s="7">
        <v>0.1</v>
      </c>
      <c r="E135" s="2">
        <v>145366.67</v>
      </c>
      <c r="F135" s="2">
        <v>14536.67</v>
      </c>
    </row>
    <row r="136" spans="1:6" x14ac:dyDescent="0.25">
      <c r="A136" t="s">
        <v>4052</v>
      </c>
      <c r="B136" t="s">
        <v>4077</v>
      </c>
      <c r="C136" t="s">
        <v>287</v>
      </c>
      <c r="D136" s="7">
        <v>0.1</v>
      </c>
      <c r="E136" s="2">
        <v>74712.95</v>
      </c>
      <c r="F136" s="2">
        <v>7471.3</v>
      </c>
    </row>
    <row r="137" spans="1:6" x14ac:dyDescent="0.25">
      <c r="A137" t="s">
        <v>4052</v>
      </c>
      <c r="B137" t="s">
        <v>4342</v>
      </c>
      <c r="C137" t="s">
        <v>287</v>
      </c>
      <c r="D137" s="7">
        <v>0.33</v>
      </c>
      <c r="E137" s="2">
        <v>8333.33</v>
      </c>
      <c r="F137" s="2">
        <v>2775</v>
      </c>
    </row>
    <row r="138" spans="1:6" x14ac:dyDescent="0.25">
      <c r="A138" t="s">
        <v>4052</v>
      </c>
      <c r="B138" t="s">
        <v>4053</v>
      </c>
      <c r="C138" t="s">
        <v>4054</v>
      </c>
      <c r="D138" s="7">
        <v>3.3</v>
      </c>
      <c r="E138" s="2">
        <v>19643.74</v>
      </c>
      <c r="F138" s="2">
        <v>648.24</v>
      </c>
    </row>
    <row r="139" spans="1:6" x14ac:dyDescent="0.25">
      <c r="A139" t="s">
        <v>4055</v>
      </c>
      <c r="D139" s="7"/>
      <c r="E139" s="2"/>
      <c r="F139" s="2">
        <f>SUBTOTAL(109,A_3_03_12[VALOR PARCIAL])</f>
      </c>
    </row>
    <row r="141" ht="30" customHeight="1" spans="1:6" x14ac:dyDescent="0.25">
      <c r="A141" s="5" t="s">
        <v>7173</v>
      </c>
      <c r="B141" s="5"/>
      <c r="C141" s="5"/>
      <c r="D141" s="5"/>
      <c r="E141" s="5"/>
      <c r="F141" s="5"/>
    </row>
    <row r="142" ht="42" customHeight="1" spans="1:6" x14ac:dyDescent="0.25">
      <c r="A142" s="6" t="s">
        <v>7174</v>
      </c>
      <c r="B142" s="6"/>
      <c r="C142" s="6"/>
      <c r="D142" s="6"/>
      <c r="E142" s="6"/>
      <c r="F142" s="6"/>
    </row>
    <row r="143" spans="1:6" x14ac:dyDescent="0.25">
      <c r="A143" t="s">
        <v>4044</v>
      </c>
      <c r="B143" t="s">
        <v>4045</v>
      </c>
      <c r="C143" t="s">
        <v>5</v>
      </c>
      <c r="D143" t="s">
        <v>4046</v>
      </c>
      <c r="E143" t="s">
        <v>4047</v>
      </c>
      <c r="F143" t="s">
        <v>4048</v>
      </c>
    </row>
    <row r="144" spans="1:6" x14ac:dyDescent="0.25">
      <c r="A144" t="s">
        <v>4062</v>
      </c>
      <c r="B144" t="s">
        <v>7175</v>
      </c>
      <c r="C144" t="s">
        <v>21</v>
      </c>
      <c r="D144" s="7">
        <v>6</v>
      </c>
      <c r="E144" s="2">
        <v>6756.91</v>
      </c>
      <c r="F144" s="2">
        <v>40541.46</v>
      </c>
    </row>
    <row r="145" spans="1:6" x14ac:dyDescent="0.25">
      <c r="A145" t="s">
        <v>4062</v>
      </c>
      <c r="B145" t="s">
        <v>7176</v>
      </c>
      <c r="C145" t="s">
        <v>34</v>
      </c>
      <c r="D145" s="7">
        <v>1.3</v>
      </c>
      <c r="E145" s="2">
        <v>39666.67</v>
      </c>
      <c r="F145" s="2">
        <v>51566.67</v>
      </c>
    </row>
    <row r="146" spans="1:6" x14ac:dyDescent="0.25">
      <c r="A146" t="s">
        <v>4062</v>
      </c>
      <c r="B146" t="s">
        <v>4076</v>
      </c>
      <c r="C146" t="s">
        <v>3963</v>
      </c>
      <c r="D146" s="7">
        <v>44</v>
      </c>
      <c r="E146" s="2">
        <v>21</v>
      </c>
      <c r="F146" s="2">
        <v>924</v>
      </c>
    </row>
    <row r="147" spans="1:6" x14ac:dyDescent="0.25">
      <c r="A147" t="s">
        <v>4049</v>
      </c>
      <c r="B147" t="s">
        <v>4077</v>
      </c>
      <c r="C147" t="s">
        <v>287</v>
      </c>
      <c r="D147" s="7">
        <v>0.13</v>
      </c>
      <c r="E147" s="2">
        <v>74712.95</v>
      </c>
      <c r="F147" s="2">
        <v>9712.68</v>
      </c>
    </row>
    <row r="148" spans="1:6" x14ac:dyDescent="0.25">
      <c r="A148" t="s">
        <v>4049</v>
      </c>
      <c r="B148" t="s">
        <v>4414</v>
      </c>
      <c r="C148" t="s">
        <v>4106</v>
      </c>
      <c r="D148" s="7">
        <v>0.5</v>
      </c>
      <c r="E148" s="2">
        <v>5691.28</v>
      </c>
      <c r="F148" s="2">
        <v>2845.64</v>
      </c>
    </row>
    <row r="149" spans="1:6" x14ac:dyDescent="0.25">
      <c r="A149" t="s">
        <v>4049</v>
      </c>
      <c r="B149" t="s">
        <v>4081</v>
      </c>
      <c r="C149" t="s">
        <v>287</v>
      </c>
      <c r="D149" s="7">
        <v>0.13</v>
      </c>
      <c r="E149" s="2">
        <v>98968.79</v>
      </c>
      <c r="F149" s="2">
        <v>12371.1</v>
      </c>
    </row>
    <row r="150" spans="1:6" x14ac:dyDescent="0.25">
      <c r="A150" t="s">
        <v>4049</v>
      </c>
      <c r="B150" t="s">
        <v>4176</v>
      </c>
      <c r="C150" t="s">
        <v>4177</v>
      </c>
      <c r="D150" s="7">
        <v>0.04</v>
      </c>
      <c r="E150" s="2">
        <v>72300.17</v>
      </c>
      <c r="F150" s="2">
        <v>2892.01</v>
      </c>
    </row>
    <row r="151" spans="1:6" x14ac:dyDescent="0.25">
      <c r="A151" t="s">
        <v>4049</v>
      </c>
      <c r="B151" t="s">
        <v>4313</v>
      </c>
      <c r="C151" t="s">
        <v>4177</v>
      </c>
      <c r="D151" s="7">
        <v>0.02</v>
      </c>
      <c r="E151" s="2">
        <v>124137.15</v>
      </c>
      <c r="F151" s="2">
        <v>2482.74</v>
      </c>
    </row>
    <row r="152" spans="1:6" x14ac:dyDescent="0.25">
      <c r="A152" t="s">
        <v>4052</v>
      </c>
      <c r="B152" t="s">
        <v>4053</v>
      </c>
      <c r="C152" t="s">
        <v>4054</v>
      </c>
      <c r="D152" s="7">
        <v>2</v>
      </c>
      <c r="E152" s="2">
        <v>5374.75</v>
      </c>
      <c r="F152" s="2">
        <v>107.5</v>
      </c>
    </row>
    <row r="153" spans="1:6" x14ac:dyDescent="0.25">
      <c r="A153" t="s">
        <v>4058</v>
      </c>
      <c r="B153" t="s">
        <v>4059</v>
      </c>
      <c r="C153" t="s">
        <v>3545</v>
      </c>
      <c r="D153" s="7">
        <v>30</v>
      </c>
      <c r="E153" s="2">
        <v>1325</v>
      </c>
      <c r="F153" s="2">
        <v>39750</v>
      </c>
    </row>
    <row r="154" spans="1:6" x14ac:dyDescent="0.25">
      <c r="A154" t="s">
        <v>4055</v>
      </c>
      <c r="D154" s="7"/>
      <c r="E154" s="2"/>
      <c r="F154" s="2">
        <f>SUBTOTAL(109,A_3_03_13[VALOR PARCIAL])</f>
      </c>
    </row>
    <row r="156" ht="30" customHeight="1" spans="1:6" x14ac:dyDescent="0.25">
      <c r="A156" s="5" t="s">
        <v>7177</v>
      </c>
      <c r="B156" s="5"/>
      <c r="C156" s="5"/>
      <c r="D156" s="5"/>
      <c r="E156" s="5"/>
      <c r="F156" s="5"/>
    </row>
    <row r="157" ht="42" customHeight="1" spans="1:6" x14ac:dyDescent="0.25">
      <c r="A157" s="6" t="s">
        <v>7178</v>
      </c>
      <c r="B157" s="6"/>
      <c r="C157" s="6"/>
      <c r="D157" s="6"/>
      <c r="E157" s="6"/>
      <c r="F157" s="6"/>
    </row>
    <row r="158" spans="1:6" x14ac:dyDescent="0.25">
      <c r="A158" t="s">
        <v>4044</v>
      </c>
      <c r="B158" t="s">
        <v>4045</v>
      </c>
      <c r="C158" t="s">
        <v>5</v>
      </c>
      <c r="D158" t="s">
        <v>4046</v>
      </c>
      <c r="E158" t="s">
        <v>4047</v>
      </c>
      <c r="F158" t="s">
        <v>4048</v>
      </c>
    </row>
    <row r="159" spans="1:6" x14ac:dyDescent="0.25">
      <c r="A159" t="s">
        <v>4062</v>
      </c>
      <c r="B159" t="s">
        <v>4012</v>
      </c>
      <c r="C159" t="s">
        <v>34</v>
      </c>
      <c r="D159" s="7">
        <v>0.11</v>
      </c>
      <c r="E159" s="2">
        <v>475506.98</v>
      </c>
      <c r="F159" s="2">
        <v>52305.77</v>
      </c>
    </row>
    <row r="160" spans="1:6" x14ac:dyDescent="0.25">
      <c r="A160" t="s">
        <v>4062</v>
      </c>
      <c r="B160" t="s">
        <v>4261</v>
      </c>
      <c r="C160" t="s">
        <v>231</v>
      </c>
      <c r="D160" s="7">
        <v>13</v>
      </c>
      <c r="E160" s="2">
        <v>2982</v>
      </c>
      <c r="F160" s="2">
        <v>38766</v>
      </c>
    </row>
    <row r="161" spans="1:6" x14ac:dyDescent="0.25">
      <c r="A161" t="s">
        <v>4062</v>
      </c>
      <c r="B161" t="s">
        <v>4494</v>
      </c>
      <c r="C161" t="s">
        <v>63</v>
      </c>
      <c r="D161" s="7">
        <v>72</v>
      </c>
      <c r="E161" s="2">
        <v>794</v>
      </c>
      <c r="F161" s="2">
        <v>57168</v>
      </c>
    </row>
    <row r="162" spans="1:6" x14ac:dyDescent="0.25">
      <c r="A162" t="s">
        <v>4062</v>
      </c>
      <c r="B162" t="s">
        <v>3978</v>
      </c>
      <c r="C162" t="s">
        <v>34</v>
      </c>
      <c r="D162" s="7">
        <v>0.03</v>
      </c>
      <c r="E162" s="2">
        <v>409741.65</v>
      </c>
      <c r="F162" s="2">
        <v>12292.25</v>
      </c>
    </row>
    <row r="163" spans="1:6" x14ac:dyDescent="0.25">
      <c r="A163" t="s">
        <v>4062</v>
      </c>
      <c r="B163" t="s">
        <v>5818</v>
      </c>
      <c r="C163" t="s">
        <v>4236</v>
      </c>
      <c r="D163" s="7">
        <v>1.61</v>
      </c>
      <c r="E163" s="2">
        <v>24555.22</v>
      </c>
      <c r="F163" s="2">
        <v>39533.9</v>
      </c>
    </row>
    <row r="164" spans="1:6" x14ac:dyDescent="0.25">
      <c r="A164" t="s">
        <v>4055</v>
      </c>
      <c r="D164" s="7"/>
      <c r="E164" s="2"/>
      <c r="F164" s="2">
        <f>SUBTOTAL(109,A_3_03_14[VALOR PARCIAL])</f>
      </c>
    </row>
    <row r="166" ht="30" customHeight="1" spans="1:6" x14ac:dyDescent="0.25">
      <c r="A166" s="5" t="s">
        <v>7179</v>
      </c>
      <c r="B166" s="5"/>
      <c r="C166" s="5"/>
      <c r="D166" s="5"/>
      <c r="E166" s="5"/>
      <c r="F166" s="5"/>
    </row>
    <row r="167" ht="42" customHeight="1" spans="1:6" x14ac:dyDescent="0.25">
      <c r="A167" s="6" t="s">
        <v>7180</v>
      </c>
      <c r="B167" s="6"/>
      <c r="C167" s="6"/>
      <c r="D167" s="6"/>
      <c r="E167" s="6"/>
      <c r="F167" s="6"/>
    </row>
    <row r="168" spans="1:6" x14ac:dyDescent="0.25">
      <c r="A168" t="s">
        <v>4044</v>
      </c>
      <c r="B168" t="s">
        <v>4045</v>
      </c>
      <c r="C168" t="s">
        <v>5</v>
      </c>
      <c r="D168" t="s">
        <v>4046</v>
      </c>
      <c r="E168" t="s">
        <v>4047</v>
      </c>
      <c r="F168" t="s">
        <v>4048</v>
      </c>
    </row>
    <row r="169" spans="1:6" x14ac:dyDescent="0.25">
      <c r="A169" t="s">
        <v>4062</v>
      </c>
      <c r="B169" t="s">
        <v>5205</v>
      </c>
      <c r="C169" t="s">
        <v>34</v>
      </c>
      <c r="D169" s="7">
        <v>1.3</v>
      </c>
      <c r="E169" s="2">
        <v>28333.33</v>
      </c>
      <c r="F169" s="2">
        <v>36833.33</v>
      </c>
    </row>
    <row r="170" spans="1:6" x14ac:dyDescent="0.25">
      <c r="A170" t="s">
        <v>4049</v>
      </c>
      <c r="B170" t="s">
        <v>4176</v>
      </c>
      <c r="C170" t="s">
        <v>4177</v>
      </c>
      <c r="D170" s="7">
        <v>0.1</v>
      </c>
      <c r="E170" s="2">
        <v>72300.17</v>
      </c>
      <c r="F170" s="2">
        <v>7230.02</v>
      </c>
    </row>
    <row r="171" spans="1:6" x14ac:dyDescent="0.25">
      <c r="A171" t="s">
        <v>4049</v>
      </c>
      <c r="B171" t="s">
        <v>4313</v>
      </c>
      <c r="C171" t="s">
        <v>4177</v>
      </c>
      <c r="D171" s="7">
        <v>0.1</v>
      </c>
      <c r="E171" s="2">
        <v>124137.15</v>
      </c>
      <c r="F171" s="2">
        <v>12413.72</v>
      </c>
    </row>
    <row r="172" spans="1:6" x14ac:dyDescent="0.25">
      <c r="A172" t="s">
        <v>4052</v>
      </c>
      <c r="B172" t="s">
        <v>4084</v>
      </c>
      <c r="C172" t="s">
        <v>287</v>
      </c>
      <c r="D172" s="7">
        <v>0.07</v>
      </c>
      <c r="E172" s="2">
        <v>145366.67</v>
      </c>
      <c r="F172" s="2">
        <v>10175.67</v>
      </c>
    </row>
    <row r="173" spans="1:6" x14ac:dyDescent="0.25">
      <c r="A173" t="s">
        <v>4052</v>
      </c>
      <c r="B173" t="s">
        <v>4342</v>
      </c>
      <c r="C173" t="s">
        <v>287</v>
      </c>
      <c r="D173" s="7">
        <v>0.18</v>
      </c>
      <c r="E173" s="2">
        <v>8333.33</v>
      </c>
      <c r="F173" s="2">
        <v>1500</v>
      </c>
    </row>
    <row r="174" spans="1:6" x14ac:dyDescent="0.25">
      <c r="A174" t="s">
        <v>4052</v>
      </c>
      <c r="B174" t="s">
        <v>4053</v>
      </c>
      <c r="C174" t="s">
        <v>4054</v>
      </c>
      <c r="D174" s="7">
        <v>3.3</v>
      </c>
      <c r="E174" s="2">
        <v>19643.74</v>
      </c>
      <c r="F174" s="2">
        <v>648.24</v>
      </c>
    </row>
    <row r="175" spans="1:6" x14ac:dyDescent="0.25">
      <c r="A175" t="s">
        <v>4058</v>
      </c>
      <c r="B175" t="s">
        <v>4314</v>
      </c>
      <c r="C175" t="s">
        <v>34</v>
      </c>
      <c r="D175" s="7">
        <v>0.07</v>
      </c>
      <c r="E175" s="2">
        <v>63714</v>
      </c>
      <c r="F175" s="2">
        <v>4249.72</v>
      </c>
    </row>
    <row r="176" spans="1:6" x14ac:dyDescent="0.25">
      <c r="A176" t="s">
        <v>4055</v>
      </c>
      <c r="D176" s="7"/>
      <c r="E176" s="2"/>
      <c r="F176" s="2">
        <f>SUBTOTAL(109,A_3_03_15[VALOR PARCIAL])</f>
      </c>
    </row>
    <row r="178" ht="30" customHeight="1" spans="1:6" x14ac:dyDescent="0.25">
      <c r="A178" s="5" t="s">
        <v>7181</v>
      </c>
      <c r="B178" s="5"/>
      <c r="C178" s="5"/>
      <c r="D178" s="5"/>
      <c r="E178" s="5"/>
      <c r="F178" s="5"/>
    </row>
    <row r="179" ht="42" customHeight="1" spans="1:6" x14ac:dyDescent="0.25">
      <c r="A179" s="6" t="s">
        <v>7182</v>
      </c>
      <c r="B179" s="6"/>
      <c r="C179" s="6"/>
      <c r="D179" s="6"/>
      <c r="E179" s="6"/>
      <c r="F179" s="6"/>
    </row>
    <row r="180" spans="1:6" x14ac:dyDescent="0.25">
      <c r="A180" t="s">
        <v>4044</v>
      </c>
      <c r="B180" t="s">
        <v>4045</v>
      </c>
      <c r="C180" t="s">
        <v>5</v>
      </c>
      <c r="D180" t="s">
        <v>4046</v>
      </c>
      <c r="E180" t="s">
        <v>4047</v>
      </c>
      <c r="F180" t="s">
        <v>4048</v>
      </c>
    </row>
    <row r="181" spans="1:6" x14ac:dyDescent="0.25">
      <c r="A181" t="s">
        <v>4049</v>
      </c>
      <c r="B181" t="s">
        <v>4176</v>
      </c>
      <c r="C181" t="s">
        <v>4177</v>
      </c>
      <c r="D181" s="7">
        <v>0.15</v>
      </c>
      <c r="E181" s="2">
        <v>72300.17</v>
      </c>
      <c r="F181" s="2">
        <v>10845.03</v>
      </c>
    </row>
    <row r="182" spans="1:6" x14ac:dyDescent="0.25">
      <c r="A182" t="s">
        <v>4049</v>
      </c>
      <c r="B182" t="s">
        <v>4313</v>
      </c>
      <c r="C182" t="s">
        <v>4177</v>
      </c>
      <c r="D182" s="7">
        <v>0.05</v>
      </c>
      <c r="E182" s="2">
        <v>124137.15</v>
      </c>
      <c r="F182" s="2">
        <v>6206.86</v>
      </c>
    </row>
    <row r="183" spans="1:6" x14ac:dyDescent="0.25">
      <c r="A183" t="s">
        <v>4052</v>
      </c>
      <c r="B183" t="s">
        <v>4342</v>
      </c>
      <c r="C183" t="s">
        <v>287</v>
      </c>
      <c r="D183" s="7">
        <v>0.33</v>
      </c>
      <c r="E183" s="2">
        <v>8333.33</v>
      </c>
      <c r="F183" s="2">
        <v>2777.5</v>
      </c>
    </row>
    <row r="184" spans="1:6" x14ac:dyDescent="0.25">
      <c r="A184" t="s">
        <v>4052</v>
      </c>
      <c r="B184" t="s">
        <v>4053</v>
      </c>
      <c r="C184" t="s">
        <v>4054</v>
      </c>
      <c r="D184" s="7">
        <v>3.3</v>
      </c>
      <c r="E184" s="2">
        <v>17051.89</v>
      </c>
      <c r="F184" s="2">
        <v>562.71</v>
      </c>
    </row>
    <row r="185" spans="1:6" x14ac:dyDescent="0.25">
      <c r="A185" t="s">
        <v>4055</v>
      </c>
      <c r="D185" s="7"/>
      <c r="E185" s="2"/>
      <c r="F185" s="2">
        <f>SUBTOTAL(109,A_3_03_16[VALOR PARCIAL])</f>
      </c>
    </row>
    <row r="187" ht="30" customHeight="1" spans="1:6" x14ac:dyDescent="0.25">
      <c r="A187" s="5" t="s">
        <v>7183</v>
      </c>
      <c r="B187" s="5"/>
      <c r="C187" s="5"/>
      <c r="D187" s="5"/>
      <c r="E187" s="5"/>
      <c r="F187" s="5"/>
    </row>
    <row r="188" ht="42" customHeight="1" spans="1:6" x14ac:dyDescent="0.25">
      <c r="A188" s="6" t="s">
        <v>7184</v>
      </c>
      <c r="B188" s="6"/>
      <c r="C188" s="6"/>
      <c r="D188" s="6"/>
      <c r="E188" s="6"/>
      <c r="F188" s="6"/>
    </row>
    <row r="189" spans="1:6" x14ac:dyDescent="0.25">
      <c r="A189" t="s">
        <v>4044</v>
      </c>
      <c r="B189" t="s">
        <v>4045</v>
      </c>
      <c r="C189" t="s">
        <v>5</v>
      </c>
      <c r="D189" t="s">
        <v>4046</v>
      </c>
      <c r="E189" t="s">
        <v>4047</v>
      </c>
      <c r="F189" t="s">
        <v>4048</v>
      </c>
    </row>
    <row r="190" spans="1:6" x14ac:dyDescent="0.25">
      <c r="A190" t="s">
        <v>4062</v>
      </c>
      <c r="B190" t="s">
        <v>4475</v>
      </c>
      <c r="C190" t="s">
        <v>231</v>
      </c>
      <c r="D190" s="7">
        <v>97.5</v>
      </c>
      <c r="E190" s="2">
        <v>730</v>
      </c>
      <c r="F190" s="2">
        <v>71175</v>
      </c>
    </row>
    <row r="191" spans="1:6" x14ac:dyDescent="0.25">
      <c r="A191" t="s">
        <v>4049</v>
      </c>
      <c r="B191" t="s">
        <v>4050</v>
      </c>
      <c r="C191" t="s">
        <v>4051</v>
      </c>
      <c r="D191" s="7">
        <v>0.2</v>
      </c>
      <c r="E191" s="2">
        <v>9037.33</v>
      </c>
      <c r="F191" s="2">
        <v>1807.47</v>
      </c>
    </row>
    <row r="192" spans="1:6" x14ac:dyDescent="0.25">
      <c r="A192" t="s">
        <v>4049</v>
      </c>
      <c r="B192" t="s">
        <v>4073</v>
      </c>
      <c r="C192" t="s">
        <v>4051</v>
      </c>
      <c r="D192" s="7">
        <v>0.2</v>
      </c>
      <c r="E192" s="2">
        <v>15517.89</v>
      </c>
      <c r="F192" s="2">
        <v>3103.58</v>
      </c>
    </row>
    <row r="193" spans="1:6" x14ac:dyDescent="0.25">
      <c r="A193" t="s">
        <v>4052</v>
      </c>
      <c r="B193" t="s">
        <v>4077</v>
      </c>
      <c r="C193" t="s">
        <v>287</v>
      </c>
      <c r="D193" s="7">
        <v>0.08</v>
      </c>
      <c r="E193" s="2">
        <v>74712.95</v>
      </c>
      <c r="F193" s="2">
        <v>5977.04</v>
      </c>
    </row>
    <row r="194" spans="1:6" x14ac:dyDescent="0.25">
      <c r="A194" t="s">
        <v>4052</v>
      </c>
      <c r="B194" t="s">
        <v>4078</v>
      </c>
      <c r="C194" t="s">
        <v>287</v>
      </c>
      <c r="D194" s="7">
        <v>0.08</v>
      </c>
      <c r="E194" s="2">
        <v>157100</v>
      </c>
      <c r="F194" s="2">
        <v>12568</v>
      </c>
    </row>
    <row r="195" spans="1:6" x14ac:dyDescent="0.25">
      <c r="A195" t="s">
        <v>4052</v>
      </c>
      <c r="B195" t="s">
        <v>4081</v>
      </c>
      <c r="C195" t="s">
        <v>287</v>
      </c>
      <c r="D195" s="7">
        <v>0.08</v>
      </c>
      <c r="E195" s="2">
        <v>98968.79</v>
      </c>
      <c r="F195" s="2">
        <v>7917.5</v>
      </c>
    </row>
    <row r="196" spans="1:6" x14ac:dyDescent="0.25">
      <c r="A196" t="s">
        <v>4052</v>
      </c>
      <c r="B196" t="s">
        <v>4053</v>
      </c>
      <c r="C196" t="s">
        <v>4054</v>
      </c>
      <c r="D196" s="7">
        <v>4</v>
      </c>
      <c r="E196" s="2">
        <v>4911.05</v>
      </c>
      <c r="F196" s="2">
        <v>196.44</v>
      </c>
    </row>
    <row r="197" spans="1:6" x14ac:dyDescent="0.25">
      <c r="A197" t="s">
        <v>4055</v>
      </c>
      <c r="D197" s="7"/>
      <c r="E197" s="2"/>
      <c r="F197" s="2">
        <f>SUBTOTAL(109,A_3_03_17[VALOR PARCIAL])</f>
      </c>
    </row>
    <row r="199" ht="30" customHeight="1" spans="1:6" x14ac:dyDescent="0.25">
      <c r="A199" s="5" t="s">
        <v>7185</v>
      </c>
      <c r="B199" s="5"/>
      <c r="C199" s="5"/>
      <c r="D199" s="5"/>
      <c r="E199" s="5"/>
      <c r="F199" s="5"/>
    </row>
    <row r="200" ht="42" customHeight="1" spans="1:6" x14ac:dyDescent="0.25">
      <c r="A200" s="6" t="s">
        <v>7186</v>
      </c>
      <c r="B200" s="6"/>
      <c r="C200" s="6"/>
      <c r="D200" s="6"/>
      <c r="E200" s="6"/>
      <c r="F200" s="6"/>
    </row>
    <row r="201" spans="1:6" x14ac:dyDescent="0.25">
      <c r="A201" t="s">
        <v>4044</v>
      </c>
      <c r="B201" t="s">
        <v>4045</v>
      </c>
      <c r="C201" t="s">
        <v>5</v>
      </c>
      <c r="D201" t="s">
        <v>4046</v>
      </c>
      <c r="E201" t="s">
        <v>4047</v>
      </c>
      <c r="F201" t="s">
        <v>4048</v>
      </c>
    </row>
    <row r="202" spans="1:6" x14ac:dyDescent="0.25">
      <c r="A202" t="s">
        <v>4062</v>
      </c>
      <c r="B202" t="s">
        <v>4001</v>
      </c>
      <c r="C202" t="s">
        <v>34</v>
      </c>
      <c r="D202" s="7">
        <v>1.05</v>
      </c>
      <c r="E202" s="2">
        <v>450245.66</v>
      </c>
      <c r="F202" s="2">
        <v>472757.94</v>
      </c>
    </row>
    <row r="203" spans="1:6" x14ac:dyDescent="0.25">
      <c r="A203" t="s">
        <v>4062</v>
      </c>
      <c r="B203" t="s">
        <v>4400</v>
      </c>
      <c r="C203" t="s">
        <v>42</v>
      </c>
      <c r="D203" s="7">
        <v>1.97</v>
      </c>
      <c r="E203" s="2">
        <v>5286.26</v>
      </c>
      <c r="F203" s="2">
        <v>10413.93</v>
      </c>
    </row>
    <row r="204" spans="1:6" x14ac:dyDescent="0.25">
      <c r="A204" t="s">
        <v>4062</v>
      </c>
      <c r="B204" t="s">
        <v>4070</v>
      </c>
      <c r="C204" t="s">
        <v>42</v>
      </c>
      <c r="D204" s="7">
        <v>4.34</v>
      </c>
      <c r="E204" s="2">
        <v>7381.08</v>
      </c>
      <c r="F204" s="2">
        <v>32033.89</v>
      </c>
    </row>
    <row r="205" spans="1:6" x14ac:dyDescent="0.25">
      <c r="A205" t="s">
        <v>4062</v>
      </c>
      <c r="B205" t="s">
        <v>4071</v>
      </c>
      <c r="C205" t="s">
        <v>42</v>
      </c>
      <c r="D205" s="7">
        <v>2.56</v>
      </c>
      <c r="E205" s="2">
        <v>2555</v>
      </c>
      <c r="F205" s="2">
        <v>6540.8</v>
      </c>
    </row>
    <row r="206" spans="1:6" x14ac:dyDescent="0.25">
      <c r="A206" t="s">
        <v>4062</v>
      </c>
      <c r="B206" t="s">
        <v>4065</v>
      </c>
      <c r="C206" t="s">
        <v>4066</v>
      </c>
      <c r="D206" s="7">
        <v>2.12</v>
      </c>
      <c r="E206" s="2">
        <v>3433</v>
      </c>
      <c r="F206" s="2">
        <v>7277.96</v>
      </c>
    </row>
    <row r="207" spans="1:6" x14ac:dyDescent="0.25">
      <c r="A207" t="s">
        <v>4049</v>
      </c>
      <c r="B207" t="s">
        <v>4176</v>
      </c>
      <c r="C207" t="s">
        <v>4177</v>
      </c>
      <c r="D207" s="7">
        <v>0.6</v>
      </c>
      <c r="E207" s="2">
        <v>72300.17</v>
      </c>
      <c r="F207" s="2">
        <v>43380.1</v>
      </c>
    </row>
    <row r="208" spans="1:6" x14ac:dyDescent="0.25">
      <c r="A208" t="s">
        <v>4049</v>
      </c>
      <c r="B208" t="s">
        <v>4313</v>
      </c>
      <c r="C208" t="s">
        <v>4177</v>
      </c>
      <c r="D208" s="7">
        <v>0.15</v>
      </c>
      <c r="E208" s="2">
        <v>124137.15</v>
      </c>
      <c r="F208" s="2">
        <v>18620.57</v>
      </c>
    </row>
    <row r="209" spans="1:6" x14ac:dyDescent="0.25">
      <c r="A209" t="s">
        <v>4052</v>
      </c>
      <c r="B209" t="s">
        <v>4414</v>
      </c>
      <c r="C209" t="s">
        <v>4106</v>
      </c>
      <c r="D209" s="7">
        <v>7</v>
      </c>
      <c r="E209" s="2">
        <v>5691.28</v>
      </c>
      <c r="F209" s="2">
        <v>39838.96</v>
      </c>
    </row>
    <row r="210" spans="1:6" x14ac:dyDescent="0.25">
      <c r="A210" t="s">
        <v>4052</v>
      </c>
      <c r="B210" t="s">
        <v>4286</v>
      </c>
      <c r="C210" t="s">
        <v>287</v>
      </c>
      <c r="D210" s="7">
        <v>2</v>
      </c>
      <c r="E210" s="2">
        <v>9375</v>
      </c>
      <c r="F210" s="2">
        <v>18750</v>
      </c>
    </row>
    <row r="211" spans="1:6" x14ac:dyDescent="0.25">
      <c r="A211" t="s">
        <v>4052</v>
      </c>
      <c r="B211" t="s">
        <v>4053</v>
      </c>
      <c r="C211" t="s">
        <v>4054</v>
      </c>
      <c r="D211" s="7">
        <v>1.7</v>
      </c>
      <c r="E211" s="2">
        <v>62000.67</v>
      </c>
      <c r="F211" s="2">
        <v>1054.01</v>
      </c>
    </row>
    <row r="212" spans="1:6" x14ac:dyDescent="0.25">
      <c r="A212" t="s">
        <v>4055</v>
      </c>
      <c r="D212" s="7"/>
      <c r="E212" s="2"/>
      <c r="F212" s="2">
        <f>SUBTOTAL(109,A_3_03_18[VALOR PARCIAL])</f>
      </c>
    </row>
    <row r="214" ht="30" customHeight="1" spans="1:6" x14ac:dyDescent="0.25">
      <c r="A214" s="5" t="s">
        <v>7187</v>
      </c>
      <c r="B214" s="5"/>
      <c r="C214" s="5"/>
      <c r="D214" s="5"/>
      <c r="E214" s="5"/>
      <c r="F214" s="5"/>
    </row>
    <row r="215" ht="42" customHeight="1" spans="1:6" x14ac:dyDescent="0.25">
      <c r="A215" s="6" t="s">
        <v>7188</v>
      </c>
      <c r="B215" s="6"/>
      <c r="C215" s="6"/>
      <c r="D215" s="6"/>
      <c r="E215" s="6"/>
      <c r="F215" s="6"/>
    </row>
    <row r="216" spans="1:6" x14ac:dyDescent="0.25">
      <c r="A216" t="s">
        <v>4044</v>
      </c>
      <c r="B216" t="s">
        <v>4045</v>
      </c>
      <c r="C216" t="s">
        <v>5</v>
      </c>
      <c r="D216" t="s">
        <v>4046</v>
      </c>
      <c r="E216" t="s">
        <v>4047</v>
      </c>
      <c r="F216" t="s">
        <v>4048</v>
      </c>
    </row>
    <row r="217" spans="1:6" x14ac:dyDescent="0.25">
      <c r="A217" t="s">
        <v>4062</v>
      </c>
      <c r="B217" t="s">
        <v>4001</v>
      </c>
      <c r="C217" t="s">
        <v>34</v>
      </c>
      <c r="D217" s="7">
        <v>0.65</v>
      </c>
      <c r="E217" s="2">
        <v>450245.66</v>
      </c>
      <c r="F217" s="2">
        <v>292659.68</v>
      </c>
    </row>
    <row r="218" spans="1:6" x14ac:dyDescent="0.25">
      <c r="A218" t="s">
        <v>4062</v>
      </c>
      <c r="B218" t="s">
        <v>4400</v>
      </c>
      <c r="C218" t="s">
        <v>42</v>
      </c>
      <c r="D218" s="7">
        <v>0.42</v>
      </c>
      <c r="E218" s="2">
        <v>5286.26</v>
      </c>
      <c r="F218" s="2">
        <v>2220.23</v>
      </c>
    </row>
    <row r="219" spans="1:6" x14ac:dyDescent="0.25">
      <c r="A219" t="s">
        <v>4062</v>
      </c>
      <c r="B219" t="s">
        <v>4070</v>
      </c>
      <c r="C219" t="s">
        <v>42</v>
      </c>
      <c r="D219" s="7">
        <v>0.93</v>
      </c>
      <c r="E219" s="2">
        <v>7381.08</v>
      </c>
      <c r="F219" s="2">
        <v>6864.4</v>
      </c>
    </row>
    <row r="220" spans="1:6" x14ac:dyDescent="0.25">
      <c r="A220" t="s">
        <v>4062</v>
      </c>
      <c r="B220" t="s">
        <v>4071</v>
      </c>
      <c r="C220" t="s">
        <v>42</v>
      </c>
      <c r="D220" s="7">
        <v>0.55</v>
      </c>
      <c r="E220" s="2">
        <v>2555</v>
      </c>
      <c r="F220" s="2">
        <v>1405.25</v>
      </c>
    </row>
    <row r="221" spans="1:6" x14ac:dyDescent="0.25">
      <c r="A221" t="s">
        <v>4062</v>
      </c>
      <c r="B221" t="s">
        <v>4065</v>
      </c>
      <c r="C221" t="s">
        <v>4066</v>
      </c>
      <c r="D221" s="7">
        <v>0.45</v>
      </c>
      <c r="E221" s="2">
        <v>3433</v>
      </c>
      <c r="F221" s="2">
        <v>1544.85</v>
      </c>
    </row>
    <row r="222" spans="1:6" x14ac:dyDescent="0.25">
      <c r="A222" t="s">
        <v>4062</v>
      </c>
      <c r="B222" t="s">
        <v>7148</v>
      </c>
      <c r="C222" t="s">
        <v>34</v>
      </c>
      <c r="D222" s="7">
        <v>0.45</v>
      </c>
      <c r="E222" s="2">
        <v>47600</v>
      </c>
      <c r="F222" s="2">
        <v>21420</v>
      </c>
    </row>
    <row r="223" spans="1:6" x14ac:dyDescent="0.25">
      <c r="A223" t="s">
        <v>4049</v>
      </c>
      <c r="B223" t="s">
        <v>4176</v>
      </c>
      <c r="C223" t="s">
        <v>4177</v>
      </c>
      <c r="D223" s="7">
        <v>1</v>
      </c>
      <c r="E223" s="2">
        <v>72300.17</v>
      </c>
      <c r="F223" s="2">
        <v>72300.17</v>
      </c>
    </row>
    <row r="224" spans="1:6" x14ac:dyDescent="0.25">
      <c r="A224" t="s">
        <v>4049</v>
      </c>
      <c r="B224" t="s">
        <v>4313</v>
      </c>
      <c r="C224" t="s">
        <v>4177</v>
      </c>
      <c r="D224" s="7">
        <v>0.35</v>
      </c>
      <c r="E224" s="2">
        <v>124137.15</v>
      </c>
      <c r="F224" s="2">
        <v>43448</v>
      </c>
    </row>
    <row r="225" spans="1:6" x14ac:dyDescent="0.25">
      <c r="A225" t="s">
        <v>4052</v>
      </c>
      <c r="B225" t="s">
        <v>4053</v>
      </c>
      <c r="C225" t="s">
        <v>4054</v>
      </c>
      <c r="D225" s="7">
        <v>3.3</v>
      </c>
      <c r="E225" s="2">
        <v>115748.17</v>
      </c>
      <c r="F225" s="2">
        <v>3819.69</v>
      </c>
    </row>
    <row r="226" spans="1:6" x14ac:dyDescent="0.25">
      <c r="A226" t="s">
        <v>4055</v>
      </c>
      <c r="D226" s="7"/>
      <c r="E226" s="2"/>
      <c r="F226" s="2">
        <f>SUBTOTAL(109,A_3_03_19[VALOR PARCIAL])</f>
      </c>
    </row>
    <row r="228" ht="30" customHeight="1" spans="1:6" x14ac:dyDescent="0.25">
      <c r="A228" s="5" t="s">
        <v>7189</v>
      </c>
      <c r="B228" s="5"/>
      <c r="C228" s="5"/>
      <c r="D228" s="5"/>
      <c r="E228" s="5"/>
      <c r="F228" s="5"/>
    </row>
    <row r="229" ht="42" customHeight="1" spans="1:6" x14ac:dyDescent="0.25">
      <c r="A229" s="6" t="s">
        <v>7190</v>
      </c>
      <c r="B229" s="6"/>
      <c r="C229" s="6"/>
      <c r="D229" s="6"/>
      <c r="E229" s="6"/>
      <c r="F229" s="6"/>
    </row>
    <row r="230" spans="1:6" x14ac:dyDescent="0.25">
      <c r="A230" t="s">
        <v>4044</v>
      </c>
      <c r="B230" t="s">
        <v>4045</v>
      </c>
      <c r="C230" t="s">
        <v>5</v>
      </c>
      <c r="D230" t="s">
        <v>4046</v>
      </c>
      <c r="E230" t="s">
        <v>4047</v>
      </c>
      <c r="F230" t="s">
        <v>4048</v>
      </c>
    </row>
    <row r="231" spans="1:6" x14ac:dyDescent="0.25">
      <c r="A231" t="s">
        <v>4062</v>
      </c>
      <c r="B231" t="s">
        <v>4001</v>
      </c>
      <c r="C231" t="s">
        <v>34</v>
      </c>
      <c r="D231" s="7">
        <v>0.65</v>
      </c>
      <c r="E231" s="2">
        <v>450245.66</v>
      </c>
      <c r="F231" s="2">
        <v>292659.68</v>
      </c>
    </row>
    <row r="232" spans="1:6" x14ac:dyDescent="0.25">
      <c r="A232" t="s">
        <v>4062</v>
      </c>
      <c r="B232" t="s">
        <v>4400</v>
      </c>
      <c r="C232" t="s">
        <v>42</v>
      </c>
      <c r="D232" s="7">
        <v>1.47</v>
      </c>
      <c r="E232" s="2">
        <v>5286.26</v>
      </c>
      <c r="F232" s="2">
        <v>7770.8</v>
      </c>
    </row>
    <row r="233" spans="1:6" x14ac:dyDescent="0.25">
      <c r="A233" t="s">
        <v>4062</v>
      </c>
      <c r="B233" t="s">
        <v>4070</v>
      </c>
      <c r="C233" t="s">
        <v>42</v>
      </c>
      <c r="D233" s="7">
        <v>3.23</v>
      </c>
      <c r="E233" s="2">
        <v>7381.08</v>
      </c>
      <c r="F233" s="2">
        <v>23840.89</v>
      </c>
    </row>
    <row r="234" spans="1:6" x14ac:dyDescent="0.25">
      <c r="A234" t="s">
        <v>4062</v>
      </c>
      <c r="B234" t="s">
        <v>4071</v>
      </c>
      <c r="C234" t="s">
        <v>42</v>
      </c>
      <c r="D234" s="7">
        <v>1.91</v>
      </c>
      <c r="E234" s="2">
        <v>2555</v>
      </c>
      <c r="F234" s="2">
        <v>4880.05</v>
      </c>
    </row>
    <row r="235" spans="1:6" x14ac:dyDescent="0.25">
      <c r="A235" t="s">
        <v>4062</v>
      </c>
      <c r="B235" t="s">
        <v>4065</v>
      </c>
      <c r="C235" t="s">
        <v>4066</v>
      </c>
      <c r="D235" s="7">
        <v>1.58</v>
      </c>
      <c r="E235" s="2">
        <v>3433</v>
      </c>
      <c r="F235" s="2">
        <v>5424.14</v>
      </c>
    </row>
    <row r="236" spans="1:6" x14ac:dyDescent="0.25">
      <c r="A236" t="s">
        <v>4062</v>
      </c>
      <c r="B236" t="s">
        <v>7148</v>
      </c>
      <c r="C236" t="s">
        <v>34</v>
      </c>
      <c r="D236" s="7">
        <v>0.45</v>
      </c>
      <c r="E236" s="2">
        <v>47600</v>
      </c>
      <c r="F236" s="2">
        <v>21420</v>
      </c>
    </row>
    <row r="237" spans="1:6" x14ac:dyDescent="0.25">
      <c r="A237" t="s">
        <v>4049</v>
      </c>
      <c r="B237" t="s">
        <v>4414</v>
      </c>
      <c r="C237" t="s">
        <v>4106</v>
      </c>
      <c r="D237" s="7">
        <v>7</v>
      </c>
      <c r="E237" s="2">
        <v>5691.28</v>
      </c>
      <c r="F237" s="2">
        <v>39838.96</v>
      </c>
    </row>
    <row r="238" spans="1:6" x14ac:dyDescent="0.25">
      <c r="A238" t="s">
        <v>4049</v>
      </c>
      <c r="B238" t="s">
        <v>4176</v>
      </c>
      <c r="C238" t="s">
        <v>4177</v>
      </c>
      <c r="D238" s="7">
        <v>2.5</v>
      </c>
      <c r="E238" s="2">
        <v>72300.17</v>
      </c>
      <c r="F238" s="2">
        <v>180750.42</v>
      </c>
    </row>
    <row r="239" spans="1:6" x14ac:dyDescent="0.25">
      <c r="A239" t="s">
        <v>4049</v>
      </c>
      <c r="B239" t="s">
        <v>4313</v>
      </c>
      <c r="C239" t="s">
        <v>4177</v>
      </c>
      <c r="D239" s="7">
        <v>0.75</v>
      </c>
      <c r="E239" s="2">
        <v>124137.15</v>
      </c>
      <c r="F239" s="2">
        <v>93102.86</v>
      </c>
    </row>
    <row r="240" spans="1:6" x14ac:dyDescent="0.25">
      <c r="A240" t="s">
        <v>4052</v>
      </c>
      <c r="B240" t="s">
        <v>4053</v>
      </c>
      <c r="C240" t="s">
        <v>4054</v>
      </c>
      <c r="D240" s="7">
        <v>3.3</v>
      </c>
      <c r="E240" s="2">
        <v>273853.28</v>
      </c>
      <c r="F240" s="2">
        <v>9037.16</v>
      </c>
    </row>
    <row r="241" spans="1:6" x14ac:dyDescent="0.25">
      <c r="A241" t="s">
        <v>4055</v>
      </c>
      <c r="D241" s="7"/>
      <c r="E241" s="2"/>
      <c r="F241" s="2">
        <f>SUBTOTAL(109,A_3_03_20[VALOR PARCIAL])</f>
      </c>
    </row>
    <row r="243" ht="30" customHeight="1" spans="1:6" x14ac:dyDescent="0.25">
      <c r="A243" s="5" t="s">
        <v>7191</v>
      </c>
      <c r="B243" s="5"/>
      <c r="C243" s="5"/>
      <c r="D243" s="5"/>
      <c r="E243" s="5"/>
      <c r="F243" s="5"/>
    </row>
    <row r="244" ht="42" customHeight="1" spans="1:6" x14ac:dyDescent="0.25">
      <c r="A244" s="6" t="s">
        <v>7192</v>
      </c>
      <c r="B244" s="6"/>
      <c r="C244" s="6"/>
      <c r="D244" s="6"/>
      <c r="E244" s="6"/>
      <c r="F244" s="6"/>
    </row>
    <row r="245" spans="1:6" x14ac:dyDescent="0.25">
      <c r="A245" t="s">
        <v>4044</v>
      </c>
      <c r="B245" t="s">
        <v>4045</v>
      </c>
      <c r="C245" t="s">
        <v>5</v>
      </c>
      <c r="D245" t="s">
        <v>4046</v>
      </c>
      <c r="E245" t="s">
        <v>4047</v>
      </c>
      <c r="F245" t="s">
        <v>4048</v>
      </c>
    </row>
    <row r="246" spans="1:6" x14ac:dyDescent="0.25">
      <c r="A246" t="s">
        <v>4062</v>
      </c>
      <c r="B246" t="s">
        <v>4332</v>
      </c>
      <c r="C246" t="s">
        <v>4106</v>
      </c>
      <c r="D246" s="7">
        <v>5</v>
      </c>
      <c r="E246" s="2">
        <v>207.67</v>
      </c>
      <c r="F246" s="2">
        <v>1038.35</v>
      </c>
    </row>
    <row r="247" spans="1:6" x14ac:dyDescent="0.25">
      <c r="A247" t="s">
        <v>4062</v>
      </c>
      <c r="B247" t="s">
        <v>4001</v>
      </c>
      <c r="C247" t="s">
        <v>34</v>
      </c>
      <c r="D247" s="7">
        <v>0.45</v>
      </c>
      <c r="E247" s="2">
        <v>450245.66</v>
      </c>
      <c r="F247" s="2">
        <v>202610.55</v>
      </c>
    </row>
    <row r="248" spans="1:6" x14ac:dyDescent="0.25">
      <c r="A248" t="s">
        <v>4062</v>
      </c>
      <c r="B248" t="s">
        <v>4400</v>
      </c>
      <c r="C248" t="s">
        <v>42</v>
      </c>
      <c r="D248" s="7">
        <v>0.42</v>
      </c>
      <c r="E248" s="2">
        <v>5286.26</v>
      </c>
      <c r="F248" s="2">
        <v>2220.23</v>
      </c>
    </row>
    <row r="249" spans="1:6" x14ac:dyDescent="0.25">
      <c r="A249" t="s">
        <v>4062</v>
      </c>
      <c r="B249" t="s">
        <v>4070</v>
      </c>
      <c r="C249" t="s">
        <v>42</v>
      </c>
      <c r="D249" s="7">
        <v>0.93</v>
      </c>
      <c r="E249" s="2">
        <v>7381.08</v>
      </c>
      <c r="F249" s="2">
        <v>6864.4</v>
      </c>
    </row>
    <row r="250" spans="1:6" x14ac:dyDescent="0.25">
      <c r="A250" t="s">
        <v>4062</v>
      </c>
      <c r="B250" t="s">
        <v>4071</v>
      </c>
      <c r="C250" t="s">
        <v>42</v>
      </c>
      <c r="D250" s="7">
        <v>0.55</v>
      </c>
      <c r="E250" s="2">
        <v>2555</v>
      </c>
      <c r="F250" s="2">
        <v>1405.25</v>
      </c>
    </row>
    <row r="251" spans="1:6" x14ac:dyDescent="0.25">
      <c r="A251" t="s">
        <v>4062</v>
      </c>
      <c r="B251" t="s">
        <v>4065</v>
      </c>
      <c r="C251" t="s">
        <v>4066</v>
      </c>
      <c r="D251" s="7">
        <v>0.45</v>
      </c>
      <c r="E251" s="2">
        <v>3433</v>
      </c>
      <c r="F251" s="2">
        <v>1544.85</v>
      </c>
    </row>
    <row r="252" spans="1:6" x14ac:dyDescent="0.25">
      <c r="A252" t="s">
        <v>4062</v>
      </c>
      <c r="B252" t="s">
        <v>7148</v>
      </c>
      <c r="C252" t="s">
        <v>34</v>
      </c>
      <c r="D252" s="7">
        <v>0.65</v>
      </c>
      <c r="E252" s="2">
        <v>47600</v>
      </c>
      <c r="F252" s="2">
        <v>30940</v>
      </c>
    </row>
    <row r="253" spans="1:6" x14ac:dyDescent="0.25">
      <c r="A253" t="s">
        <v>4049</v>
      </c>
      <c r="B253" t="s">
        <v>4176</v>
      </c>
      <c r="C253" t="s">
        <v>4177</v>
      </c>
      <c r="D253" s="7">
        <v>1.4</v>
      </c>
      <c r="E253" s="2">
        <v>72300.17</v>
      </c>
      <c r="F253" s="2">
        <v>101220.24</v>
      </c>
    </row>
    <row r="254" spans="1:6" x14ac:dyDescent="0.25">
      <c r="A254" t="s">
        <v>4049</v>
      </c>
      <c r="B254" t="s">
        <v>4313</v>
      </c>
      <c r="C254" t="s">
        <v>4177</v>
      </c>
      <c r="D254" s="7">
        <v>0.35</v>
      </c>
      <c r="E254" s="2">
        <v>124137.15</v>
      </c>
      <c r="F254" s="2">
        <v>43448</v>
      </c>
    </row>
    <row r="255" spans="1:6" x14ac:dyDescent="0.25">
      <c r="A255" t="s">
        <v>4052</v>
      </c>
      <c r="B255" t="s">
        <v>4053</v>
      </c>
      <c r="C255" t="s">
        <v>4054</v>
      </c>
      <c r="D255" s="7">
        <v>3.3</v>
      </c>
      <c r="E255" s="2">
        <v>144668.24</v>
      </c>
      <c r="F255" s="2">
        <v>4774.05</v>
      </c>
    </row>
    <row r="256" spans="1:6" x14ac:dyDescent="0.25">
      <c r="A256" t="s">
        <v>4055</v>
      </c>
      <c r="D256" s="7"/>
      <c r="E256" s="2"/>
      <c r="F256" s="2">
        <f>SUBTOTAL(109,A_3_03_21[VALOR PARCIAL])</f>
      </c>
    </row>
    <row r="258" ht="30" customHeight="1" spans="1:6" x14ac:dyDescent="0.25">
      <c r="A258" s="5" t="s">
        <v>7193</v>
      </c>
      <c r="B258" s="5"/>
      <c r="C258" s="5"/>
      <c r="D258" s="5"/>
      <c r="E258" s="5"/>
      <c r="F258" s="5"/>
    </row>
    <row r="259" ht="42" customHeight="1" spans="1:6" x14ac:dyDescent="0.25">
      <c r="A259" s="6" t="s">
        <v>7194</v>
      </c>
      <c r="B259" s="6"/>
      <c r="C259" s="6"/>
      <c r="D259" s="6"/>
      <c r="E259" s="6"/>
      <c r="F259" s="6"/>
    </row>
    <row r="260" spans="1:6" x14ac:dyDescent="0.25">
      <c r="A260" t="s">
        <v>4044</v>
      </c>
      <c r="B260" t="s">
        <v>4045</v>
      </c>
      <c r="C260" t="s">
        <v>5</v>
      </c>
      <c r="D260" t="s">
        <v>4046</v>
      </c>
      <c r="E260" t="s">
        <v>4047</v>
      </c>
      <c r="F260" t="s">
        <v>4048</v>
      </c>
    </row>
    <row r="261" spans="1:6" x14ac:dyDescent="0.25">
      <c r="A261" t="s">
        <v>4062</v>
      </c>
      <c r="B261" t="s">
        <v>4004</v>
      </c>
      <c r="C261" t="s">
        <v>34</v>
      </c>
      <c r="D261" s="7">
        <v>1</v>
      </c>
      <c r="E261" s="2">
        <v>426702.51</v>
      </c>
      <c r="F261" s="2">
        <v>426702.51</v>
      </c>
    </row>
    <row r="262" spans="1:6" x14ac:dyDescent="0.25">
      <c r="A262" t="s">
        <v>4049</v>
      </c>
      <c r="B262" t="s">
        <v>4176</v>
      </c>
      <c r="C262" t="s">
        <v>4177</v>
      </c>
      <c r="D262" s="7">
        <v>0.1</v>
      </c>
      <c r="E262" s="2">
        <v>72300.17</v>
      </c>
      <c r="F262" s="2">
        <v>7230.02</v>
      </c>
    </row>
    <row r="263" spans="1:6" x14ac:dyDescent="0.25">
      <c r="A263" t="s">
        <v>4049</v>
      </c>
      <c r="B263" t="s">
        <v>4313</v>
      </c>
      <c r="C263" t="s">
        <v>4177</v>
      </c>
      <c r="D263" s="7">
        <v>0.05</v>
      </c>
      <c r="E263" s="2">
        <v>124137.15</v>
      </c>
      <c r="F263" s="2">
        <v>6206.86</v>
      </c>
    </row>
    <row r="264" spans="1:6" x14ac:dyDescent="0.25">
      <c r="A264" t="s">
        <v>4052</v>
      </c>
      <c r="B264" t="s">
        <v>4053</v>
      </c>
      <c r="C264" t="s">
        <v>4054</v>
      </c>
      <c r="D264" s="7">
        <v>6.6</v>
      </c>
      <c r="E264" s="2">
        <v>13436.88</v>
      </c>
      <c r="F264" s="2">
        <v>886.83</v>
      </c>
    </row>
    <row r="265" spans="1:6" x14ac:dyDescent="0.25">
      <c r="A265" t="s">
        <v>4055</v>
      </c>
      <c r="D265" s="7"/>
      <c r="E265" s="2"/>
      <c r="F265" s="2">
        <f>SUBTOTAL(109,A_3_03_22[VALOR PARCIAL])</f>
      </c>
    </row>
    <row r="267" ht="30" customHeight="1" spans="1:6" x14ac:dyDescent="0.25">
      <c r="A267" s="5" t="s">
        <v>7195</v>
      </c>
      <c r="B267" s="5"/>
      <c r="C267" s="5"/>
      <c r="D267" s="5"/>
      <c r="E267" s="5"/>
      <c r="F267" s="5"/>
    </row>
    <row r="268" ht="42" customHeight="1" spans="1:6" x14ac:dyDescent="0.25">
      <c r="A268" s="6" t="s">
        <v>7196</v>
      </c>
      <c r="B268" s="6"/>
      <c r="C268" s="6"/>
      <c r="D268" s="6"/>
      <c r="E268" s="6"/>
      <c r="F268" s="6"/>
    </row>
    <row r="269" spans="1:6" x14ac:dyDescent="0.25">
      <c r="A269" t="s">
        <v>4044</v>
      </c>
      <c r="B269" t="s">
        <v>4045</v>
      </c>
      <c r="C269" t="s">
        <v>5</v>
      </c>
      <c r="D269" t="s">
        <v>4046</v>
      </c>
      <c r="E269" t="s">
        <v>4047</v>
      </c>
      <c r="F269" t="s">
        <v>4048</v>
      </c>
    </row>
    <row r="270" spans="1:6" x14ac:dyDescent="0.25">
      <c r="A270" t="s">
        <v>4062</v>
      </c>
      <c r="B270" t="s">
        <v>4001</v>
      </c>
      <c r="C270" t="s">
        <v>34</v>
      </c>
      <c r="D270" s="7">
        <v>1.1</v>
      </c>
      <c r="E270" s="2">
        <v>450245.66</v>
      </c>
      <c r="F270" s="2">
        <v>495270.23</v>
      </c>
    </row>
    <row r="271" spans="1:6" x14ac:dyDescent="0.25">
      <c r="A271" t="s">
        <v>4062</v>
      </c>
      <c r="B271" t="s">
        <v>6955</v>
      </c>
      <c r="C271" t="s">
        <v>4377</v>
      </c>
      <c r="D271" s="7">
        <v>3</v>
      </c>
      <c r="E271" s="2">
        <v>5178.75</v>
      </c>
      <c r="F271" s="2">
        <v>15536.25</v>
      </c>
    </row>
    <row r="272" spans="1:6" x14ac:dyDescent="0.25">
      <c r="A272" t="s">
        <v>4049</v>
      </c>
      <c r="B272" t="s">
        <v>4176</v>
      </c>
      <c r="C272" t="s">
        <v>4177</v>
      </c>
      <c r="D272" s="7">
        <v>0.2</v>
      </c>
      <c r="E272" s="2">
        <v>72300.17</v>
      </c>
      <c r="F272" s="2">
        <v>14460.03</v>
      </c>
    </row>
    <row r="273" spans="1:6" x14ac:dyDescent="0.25">
      <c r="A273" t="s">
        <v>4049</v>
      </c>
      <c r="B273" t="s">
        <v>4313</v>
      </c>
      <c r="C273" t="s">
        <v>4177</v>
      </c>
      <c r="D273" s="7">
        <v>0.05</v>
      </c>
      <c r="E273" s="2">
        <v>124137.15</v>
      </c>
      <c r="F273" s="2">
        <v>6206.86</v>
      </c>
    </row>
    <row r="274" spans="1:6" x14ac:dyDescent="0.25">
      <c r="A274" t="s">
        <v>4052</v>
      </c>
      <c r="B274" t="s">
        <v>4286</v>
      </c>
      <c r="C274" t="s">
        <v>287</v>
      </c>
      <c r="D274" s="7">
        <v>1</v>
      </c>
      <c r="E274" s="2">
        <v>9375</v>
      </c>
      <c r="F274" s="2">
        <v>9375</v>
      </c>
    </row>
    <row r="275" spans="1:6" x14ac:dyDescent="0.25">
      <c r="A275" t="s">
        <v>4052</v>
      </c>
      <c r="B275" t="s">
        <v>4053</v>
      </c>
      <c r="C275" t="s">
        <v>4054</v>
      </c>
      <c r="D275" s="7">
        <v>1.6</v>
      </c>
      <c r="E275" s="2">
        <v>20666.89</v>
      </c>
      <c r="F275" s="2">
        <v>330.67</v>
      </c>
    </row>
    <row r="276" spans="1:6" x14ac:dyDescent="0.25">
      <c r="A276" t="s">
        <v>4055</v>
      </c>
      <c r="D276" s="7"/>
      <c r="E276" s="2"/>
      <c r="F276" s="2">
        <f>SUBTOTAL(109,A_3_03_23[VALOR PARCIAL])</f>
      </c>
    </row>
    <row r="278" ht="30" customHeight="1" spans="1:6" x14ac:dyDescent="0.25">
      <c r="A278" s="5" t="s">
        <v>7197</v>
      </c>
      <c r="B278" s="5"/>
      <c r="C278" s="5"/>
      <c r="D278" s="5"/>
      <c r="E278" s="5"/>
      <c r="F278" s="5"/>
    </row>
    <row r="279" ht="42" customHeight="1" spans="1:6" x14ac:dyDescent="0.25">
      <c r="A279" s="6" t="s">
        <v>7198</v>
      </c>
      <c r="B279" s="6"/>
      <c r="C279" s="6"/>
      <c r="D279" s="6"/>
      <c r="E279" s="6"/>
      <c r="F279" s="6"/>
    </row>
    <row r="280" spans="1:6" x14ac:dyDescent="0.25">
      <c r="A280" t="s">
        <v>4044</v>
      </c>
      <c r="B280" t="s">
        <v>4045</v>
      </c>
      <c r="C280" t="s">
        <v>5</v>
      </c>
      <c r="D280" t="s">
        <v>4046</v>
      </c>
      <c r="E280" t="s">
        <v>4047</v>
      </c>
      <c r="F280" t="s">
        <v>4048</v>
      </c>
    </row>
    <row r="281" spans="1:6" x14ac:dyDescent="0.25">
      <c r="A281" t="s">
        <v>4062</v>
      </c>
      <c r="B281" t="s">
        <v>4012</v>
      </c>
      <c r="C281" t="s">
        <v>34</v>
      </c>
      <c r="D281" s="7">
        <v>1.1</v>
      </c>
      <c r="E281" s="2">
        <v>475506.98</v>
      </c>
      <c r="F281" s="2">
        <v>523057.68</v>
      </c>
    </row>
    <row r="282" spans="1:6" x14ac:dyDescent="0.25">
      <c r="A282" t="s">
        <v>4062</v>
      </c>
      <c r="B282" t="s">
        <v>4400</v>
      </c>
      <c r="C282" t="s">
        <v>42</v>
      </c>
      <c r="D282" s="7">
        <v>1.97</v>
      </c>
      <c r="E282" s="2">
        <v>5286.26</v>
      </c>
      <c r="F282" s="2">
        <v>10413.93</v>
      </c>
    </row>
    <row r="283" spans="1:6" x14ac:dyDescent="0.25">
      <c r="A283" t="s">
        <v>4062</v>
      </c>
      <c r="B283" t="s">
        <v>4070</v>
      </c>
      <c r="C283" t="s">
        <v>42</v>
      </c>
      <c r="D283" s="7">
        <v>4.34</v>
      </c>
      <c r="E283" s="2">
        <v>7381.08</v>
      </c>
      <c r="F283" s="2">
        <v>32033.89</v>
      </c>
    </row>
    <row r="284" spans="1:6" x14ac:dyDescent="0.25">
      <c r="A284" t="s">
        <v>4062</v>
      </c>
      <c r="B284" t="s">
        <v>4071</v>
      </c>
      <c r="C284" t="s">
        <v>42</v>
      </c>
      <c r="D284" s="7">
        <v>2.56</v>
      </c>
      <c r="E284" s="2">
        <v>2555</v>
      </c>
      <c r="F284" s="2">
        <v>6540.8</v>
      </c>
    </row>
    <row r="285" spans="1:6" x14ac:dyDescent="0.25">
      <c r="A285" t="s">
        <v>4062</v>
      </c>
      <c r="B285" t="s">
        <v>4065</v>
      </c>
      <c r="C285" t="s">
        <v>4066</v>
      </c>
      <c r="D285" s="7">
        <v>2.12</v>
      </c>
      <c r="E285" s="2">
        <v>3433</v>
      </c>
      <c r="F285" s="2">
        <v>7277.96</v>
      </c>
    </row>
    <row r="286" spans="1:6" x14ac:dyDescent="0.25">
      <c r="A286" t="s">
        <v>4049</v>
      </c>
      <c r="B286" t="s">
        <v>4176</v>
      </c>
      <c r="C286" t="s">
        <v>4177</v>
      </c>
      <c r="D286" s="7">
        <v>1.7</v>
      </c>
      <c r="E286" s="2">
        <v>72300.17</v>
      </c>
      <c r="F286" s="2">
        <v>122910.29</v>
      </c>
    </row>
    <row r="287" spans="1:6" x14ac:dyDescent="0.25">
      <c r="A287" t="s">
        <v>4049</v>
      </c>
      <c r="B287" t="s">
        <v>4313</v>
      </c>
      <c r="C287" t="s">
        <v>4177</v>
      </c>
      <c r="D287" s="7">
        <v>0.44</v>
      </c>
      <c r="E287" s="2">
        <v>124137.15</v>
      </c>
      <c r="F287" s="2">
        <v>54620.35</v>
      </c>
    </row>
    <row r="288" spans="1:6" x14ac:dyDescent="0.25">
      <c r="A288" t="s">
        <v>4052</v>
      </c>
      <c r="B288" t="s">
        <v>4414</v>
      </c>
      <c r="C288" t="s">
        <v>4106</v>
      </c>
      <c r="D288" s="7">
        <v>14</v>
      </c>
      <c r="E288" s="2">
        <v>5691.28</v>
      </c>
      <c r="F288" s="2">
        <v>79677.92</v>
      </c>
    </row>
    <row r="289" spans="1:6" x14ac:dyDescent="0.25">
      <c r="A289" t="s">
        <v>4052</v>
      </c>
      <c r="B289" t="s">
        <v>4286</v>
      </c>
      <c r="C289" t="s">
        <v>287</v>
      </c>
      <c r="D289" s="7">
        <v>2.5</v>
      </c>
      <c r="E289" s="2">
        <v>9375</v>
      </c>
      <c r="F289" s="2">
        <v>23437.5</v>
      </c>
    </row>
    <row r="290" spans="1:6" x14ac:dyDescent="0.25">
      <c r="A290" t="s">
        <v>4052</v>
      </c>
      <c r="B290" t="s">
        <v>4053</v>
      </c>
      <c r="C290" t="s">
        <v>4054</v>
      </c>
      <c r="D290" s="7">
        <v>1.7</v>
      </c>
      <c r="E290" s="2">
        <v>177530.64</v>
      </c>
      <c r="F290" s="2">
        <v>3018.02</v>
      </c>
    </row>
    <row r="291" spans="1:6" x14ac:dyDescent="0.25">
      <c r="A291" t="s">
        <v>4055</v>
      </c>
      <c r="D291" s="7"/>
      <c r="E291" s="2"/>
      <c r="F291" s="2">
        <f>SUBTOTAL(109,A_3_03_24[VALOR PARCIAL])</f>
      </c>
    </row>
    <row r="293" ht="30" customHeight="1" spans="1:6" x14ac:dyDescent="0.25">
      <c r="A293" s="5" t="s">
        <v>7199</v>
      </c>
      <c r="B293" s="5"/>
      <c r="C293" s="5"/>
      <c r="D293" s="5"/>
      <c r="E293" s="5"/>
      <c r="F293" s="5"/>
    </row>
    <row r="294" ht="42" customHeight="1" spans="1:6" x14ac:dyDescent="0.25">
      <c r="A294" s="6" t="s">
        <v>7200</v>
      </c>
      <c r="B294" s="6"/>
      <c r="C294" s="6"/>
      <c r="D294" s="6"/>
      <c r="E294" s="6"/>
      <c r="F294" s="6"/>
    </row>
    <row r="295" spans="1:6" x14ac:dyDescent="0.25">
      <c r="A295" t="s">
        <v>4044</v>
      </c>
      <c r="B295" t="s">
        <v>4045</v>
      </c>
      <c r="C295" t="s">
        <v>5</v>
      </c>
      <c r="D295" t="s">
        <v>4046</v>
      </c>
      <c r="E295" t="s">
        <v>4047</v>
      </c>
      <c r="F295" t="s">
        <v>4048</v>
      </c>
    </row>
    <row r="296" spans="1:6" x14ac:dyDescent="0.25">
      <c r="A296" t="s">
        <v>4062</v>
      </c>
      <c r="B296" t="s">
        <v>4012</v>
      </c>
      <c r="C296" t="s">
        <v>34</v>
      </c>
      <c r="D296" s="7">
        <v>1.1</v>
      </c>
      <c r="E296" s="2">
        <v>475506.98</v>
      </c>
      <c r="F296" s="2">
        <v>523057.68</v>
      </c>
    </row>
    <row r="297" spans="1:6" x14ac:dyDescent="0.25">
      <c r="A297" t="s">
        <v>4062</v>
      </c>
      <c r="B297" t="s">
        <v>4400</v>
      </c>
      <c r="C297" t="s">
        <v>42</v>
      </c>
      <c r="D297" s="7">
        <v>3</v>
      </c>
      <c r="E297" s="2">
        <v>5286.26</v>
      </c>
      <c r="F297" s="2">
        <v>15858.78</v>
      </c>
    </row>
    <row r="298" spans="1:6" x14ac:dyDescent="0.25">
      <c r="A298" t="s">
        <v>4062</v>
      </c>
      <c r="B298" t="s">
        <v>4070</v>
      </c>
      <c r="C298" t="s">
        <v>42</v>
      </c>
      <c r="D298" s="7">
        <v>6</v>
      </c>
      <c r="E298" s="2">
        <v>7381.08</v>
      </c>
      <c r="F298" s="2">
        <v>44286.48</v>
      </c>
    </row>
    <row r="299" spans="1:6" x14ac:dyDescent="0.25">
      <c r="A299" t="s">
        <v>4062</v>
      </c>
      <c r="B299" t="s">
        <v>4071</v>
      </c>
      <c r="C299" t="s">
        <v>42</v>
      </c>
      <c r="D299" s="7">
        <v>4</v>
      </c>
      <c r="E299" s="2">
        <v>2555</v>
      </c>
      <c r="F299" s="2">
        <v>10220</v>
      </c>
    </row>
    <row r="300" spans="1:6" x14ac:dyDescent="0.25">
      <c r="A300" t="s">
        <v>4062</v>
      </c>
      <c r="B300" t="s">
        <v>4065</v>
      </c>
      <c r="C300" t="s">
        <v>4066</v>
      </c>
      <c r="D300" s="7">
        <v>3</v>
      </c>
      <c r="E300" s="2">
        <v>3433</v>
      </c>
      <c r="F300" s="2">
        <v>10299</v>
      </c>
    </row>
    <row r="301" spans="1:6" x14ac:dyDescent="0.25">
      <c r="A301" t="s">
        <v>4049</v>
      </c>
      <c r="B301" t="s">
        <v>4176</v>
      </c>
      <c r="C301" t="s">
        <v>4177</v>
      </c>
      <c r="D301" s="7">
        <v>2</v>
      </c>
      <c r="E301" s="2">
        <v>72300.17</v>
      </c>
      <c r="F301" s="2">
        <v>144600.34</v>
      </c>
    </row>
    <row r="302" spans="1:6" x14ac:dyDescent="0.25">
      <c r="A302" t="s">
        <v>4049</v>
      </c>
      <c r="B302" t="s">
        <v>4313</v>
      </c>
      <c r="C302" t="s">
        <v>4177</v>
      </c>
      <c r="D302" s="7">
        <v>0.5</v>
      </c>
      <c r="E302" s="2">
        <v>124137.15</v>
      </c>
      <c r="F302" s="2">
        <v>62068.57</v>
      </c>
    </row>
    <row r="303" spans="1:6" x14ac:dyDescent="0.25">
      <c r="A303" t="s">
        <v>4052</v>
      </c>
      <c r="B303" t="s">
        <v>4414</v>
      </c>
      <c r="C303" t="s">
        <v>4106</v>
      </c>
      <c r="D303" s="7">
        <v>20</v>
      </c>
      <c r="E303" s="2">
        <v>5691.28</v>
      </c>
      <c r="F303" s="2">
        <v>113825.6</v>
      </c>
    </row>
    <row r="304" spans="1:6" x14ac:dyDescent="0.25">
      <c r="A304" t="s">
        <v>4052</v>
      </c>
      <c r="B304" t="s">
        <v>4286</v>
      </c>
      <c r="C304" t="s">
        <v>287</v>
      </c>
      <c r="D304" s="7">
        <v>3.3</v>
      </c>
      <c r="E304" s="2">
        <v>9375</v>
      </c>
      <c r="F304" s="2">
        <v>30937.5</v>
      </c>
    </row>
    <row r="305" spans="1:6" x14ac:dyDescent="0.25">
      <c r="A305" t="s">
        <v>4052</v>
      </c>
      <c r="B305" t="s">
        <v>4053</v>
      </c>
      <c r="C305" t="s">
        <v>4054</v>
      </c>
      <c r="D305" s="7">
        <v>5</v>
      </c>
      <c r="E305" s="2">
        <v>206668.91</v>
      </c>
      <c r="F305" s="2">
        <v>10333.45</v>
      </c>
    </row>
    <row r="306" spans="1:6" x14ac:dyDescent="0.25">
      <c r="A306" t="s">
        <v>4055</v>
      </c>
      <c r="D306" s="7"/>
      <c r="E306" s="2"/>
      <c r="F306" s="2">
        <f>SUBTOTAL(109,A_3_03_25[VALOR PARCIAL])</f>
      </c>
    </row>
    <row r="308" ht="30" customHeight="1" spans="1:6" x14ac:dyDescent="0.25">
      <c r="A308" s="5" t="s">
        <v>7201</v>
      </c>
      <c r="B308" s="5"/>
      <c r="C308" s="5"/>
      <c r="D308" s="5"/>
      <c r="E308" s="5"/>
      <c r="F308" s="5"/>
    </row>
    <row r="309" ht="42" customHeight="1" spans="1:6" x14ac:dyDescent="0.25">
      <c r="A309" s="6" t="s">
        <v>7202</v>
      </c>
      <c r="B309" s="6"/>
      <c r="C309" s="6"/>
      <c r="D309" s="6"/>
      <c r="E309" s="6"/>
      <c r="F309" s="6"/>
    </row>
    <row r="310" spans="1:6" x14ac:dyDescent="0.25">
      <c r="A310" t="s">
        <v>4044</v>
      </c>
      <c r="B310" t="s">
        <v>4045</v>
      </c>
      <c r="C310" t="s">
        <v>5</v>
      </c>
      <c r="D310" t="s">
        <v>4046</v>
      </c>
      <c r="E310" t="s">
        <v>4047</v>
      </c>
      <c r="F310" t="s">
        <v>4048</v>
      </c>
    </row>
    <row r="311" spans="1:6" x14ac:dyDescent="0.25">
      <c r="A311" t="s">
        <v>4062</v>
      </c>
      <c r="B311" t="s">
        <v>4012</v>
      </c>
      <c r="C311" t="s">
        <v>34</v>
      </c>
      <c r="D311" s="7">
        <v>1.1</v>
      </c>
      <c r="E311" s="2">
        <v>475506.98</v>
      </c>
      <c r="F311" s="2">
        <v>523057.68</v>
      </c>
    </row>
    <row r="312" spans="1:6" x14ac:dyDescent="0.25">
      <c r="A312" t="s">
        <v>4062</v>
      </c>
      <c r="B312" t="s">
        <v>6955</v>
      </c>
      <c r="C312" t="s">
        <v>4377</v>
      </c>
      <c r="D312" s="7">
        <v>3</v>
      </c>
      <c r="E312" s="2">
        <v>5178.75</v>
      </c>
      <c r="F312" s="2">
        <v>15536.25</v>
      </c>
    </row>
    <row r="313" spans="1:6" x14ac:dyDescent="0.25">
      <c r="A313" t="s">
        <v>4049</v>
      </c>
      <c r="B313" t="s">
        <v>4286</v>
      </c>
      <c r="C313" t="s">
        <v>287</v>
      </c>
      <c r="D313" s="7">
        <v>2.5</v>
      </c>
      <c r="E313" s="2">
        <v>9375</v>
      </c>
      <c r="F313" s="2">
        <v>23437.5</v>
      </c>
    </row>
    <row r="314" spans="1:6" x14ac:dyDescent="0.25">
      <c r="A314" t="s">
        <v>4049</v>
      </c>
      <c r="B314" t="s">
        <v>4176</v>
      </c>
      <c r="C314" t="s">
        <v>4177</v>
      </c>
      <c r="D314" s="7">
        <v>1</v>
      </c>
      <c r="E314" s="2">
        <v>72300.17</v>
      </c>
      <c r="F314" s="2">
        <v>72300.17</v>
      </c>
    </row>
    <row r="315" spans="1:6" x14ac:dyDescent="0.25">
      <c r="A315" t="s">
        <v>4049</v>
      </c>
      <c r="B315" t="s">
        <v>4313</v>
      </c>
      <c r="C315" t="s">
        <v>4177</v>
      </c>
      <c r="D315" s="7">
        <v>0.25</v>
      </c>
      <c r="E315" s="2">
        <v>124137.15</v>
      </c>
      <c r="F315" s="2">
        <v>31034.29</v>
      </c>
    </row>
    <row r="316" spans="1:6" x14ac:dyDescent="0.25">
      <c r="A316" t="s">
        <v>4052</v>
      </c>
      <c r="B316" t="s">
        <v>4053</v>
      </c>
      <c r="C316" t="s">
        <v>4054</v>
      </c>
      <c r="D316" s="7">
        <v>1.6</v>
      </c>
      <c r="E316" s="2">
        <v>103334.46</v>
      </c>
      <c r="F316" s="2">
        <v>1653.35</v>
      </c>
    </row>
    <row r="317" spans="1:6" x14ac:dyDescent="0.25">
      <c r="A317" t="s">
        <v>4055</v>
      </c>
      <c r="D317" s="7"/>
      <c r="E317" s="2"/>
      <c r="F317" s="2">
        <f>SUBTOTAL(109,A_3_03_26[VALOR PARCIAL])</f>
      </c>
    </row>
    <row r="319" ht="30" customHeight="1" spans="1:6" x14ac:dyDescent="0.25">
      <c r="A319" s="5" t="s">
        <v>7203</v>
      </c>
      <c r="B319" s="5"/>
      <c r="C319" s="5"/>
      <c r="D319" s="5"/>
      <c r="E319" s="5"/>
      <c r="F319" s="5"/>
    </row>
    <row r="320" ht="42" customHeight="1" spans="1:6" x14ac:dyDescent="0.25">
      <c r="A320" s="6" t="s">
        <v>7204</v>
      </c>
      <c r="B320" s="6"/>
      <c r="C320" s="6"/>
      <c r="D320" s="6"/>
      <c r="E320" s="6"/>
      <c r="F320" s="6"/>
    </row>
    <row r="321" spans="1:6" x14ac:dyDescent="0.25">
      <c r="A321" t="s">
        <v>4044</v>
      </c>
      <c r="B321" t="s">
        <v>4045</v>
      </c>
      <c r="C321" t="s">
        <v>5</v>
      </c>
      <c r="D321" t="s">
        <v>4046</v>
      </c>
      <c r="E321" t="s">
        <v>4047</v>
      </c>
      <c r="F321" t="s">
        <v>4048</v>
      </c>
    </row>
    <row r="322" spans="1:6" x14ac:dyDescent="0.25">
      <c r="A322" t="s">
        <v>4062</v>
      </c>
      <c r="B322" t="s">
        <v>3975</v>
      </c>
      <c r="C322" t="s">
        <v>34</v>
      </c>
      <c r="D322" s="7">
        <v>0.02</v>
      </c>
      <c r="E322" s="2">
        <v>586929.15</v>
      </c>
      <c r="F322" s="2">
        <v>11738.58</v>
      </c>
    </row>
    <row r="323" spans="1:6" x14ac:dyDescent="0.25">
      <c r="A323" t="s">
        <v>4062</v>
      </c>
      <c r="B323" t="s">
        <v>7205</v>
      </c>
      <c r="C323" t="s">
        <v>42</v>
      </c>
      <c r="D323" s="7">
        <v>1</v>
      </c>
      <c r="E323" s="2">
        <v>162480</v>
      </c>
      <c r="F323" s="2">
        <v>162480</v>
      </c>
    </row>
    <row r="324" spans="1:6" x14ac:dyDescent="0.25">
      <c r="A324" t="s">
        <v>4062</v>
      </c>
      <c r="B324" t="s">
        <v>4015</v>
      </c>
      <c r="C324" t="s">
        <v>34</v>
      </c>
      <c r="D324" s="7">
        <v>0.05</v>
      </c>
      <c r="E324" s="2">
        <v>426702.51</v>
      </c>
      <c r="F324" s="2">
        <v>21335.13</v>
      </c>
    </row>
    <row r="325" spans="1:6" x14ac:dyDescent="0.25">
      <c r="A325" t="s">
        <v>4049</v>
      </c>
      <c r="B325" t="s">
        <v>4176</v>
      </c>
      <c r="C325" t="s">
        <v>4177</v>
      </c>
      <c r="D325" s="7">
        <v>0.25</v>
      </c>
      <c r="E325" s="2">
        <v>72300.17</v>
      </c>
      <c r="F325" s="2">
        <v>18075.04</v>
      </c>
    </row>
    <row r="326" spans="1:6" x14ac:dyDescent="0.25">
      <c r="A326" t="s">
        <v>4049</v>
      </c>
      <c r="B326" t="s">
        <v>4313</v>
      </c>
      <c r="C326" t="s">
        <v>4177</v>
      </c>
      <c r="D326" s="7">
        <v>0.25</v>
      </c>
      <c r="E326" s="2">
        <v>124137.15</v>
      </c>
      <c r="F326" s="2">
        <v>31034.29</v>
      </c>
    </row>
    <row r="327" spans="1:6" x14ac:dyDescent="0.25">
      <c r="A327" t="s">
        <v>4052</v>
      </c>
      <c r="B327" t="s">
        <v>4118</v>
      </c>
      <c r="C327" t="s">
        <v>287</v>
      </c>
      <c r="D327" s="7">
        <v>0.1</v>
      </c>
      <c r="E327" s="2">
        <v>107433.33</v>
      </c>
      <c r="F327" s="2">
        <v>10743.33</v>
      </c>
    </row>
    <row r="328" spans="1:6" x14ac:dyDescent="0.25">
      <c r="A328" t="s">
        <v>4052</v>
      </c>
      <c r="B328" t="s">
        <v>4053</v>
      </c>
      <c r="C328" t="s">
        <v>4054</v>
      </c>
      <c r="D328" s="7">
        <v>5</v>
      </c>
      <c r="E328" s="2">
        <v>49109.33</v>
      </c>
      <c r="F328" s="2">
        <v>2455.47</v>
      </c>
    </row>
    <row r="329" spans="1:6" x14ac:dyDescent="0.25">
      <c r="A329" t="s">
        <v>4055</v>
      </c>
      <c r="D329" s="7"/>
      <c r="E329" s="2"/>
      <c r="F329" s="2">
        <f>SUBTOTAL(109,A_3_03_27[VALOR PARCIAL])</f>
      </c>
    </row>
    <row r="331" ht="30" customHeight="1" spans="1:6" x14ac:dyDescent="0.25">
      <c r="A331" s="5" t="s">
        <v>7206</v>
      </c>
      <c r="B331" s="5"/>
      <c r="C331" s="5"/>
      <c r="D331" s="5"/>
      <c r="E331" s="5"/>
      <c r="F331" s="5"/>
    </row>
    <row r="332" ht="42" customHeight="1" spans="1:6" x14ac:dyDescent="0.25">
      <c r="A332" s="6" t="s">
        <v>7207</v>
      </c>
      <c r="B332" s="6"/>
      <c r="C332" s="6"/>
      <c r="D332" s="6"/>
      <c r="E332" s="6"/>
      <c r="F332" s="6"/>
    </row>
    <row r="333" spans="1:6" x14ac:dyDescent="0.25">
      <c r="A333" t="s">
        <v>4044</v>
      </c>
      <c r="B333" t="s">
        <v>4045</v>
      </c>
      <c r="C333" t="s">
        <v>5</v>
      </c>
      <c r="D333" t="s">
        <v>4046</v>
      </c>
      <c r="E333" t="s">
        <v>4047</v>
      </c>
      <c r="F333" t="s">
        <v>4048</v>
      </c>
    </row>
    <row r="334" spans="1:6" x14ac:dyDescent="0.25">
      <c r="A334" t="s">
        <v>4062</v>
      </c>
      <c r="B334" t="s">
        <v>3975</v>
      </c>
      <c r="C334" t="s">
        <v>34</v>
      </c>
      <c r="D334" s="7">
        <v>0.02</v>
      </c>
      <c r="E334" s="2">
        <v>586929.15</v>
      </c>
      <c r="F334" s="2">
        <v>11738.58</v>
      </c>
    </row>
    <row r="335" spans="1:6" x14ac:dyDescent="0.25">
      <c r="A335" t="s">
        <v>4062</v>
      </c>
      <c r="B335" t="s">
        <v>7208</v>
      </c>
      <c r="C335" t="s">
        <v>42</v>
      </c>
      <c r="D335" s="7">
        <v>1</v>
      </c>
      <c r="E335" s="2">
        <v>330125</v>
      </c>
      <c r="F335" s="2">
        <v>330125</v>
      </c>
    </row>
    <row r="336" spans="1:6" x14ac:dyDescent="0.25">
      <c r="A336" t="s">
        <v>4062</v>
      </c>
      <c r="B336" t="s">
        <v>4015</v>
      </c>
      <c r="C336" t="s">
        <v>34</v>
      </c>
      <c r="D336" s="7">
        <v>0.1</v>
      </c>
      <c r="E336" s="2">
        <v>426702.51</v>
      </c>
      <c r="F336" s="2">
        <v>42670.25</v>
      </c>
    </row>
    <row r="337" spans="1:6" x14ac:dyDescent="0.25">
      <c r="A337" t="s">
        <v>4049</v>
      </c>
      <c r="B337" t="s">
        <v>4118</v>
      </c>
      <c r="C337" t="s">
        <v>287</v>
      </c>
      <c r="D337" s="7">
        <v>0.2</v>
      </c>
      <c r="E337" s="2">
        <v>107433.33</v>
      </c>
      <c r="F337" s="2">
        <v>21486.67</v>
      </c>
    </row>
    <row r="338" spans="1:6" x14ac:dyDescent="0.25">
      <c r="A338" t="s">
        <v>4049</v>
      </c>
      <c r="B338" t="s">
        <v>4176</v>
      </c>
      <c r="C338" t="s">
        <v>4177</v>
      </c>
      <c r="D338" s="7">
        <v>0.25</v>
      </c>
      <c r="E338" s="2">
        <v>72300.17</v>
      </c>
      <c r="F338" s="2">
        <v>18075.04</v>
      </c>
    </row>
    <row r="339" spans="1:6" x14ac:dyDescent="0.25">
      <c r="A339" t="s">
        <v>4049</v>
      </c>
      <c r="B339" t="s">
        <v>4313</v>
      </c>
      <c r="C339" t="s">
        <v>4177</v>
      </c>
      <c r="D339" s="7">
        <v>0.25</v>
      </c>
      <c r="E339" s="2">
        <v>124137.15</v>
      </c>
      <c r="F339" s="2">
        <v>31034.29</v>
      </c>
    </row>
    <row r="340" spans="1:6" x14ac:dyDescent="0.25">
      <c r="A340" t="s">
        <v>4052</v>
      </c>
      <c r="B340" t="s">
        <v>4053</v>
      </c>
      <c r="C340" t="s">
        <v>4054</v>
      </c>
      <c r="D340" s="7">
        <v>5</v>
      </c>
      <c r="E340" s="2">
        <v>49109.33</v>
      </c>
      <c r="F340" s="2">
        <v>2455.47</v>
      </c>
    </row>
    <row r="341" spans="1:6" x14ac:dyDescent="0.25">
      <c r="A341" t="s">
        <v>4055</v>
      </c>
      <c r="D341" s="7"/>
      <c r="E341" s="2"/>
      <c r="F341" s="2">
        <f>SUBTOTAL(109,A_3_03_28[VALOR PARCIAL])</f>
      </c>
    </row>
  </sheetData>
  <mergeCells count="56">
    <mergeCell ref="A4:F4"/>
    <mergeCell ref="A5:F5"/>
    <mergeCell ref="A16:F16"/>
    <mergeCell ref="A17:F17"/>
    <mergeCell ref="A28:F28"/>
    <mergeCell ref="A29:F29"/>
    <mergeCell ref="A42:F42"/>
    <mergeCell ref="A43:F43"/>
    <mergeCell ref="A49:F49"/>
    <mergeCell ref="A50:F50"/>
    <mergeCell ref="A61:F61"/>
    <mergeCell ref="A62:F62"/>
    <mergeCell ref="A75:F75"/>
    <mergeCell ref="A76:F76"/>
    <mergeCell ref="A92:F92"/>
    <mergeCell ref="A93:F93"/>
    <mergeCell ref="A102:F102"/>
    <mergeCell ref="A103:F103"/>
    <mergeCell ref="A112:F112"/>
    <mergeCell ref="A113:F113"/>
    <mergeCell ref="A120:F120"/>
    <mergeCell ref="A121:F121"/>
    <mergeCell ref="A128:F128"/>
    <mergeCell ref="A129:F129"/>
    <mergeCell ref="A141:F141"/>
    <mergeCell ref="A142:F142"/>
    <mergeCell ref="A156:F156"/>
    <mergeCell ref="A157:F157"/>
    <mergeCell ref="A166:F166"/>
    <mergeCell ref="A167:F167"/>
    <mergeCell ref="A178:F178"/>
    <mergeCell ref="A179:F179"/>
    <mergeCell ref="A187:F187"/>
    <mergeCell ref="A188:F188"/>
    <mergeCell ref="A199:F199"/>
    <mergeCell ref="A200:F200"/>
    <mergeCell ref="A214:F214"/>
    <mergeCell ref="A215:F215"/>
    <mergeCell ref="A228:F228"/>
    <mergeCell ref="A229:F229"/>
    <mergeCell ref="A243:F243"/>
    <mergeCell ref="A244:F244"/>
    <mergeCell ref="A258:F258"/>
    <mergeCell ref="A259:F259"/>
    <mergeCell ref="A267:F267"/>
    <mergeCell ref="A268:F268"/>
    <mergeCell ref="A278:F278"/>
    <mergeCell ref="A279:F279"/>
    <mergeCell ref="A293:F293"/>
    <mergeCell ref="A294:F294"/>
    <mergeCell ref="A308:F308"/>
    <mergeCell ref="A309:F309"/>
    <mergeCell ref="A319:F319"/>
    <mergeCell ref="A320:F320"/>
    <mergeCell ref="A331:F331"/>
    <mergeCell ref="A332:F332"/>
  </mergeCells>
  <pageMargins left="0.7" right="0.7" top="0.75" bottom="0.75" header="0.3" footer="0.3"/>
  <pageSetup orientation="portrait" horizontalDpi="4294967295" verticalDpi="4294967295" scale="100" fitToWidth="1" fitToHeight="1"/>
  <tableParts count="2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7209</v>
      </c>
    </row>
    <row r="2" spans="1:1" x14ac:dyDescent="0.25">
      <c r="A2" s="4" t="s">
        <v>7078</v>
      </c>
    </row>
    <row r="4" ht="30" customHeight="1" spans="1:6" x14ac:dyDescent="0.25">
      <c r="A4" s="5" t="s">
        <v>7210</v>
      </c>
      <c r="B4" s="5"/>
      <c r="C4" s="5"/>
      <c r="D4" s="5"/>
      <c r="E4" s="5"/>
      <c r="F4" s="5"/>
    </row>
    <row r="5" ht="42" customHeight="1" spans="1:6" x14ac:dyDescent="0.25">
      <c r="A5" s="6" t="s">
        <v>7211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4475</v>
      </c>
      <c r="C7" t="s">
        <v>231</v>
      </c>
      <c r="D7" s="7">
        <v>110</v>
      </c>
      <c r="E7" s="2">
        <v>730</v>
      </c>
      <c r="F7" s="2">
        <v>80300</v>
      </c>
    </row>
    <row r="8" spans="1:6" x14ac:dyDescent="0.25">
      <c r="A8" t="s">
        <v>4062</v>
      </c>
      <c r="B8" t="s">
        <v>6154</v>
      </c>
      <c r="C8" t="s">
        <v>34</v>
      </c>
      <c r="D8" s="7">
        <v>1.3</v>
      </c>
      <c r="E8" s="2">
        <v>58706.67</v>
      </c>
      <c r="F8" s="2">
        <v>76318.67</v>
      </c>
    </row>
    <row r="9" spans="1:6" x14ac:dyDescent="0.25">
      <c r="A9" t="s">
        <v>4049</v>
      </c>
      <c r="B9" t="s">
        <v>4176</v>
      </c>
      <c r="C9" t="s">
        <v>4177</v>
      </c>
      <c r="D9" s="7">
        <v>0.1</v>
      </c>
      <c r="E9" s="2">
        <v>72300.17</v>
      </c>
      <c r="F9" s="2">
        <v>7230.02</v>
      </c>
    </row>
    <row r="10" spans="1:6" x14ac:dyDescent="0.25">
      <c r="A10" t="s">
        <v>4049</v>
      </c>
      <c r="B10" t="s">
        <v>4313</v>
      </c>
      <c r="C10" t="s">
        <v>4177</v>
      </c>
      <c r="D10" s="7">
        <v>0.01</v>
      </c>
      <c r="E10" s="2">
        <v>124137.15</v>
      </c>
      <c r="F10" s="2">
        <v>1241.37</v>
      </c>
    </row>
    <row r="11" spans="1:6" x14ac:dyDescent="0.25">
      <c r="A11" t="s">
        <v>4052</v>
      </c>
      <c r="B11" t="s">
        <v>4077</v>
      </c>
      <c r="C11" t="s">
        <v>287</v>
      </c>
      <c r="D11" s="7">
        <v>0.07</v>
      </c>
      <c r="E11" s="2">
        <v>74712.95</v>
      </c>
      <c r="F11" s="2">
        <v>5229.91</v>
      </c>
    </row>
    <row r="12" spans="1:6" x14ac:dyDescent="0.25">
      <c r="A12" t="s">
        <v>4052</v>
      </c>
      <c r="B12" t="s">
        <v>4078</v>
      </c>
      <c r="C12" t="s">
        <v>287</v>
      </c>
      <c r="D12" s="7">
        <v>0.07</v>
      </c>
      <c r="E12" s="2">
        <v>157100</v>
      </c>
      <c r="F12" s="2">
        <v>10997</v>
      </c>
    </row>
    <row r="13" spans="1:6" x14ac:dyDescent="0.25">
      <c r="A13" t="s">
        <v>4052</v>
      </c>
      <c r="B13" t="s">
        <v>4081</v>
      </c>
      <c r="C13" t="s">
        <v>287</v>
      </c>
      <c r="D13" s="7">
        <v>0.07</v>
      </c>
      <c r="E13" s="2">
        <v>98968.79</v>
      </c>
      <c r="F13" s="2">
        <v>6927.82</v>
      </c>
    </row>
    <row r="14" spans="1:6" x14ac:dyDescent="0.25">
      <c r="A14" t="s">
        <v>4052</v>
      </c>
      <c r="B14" t="s">
        <v>4053</v>
      </c>
      <c r="C14" t="s">
        <v>4054</v>
      </c>
      <c r="D14" s="7">
        <v>5</v>
      </c>
      <c r="E14" s="2">
        <v>8471.39</v>
      </c>
      <c r="F14" s="2">
        <v>423.57</v>
      </c>
    </row>
    <row r="15" spans="1:6" x14ac:dyDescent="0.25">
      <c r="A15" t="s">
        <v>4055</v>
      </c>
      <c r="D15" s="7"/>
      <c r="E15" s="2"/>
      <c r="F15" s="2">
        <f>SUBTOTAL(109,A_3_04_01[VALOR PARCIAL])</f>
      </c>
    </row>
    <row r="17" ht="30" customHeight="1" spans="1:6" x14ac:dyDescent="0.25">
      <c r="A17" s="5" t="s">
        <v>7212</v>
      </c>
      <c r="B17" s="5"/>
      <c r="C17" s="5"/>
      <c r="D17" s="5"/>
      <c r="E17" s="5"/>
      <c r="F17" s="5"/>
    </row>
    <row r="18" ht="42" customHeight="1" spans="1:6" x14ac:dyDescent="0.25">
      <c r="A18" s="6" t="s">
        <v>7213</v>
      </c>
      <c r="B18" s="6"/>
      <c r="C18" s="6"/>
      <c r="D18" s="6"/>
      <c r="E18" s="6"/>
      <c r="F18" s="6"/>
    </row>
    <row r="19" spans="1:6" x14ac:dyDescent="0.25">
      <c r="A19" t="s">
        <v>4044</v>
      </c>
      <c r="B19" t="s">
        <v>4045</v>
      </c>
      <c r="C19" t="s">
        <v>5</v>
      </c>
      <c r="D19" t="s">
        <v>4046</v>
      </c>
      <c r="E19" t="s">
        <v>4047</v>
      </c>
      <c r="F19" t="s">
        <v>4048</v>
      </c>
    </row>
    <row r="20" spans="1:6" x14ac:dyDescent="0.25">
      <c r="A20" t="s">
        <v>4062</v>
      </c>
      <c r="B20" t="s">
        <v>7214</v>
      </c>
      <c r="C20" t="s">
        <v>3963</v>
      </c>
      <c r="D20" s="7">
        <v>75</v>
      </c>
      <c r="E20" s="2">
        <v>2520</v>
      </c>
      <c r="F20" s="2">
        <v>189000</v>
      </c>
    </row>
    <row r="21" spans="1:6" x14ac:dyDescent="0.25">
      <c r="A21" t="s">
        <v>4062</v>
      </c>
      <c r="B21" t="s">
        <v>6154</v>
      </c>
      <c r="C21" t="s">
        <v>34</v>
      </c>
      <c r="D21" s="7">
        <v>1.3</v>
      </c>
      <c r="E21" s="2">
        <v>58706.67</v>
      </c>
      <c r="F21" s="2">
        <v>76318.67</v>
      </c>
    </row>
    <row r="22" spans="1:6" x14ac:dyDescent="0.25">
      <c r="A22" t="s">
        <v>4049</v>
      </c>
      <c r="B22" t="s">
        <v>4176</v>
      </c>
      <c r="C22" t="s">
        <v>4177</v>
      </c>
      <c r="D22" s="7">
        <v>0.08</v>
      </c>
      <c r="E22" s="2">
        <v>72300.17</v>
      </c>
      <c r="F22" s="2">
        <v>5784.01</v>
      </c>
    </row>
    <row r="23" spans="1:6" x14ac:dyDescent="0.25">
      <c r="A23" t="s">
        <v>4049</v>
      </c>
      <c r="B23" t="s">
        <v>4313</v>
      </c>
      <c r="C23" t="s">
        <v>4177</v>
      </c>
      <c r="D23" s="7">
        <v>0.04</v>
      </c>
      <c r="E23" s="2">
        <v>124137.15</v>
      </c>
      <c r="F23" s="2">
        <v>4965.49</v>
      </c>
    </row>
    <row r="24" spans="1:6" x14ac:dyDescent="0.25">
      <c r="A24" t="s">
        <v>4052</v>
      </c>
      <c r="B24" t="s">
        <v>6149</v>
      </c>
      <c r="C24" t="s">
        <v>287</v>
      </c>
      <c r="D24" s="7">
        <v>0.07</v>
      </c>
      <c r="E24" s="2">
        <v>90261</v>
      </c>
      <c r="F24" s="2">
        <v>6318.27</v>
      </c>
    </row>
    <row r="25" spans="1:6" x14ac:dyDescent="0.25">
      <c r="A25" t="s">
        <v>4052</v>
      </c>
      <c r="B25" t="s">
        <v>4078</v>
      </c>
      <c r="C25" t="s">
        <v>287</v>
      </c>
      <c r="D25" s="7">
        <v>0.07</v>
      </c>
      <c r="E25" s="2">
        <v>157100</v>
      </c>
      <c r="F25" s="2">
        <v>10997</v>
      </c>
    </row>
    <row r="26" spans="1:6" x14ac:dyDescent="0.25">
      <c r="A26" t="s">
        <v>4052</v>
      </c>
      <c r="B26" t="s">
        <v>4081</v>
      </c>
      <c r="C26" t="s">
        <v>287</v>
      </c>
      <c r="D26" s="7">
        <v>0.07</v>
      </c>
      <c r="E26" s="2">
        <v>98968.79</v>
      </c>
      <c r="F26" s="2">
        <v>6927.82</v>
      </c>
    </row>
    <row r="27" spans="1:6" x14ac:dyDescent="0.25">
      <c r="A27" t="s">
        <v>4055</v>
      </c>
      <c r="D27" s="7"/>
      <c r="E27" s="2"/>
      <c r="F27" s="2">
        <f>SUBTOTAL(109,A_3_04_02[VALOR PARCIAL])</f>
      </c>
    </row>
    <row r="29" ht="30" customHeight="1" spans="1:6" x14ac:dyDescent="0.25">
      <c r="A29" s="5" t="s">
        <v>7215</v>
      </c>
      <c r="B29" s="5"/>
      <c r="C29" s="5"/>
      <c r="D29" s="5"/>
      <c r="E29" s="5"/>
      <c r="F29" s="5"/>
    </row>
    <row r="30" ht="42" customHeight="1" spans="1:6" x14ac:dyDescent="0.25">
      <c r="A30" s="6" t="s">
        <v>7216</v>
      </c>
      <c r="B30" s="6"/>
      <c r="C30" s="6"/>
      <c r="D30" s="6"/>
      <c r="E30" s="6"/>
      <c r="F30" s="6"/>
    </row>
    <row r="31" spans="1:6" x14ac:dyDescent="0.25">
      <c r="A31" t="s">
        <v>4044</v>
      </c>
      <c r="B31" t="s">
        <v>4045</v>
      </c>
      <c r="C31" t="s">
        <v>5</v>
      </c>
      <c r="D31" t="s">
        <v>4046</v>
      </c>
      <c r="E31" t="s">
        <v>4047</v>
      </c>
      <c r="F31" t="s">
        <v>4048</v>
      </c>
    </row>
    <row r="32" spans="1:6" x14ac:dyDescent="0.25">
      <c r="A32" t="s">
        <v>4052</v>
      </c>
      <c r="B32" t="s">
        <v>4077</v>
      </c>
      <c r="C32" t="s">
        <v>287</v>
      </c>
      <c r="D32" s="7">
        <v>5</v>
      </c>
      <c r="E32" s="2">
        <v>74712.95</v>
      </c>
      <c r="F32" s="2">
        <v>373564.75</v>
      </c>
    </row>
    <row r="33" spans="1:6" x14ac:dyDescent="0.25">
      <c r="A33" t="s">
        <v>4052</v>
      </c>
      <c r="B33" t="s">
        <v>4078</v>
      </c>
      <c r="C33" t="s">
        <v>287</v>
      </c>
      <c r="D33" s="7">
        <v>2</v>
      </c>
      <c r="E33" s="2">
        <v>157100</v>
      </c>
      <c r="F33" s="2">
        <v>314200</v>
      </c>
    </row>
    <row r="34" spans="1:6" x14ac:dyDescent="0.25">
      <c r="A34" t="s">
        <v>4052</v>
      </c>
      <c r="B34" t="s">
        <v>4081</v>
      </c>
      <c r="C34" t="s">
        <v>287</v>
      </c>
      <c r="D34" s="7">
        <v>5</v>
      </c>
      <c r="E34" s="2">
        <v>98968.79</v>
      </c>
      <c r="F34" s="2">
        <v>494843.95</v>
      </c>
    </row>
    <row r="35" spans="1:6" x14ac:dyDescent="0.25">
      <c r="A35" t="s">
        <v>4055</v>
      </c>
      <c r="D35" s="7"/>
      <c r="E35" s="2"/>
      <c r="F35" s="2">
        <f>SUBTOTAL(109,A_3_04_03[VALOR PARCIAL])</f>
      </c>
    </row>
    <row r="37" ht="30" customHeight="1" spans="1:6" x14ac:dyDescent="0.25">
      <c r="A37" s="5" t="s">
        <v>7217</v>
      </c>
      <c r="B37" s="5"/>
      <c r="C37" s="5"/>
      <c r="D37" s="5"/>
      <c r="E37" s="5"/>
      <c r="F37" s="5"/>
    </row>
    <row r="38" ht="42" customHeight="1" spans="1:6" x14ac:dyDescent="0.25">
      <c r="A38" s="6" t="s">
        <v>7218</v>
      </c>
      <c r="B38" s="6"/>
      <c r="C38" s="6"/>
      <c r="D38" s="6"/>
      <c r="E38" s="6"/>
      <c r="F38" s="6"/>
    </row>
    <row r="39" spans="1:6" x14ac:dyDescent="0.25">
      <c r="A39" t="s">
        <v>4044</v>
      </c>
      <c r="B39" t="s">
        <v>4045</v>
      </c>
      <c r="C39" t="s">
        <v>5</v>
      </c>
      <c r="D39" t="s">
        <v>4046</v>
      </c>
      <c r="E39" t="s">
        <v>4047</v>
      </c>
      <c r="F39" t="s">
        <v>4048</v>
      </c>
    </row>
    <row r="40" spans="1:6" x14ac:dyDescent="0.25">
      <c r="A40" t="s">
        <v>4062</v>
      </c>
      <c r="B40" t="s">
        <v>7219</v>
      </c>
      <c r="C40" t="s">
        <v>34</v>
      </c>
      <c r="D40" s="7">
        <v>1.1</v>
      </c>
      <c r="E40" s="2">
        <v>34846.67</v>
      </c>
      <c r="F40" s="2">
        <v>38331.34</v>
      </c>
    </row>
    <row r="41" spans="1:6" x14ac:dyDescent="0.25">
      <c r="A41" t="s">
        <v>4049</v>
      </c>
      <c r="B41" t="s">
        <v>4078</v>
      </c>
      <c r="C41" t="s">
        <v>287</v>
      </c>
      <c r="D41" s="7">
        <v>0.05</v>
      </c>
      <c r="E41" s="2">
        <v>157100</v>
      </c>
      <c r="F41" s="2">
        <v>7855</v>
      </c>
    </row>
    <row r="42" spans="1:6" x14ac:dyDescent="0.25">
      <c r="A42" t="s">
        <v>4049</v>
      </c>
      <c r="B42" t="s">
        <v>7220</v>
      </c>
      <c r="C42" t="s">
        <v>4177</v>
      </c>
      <c r="D42" s="7">
        <v>0.01</v>
      </c>
      <c r="E42" s="2">
        <v>130296.06</v>
      </c>
      <c r="F42" s="2">
        <v>1302.96</v>
      </c>
    </row>
    <row r="43" spans="1:6" x14ac:dyDescent="0.25">
      <c r="A43" t="s">
        <v>4058</v>
      </c>
      <c r="B43" t="s">
        <v>4059</v>
      </c>
      <c r="C43" t="s">
        <v>3545</v>
      </c>
      <c r="D43" s="7">
        <v>5.5</v>
      </c>
      <c r="E43" s="2">
        <v>1325</v>
      </c>
      <c r="F43" s="2">
        <v>7287.5</v>
      </c>
    </row>
    <row r="44" spans="1:6" x14ac:dyDescent="0.25">
      <c r="A44" t="s">
        <v>4055</v>
      </c>
      <c r="D44" s="7"/>
      <c r="E44" s="2"/>
      <c r="F44" s="2">
        <f>SUBTOTAL(109,A_3_04_04[VALOR PARCIAL])</f>
      </c>
    </row>
    <row r="46" ht="30" customHeight="1" spans="1:6" x14ac:dyDescent="0.25">
      <c r="A46" s="5" t="s">
        <v>7221</v>
      </c>
      <c r="B46" s="5"/>
      <c r="C46" s="5"/>
      <c r="D46" s="5"/>
      <c r="E46" s="5"/>
      <c r="F46" s="5"/>
    </row>
    <row r="47" ht="42" customHeight="1" spans="1:6" x14ac:dyDescent="0.25">
      <c r="A47" s="6" t="s">
        <v>7222</v>
      </c>
      <c r="B47" s="6"/>
      <c r="C47" s="6"/>
      <c r="D47" s="6"/>
      <c r="E47" s="6"/>
      <c r="F47" s="6"/>
    </row>
    <row r="48" spans="1:6" x14ac:dyDescent="0.25">
      <c r="A48" t="s">
        <v>4044</v>
      </c>
      <c r="B48" t="s">
        <v>4045</v>
      </c>
      <c r="C48" t="s">
        <v>5</v>
      </c>
      <c r="D48" t="s">
        <v>4046</v>
      </c>
      <c r="E48" t="s">
        <v>4047</v>
      </c>
      <c r="F48" t="s">
        <v>4048</v>
      </c>
    </row>
    <row r="49" spans="1:6" x14ac:dyDescent="0.25">
      <c r="A49" t="s">
        <v>4062</v>
      </c>
      <c r="B49" t="s">
        <v>7219</v>
      </c>
      <c r="C49" t="s">
        <v>34</v>
      </c>
      <c r="D49" s="7">
        <v>1.3</v>
      </c>
      <c r="E49" s="2">
        <v>34846.67</v>
      </c>
      <c r="F49" s="2">
        <v>45300.67</v>
      </c>
    </row>
    <row r="50" spans="1:6" x14ac:dyDescent="0.25">
      <c r="A50" t="s">
        <v>4049</v>
      </c>
      <c r="B50" t="s">
        <v>7220</v>
      </c>
      <c r="C50" t="s">
        <v>4177</v>
      </c>
      <c r="D50" s="7">
        <v>0.01</v>
      </c>
      <c r="E50" s="2">
        <v>130296.06</v>
      </c>
      <c r="F50" s="2">
        <v>1302.96</v>
      </c>
    </row>
    <row r="51" spans="1:6" x14ac:dyDescent="0.25">
      <c r="A51" t="s">
        <v>4052</v>
      </c>
      <c r="B51" t="s">
        <v>4077</v>
      </c>
      <c r="C51" t="s">
        <v>287</v>
      </c>
      <c r="D51" s="7">
        <v>0.05</v>
      </c>
      <c r="E51" s="2">
        <v>74712.95</v>
      </c>
      <c r="F51" s="2">
        <v>3735.65</v>
      </c>
    </row>
    <row r="52" spans="1:6" x14ac:dyDescent="0.25">
      <c r="A52" t="s">
        <v>4052</v>
      </c>
      <c r="B52" t="s">
        <v>4078</v>
      </c>
      <c r="C52" t="s">
        <v>287</v>
      </c>
      <c r="D52" s="7">
        <v>0.06</v>
      </c>
      <c r="E52" s="2">
        <v>157100</v>
      </c>
      <c r="F52" s="2">
        <v>9426</v>
      </c>
    </row>
    <row r="53" spans="1:6" x14ac:dyDescent="0.25">
      <c r="A53" t="s">
        <v>4052</v>
      </c>
      <c r="B53" t="s">
        <v>4081</v>
      </c>
      <c r="C53" t="s">
        <v>287</v>
      </c>
      <c r="D53" s="7">
        <v>0.07</v>
      </c>
      <c r="E53" s="2">
        <v>98968.79</v>
      </c>
      <c r="F53" s="2">
        <v>6432.97</v>
      </c>
    </row>
    <row r="54" spans="1:6" x14ac:dyDescent="0.25">
      <c r="A54" t="s">
        <v>4058</v>
      </c>
      <c r="B54" t="s">
        <v>4059</v>
      </c>
      <c r="C54" t="s">
        <v>3545</v>
      </c>
      <c r="D54" s="7">
        <v>6.5</v>
      </c>
      <c r="E54" s="2">
        <v>1325</v>
      </c>
      <c r="F54" s="2">
        <v>8612.5</v>
      </c>
    </row>
    <row r="55" spans="1:6" x14ac:dyDescent="0.25">
      <c r="A55" t="s">
        <v>4055</v>
      </c>
      <c r="D55" s="7"/>
      <c r="E55" s="2"/>
      <c r="F55" s="2">
        <f>SUBTOTAL(109,A_3_04_05[VALOR PARCIAL])</f>
      </c>
    </row>
    <row r="57" ht="30" customHeight="1" spans="1:6" x14ac:dyDescent="0.25">
      <c r="A57" s="5" t="s">
        <v>7223</v>
      </c>
      <c r="B57" s="5"/>
      <c r="C57" s="5"/>
      <c r="D57" s="5"/>
      <c r="E57" s="5"/>
      <c r="F57" s="5"/>
    </row>
    <row r="58" ht="42" customHeight="1" spans="1:6" x14ac:dyDescent="0.25">
      <c r="A58" s="6" t="s">
        <v>7224</v>
      </c>
      <c r="B58" s="6"/>
      <c r="C58" s="6"/>
      <c r="D58" s="6"/>
      <c r="E58" s="6"/>
      <c r="F58" s="6"/>
    </row>
    <row r="59" spans="1:6" x14ac:dyDescent="0.25">
      <c r="A59" t="s">
        <v>4044</v>
      </c>
      <c r="B59" t="s">
        <v>4045</v>
      </c>
      <c r="C59" t="s">
        <v>5</v>
      </c>
      <c r="D59" t="s">
        <v>4046</v>
      </c>
      <c r="E59" t="s">
        <v>4047</v>
      </c>
      <c r="F59" t="s">
        <v>4048</v>
      </c>
    </row>
    <row r="60" spans="1:6" x14ac:dyDescent="0.25">
      <c r="A60" t="s">
        <v>4062</v>
      </c>
      <c r="B60" t="s">
        <v>6154</v>
      </c>
      <c r="C60" t="s">
        <v>34</v>
      </c>
      <c r="D60" s="7">
        <v>1.3</v>
      </c>
      <c r="E60" s="2">
        <v>58706.67</v>
      </c>
      <c r="F60" s="2">
        <v>76318.67</v>
      </c>
    </row>
    <row r="61" spans="1:6" x14ac:dyDescent="0.25">
      <c r="A61" t="s">
        <v>4049</v>
      </c>
      <c r="B61" t="s">
        <v>4176</v>
      </c>
      <c r="C61" t="s">
        <v>4177</v>
      </c>
      <c r="D61" s="7">
        <v>0.05</v>
      </c>
      <c r="E61" s="2">
        <v>72300.17</v>
      </c>
      <c r="F61" s="2">
        <v>3615.01</v>
      </c>
    </row>
    <row r="62" spans="1:6" x14ac:dyDescent="0.25">
      <c r="A62" t="s">
        <v>4049</v>
      </c>
      <c r="B62" t="s">
        <v>7220</v>
      </c>
      <c r="C62" t="s">
        <v>4177</v>
      </c>
      <c r="D62" s="7">
        <v>0.01</v>
      </c>
      <c r="E62" s="2">
        <v>130296.06</v>
      </c>
      <c r="F62" s="2">
        <v>1302.96</v>
      </c>
    </row>
    <row r="63" spans="1:6" x14ac:dyDescent="0.25">
      <c r="A63" t="s">
        <v>4058</v>
      </c>
      <c r="B63" t="s">
        <v>4077</v>
      </c>
      <c r="C63" t="s">
        <v>287</v>
      </c>
      <c r="D63" s="7">
        <v>0.05</v>
      </c>
      <c r="E63" s="2">
        <v>74712.95</v>
      </c>
      <c r="F63" s="2">
        <v>3735.65</v>
      </c>
    </row>
    <row r="64" spans="1:6" x14ac:dyDescent="0.25">
      <c r="A64" t="s">
        <v>4058</v>
      </c>
      <c r="B64" t="s">
        <v>4078</v>
      </c>
      <c r="C64" t="s">
        <v>287</v>
      </c>
      <c r="D64" s="7">
        <v>0.07</v>
      </c>
      <c r="E64" s="2">
        <v>157100</v>
      </c>
      <c r="F64" s="2">
        <v>10997</v>
      </c>
    </row>
    <row r="65" spans="1:6" x14ac:dyDescent="0.25">
      <c r="A65" t="s">
        <v>4058</v>
      </c>
      <c r="B65" t="s">
        <v>4081</v>
      </c>
      <c r="C65" t="s">
        <v>287</v>
      </c>
      <c r="D65" s="7">
        <v>0.07</v>
      </c>
      <c r="E65" s="2">
        <v>98968.79</v>
      </c>
      <c r="F65" s="2">
        <v>6927.82</v>
      </c>
    </row>
    <row r="66" spans="1:6" x14ac:dyDescent="0.25">
      <c r="A66" t="s">
        <v>4058</v>
      </c>
      <c r="B66" t="s">
        <v>4310</v>
      </c>
      <c r="C66" t="s">
        <v>3545</v>
      </c>
      <c r="D66" s="7">
        <v>6.5</v>
      </c>
      <c r="E66" s="2">
        <v>1350</v>
      </c>
      <c r="F66" s="2">
        <v>8775</v>
      </c>
    </row>
    <row r="67" spans="1:6" x14ac:dyDescent="0.25">
      <c r="A67" t="s">
        <v>4055</v>
      </c>
      <c r="D67" s="7"/>
      <c r="E67" s="2"/>
      <c r="F67" s="2">
        <f>SUBTOTAL(109,A_3_04_06[VALOR PARCIAL])</f>
      </c>
    </row>
    <row r="69" ht="30" customHeight="1" spans="1:6" x14ac:dyDescent="0.25">
      <c r="A69" s="5" t="s">
        <v>7225</v>
      </c>
      <c r="B69" s="5"/>
      <c r="C69" s="5"/>
      <c r="D69" s="5"/>
      <c r="E69" s="5"/>
      <c r="F69" s="5"/>
    </row>
    <row r="70" ht="42" customHeight="1" spans="1:6" x14ac:dyDescent="0.25">
      <c r="A70" s="6" t="s">
        <v>7226</v>
      </c>
      <c r="B70" s="6"/>
      <c r="C70" s="6"/>
      <c r="D70" s="6"/>
      <c r="E70" s="6"/>
      <c r="F70" s="6"/>
    </row>
    <row r="71" spans="1:6" x14ac:dyDescent="0.25">
      <c r="A71" t="s">
        <v>4044</v>
      </c>
      <c r="B71" t="s">
        <v>4045</v>
      </c>
      <c r="C71" t="s">
        <v>5</v>
      </c>
      <c r="D71" t="s">
        <v>4046</v>
      </c>
      <c r="E71" t="s">
        <v>4047</v>
      </c>
      <c r="F71" t="s">
        <v>4048</v>
      </c>
    </row>
    <row r="72" spans="1:6" x14ac:dyDescent="0.25">
      <c r="A72" t="s">
        <v>4062</v>
      </c>
      <c r="B72" t="s">
        <v>6162</v>
      </c>
      <c r="C72" t="s">
        <v>34</v>
      </c>
      <c r="D72" s="7">
        <v>1.3</v>
      </c>
      <c r="E72" s="2">
        <v>42113.33</v>
      </c>
      <c r="F72" s="2">
        <v>54747.33</v>
      </c>
    </row>
    <row r="73" spans="1:6" x14ac:dyDescent="0.25">
      <c r="A73" t="s">
        <v>4049</v>
      </c>
      <c r="B73" t="s">
        <v>4176</v>
      </c>
      <c r="C73" t="s">
        <v>4177</v>
      </c>
      <c r="D73" s="7">
        <v>0.05</v>
      </c>
      <c r="E73" s="2">
        <v>72300.17</v>
      </c>
      <c r="F73" s="2">
        <v>3615.01</v>
      </c>
    </row>
    <row r="74" spans="1:6" x14ac:dyDescent="0.25">
      <c r="A74" t="s">
        <v>4049</v>
      </c>
      <c r="B74" t="s">
        <v>7220</v>
      </c>
      <c r="C74" t="s">
        <v>4177</v>
      </c>
      <c r="D74" s="7">
        <v>0.01</v>
      </c>
      <c r="E74" s="2">
        <v>130296.06</v>
      </c>
      <c r="F74" s="2">
        <v>1302.96</v>
      </c>
    </row>
    <row r="75" spans="1:6" x14ac:dyDescent="0.25">
      <c r="A75" t="s">
        <v>4052</v>
      </c>
      <c r="B75" t="s">
        <v>4077</v>
      </c>
      <c r="C75" t="s">
        <v>287</v>
      </c>
      <c r="D75" s="7">
        <v>0.05</v>
      </c>
      <c r="E75" s="2">
        <v>74712.95</v>
      </c>
      <c r="F75" s="2">
        <v>3735.65</v>
      </c>
    </row>
    <row r="76" spans="1:6" x14ac:dyDescent="0.25">
      <c r="A76" t="s">
        <v>4052</v>
      </c>
      <c r="B76" t="s">
        <v>4078</v>
      </c>
      <c r="C76" t="s">
        <v>287</v>
      </c>
      <c r="D76" s="7">
        <v>0.07</v>
      </c>
      <c r="E76" s="2">
        <v>157100</v>
      </c>
      <c r="F76" s="2">
        <v>10997</v>
      </c>
    </row>
    <row r="77" spans="1:6" x14ac:dyDescent="0.25">
      <c r="A77" t="s">
        <v>4052</v>
      </c>
      <c r="B77" t="s">
        <v>4081</v>
      </c>
      <c r="C77" t="s">
        <v>287</v>
      </c>
      <c r="D77" s="7">
        <v>0.07</v>
      </c>
      <c r="E77" s="2">
        <v>98968.79</v>
      </c>
      <c r="F77" s="2">
        <v>6927.82</v>
      </c>
    </row>
    <row r="78" spans="1:6" x14ac:dyDescent="0.25">
      <c r="A78" t="s">
        <v>4058</v>
      </c>
      <c r="B78" t="s">
        <v>4310</v>
      </c>
      <c r="C78" t="s">
        <v>3545</v>
      </c>
      <c r="D78" s="7">
        <v>6.5</v>
      </c>
      <c r="E78" s="2">
        <v>1350</v>
      </c>
      <c r="F78" s="2">
        <v>8775</v>
      </c>
    </row>
    <row r="79" spans="1:6" x14ac:dyDescent="0.25">
      <c r="A79" t="s">
        <v>4055</v>
      </c>
      <c r="D79" s="7"/>
      <c r="E79" s="2"/>
      <c r="F79" s="2">
        <f>SUBTOTAL(109,A_3_04_07[VALOR PARCIAL])</f>
      </c>
    </row>
  </sheetData>
  <mergeCells count="14">
    <mergeCell ref="A4:F4"/>
    <mergeCell ref="A5:F5"/>
    <mergeCell ref="A17:F17"/>
    <mergeCell ref="A18:F18"/>
    <mergeCell ref="A29:F29"/>
    <mergeCell ref="A30:F30"/>
    <mergeCell ref="A37:F37"/>
    <mergeCell ref="A38:F38"/>
    <mergeCell ref="A46:F46"/>
    <mergeCell ref="A47:F47"/>
    <mergeCell ref="A57:F57"/>
    <mergeCell ref="A58:F58"/>
    <mergeCell ref="A69:F69"/>
    <mergeCell ref="A70:F70"/>
  </mergeCells>
  <pageMargins left="0.7" right="0.7" top="0.75" bottom="0.75" header="0.3" footer="0.3"/>
  <pageSetup orientation="portrait" horizontalDpi="4294967295" verticalDpi="4294967295" scale="100" fitToWidth="1" fitToHeight="1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7227</v>
      </c>
    </row>
    <row r="2" spans="1:1" x14ac:dyDescent="0.25">
      <c r="A2" s="4" t="s">
        <v>6290</v>
      </c>
    </row>
    <row r="4" ht="30" customHeight="1" spans="1:6" x14ac:dyDescent="0.25">
      <c r="A4" s="5" t="s">
        <v>7228</v>
      </c>
      <c r="B4" s="5"/>
      <c r="C4" s="5"/>
      <c r="D4" s="5"/>
      <c r="E4" s="5"/>
      <c r="F4" s="5"/>
    </row>
    <row r="5" ht="42" customHeight="1" spans="1:6" x14ac:dyDescent="0.25">
      <c r="A5" s="6" t="s">
        <v>7229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7230</v>
      </c>
      <c r="C7" t="s">
        <v>231</v>
      </c>
      <c r="D7" s="7">
        <v>7</v>
      </c>
      <c r="E7" s="2">
        <v>1803</v>
      </c>
      <c r="F7" s="2">
        <v>12621</v>
      </c>
    </row>
    <row r="8" spans="1:6" x14ac:dyDescent="0.25">
      <c r="A8" t="s">
        <v>4062</v>
      </c>
      <c r="B8" t="s">
        <v>3998</v>
      </c>
      <c r="C8" t="s">
        <v>34</v>
      </c>
      <c r="D8" s="7">
        <v>1.1</v>
      </c>
      <c r="E8" s="2">
        <v>520986.7</v>
      </c>
      <c r="F8" s="2">
        <v>573085.37</v>
      </c>
    </row>
    <row r="9" spans="1:6" x14ac:dyDescent="0.25">
      <c r="A9" t="s">
        <v>4049</v>
      </c>
      <c r="B9" t="s">
        <v>4176</v>
      </c>
      <c r="C9" t="s">
        <v>4177</v>
      </c>
      <c r="D9" s="7">
        <v>0.8</v>
      </c>
      <c r="E9" s="2">
        <v>72300.17</v>
      </c>
      <c r="F9" s="2">
        <v>57840.14</v>
      </c>
    </row>
    <row r="10" spans="1:6" x14ac:dyDescent="0.25">
      <c r="A10" t="s">
        <v>4049</v>
      </c>
      <c r="B10" t="s">
        <v>4313</v>
      </c>
      <c r="C10" t="s">
        <v>4177</v>
      </c>
      <c r="D10" s="7">
        <v>0.15</v>
      </c>
      <c r="E10" s="2">
        <v>124137.15</v>
      </c>
      <c r="F10" s="2">
        <v>18620.57</v>
      </c>
    </row>
    <row r="11" spans="1:6" x14ac:dyDescent="0.25">
      <c r="A11" t="s">
        <v>4052</v>
      </c>
      <c r="B11" t="s">
        <v>7231</v>
      </c>
      <c r="C11" t="s">
        <v>42</v>
      </c>
      <c r="D11" s="7">
        <v>4</v>
      </c>
      <c r="E11" s="2">
        <v>4905</v>
      </c>
      <c r="F11" s="2">
        <v>19620</v>
      </c>
    </row>
    <row r="12" spans="1:6" x14ac:dyDescent="0.25">
      <c r="A12" t="s">
        <v>4052</v>
      </c>
      <c r="B12" t="s">
        <v>4286</v>
      </c>
      <c r="C12" t="s">
        <v>287</v>
      </c>
      <c r="D12" s="7">
        <v>2.5</v>
      </c>
      <c r="E12" s="2">
        <v>9375</v>
      </c>
      <c r="F12" s="2">
        <v>23437.5</v>
      </c>
    </row>
    <row r="13" spans="1:6" x14ac:dyDescent="0.25">
      <c r="A13" t="s">
        <v>4052</v>
      </c>
      <c r="B13" t="s">
        <v>4053</v>
      </c>
      <c r="C13" t="s">
        <v>4054</v>
      </c>
      <c r="D13" s="7">
        <v>1.3</v>
      </c>
      <c r="E13" s="2">
        <v>76460.71</v>
      </c>
      <c r="F13" s="2">
        <v>993.99</v>
      </c>
    </row>
    <row r="14" spans="1:6" x14ac:dyDescent="0.25">
      <c r="A14" t="s">
        <v>4055</v>
      </c>
      <c r="D14" s="7"/>
      <c r="E14" s="2"/>
      <c r="F14" s="2">
        <f>SUBTOTAL(109,A_3_05_01[VALOR PARCIAL])</f>
      </c>
    </row>
    <row r="16" ht="30" customHeight="1" spans="1:6" x14ac:dyDescent="0.25">
      <c r="A16" s="5" t="s">
        <v>7232</v>
      </c>
      <c r="B16" s="5"/>
      <c r="C16" s="5"/>
      <c r="D16" s="5"/>
      <c r="E16" s="5"/>
      <c r="F16" s="5"/>
    </row>
    <row r="17" ht="42" customHeight="1" spans="1:6" x14ac:dyDescent="0.25">
      <c r="A17" s="6" t="s">
        <v>7233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4062</v>
      </c>
      <c r="B19" t="s">
        <v>6947</v>
      </c>
      <c r="C19" t="s">
        <v>63</v>
      </c>
      <c r="D19" s="7">
        <v>0.01</v>
      </c>
      <c r="E19" s="2">
        <v>185957</v>
      </c>
      <c r="F19" s="2">
        <v>1859.57</v>
      </c>
    </row>
    <row r="20" spans="1:6" x14ac:dyDescent="0.25">
      <c r="A20" t="s">
        <v>4062</v>
      </c>
      <c r="B20" t="s">
        <v>4076</v>
      </c>
      <c r="C20" t="s">
        <v>3963</v>
      </c>
      <c r="D20" s="7">
        <v>5</v>
      </c>
      <c r="E20" s="2">
        <v>21</v>
      </c>
      <c r="F20" s="2">
        <v>105</v>
      </c>
    </row>
    <row r="21" spans="1:6" x14ac:dyDescent="0.25">
      <c r="A21" t="s">
        <v>4049</v>
      </c>
      <c r="B21" t="s">
        <v>7234</v>
      </c>
      <c r="C21" t="s">
        <v>287</v>
      </c>
      <c r="D21" s="7">
        <v>0.09</v>
      </c>
      <c r="E21" s="2">
        <v>8800</v>
      </c>
      <c r="F21" s="2">
        <v>748</v>
      </c>
    </row>
    <row r="22" spans="1:6" x14ac:dyDescent="0.25">
      <c r="A22" t="s">
        <v>4049</v>
      </c>
      <c r="B22" t="s">
        <v>4176</v>
      </c>
      <c r="C22" t="s">
        <v>4177</v>
      </c>
      <c r="D22" s="7">
        <v>0.02</v>
      </c>
      <c r="E22" s="2">
        <v>72300.17</v>
      </c>
      <c r="F22" s="2">
        <v>1446</v>
      </c>
    </row>
    <row r="23" spans="1:6" x14ac:dyDescent="0.25">
      <c r="A23" t="s">
        <v>4055</v>
      </c>
      <c r="D23" s="7"/>
      <c r="E23" s="2"/>
      <c r="F23" s="2">
        <f>SUBTOTAL(109,A_3_05_02[VALOR PARCIAL])</f>
      </c>
    </row>
    <row r="25" ht="30" customHeight="1" spans="1:6" x14ac:dyDescent="0.25">
      <c r="A25" s="5" t="s">
        <v>7235</v>
      </c>
      <c r="B25" s="5"/>
      <c r="C25" s="5"/>
      <c r="D25" s="5"/>
      <c r="E25" s="5"/>
      <c r="F25" s="5"/>
    </row>
    <row r="26" ht="42" customHeight="1" spans="1:6" x14ac:dyDescent="0.25">
      <c r="A26" s="6" t="s">
        <v>7236</v>
      </c>
      <c r="B26" s="6"/>
      <c r="C26" s="6"/>
      <c r="D26" s="6"/>
      <c r="E26" s="6"/>
      <c r="F26" s="6"/>
    </row>
    <row r="27" spans="1:6" x14ac:dyDescent="0.25">
      <c r="A27" t="s">
        <v>4044</v>
      </c>
      <c r="B27" t="s">
        <v>4045</v>
      </c>
      <c r="C27" t="s">
        <v>5</v>
      </c>
      <c r="D27" t="s">
        <v>4046</v>
      </c>
      <c r="E27" t="s">
        <v>4047</v>
      </c>
      <c r="F27" t="s">
        <v>4048</v>
      </c>
    </row>
    <row r="28" spans="1:6" x14ac:dyDescent="0.25">
      <c r="A28" t="s">
        <v>4062</v>
      </c>
      <c r="B28" t="s">
        <v>3272</v>
      </c>
      <c r="C28" t="s">
        <v>34</v>
      </c>
      <c r="D28" s="7">
        <v>1.05</v>
      </c>
      <c r="E28" s="2">
        <v>503370</v>
      </c>
      <c r="F28" s="2">
        <v>528538.5</v>
      </c>
    </row>
    <row r="29" spans="1:6" x14ac:dyDescent="0.25">
      <c r="A29" t="s">
        <v>4062</v>
      </c>
      <c r="B29" t="s">
        <v>7237</v>
      </c>
      <c r="C29" t="s">
        <v>42</v>
      </c>
      <c r="D29" s="7">
        <v>4</v>
      </c>
      <c r="E29" s="2">
        <v>771.12</v>
      </c>
      <c r="F29" s="2">
        <v>3084.48</v>
      </c>
    </row>
    <row r="30" spans="1:6" x14ac:dyDescent="0.25">
      <c r="A30" t="s">
        <v>4062</v>
      </c>
      <c r="B30" t="s">
        <v>7238</v>
      </c>
      <c r="C30" t="s">
        <v>4377</v>
      </c>
      <c r="D30" s="7">
        <v>0.04</v>
      </c>
      <c r="E30" s="2">
        <v>152320</v>
      </c>
      <c r="F30" s="2">
        <v>6473.6</v>
      </c>
    </row>
    <row r="31" spans="1:6" x14ac:dyDescent="0.25">
      <c r="A31" t="s">
        <v>4062</v>
      </c>
      <c r="B31" t="s">
        <v>7239</v>
      </c>
      <c r="C31" t="s">
        <v>63</v>
      </c>
      <c r="D31" s="7">
        <v>0.03</v>
      </c>
      <c r="E31" s="2">
        <v>185957</v>
      </c>
      <c r="F31" s="2">
        <v>5578.71</v>
      </c>
    </row>
    <row r="32" spans="1:6" x14ac:dyDescent="0.25">
      <c r="A32" t="s">
        <v>4049</v>
      </c>
      <c r="B32" t="s">
        <v>4176</v>
      </c>
      <c r="C32" t="s">
        <v>4177</v>
      </c>
      <c r="D32" s="7">
        <v>0.8</v>
      </c>
      <c r="E32" s="2">
        <v>72300.17</v>
      </c>
      <c r="F32" s="2">
        <v>57840.14</v>
      </c>
    </row>
    <row r="33" spans="1:6" x14ac:dyDescent="0.25">
      <c r="A33" t="s">
        <v>4049</v>
      </c>
      <c r="B33" t="s">
        <v>4313</v>
      </c>
      <c r="C33" t="s">
        <v>4177</v>
      </c>
      <c r="D33" s="7">
        <v>0.3</v>
      </c>
      <c r="E33" s="2">
        <v>124137.15</v>
      </c>
      <c r="F33" s="2">
        <v>37241.14</v>
      </c>
    </row>
    <row r="34" spans="1:6" x14ac:dyDescent="0.25">
      <c r="A34" t="s">
        <v>4052</v>
      </c>
      <c r="B34" t="s">
        <v>7234</v>
      </c>
      <c r="C34" t="s">
        <v>287</v>
      </c>
      <c r="D34" s="7">
        <v>0.34</v>
      </c>
      <c r="E34" s="2">
        <v>8800</v>
      </c>
      <c r="F34" s="2">
        <v>2992</v>
      </c>
    </row>
    <row r="35" spans="1:6" x14ac:dyDescent="0.25">
      <c r="A35" t="s">
        <v>4052</v>
      </c>
      <c r="B35" t="s">
        <v>7231</v>
      </c>
      <c r="C35" t="s">
        <v>42</v>
      </c>
      <c r="D35" s="7">
        <v>4</v>
      </c>
      <c r="E35" s="2">
        <v>4905</v>
      </c>
      <c r="F35" s="2">
        <v>19620</v>
      </c>
    </row>
    <row r="36" spans="1:6" x14ac:dyDescent="0.25">
      <c r="A36" t="s">
        <v>4052</v>
      </c>
      <c r="B36" t="s">
        <v>4286</v>
      </c>
      <c r="C36" t="s">
        <v>287</v>
      </c>
      <c r="D36" s="7">
        <v>2.5</v>
      </c>
      <c r="E36" s="2">
        <v>9375</v>
      </c>
      <c r="F36" s="2">
        <v>23437.5</v>
      </c>
    </row>
    <row r="37" spans="1:6" x14ac:dyDescent="0.25">
      <c r="A37" t="s">
        <v>4052</v>
      </c>
      <c r="B37" t="s">
        <v>4053</v>
      </c>
      <c r="C37" t="s">
        <v>4054</v>
      </c>
      <c r="D37" s="7">
        <v>1.3</v>
      </c>
      <c r="E37" s="2">
        <v>95081.28</v>
      </c>
      <c r="F37" s="2">
        <v>1236.06</v>
      </c>
    </row>
    <row r="38" spans="1:6" x14ac:dyDescent="0.25">
      <c r="A38" t="s">
        <v>4055</v>
      </c>
      <c r="D38" s="7"/>
      <c r="E38" s="2"/>
      <c r="F38" s="2">
        <f>SUBTOTAL(109,A_3_05_03[VALOR PARCIAL])</f>
      </c>
    </row>
    <row r="40" ht="30" customHeight="1" spans="1:6" x14ac:dyDescent="0.25">
      <c r="A40" s="5" t="s">
        <v>7240</v>
      </c>
      <c r="B40" s="5"/>
      <c r="C40" s="5"/>
      <c r="D40" s="5"/>
      <c r="E40" s="5"/>
      <c r="F40" s="5"/>
    </row>
    <row r="41" ht="42" customHeight="1" spans="1:6" x14ac:dyDescent="0.25">
      <c r="A41" s="6" t="s">
        <v>7241</v>
      </c>
      <c r="B41" s="6"/>
      <c r="C41" s="6"/>
      <c r="D41" s="6"/>
      <c r="E41" s="6"/>
      <c r="F41" s="6"/>
    </row>
    <row r="42" spans="1:6" x14ac:dyDescent="0.25">
      <c r="A42" t="s">
        <v>4044</v>
      </c>
      <c r="B42" t="s">
        <v>4045</v>
      </c>
      <c r="C42" t="s">
        <v>5</v>
      </c>
      <c r="D42" t="s">
        <v>4046</v>
      </c>
      <c r="E42" t="s">
        <v>4047</v>
      </c>
      <c r="F42" t="s">
        <v>4048</v>
      </c>
    </row>
    <row r="43" spans="1:6" x14ac:dyDescent="0.25">
      <c r="A43" t="s">
        <v>4062</v>
      </c>
      <c r="B43" t="s">
        <v>7237</v>
      </c>
      <c r="C43" t="s">
        <v>42</v>
      </c>
      <c r="D43" s="7">
        <v>4</v>
      </c>
      <c r="E43" s="2">
        <v>771.12</v>
      </c>
      <c r="F43" s="2">
        <v>3084.48</v>
      </c>
    </row>
    <row r="44" spans="1:6" x14ac:dyDescent="0.25">
      <c r="A44" t="s">
        <v>4062</v>
      </c>
      <c r="B44" t="s">
        <v>7242</v>
      </c>
      <c r="C44" t="s">
        <v>4377</v>
      </c>
      <c r="D44" s="7">
        <v>0.04</v>
      </c>
      <c r="E44" s="2">
        <v>152320</v>
      </c>
      <c r="F44" s="2">
        <v>6473.6</v>
      </c>
    </row>
    <row r="45" spans="1:6" x14ac:dyDescent="0.25">
      <c r="A45" t="s">
        <v>4062</v>
      </c>
      <c r="B45" t="s">
        <v>7243</v>
      </c>
      <c r="C45" t="s">
        <v>34</v>
      </c>
      <c r="D45" s="7">
        <v>1.05</v>
      </c>
      <c r="E45" s="2">
        <v>521220</v>
      </c>
      <c r="F45" s="2">
        <v>547281</v>
      </c>
    </row>
    <row r="46" spans="1:6" x14ac:dyDescent="0.25">
      <c r="A46" t="s">
        <v>4062</v>
      </c>
      <c r="B46" t="s">
        <v>7239</v>
      </c>
      <c r="C46" t="s">
        <v>63</v>
      </c>
      <c r="D46" s="7">
        <v>0.03</v>
      </c>
      <c r="E46" s="2">
        <v>185957</v>
      </c>
      <c r="F46" s="2">
        <v>5578.71</v>
      </c>
    </row>
    <row r="47" spans="1:6" x14ac:dyDescent="0.25">
      <c r="A47" t="s">
        <v>4049</v>
      </c>
      <c r="B47" t="s">
        <v>4176</v>
      </c>
      <c r="C47" t="s">
        <v>4177</v>
      </c>
      <c r="D47" s="7">
        <v>0.8</v>
      </c>
      <c r="E47" s="2">
        <v>72300.17</v>
      </c>
      <c r="F47" s="2">
        <v>57840.14</v>
      </c>
    </row>
    <row r="48" spans="1:6" x14ac:dyDescent="0.25">
      <c r="A48" t="s">
        <v>4049</v>
      </c>
      <c r="B48" t="s">
        <v>4313</v>
      </c>
      <c r="C48" t="s">
        <v>4177</v>
      </c>
      <c r="D48" s="7">
        <v>0.3</v>
      </c>
      <c r="E48" s="2">
        <v>124137.15</v>
      </c>
      <c r="F48" s="2">
        <v>37241.14</v>
      </c>
    </row>
    <row r="49" spans="1:6" x14ac:dyDescent="0.25">
      <c r="A49" t="s">
        <v>4052</v>
      </c>
      <c r="B49" t="s">
        <v>7234</v>
      </c>
      <c r="C49" t="s">
        <v>287</v>
      </c>
      <c r="D49" s="7">
        <v>0.34</v>
      </c>
      <c r="E49" s="2">
        <v>8800</v>
      </c>
      <c r="F49" s="2">
        <v>2992</v>
      </c>
    </row>
    <row r="50" spans="1:6" x14ac:dyDescent="0.25">
      <c r="A50" t="s">
        <v>4052</v>
      </c>
      <c r="B50" t="s">
        <v>7231</v>
      </c>
      <c r="C50" t="s">
        <v>42</v>
      </c>
      <c r="D50" s="7">
        <v>4</v>
      </c>
      <c r="E50" s="2">
        <v>4905</v>
      </c>
      <c r="F50" s="2">
        <v>19620</v>
      </c>
    </row>
    <row r="51" spans="1:6" x14ac:dyDescent="0.25">
      <c r="A51" t="s">
        <v>4052</v>
      </c>
      <c r="B51" t="s">
        <v>4286</v>
      </c>
      <c r="C51" t="s">
        <v>287</v>
      </c>
      <c r="D51" s="7">
        <v>2.5</v>
      </c>
      <c r="E51" s="2">
        <v>9375</v>
      </c>
      <c r="F51" s="2">
        <v>23437.5</v>
      </c>
    </row>
    <row r="52" spans="1:6" x14ac:dyDescent="0.25">
      <c r="A52" t="s">
        <v>4052</v>
      </c>
      <c r="B52" t="s">
        <v>4053</v>
      </c>
      <c r="C52" t="s">
        <v>4054</v>
      </c>
      <c r="D52" s="7">
        <v>1.3</v>
      </c>
      <c r="E52" s="2">
        <v>95081.28</v>
      </c>
      <c r="F52" s="2">
        <v>1236.06</v>
      </c>
    </row>
    <row r="53" spans="1:6" x14ac:dyDescent="0.25">
      <c r="A53" t="s">
        <v>4055</v>
      </c>
      <c r="D53" s="7"/>
      <c r="E53" s="2"/>
      <c r="F53" s="2">
        <f>SUBTOTAL(109,A_3_05_04[VALOR PARCIAL])</f>
      </c>
    </row>
    <row r="55" ht="30" customHeight="1" spans="1:6" x14ac:dyDescent="0.25">
      <c r="A55" s="5" t="s">
        <v>7244</v>
      </c>
      <c r="B55" s="5"/>
      <c r="C55" s="5"/>
      <c r="D55" s="5"/>
      <c r="E55" s="5"/>
      <c r="F55" s="5"/>
    </row>
    <row r="56" ht="42" customHeight="1" spans="1:6" x14ac:dyDescent="0.25">
      <c r="A56" s="6" t="s">
        <v>7245</v>
      </c>
      <c r="B56" s="6"/>
      <c r="C56" s="6"/>
      <c r="D56" s="6"/>
      <c r="E56" s="6"/>
      <c r="F56" s="6"/>
    </row>
    <row r="57" spans="1:6" x14ac:dyDescent="0.25">
      <c r="A57" t="s">
        <v>4044</v>
      </c>
      <c r="B57" t="s">
        <v>4045</v>
      </c>
      <c r="C57" t="s">
        <v>5</v>
      </c>
      <c r="D57" t="s">
        <v>4046</v>
      </c>
      <c r="E57" t="s">
        <v>4047</v>
      </c>
      <c r="F57" t="s">
        <v>4048</v>
      </c>
    </row>
    <row r="58" spans="1:6" x14ac:dyDescent="0.25">
      <c r="A58" t="s">
        <v>4062</v>
      </c>
      <c r="B58" t="s">
        <v>7237</v>
      </c>
      <c r="C58" t="s">
        <v>42</v>
      </c>
      <c r="D58" s="7">
        <v>4</v>
      </c>
      <c r="E58" s="2">
        <v>771.12</v>
      </c>
      <c r="F58" s="2">
        <v>3084.48</v>
      </c>
    </row>
    <row r="59" spans="1:6" x14ac:dyDescent="0.25">
      <c r="A59" t="s">
        <v>4062</v>
      </c>
      <c r="B59" t="s">
        <v>7246</v>
      </c>
      <c r="C59" t="s">
        <v>4377</v>
      </c>
      <c r="D59" s="7">
        <v>0.04</v>
      </c>
      <c r="E59" s="2">
        <v>152320</v>
      </c>
      <c r="F59" s="2">
        <v>6473.6</v>
      </c>
    </row>
    <row r="60" spans="1:6" x14ac:dyDescent="0.25">
      <c r="A60" t="s">
        <v>4062</v>
      </c>
      <c r="B60" t="s">
        <v>7247</v>
      </c>
      <c r="C60" t="s">
        <v>34</v>
      </c>
      <c r="D60" s="7">
        <v>1.05</v>
      </c>
      <c r="E60" s="2">
        <v>523600</v>
      </c>
      <c r="F60" s="2">
        <v>549780</v>
      </c>
    </row>
    <row r="61" spans="1:6" x14ac:dyDescent="0.25">
      <c r="A61" t="s">
        <v>4062</v>
      </c>
      <c r="B61" t="s">
        <v>7239</v>
      </c>
      <c r="C61" t="s">
        <v>63</v>
      </c>
      <c r="D61" s="7">
        <v>0.03</v>
      </c>
      <c r="E61" s="2">
        <v>185957</v>
      </c>
      <c r="F61" s="2">
        <v>5578.71</v>
      </c>
    </row>
    <row r="62" spans="1:6" x14ac:dyDescent="0.25">
      <c r="A62" t="s">
        <v>4049</v>
      </c>
      <c r="B62" t="s">
        <v>4176</v>
      </c>
      <c r="C62" t="s">
        <v>4177</v>
      </c>
      <c r="D62" s="7">
        <v>0.8</v>
      </c>
      <c r="E62" s="2">
        <v>72300.17</v>
      </c>
      <c r="F62" s="2">
        <v>57840.14</v>
      </c>
    </row>
    <row r="63" spans="1:6" x14ac:dyDescent="0.25">
      <c r="A63" t="s">
        <v>4049</v>
      </c>
      <c r="B63" t="s">
        <v>4313</v>
      </c>
      <c r="C63" t="s">
        <v>4177</v>
      </c>
      <c r="D63" s="7">
        <v>0.3</v>
      </c>
      <c r="E63" s="2">
        <v>124137.15</v>
      </c>
      <c r="F63" s="2">
        <v>37241.14</v>
      </c>
    </row>
    <row r="64" spans="1:6" x14ac:dyDescent="0.25">
      <c r="A64" t="s">
        <v>4052</v>
      </c>
      <c r="B64" t="s">
        <v>7234</v>
      </c>
      <c r="C64" t="s">
        <v>287</v>
      </c>
      <c r="D64" s="7">
        <v>0.34</v>
      </c>
      <c r="E64" s="2">
        <v>8800</v>
      </c>
      <c r="F64" s="2">
        <v>2992</v>
      </c>
    </row>
    <row r="65" spans="1:6" x14ac:dyDescent="0.25">
      <c r="A65" t="s">
        <v>4052</v>
      </c>
      <c r="B65" t="s">
        <v>7231</v>
      </c>
      <c r="C65" t="s">
        <v>42</v>
      </c>
      <c r="D65" s="7">
        <v>4</v>
      </c>
      <c r="E65" s="2">
        <v>4905</v>
      </c>
      <c r="F65" s="2">
        <v>19620</v>
      </c>
    </row>
    <row r="66" spans="1:6" x14ac:dyDescent="0.25">
      <c r="A66" t="s">
        <v>4052</v>
      </c>
      <c r="B66" t="s">
        <v>4286</v>
      </c>
      <c r="C66" t="s">
        <v>287</v>
      </c>
      <c r="D66" s="7">
        <v>2.5</v>
      </c>
      <c r="E66" s="2">
        <v>9375</v>
      </c>
      <c r="F66" s="2">
        <v>23437.5</v>
      </c>
    </row>
    <row r="67" spans="1:6" x14ac:dyDescent="0.25">
      <c r="A67" t="s">
        <v>4052</v>
      </c>
      <c r="B67" t="s">
        <v>4053</v>
      </c>
      <c r="C67" t="s">
        <v>4054</v>
      </c>
      <c r="D67" s="7">
        <v>1.3</v>
      </c>
      <c r="E67" s="2">
        <v>95081.28</v>
      </c>
      <c r="F67" s="2">
        <v>1236.06</v>
      </c>
    </row>
    <row r="68" spans="1:6" x14ac:dyDescent="0.25">
      <c r="A68" t="s">
        <v>4055</v>
      </c>
      <c r="D68" s="7"/>
      <c r="E68" s="2"/>
      <c r="F68" s="2">
        <f>SUBTOTAL(109,A_3_05_05[VALOR PARCIAL])</f>
      </c>
    </row>
    <row r="70" ht="30" customHeight="1" spans="1:6" x14ac:dyDescent="0.25">
      <c r="A70" s="5" t="s">
        <v>7248</v>
      </c>
      <c r="B70" s="5"/>
      <c r="C70" s="5"/>
      <c r="D70" s="5"/>
      <c r="E70" s="5"/>
      <c r="F70" s="5"/>
    </row>
    <row r="71" ht="42" customHeight="1" spans="1:6" x14ac:dyDescent="0.25">
      <c r="A71" s="6" t="s">
        <v>7249</v>
      </c>
      <c r="B71" s="6"/>
      <c r="C71" s="6"/>
      <c r="D71" s="6"/>
      <c r="E71" s="6"/>
      <c r="F71" s="6"/>
    </row>
    <row r="72" spans="1:6" x14ac:dyDescent="0.25">
      <c r="A72" t="s">
        <v>4044</v>
      </c>
      <c r="B72" t="s">
        <v>4045</v>
      </c>
      <c r="C72" t="s">
        <v>5</v>
      </c>
      <c r="D72" t="s">
        <v>4046</v>
      </c>
      <c r="E72" t="s">
        <v>4047</v>
      </c>
      <c r="F72" t="s">
        <v>4048</v>
      </c>
    </row>
    <row r="73" spans="1:6" x14ac:dyDescent="0.25">
      <c r="A73" t="s">
        <v>4062</v>
      </c>
      <c r="B73" t="s">
        <v>7237</v>
      </c>
      <c r="C73" t="s">
        <v>42</v>
      </c>
      <c r="D73" s="7">
        <v>4</v>
      </c>
      <c r="E73" s="2">
        <v>771.12</v>
      </c>
      <c r="F73" s="2">
        <v>3084.48</v>
      </c>
    </row>
    <row r="74" spans="1:6" x14ac:dyDescent="0.25">
      <c r="A74" t="s">
        <v>4062</v>
      </c>
      <c r="B74" t="s">
        <v>7250</v>
      </c>
      <c r="C74" t="s">
        <v>4377</v>
      </c>
      <c r="D74" s="7">
        <v>0.04</v>
      </c>
      <c r="E74" s="2">
        <v>152320</v>
      </c>
      <c r="F74" s="2">
        <v>6473.6</v>
      </c>
    </row>
    <row r="75" spans="1:6" x14ac:dyDescent="0.25">
      <c r="A75" t="s">
        <v>4062</v>
      </c>
      <c r="B75" t="s">
        <v>7251</v>
      </c>
      <c r="C75" t="s">
        <v>34</v>
      </c>
      <c r="D75" s="7">
        <v>1.05</v>
      </c>
      <c r="E75" s="2">
        <v>528360</v>
      </c>
      <c r="F75" s="2">
        <v>554778</v>
      </c>
    </row>
    <row r="76" spans="1:6" x14ac:dyDescent="0.25">
      <c r="A76" t="s">
        <v>4062</v>
      </c>
      <c r="B76" t="s">
        <v>7239</v>
      </c>
      <c r="C76" t="s">
        <v>63</v>
      </c>
      <c r="D76" s="7">
        <v>0.03</v>
      </c>
      <c r="E76" s="2">
        <v>185957</v>
      </c>
      <c r="F76" s="2">
        <v>5578.71</v>
      </c>
    </row>
    <row r="77" spans="1:6" x14ac:dyDescent="0.25">
      <c r="A77" t="s">
        <v>4049</v>
      </c>
      <c r="B77" t="s">
        <v>4176</v>
      </c>
      <c r="C77" t="s">
        <v>4177</v>
      </c>
      <c r="D77" s="7">
        <v>0.8</v>
      </c>
      <c r="E77" s="2">
        <v>72300.17</v>
      </c>
      <c r="F77" s="2">
        <v>57840.14</v>
      </c>
    </row>
    <row r="78" spans="1:6" x14ac:dyDescent="0.25">
      <c r="A78" t="s">
        <v>4049</v>
      </c>
      <c r="B78" t="s">
        <v>4313</v>
      </c>
      <c r="C78" t="s">
        <v>4177</v>
      </c>
      <c r="D78" s="7">
        <v>0.3</v>
      </c>
      <c r="E78" s="2">
        <v>124137.15</v>
      </c>
      <c r="F78" s="2">
        <v>37241.14</v>
      </c>
    </row>
    <row r="79" spans="1:6" x14ac:dyDescent="0.25">
      <c r="A79" t="s">
        <v>4052</v>
      </c>
      <c r="B79" t="s">
        <v>7234</v>
      </c>
      <c r="C79" t="s">
        <v>287</v>
      </c>
      <c r="D79" s="7">
        <v>0.34</v>
      </c>
      <c r="E79" s="2">
        <v>8800</v>
      </c>
      <c r="F79" s="2">
        <v>2992</v>
      </c>
    </row>
    <row r="80" spans="1:6" x14ac:dyDescent="0.25">
      <c r="A80" t="s">
        <v>4052</v>
      </c>
      <c r="B80" t="s">
        <v>7231</v>
      </c>
      <c r="C80" t="s">
        <v>42</v>
      </c>
      <c r="D80" s="7">
        <v>4</v>
      </c>
      <c r="E80" s="2">
        <v>4905</v>
      </c>
      <c r="F80" s="2">
        <v>19620</v>
      </c>
    </row>
    <row r="81" spans="1:6" x14ac:dyDescent="0.25">
      <c r="A81" t="s">
        <v>4052</v>
      </c>
      <c r="B81" t="s">
        <v>4286</v>
      </c>
      <c r="C81" t="s">
        <v>287</v>
      </c>
      <c r="D81" s="7">
        <v>2.5</v>
      </c>
      <c r="E81" s="2">
        <v>9375</v>
      </c>
      <c r="F81" s="2">
        <v>23437.5</v>
      </c>
    </row>
    <row r="82" spans="1:6" x14ac:dyDescent="0.25">
      <c r="A82" t="s">
        <v>4052</v>
      </c>
      <c r="B82" t="s">
        <v>4053</v>
      </c>
      <c r="C82" t="s">
        <v>4054</v>
      </c>
      <c r="D82" s="7">
        <v>1.3</v>
      </c>
      <c r="E82" s="2">
        <v>95081.28</v>
      </c>
      <c r="F82" s="2">
        <v>1236.06</v>
      </c>
    </row>
    <row r="83" spans="1:6" x14ac:dyDescent="0.25">
      <c r="A83" t="s">
        <v>4055</v>
      </c>
      <c r="D83" s="7"/>
      <c r="E83" s="2"/>
      <c r="F83" s="2">
        <f>SUBTOTAL(109,A_3_05_06[VALOR PARCIAL])</f>
      </c>
    </row>
    <row r="85" ht="30" customHeight="1" spans="1:6" x14ac:dyDescent="0.25">
      <c r="A85" s="5" t="s">
        <v>7252</v>
      </c>
      <c r="B85" s="5"/>
      <c r="C85" s="5"/>
      <c r="D85" s="5"/>
      <c r="E85" s="5"/>
      <c r="F85" s="5"/>
    </row>
    <row r="86" ht="42" customHeight="1" spans="1:6" x14ac:dyDescent="0.25">
      <c r="A86" s="6" t="s">
        <v>7253</v>
      </c>
      <c r="B86" s="6"/>
      <c r="C86" s="6"/>
      <c r="D86" s="6"/>
      <c r="E86" s="6"/>
      <c r="F86" s="6"/>
    </row>
    <row r="87" spans="1:6" x14ac:dyDescent="0.25">
      <c r="A87" t="s">
        <v>4044</v>
      </c>
      <c r="B87" t="s">
        <v>4045</v>
      </c>
      <c r="C87" t="s">
        <v>5</v>
      </c>
      <c r="D87" t="s">
        <v>4046</v>
      </c>
      <c r="E87" t="s">
        <v>4047</v>
      </c>
      <c r="F87" t="s">
        <v>4048</v>
      </c>
    </row>
    <row r="88" spans="1:6" x14ac:dyDescent="0.25">
      <c r="A88" t="s">
        <v>4062</v>
      </c>
      <c r="B88" t="s">
        <v>7237</v>
      </c>
      <c r="C88" t="s">
        <v>42</v>
      </c>
      <c r="D88" s="7">
        <v>4</v>
      </c>
      <c r="E88" s="2">
        <v>771.12</v>
      </c>
      <c r="F88" s="2">
        <v>3084.48</v>
      </c>
    </row>
    <row r="89" spans="1:6" x14ac:dyDescent="0.25">
      <c r="A89" t="s">
        <v>4062</v>
      </c>
      <c r="B89" t="s">
        <v>7254</v>
      </c>
      <c r="C89" t="s">
        <v>4377</v>
      </c>
      <c r="D89" s="7">
        <v>0.04</v>
      </c>
      <c r="E89" s="2">
        <v>152320</v>
      </c>
      <c r="F89" s="2">
        <v>6473.6</v>
      </c>
    </row>
    <row r="90" spans="1:6" x14ac:dyDescent="0.25">
      <c r="A90" t="s">
        <v>4062</v>
      </c>
      <c r="B90" t="s">
        <v>7255</v>
      </c>
      <c r="C90" t="s">
        <v>34</v>
      </c>
      <c r="D90" s="7">
        <v>1.05</v>
      </c>
      <c r="E90" s="2">
        <v>536690</v>
      </c>
      <c r="F90" s="2">
        <v>563524.5</v>
      </c>
    </row>
    <row r="91" spans="1:6" x14ac:dyDescent="0.25">
      <c r="A91" t="s">
        <v>4062</v>
      </c>
      <c r="B91" t="s">
        <v>7239</v>
      </c>
      <c r="C91" t="s">
        <v>63</v>
      </c>
      <c r="D91" s="7">
        <v>0.03</v>
      </c>
      <c r="E91" s="2">
        <v>185957</v>
      </c>
      <c r="F91" s="2">
        <v>5578.71</v>
      </c>
    </row>
    <row r="92" spans="1:6" x14ac:dyDescent="0.25">
      <c r="A92" t="s">
        <v>4049</v>
      </c>
      <c r="B92" t="s">
        <v>4176</v>
      </c>
      <c r="C92" t="s">
        <v>4177</v>
      </c>
      <c r="D92" s="7">
        <v>0.8</v>
      </c>
      <c r="E92" s="2">
        <v>72300.17</v>
      </c>
      <c r="F92" s="2">
        <v>57840.14</v>
      </c>
    </row>
    <row r="93" spans="1:6" x14ac:dyDescent="0.25">
      <c r="A93" t="s">
        <v>4049</v>
      </c>
      <c r="B93" t="s">
        <v>4313</v>
      </c>
      <c r="C93" t="s">
        <v>4177</v>
      </c>
      <c r="D93" s="7">
        <v>0.3</v>
      </c>
      <c r="E93" s="2">
        <v>124137.15</v>
      </c>
      <c r="F93" s="2">
        <v>37241.14</v>
      </c>
    </row>
    <row r="94" spans="1:6" x14ac:dyDescent="0.25">
      <c r="A94" t="s">
        <v>4052</v>
      </c>
      <c r="B94" t="s">
        <v>7234</v>
      </c>
      <c r="C94" t="s">
        <v>287</v>
      </c>
      <c r="D94" s="7">
        <v>0.34</v>
      </c>
      <c r="E94" s="2">
        <v>8800</v>
      </c>
      <c r="F94" s="2">
        <v>2992</v>
      </c>
    </row>
    <row r="95" spans="1:6" x14ac:dyDescent="0.25">
      <c r="A95" t="s">
        <v>4052</v>
      </c>
      <c r="B95" t="s">
        <v>7231</v>
      </c>
      <c r="C95" t="s">
        <v>42</v>
      </c>
      <c r="D95" s="7">
        <v>4</v>
      </c>
      <c r="E95" s="2">
        <v>4905</v>
      </c>
      <c r="F95" s="2">
        <v>19620</v>
      </c>
    </row>
    <row r="96" spans="1:6" x14ac:dyDescent="0.25">
      <c r="A96" t="s">
        <v>4052</v>
      </c>
      <c r="B96" t="s">
        <v>4286</v>
      </c>
      <c r="C96" t="s">
        <v>287</v>
      </c>
      <c r="D96" s="7">
        <v>2.5</v>
      </c>
      <c r="E96" s="2">
        <v>9375</v>
      </c>
      <c r="F96" s="2">
        <v>23437.5</v>
      </c>
    </row>
    <row r="97" spans="1:6" x14ac:dyDescent="0.25">
      <c r="A97" t="s">
        <v>4052</v>
      </c>
      <c r="B97" t="s">
        <v>4053</v>
      </c>
      <c r="C97" t="s">
        <v>4054</v>
      </c>
      <c r="D97" s="7">
        <v>1.3</v>
      </c>
      <c r="E97" s="2">
        <v>95081.28</v>
      </c>
      <c r="F97" s="2">
        <v>1236.06</v>
      </c>
    </row>
    <row r="98" spans="1:6" x14ac:dyDescent="0.25">
      <c r="A98" t="s">
        <v>4055</v>
      </c>
      <c r="D98" s="7"/>
      <c r="E98" s="2"/>
      <c r="F98" s="2">
        <f>SUBTOTAL(109,A_3_05_07[VALOR PARCIAL])</f>
      </c>
    </row>
    <row r="100" ht="30" customHeight="1" spans="1:6" x14ac:dyDescent="0.25">
      <c r="A100" s="5" t="s">
        <v>7256</v>
      </c>
      <c r="B100" s="5"/>
      <c r="C100" s="5"/>
      <c r="D100" s="5"/>
      <c r="E100" s="5"/>
      <c r="F100" s="5"/>
    </row>
    <row r="101" ht="42" customHeight="1" spans="1:6" x14ac:dyDescent="0.25">
      <c r="A101" s="6" t="s">
        <v>7257</v>
      </c>
      <c r="B101" s="6"/>
      <c r="C101" s="6"/>
      <c r="D101" s="6"/>
      <c r="E101" s="6"/>
      <c r="F101" s="6"/>
    </row>
    <row r="102" spans="1:6" x14ac:dyDescent="0.25">
      <c r="A102" t="s">
        <v>4044</v>
      </c>
      <c r="B102" t="s">
        <v>4045</v>
      </c>
      <c r="C102" t="s">
        <v>5</v>
      </c>
      <c r="D102" t="s">
        <v>4046</v>
      </c>
      <c r="E102" t="s">
        <v>4047</v>
      </c>
      <c r="F102" t="s">
        <v>4048</v>
      </c>
    </row>
    <row r="103" spans="1:6" x14ac:dyDescent="0.25">
      <c r="A103" t="s">
        <v>4062</v>
      </c>
      <c r="B103" t="s">
        <v>7237</v>
      </c>
      <c r="C103" t="s">
        <v>42</v>
      </c>
      <c r="D103" s="7">
        <v>4</v>
      </c>
      <c r="E103" s="2">
        <v>771.12</v>
      </c>
      <c r="F103" s="2">
        <v>3084.48</v>
      </c>
    </row>
    <row r="104" spans="1:6" x14ac:dyDescent="0.25">
      <c r="A104" t="s">
        <v>4062</v>
      </c>
      <c r="B104" t="s">
        <v>7258</v>
      </c>
      <c r="C104" t="s">
        <v>4377</v>
      </c>
      <c r="D104" s="7">
        <v>0.04</v>
      </c>
      <c r="E104" s="2">
        <v>152320</v>
      </c>
      <c r="F104" s="2">
        <v>6473.6</v>
      </c>
    </row>
    <row r="105" spans="1:6" x14ac:dyDescent="0.25">
      <c r="A105" t="s">
        <v>4062</v>
      </c>
      <c r="B105" t="s">
        <v>7259</v>
      </c>
      <c r="C105" t="s">
        <v>34</v>
      </c>
      <c r="D105" s="7">
        <v>1.05</v>
      </c>
      <c r="E105" s="2">
        <v>542640</v>
      </c>
      <c r="F105" s="2">
        <v>569772</v>
      </c>
    </row>
    <row r="106" spans="1:6" x14ac:dyDescent="0.25">
      <c r="A106" t="s">
        <v>4062</v>
      </c>
      <c r="B106" t="s">
        <v>7239</v>
      </c>
      <c r="C106" t="s">
        <v>63</v>
      </c>
      <c r="D106" s="7">
        <v>0.03</v>
      </c>
      <c r="E106" s="2">
        <v>185957</v>
      </c>
      <c r="F106" s="2">
        <v>5578.71</v>
      </c>
    </row>
    <row r="107" spans="1:6" x14ac:dyDescent="0.25">
      <c r="A107" t="s">
        <v>4049</v>
      </c>
      <c r="B107" t="s">
        <v>4176</v>
      </c>
      <c r="C107" t="s">
        <v>4177</v>
      </c>
      <c r="D107" s="7">
        <v>0.8</v>
      </c>
      <c r="E107" s="2">
        <v>72300.17</v>
      </c>
      <c r="F107" s="2">
        <v>57840.14</v>
      </c>
    </row>
    <row r="108" spans="1:6" x14ac:dyDescent="0.25">
      <c r="A108" t="s">
        <v>4049</v>
      </c>
      <c r="B108" t="s">
        <v>4313</v>
      </c>
      <c r="C108" t="s">
        <v>4177</v>
      </c>
      <c r="D108" s="7">
        <v>0.3</v>
      </c>
      <c r="E108" s="2">
        <v>124137.15</v>
      </c>
      <c r="F108" s="2">
        <v>37241.14</v>
      </c>
    </row>
    <row r="109" spans="1:6" x14ac:dyDescent="0.25">
      <c r="A109" t="s">
        <v>4052</v>
      </c>
      <c r="B109" t="s">
        <v>7234</v>
      </c>
      <c r="C109" t="s">
        <v>287</v>
      </c>
      <c r="D109" s="7">
        <v>0.34</v>
      </c>
      <c r="E109" s="2">
        <v>8800</v>
      </c>
      <c r="F109" s="2">
        <v>2992</v>
      </c>
    </row>
    <row r="110" spans="1:6" x14ac:dyDescent="0.25">
      <c r="A110" t="s">
        <v>4052</v>
      </c>
      <c r="B110" t="s">
        <v>7231</v>
      </c>
      <c r="C110" t="s">
        <v>42</v>
      </c>
      <c r="D110" s="7">
        <v>4</v>
      </c>
      <c r="E110" s="2">
        <v>4905</v>
      </c>
      <c r="F110" s="2">
        <v>19620</v>
      </c>
    </row>
    <row r="111" spans="1:6" x14ac:dyDescent="0.25">
      <c r="A111" t="s">
        <v>4052</v>
      </c>
      <c r="B111" t="s">
        <v>4286</v>
      </c>
      <c r="C111" t="s">
        <v>287</v>
      </c>
      <c r="D111" s="7">
        <v>2.5</v>
      </c>
      <c r="E111" s="2">
        <v>9375</v>
      </c>
      <c r="F111" s="2">
        <v>23437.5</v>
      </c>
    </row>
    <row r="112" spans="1:6" x14ac:dyDescent="0.25">
      <c r="A112" t="s">
        <v>4052</v>
      </c>
      <c r="B112" t="s">
        <v>4053</v>
      </c>
      <c r="C112" t="s">
        <v>4054</v>
      </c>
      <c r="D112" s="7">
        <v>1.3</v>
      </c>
      <c r="E112" s="2">
        <v>95081.28</v>
      </c>
      <c r="F112" s="2">
        <v>1236.06</v>
      </c>
    </row>
    <row r="113" spans="1:6" x14ac:dyDescent="0.25">
      <c r="A113" t="s">
        <v>4055</v>
      </c>
      <c r="D113" s="7"/>
      <c r="E113" s="2"/>
      <c r="F113" s="2">
        <f>SUBTOTAL(109,A_3_05_08[VALOR PARCIAL])</f>
      </c>
    </row>
    <row r="115" ht="30" customHeight="1" spans="1:6" x14ac:dyDescent="0.25">
      <c r="A115" s="5" t="s">
        <v>7260</v>
      </c>
      <c r="B115" s="5"/>
      <c r="C115" s="5"/>
      <c r="D115" s="5"/>
      <c r="E115" s="5"/>
      <c r="F115" s="5"/>
    </row>
    <row r="116" ht="42" customHeight="1" spans="1:6" x14ac:dyDescent="0.25">
      <c r="A116" s="6" t="s">
        <v>7261</v>
      </c>
      <c r="B116" s="6"/>
      <c r="C116" s="6"/>
      <c r="D116" s="6"/>
      <c r="E116" s="6"/>
      <c r="F116" s="6"/>
    </row>
    <row r="117" spans="1:6" x14ac:dyDescent="0.25">
      <c r="A117" t="s">
        <v>4044</v>
      </c>
      <c r="B117" t="s">
        <v>4045</v>
      </c>
      <c r="C117" t="s">
        <v>5</v>
      </c>
      <c r="D117" t="s">
        <v>4046</v>
      </c>
      <c r="E117" t="s">
        <v>4047</v>
      </c>
      <c r="F117" t="s">
        <v>4048</v>
      </c>
    </row>
    <row r="118" spans="1:6" x14ac:dyDescent="0.25">
      <c r="A118" t="s">
        <v>4062</v>
      </c>
      <c r="B118" t="s">
        <v>7237</v>
      </c>
      <c r="C118" t="s">
        <v>42</v>
      </c>
      <c r="D118" s="7">
        <v>4</v>
      </c>
      <c r="E118" s="2">
        <v>771.12</v>
      </c>
      <c r="F118" s="2">
        <v>3084.48</v>
      </c>
    </row>
    <row r="119" spans="1:6" x14ac:dyDescent="0.25">
      <c r="A119" t="s">
        <v>4062</v>
      </c>
      <c r="B119" t="s">
        <v>7262</v>
      </c>
      <c r="C119" t="s">
        <v>4377</v>
      </c>
      <c r="D119" s="7">
        <v>0.04</v>
      </c>
      <c r="E119" s="2">
        <v>152320</v>
      </c>
      <c r="F119" s="2">
        <v>6473.6</v>
      </c>
    </row>
    <row r="120" spans="1:6" x14ac:dyDescent="0.25">
      <c r="A120" t="s">
        <v>4062</v>
      </c>
      <c r="B120" t="s">
        <v>7263</v>
      </c>
      <c r="C120" t="s">
        <v>34</v>
      </c>
      <c r="D120" s="7">
        <v>1.05</v>
      </c>
      <c r="E120" s="2">
        <v>554540</v>
      </c>
      <c r="F120" s="2">
        <v>582267</v>
      </c>
    </row>
    <row r="121" spans="1:6" x14ac:dyDescent="0.25">
      <c r="A121" t="s">
        <v>4062</v>
      </c>
      <c r="B121" t="s">
        <v>7239</v>
      </c>
      <c r="C121" t="s">
        <v>63</v>
      </c>
      <c r="D121" s="7">
        <v>0.03</v>
      </c>
      <c r="E121" s="2">
        <v>185957</v>
      </c>
      <c r="F121" s="2">
        <v>5578.71</v>
      </c>
    </row>
    <row r="122" spans="1:6" x14ac:dyDescent="0.25">
      <c r="A122" t="s">
        <v>4049</v>
      </c>
      <c r="B122" t="s">
        <v>4176</v>
      </c>
      <c r="C122" t="s">
        <v>4177</v>
      </c>
      <c r="D122" s="7">
        <v>0.8</v>
      </c>
      <c r="E122" s="2">
        <v>72300.17</v>
      </c>
      <c r="F122" s="2">
        <v>57840.14</v>
      </c>
    </row>
    <row r="123" spans="1:6" x14ac:dyDescent="0.25">
      <c r="A123" t="s">
        <v>4049</v>
      </c>
      <c r="B123" t="s">
        <v>4313</v>
      </c>
      <c r="C123" t="s">
        <v>4177</v>
      </c>
      <c r="D123" s="7">
        <v>0.3</v>
      </c>
      <c r="E123" s="2">
        <v>124137.15</v>
      </c>
      <c r="F123" s="2">
        <v>37241.14</v>
      </c>
    </row>
    <row r="124" spans="1:6" x14ac:dyDescent="0.25">
      <c r="A124" t="s">
        <v>4052</v>
      </c>
      <c r="B124" t="s">
        <v>7234</v>
      </c>
      <c r="C124" t="s">
        <v>287</v>
      </c>
      <c r="D124" s="7">
        <v>0.34</v>
      </c>
      <c r="E124" s="2">
        <v>8800</v>
      </c>
      <c r="F124" s="2">
        <v>2992</v>
      </c>
    </row>
    <row r="125" spans="1:6" x14ac:dyDescent="0.25">
      <c r="A125" t="s">
        <v>4052</v>
      </c>
      <c r="B125" t="s">
        <v>7231</v>
      </c>
      <c r="C125" t="s">
        <v>42</v>
      </c>
      <c r="D125" s="7">
        <v>4</v>
      </c>
      <c r="E125" s="2">
        <v>4905</v>
      </c>
      <c r="F125" s="2">
        <v>19620</v>
      </c>
    </row>
    <row r="126" spans="1:6" x14ac:dyDescent="0.25">
      <c r="A126" t="s">
        <v>4052</v>
      </c>
      <c r="B126" t="s">
        <v>4286</v>
      </c>
      <c r="C126" t="s">
        <v>287</v>
      </c>
      <c r="D126" s="7">
        <v>2.5</v>
      </c>
      <c r="E126" s="2">
        <v>9375</v>
      </c>
      <c r="F126" s="2">
        <v>23437.5</v>
      </c>
    </row>
    <row r="127" spans="1:6" x14ac:dyDescent="0.25">
      <c r="A127" t="s">
        <v>4052</v>
      </c>
      <c r="B127" t="s">
        <v>4053</v>
      </c>
      <c r="C127" t="s">
        <v>4054</v>
      </c>
      <c r="D127" s="7">
        <v>1.3</v>
      </c>
      <c r="E127" s="2">
        <v>95081.28</v>
      </c>
      <c r="F127" s="2">
        <v>1236.06</v>
      </c>
    </row>
    <row r="128" spans="1:6" x14ac:dyDescent="0.25">
      <c r="A128" t="s">
        <v>4055</v>
      </c>
      <c r="D128" s="7"/>
      <c r="E128" s="2"/>
      <c r="F128" s="2">
        <f>SUBTOTAL(109,A_3_05_09[VALOR PARCIAL])</f>
      </c>
    </row>
    <row r="130" ht="30" customHeight="1" spans="1:6" x14ac:dyDescent="0.25">
      <c r="A130" s="5" t="s">
        <v>7264</v>
      </c>
      <c r="B130" s="5"/>
      <c r="C130" s="5"/>
      <c r="D130" s="5"/>
      <c r="E130" s="5"/>
      <c r="F130" s="5"/>
    </row>
    <row r="131" ht="42" customHeight="1" spans="1:6" x14ac:dyDescent="0.25">
      <c r="A131" s="6" t="s">
        <v>7265</v>
      </c>
      <c r="B131" s="6"/>
      <c r="C131" s="6"/>
      <c r="D131" s="6"/>
      <c r="E131" s="6"/>
      <c r="F131" s="6"/>
    </row>
    <row r="132" spans="1:6" x14ac:dyDescent="0.25">
      <c r="A132" t="s">
        <v>4044</v>
      </c>
      <c r="B132" t="s">
        <v>4045</v>
      </c>
      <c r="C132" t="s">
        <v>5</v>
      </c>
      <c r="D132" t="s">
        <v>4046</v>
      </c>
      <c r="E132" t="s">
        <v>4047</v>
      </c>
      <c r="F132" t="s">
        <v>4048</v>
      </c>
    </row>
    <row r="133" spans="1:6" x14ac:dyDescent="0.25">
      <c r="A133" t="s">
        <v>4062</v>
      </c>
      <c r="B133" t="s">
        <v>7237</v>
      </c>
      <c r="C133" t="s">
        <v>42</v>
      </c>
      <c r="D133" s="7">
        <v>4</v>
      </c>
      <c r="E133" s="2">
        <v>771.12</v>
      </c>
      <c r="F133" s="2">
        <v>3084.48</v>
      </c>
    </row>
    <row r="134" spans="1:6" x14ac:dyDescent="0.25">
      <c r="A134" t="s">
        <v>4062</v>
      </c>
      <c r="B134" t="s">
        <v>7266</v>
      </c>
      <c r="C134" t="s">
        <v>4377</v>
      </c>
      <c r="D134" s="7">
        <v>0.04</v>
      </c>
      <c r="E134" s="2">
        <v>152320</v>
      </c>
      <c r="F134" s="2">
        <v>6473.6</v>
      </c>
    </row>
    <row r="135" spans="1:6" x14ac:dyDescent="0.25">
      <c r="A135" t="s">
        <v>4062</v>
      </c>
      <c r="B135" t="s">
        <v>7267</v>
      </c>
      <c r="C135" t="s">
        <v>34</v>
      </c>
      <c r="D135" s="7">
        <v>1.05</v>
      </c>
      <c r="E135" s="2">
        <v>566440</v>
      </c>
      <c r="F135" s="2">
        <v>594762</v>
      </c>
    </row>
    <row r="136" spans="1:6" x14ac:dyDescent="0.25">
      <c r="A136" t="s">
        <v>4062</v>
      </c>
      <c r="B136" t="s">
        <v>7239</v>
      </c>
      <c r="C136" t="s">
        <v>63</v>
      </c>
      <c r="D136" s="7">
        <v>0.03</v>
      </c>
      <c r="E136" s="2">
        <v>185957</v>
      </c>
      <c r="F136" s="2">
        <v>5578.71</v>
      </c>
    </row>
    <row r="137" spans="1:6" x14ac:dyDescent="0.25">
      <c r="A137" t="s">
        <v>4049</v>
      </c>
      <c r="B137" t="s">
        <v>4176</v>
      </c>
      <c r="C137" t="s">
        <v>4177</v>
      </c>
      <c r="D137" s="7">
        <v>0.8</v>
      </c>
      <c r="E137" s="2">
        <v>72300.17</v>
      </c>
      <c r="F137" s="2">
        <v>57840.14</v>
      </c>
    </row>
    <row r="138" spans="1:6" x14ac:dyDescent="0.25">
      <c r="A138" t="s">
        <v>4049</v>
      </c>
      <c r="B138" t="s">
        <v>4313</v>
      </c>
      <c r="C138" t="s">
        <v>4177</v>
      </c>
      <c r="D138" s="7">
        <v>0.3</v>
      </c>
      <c r="E138" s="2">
        <v>124137.15</v>
      </c>
      <c r="F138" s="2">
        <v>37241.14</v>
      </c>
    </row>
    <row r="139" spans="1:6" x14ac:dyDescent="0.25">
      <c r="A139" t="s">
        <v>4052</v>
      </c>
      <c r="B139" t="s">
        <v>7234</v>
      </c>
      <c r="C139" t="s">
        <v>287</v>
      </c>
      <c r="D139" s="7">
        <v>0.34</v>
      </c>
      <c r="E139" s="2">
        <v>8800</v>
      </c>
      <c r="F139" s="2">
        <v>2992</v>
      </c>
    </row>
    <row r="140" spans="1:6" x14ac:dyDescent="0.25">
      <c r="A140" t="s">
        <v>4052</v>
      </c>
      <c r="B140" t="s">
        <v>7231</v>
      </c>
      <c r="C140" t="s">
        <v>42</v>
      </c>
      <c r="D140" s="7">
        <v>4</v>
      </c>
      <c r="E140" s="2">
        <v>4905</v>
      </c>
      <c r="F140" s="2">
        <v>19620</v>
      </c>
    </row>
    <row r="141" spans="1:6" x14ac:dyDescent="0.25">
      <c r="A141" t="s">
        <v>4052</v>
      </c>
      <c r="B141" t="s">
        <v>4286</v>
      </c>
      <c r="C141" t="s">
        <v>287</v>
      </c>
      <c r="D141" s="7">
        <v>2.5</v>
      </c>
      <c r="E141" s="2">
        <v>9375</v>
      </c>
      <c r="F141" s="2">
        <v>23437.5</v>
      </c>
    </row>
    <row r="142" spans="1:6" x14ac:dyDescent="0.25">
      <c r="A142" t="s">
        <v>4052</v>
      </c>
      <c r="B142" t="s">
        <v>4053</v>
      </c>
      <c r="C142" t="s">
        <v>4054</v>
      </c>
      <c r="D142" s="7">
        <v>1.3</v>
      </c>
      <c r="E142" s="2">
        <v>95081.28</v>
      </c>
      <c r="F142" s="2">
        <v>1236.06</v>
      </c>
    </row>
    <row r="143" spans="1:6" x14ac:dyDescent="0.25">
      <c r="A143" t="s">
        <v>4055</v>
      </c>
      <c r="D143" s="7"/>
      <c r="E143" s="2"/>
      <c r="F143" s="2">
        <f>SUBTOTAL(109,A_3_05_10[VALOR PARCIAL])</f>
      </c>
    </row>
  </sheetData>
  <mergeCells count="20">
    <mergeCell ref="A4:F4"/>
    <mergeCell ref="A5:F5"/>
    <mergeCell ref="A16:F16"/>
    <mergeCell ref="A17:F17"/>
    <mergeCell ref="A25:F25"/>
    <mergeCell ref="A26:F26"/>
    <mergeCell ref="A40:F40"/>
    <mergeCell ref="A41:F41"/>
    <mergeCell ref="A55:F55"/>
    <mergeCell ref="A56:F56"/>
    <mergeCell ref="A70:F70"/>
    <mergeCell ref="A71:F71"/>
    <mergeCell ref="A85:F85"/>
    <mergeCell ref="A86:F86"/>
    <mergeCell ref="A100:F100"/>
    <mergeCell ref="A101:F101"/>
    <mergeCell ref="A115:F115"/>
    <mergeCell ref="A116:F116"/>
    <mergeCell ref="A130:F130"/>
    <mergeCell ref="A131:F131"/>
  </mergeCells>
  <pageMargins left="0.7" right="0.7" top="0.75" bottom="0.75" header="0.3" footer="0.3"/>
  <pageSetup orientation="portrait" horizontalDpi="4294967295" verticalDpi="4294967295" scale="100" fitToWidth="1" fitToHeight="1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7268</v>
      </c>
    </row>
    <row r="2" spans="1:1" x14ac:dyDescent="0.25">
      <c r="A2" s="4" t="s">
        <v>4605</v>
      </c>
    </row>
    <row r="4" ht="30" customHeight="1" spans="1:6" x14ac:dyDescent="0.25">
      <c r="A4" s="5" t="s">
        <v>7269</v>
      </c>
      <c r="B4" s="5"/>
      <c r="C4" s="5"/>
      <c r="D4" s="5"/>
      <c r="E4" s="5"/>
      <c r="F4" s="5"/>
    </row>
    <row r="5" ht="42" customHeight="1" spans="1:6" x14ac:dyDescent="0.25">
      <c r="A5" s="6" t="s">
        <v>7270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3544</v>
      </c>
      <c r="C7" t="s">
        <v>3545</v>
      </c>
      <c r="D7" s="7">
        <v>1.2</v>
      </c>
      <c r="E7" s="2">
        <v>1325</v>
      </c>
      <c r="F7" s="2">
        <v>1590</v>
      </c>
    </row>
    <row r="8" spans="1:6" x14ac:dyDescent="0.25">
      <c r="A8" t="s">
        <v>4062</v>
      </c>
      <c r="B8" t="s">
        <v>6947</v>
      </c>
      <c r="C8" t="s">
        <v>63</v>
      </c>
      <c r="D8" s="7">
        <v>0.02</v>
      </c>
      <c r="E8" s="2">
        <v>185957</v>
      </c>
      <c r="F8" s="2">
        <v>3719.14</v>
      </c>
    </row>
    <row r="9" spans="1:6" x14ac:dyDescent="0.25">
      <c r="A9" t="s">
        <v>4049</v>
      </c>
      <c r="B9" t="s">
        <v>4176</v>
      </c>
      <c r="C9" t="s">
        <v>4177</v>
      </c>
      <c r="D9" s="7">
        <v>0.8</v>
      </c>
      <c r="E9" s="2">
        <v>72300.17</v>
      </c>
      <c r="F9" s="2">
        <v>57840.14</v>
      </c>
    </row>
    <row r="10" spans="1:6" x14ac:dyDescent="0.25">
      <c r="A10" t="s">
        <v>4052</v>
      </c>
      <c r="B10" t="s">
        <v>4305</v>
      </c>
      <c r="C10" t="s">
        <v>287</v>
      </c>
      <c r="D10" s="7">
        <v>0.05</v>
      </c>
      <c r="E10" s="2">
        <v>166043.14</v>
      </c>
      <c r="F10" s="2">
        <v>8302.16</v>
      </c>
    </row>
    <row r="11" spans="1:6" x14ac:dyDescent="0.25">
      <c r="A11" t="s">
        <v>4052</v>
      </c>
      <c r="B11" t="s">
        <v>6949</v>
      </c>
      <c r="C11" t="s">
        <v>287</v>
      </c>
      <c r="D11" s="7">
        <v>0.8</v>
      </c>
      <c r="E11" s="2">
        <v>7872</v>
      </c>
      <c r="F11" s="2">
        <v>6297.6</v>
      </c>
    </row>
    <row r="12" spans="1:6" x14ac:dyDescent="0.25">
      <c r="A12" t="s">
        <v>4052</v>
      </c>
      <c r="B12" t="s">
        <v>4118</v>
      </c>
      <c r="C12" t="s">
        <v>287</v>
      </c>
      <c r="D12" s="7">
        <v>0.05</v>
      </c>
      <c r="E12" s="2">
        <v>107433.33</v>
      </c>
      <c r="F12" s="2">
        <v>5371.67</v>
      </c>
    </row>
    <row r="13" spans="1:6" x14ac:dyDescent="0.25">
      <c r="A13" t="s">
        <v>4052</v>
      </c>
      <c r="B13" t="s">
        <v>4053</v>
      </c>
      <c r="C13" t="s">
        <v>4054</v>
      </c>
      <c r="D13" s="7">
        <v>3.3</v>
      </c>
      <c r="E13" s="2">
        <v>57840.14</v>
      </c>
      <c r="F13" s="2">
        <v>1908.72</v>
      </c>
    </row>
    <row r="14" spans="1:6" x14ac:dyDescent="0.25">
      <c r="A14" t="s">
        <v>4055</v>
      </c>
      <c r="D14" s="7"/>
      <c r="E14" s="2"/>
      <c r="F14" s="2">
        <f>SUBTOTAL(109,A_3_06_01[VALOR PARCIAL])</f>
      </c>
    </row>
    <row r="16" ht="30" customHeight="1" spans="1:6" x14ac:dyDescent="0.25">
      <c r="A16" s="5" t="s">
        <v>7271</v>
      </c>
      <c r="B16" s="5"/>
      <c r="C16" s="5"/>
      <c r="D16" s="5"/>
      <c r="E16" s="5"/>
      <c r="F16" s="5"/>
    </row>
    <row r="17" ht="42" customHeight="1" spans="1:6" x14ac:dyDescent="0.25">
      <c r="A17" s="6" t="s">
        <v>7272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4049</v>
      </c>
      <c r="B19" t="s">
        <v>4176</v>
      </c>
      <c r="C19" t="s">
        <v>4177</v>
      </c>
      <c r="D19" s="7">
        <v>0.01</v>
      </c>
      <c r="E19" s="2">
        <v>72300.17</v>
      </c>
      <c r="F19" s="2">
        <v>723</v>
      </c>
    </row>
    <row r="20" spans="1:6" x14ac:dyDescent="0.25">
      <c r="A20" t="s">
        <v>4052</v>
      </c>
      <c r="B20" t="s">
        <v>4123</v>
      </c>
      <c r="C20" t="s">
        <v>287</v>
      </c>
      <c r="D20" s="7">
        <v>0.02</v>
      </c>
      <c r="E20" s="2">
        <v>62400</v>
      </c>
      <c r="F20" s="2">
        <v>936</v>
      </c>
    </row>
    <row r="21" spans="1:6" x14ac:dyDescent="0.25">
      <c r="A21" t="s">
        <v>4052</v>
      </c>
      <c r="B21" t="s">
        <v>4053</v>
      </c>
      <c r="C21" t="s">
        <v>4054</v>
      </c>
      <c r="D21" s="7">
        <v>3.3</v>
      </c>
      <c r="E21" s="2">
        <v>723</v>
      </c>
      <c r="F21" s="2">
        <v>23.86</v>
      </c>
    </row>
    <row r="22" spans="1:6" x14ac:dyDescent="0.25">
      <c r="A22" t="s">
        <v>4055</v>
      </c>
      <c r="D22" s="7"/>
      <c r="E22" s="2"/>
      <c r="F22" s="2">
        <f>SUBTOTAL(109,A_3_06_02[VALOR PARCIAL])</f>
      </c>
    </row>
    <row r="24" ht="30" customHeight="1" spans="1:6" x14ac:dyDescent="0.25">
      <c r="A24" s="5" t="s">
        <v>7273</v>
      </c>
      <c r="B24" s="5"/>
      <c r="C24" s="5"/>
      <c r="D24" s="5"/>
      <c r="E24" s="5"/>
      <c r="F24" s="5"/>
    </row>
    <row r="25" ht="42" customHeight="1" spans="1:6" x14ac:dyDescent="0.25">
      <c r="A25" s="6" t="s">
        <v>7274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7275</v>
      </c>
      <c r="C27" t="s">
        <v>34</v>
      </c>
      <c r="D27" s="7">
        <v>1.26</v>
      </c>
      <c r="E27" s="2">
        <v>380800</v>
      </c>
      <c r="F27" s="2">
        <v>479808</v>
      </c>
    </row>
    <row r="28" spans="1:6" x14ac:dyDescent="0.25">
      <c r="A28" t="s">
        <v>4049</v>
      </c>
      <c r="B28" t="s">
        <v>4176</v>
      </c>
      <c r="C28" t="s">
        <v>4177</v>
      </c>
      <c r="D28" s="7">
        <v>0.35</v>
      </c>
      <c r="E28" s="2">
        <v>72300.17</v>
      </c>
      <c r="F28" s="2">
        <v>25305.06</v>
      </c>
    </row>
    <row r="29" spans="1:6" x14ac:dyDescent="0.25">
      <c r="A29" t="s">
        <v>4049</v>
      </c>
      <c r="B29" t="s">
        <v>4313</v>
      </c>
      <c r="C29" t="s">
        <v>4177</v>
      </c>
      <c r="D29" s="7">
        <v>0.06</v>
      </c>
      <c r="E29" s="2">
        <v>124137.15</v>
      </c>
      <c r="F29" s="2">
        <v>6988.92</v>
      </c>
    </row>
    <row r="30" spans="1:6" x14ac:dyDescent="0.25">
      <c r="A30" t="s">
        <v>4049</v>
      </c>
      <c r="B30" t="s">
        <v>4304</v>
      </c>
      <c r="C30" t="s">
        <v>4177</v>
      </c>
      <c r="D30" s="7">
        <v>0.2</v>
      </c>
      <c r="E30" s="2">
        <v>50188.55</v>
      </c>
      <c r="F30" s="2">
        <v>10037.71</v>
      </c>
    </row>
    <row r="31" spans="1:6" x14ac:dyDescent="0.25">
      <c r="A31" t="s">
        <v>4052</v>
      </c>
      <c r="B31" t="s">
        <v>7276</v>
      </c>
      <c r="C31" t="s">
        <v>287</v>
      </c>
      <c r="D31" s="7">
        <v>0.1</v>
      </c>
      <c r="E31" s="2">
        <v>135912.95</v>
      </c>
      <c r="F31" s="2">
        <v>13591.3</v>
      </c>
    </row>
    <row r="32" spans="1:6" x14ac:dyDescent="0.25">
      <c r="A32" t="s">
        <v>4052</v>
      </c>
      <c r="B32" t="s">
        <v>7277</v>
      </c>
      <c r="C32" t="s">
        <v>287</v>
      </c>
      <c r="D32" s="7">
        <v>0.1</v>
      </c>
      <c r="E32" s="2">
        <v>254122</v>
      </c>
      <c r="F32" s="2">
        <v>25412.2</v>
      </c>
    </row>
    <row r="33" spans="1:6" x14ac:dyDescent="0.25">
      <c r="A33" t="s">
        <v>4052</v>
      </c>
      <c r="B33" t="s">
        <v>4081</v>
      </c>
      <c r="C33" t="s">
        <v>287</v>
      </c>
      <c r="D33" s="7">
        <v>0.1</v>
      </c>
      <c r="E33" s="2">
        <v>98968.79</v>
      </c>
      <c r="F33" s="2">
        <v>9896.88</v>
      </c>
    </row>
    <row r="34" spans="1:6" x14ac:dyDescent="0.25">
      <c r="A34" t="s">
        <v>4052</v>
      </c>
      <c r="B34" t="s">
        <v>4053</v>
      </c>
      <c r="C34" t="s">
        <v>4054</v>
      </c>
      <c r="D34" s="7">
        <v>5.03</v>
      </c>
      <c r="E34" s="2">
        <v>42331.69</v>
      </c>
      <c r="F34" s="2">
        <v>2129.28</v>
      </c>
    </row>
    <row r="35" spans="1:6" x14ac:dyDescent="0.25">
      <c r="A35" t="s">
        <v>4058</v>
      </c>
      <c r="B35" t="s">
        <v>7278</v>
      </c>
      <c r="C35" t="s">
        <v>3545</v>
      </c>
      <c r="D35" s="7">
        <v>6.3</v>
      </c>
      <c r="E35" s="2">
        <v>1537</v>
      </c>
      <c r="F35" s="2">
        <v>9683.1</v>
      </c>
    </row>
    <row r="36" spans="1:6" x14ac:dyDescent="0.25">
      <c r="A36" t="s">
        <v>4055</v>
      </c>
      <c r="D36" s="7"/>
      <c r="E36" s="2"/>
      <c r="F36" s="2">
        <f>SUBTOTAL(109,A_3_06_03[VALOR PARCIAL])</f>
      </c>
    </row>
    <row r="38" ht="30" customHeight="1" spans="1:6" x14ac:dyDescent="0.25">
      <c r="A38" s="5" t="s">
        <v>7279</v>
      </c>
      <c r="B38" s="5"/>
      <c r="C38" s="5"/>
      <c r="D38" s="5"/>
      <c r="E38" s="5"/>
      <c r="F38" s="5"/>
    </row>
    <row r="39" ht="42" customHeight="1" spans="1:6" x14ac:dyDescent="0.25">
      <c r="A39" s="6" t="s">
        <v>7280</v>
      </c>
      <c r="B39" s="6"/>
      <c r="C39" s="6"/>
      <c r="D39" s="6"/>
      <c r="E39" s="6"/>
      <c r="F39" s="6"/>
    </row>
    <row r="40" spans="1:6" x14ac:dyDescent="0.25">
      <c r="A40" t="s">
        <v>4044</v>
      </c>
      <c r="B40" t="s">
        <v>4045</v>
      </c>
      <c r="C40" t="s">
        <v>5</v>
      </c>
      <c r="D40" t="s">
        <v>4046</v>
      </c>
      <c r="E40" t="s">
        <v>4047</v>
      </c>
      <c r="F40" t="s">
        <v>4048</v>
      </c>
    </row>
    <row r="41" spans="1:6" x14ac:dyDescent="0.25">
      <c r="A41" t="s">
        <v>4062</v>
      </c>
      <c r="B41" t="s">
        <v>7281</v>
      </c>
      <c r="C41" t="s">
        <v>3963</v>
      </c>
      <c r="D41" s="7">
        <v>3</v>
      </c>
      <c r="E41" s="2">
        <v>1742.94</v>
      </c>
      <c r="F41" s="2">
        <v>5228.82</v>
      </c>
    </row>
    <row r="42" spans="1:6" x14ac:dyDescent="0.25">
      <c r="A42" t="s">
        <v>4062</v>
      </c>
      <c r="B42" t="s">
        <v>4369</v>
      </c>
      <c r="C42" t="s">
        <v>34</v>
      </c>
      <c r="D42" s="7">
        <v>0.04</v>
      </c>
      <c r="E42" s="2">
        <v>89250</v>
      </c>
      <c r="F42" s="2">
        <v>3570</v>
      </c>
    </row>
    <row r="43" spans="1:6" x14ac:dyDescent="0.25">
      <c r="A43" t="s">
        <v>4049</v>
      </c>
      <c r="B43" t="s">
        <v>4176</v>
      </c>
      <c r="C43" t="s">
        <v>4177</v>
      </c>
      <c r="D43" s="7">
        <v>0.01</v>
      </c>
      <c r="E43" s="2">
        <v>72300.17</v>
      </c>
      <c r="F43" s="2">
        <v>361.5</v>
      </c>
    </row>
    <row r="44" spans="1:6" x14ac:dyDescent="0.25">
      <c r="A44" t="s">
        <v>4049</v>
      </c>
      <c r="B44" t="s">
        <v>4313</v>
      </c>
      <c r="C44" t="s">
        <v>4177</v>
      </c>
      <c r="D44" s="7">
        <v>0.01</v>
      </c>
      <c r="E44" s="2">
        <v>124137.15</v>
      </c>
      <c r="F44" s="2">
        <v>868.96</v>
      </c>
    </row>
    <row r="45" spans="1:6" x14ac:dyDescent="0.25">
      <c r="A45" t="s">
        <v>4052</v>
      </c>
      <c r="B45" t="s">
        <v>7276</v>
      </c>
      <c r="C45" t="s">
        <v>287</v>
      </c>
      <c r="D45" s="7">
        <v>0.02</v>
      </c>
      <c r="E45" s="2">
        <v>135912.95</v>
      </c>
      <c r="F45" s="2">
        <v>2718.26</v>
      </c>
    </row>
    <row r="46" spans="1:6" x14ac:dyDescent="0.25">
      <c r="A46" t="s">
        <v>4052</v>
      </c>
      <c r="B46" t="s">
        <v>7282</v>
      </c>
      <c r="C46" t="s">
        <v>287</v>
      </c>
      <c r="D46" s="7">
        <v>0.02</v>
      </c>
      <c r="E46" s="2">
        <v>55000</v>
      </c>
      <c r="F46" s="2">
        <v>1100</v>
      </c>
    </row>
    <row r="47" spans="1:6" x14ac:dyDescent="0.25">
      <c r="A47" t="s">
        <v>4052</v>
      </c>
      <c r="B47" t="s">
        <v>6149</v>
      </c>
      <c r="C47" t="s">
        <v>287</v>
      </c>
      <c r="D47" s="7">
        <v>0.02</v>
      </c>
      <c r="E47" s="2">
        <v>90261</v>
      </c>
      <c r="F47" s="2">
        <v>1805.22</v>
      </c>
    </row>
    <row r="48" spans="1:6" x14ac:dyDescent="0.25">
      <c r="A48" t="s">
        <v>4052</v>
      </c>
      <c r="B48" t="s">
        <v>4053</v>
      </c>
      <c r="C48" t="s">
        <v>4054</v>
      </c>
      <c r="D48" s="7">
        <v>6.7</v>
      </c>
      <c r="E48" s="2">
        <v>1230.46</v>
      </c>
      <c r="F48" s="2">
        <v>82.44</v>
      </c>
    </row>
    <row r="49" spans="1:6" x14ac:dyDescent="0.25">
      <c r="A49" t="s">
        <v>4055</v>
      </c>
      <c r="D49" s="7"/>
      <c r="E49" s="2"/>
      <c r="F49" s="2">
        <f>SUBTOTAL(109,A_3_06_04[VALOR PARCIAL])</f>
      </c>
    </row>
    <row r="51" ht="30" customHeight="1" spans="1:6" x14ac:dyDescent="0.25">
      <c r="A51" s="5" t="s">
        <v>7283</v>
      </c>
      <c r="B51" s="5"/>
      <c r="C51" s="5"/>
      <c r="D51" s="5"/>
      <c r="E51" s="5"/>
      <c r="F51" s="5"/>
    </row>
    <row r="52" ht="42" customHeight="1" spans="1:6" x14ac:dyDescent="0.25">
      <c r="A52" s="6" t="s">
        <v>7284</v>
      </c>
      <c r="B52" s="6"/>
      <c r="C52" s="6"/>
      <c r="D52" s="6"/>
      <c r="E52" s="6"/>
      <c r="F52" s="6"/>
    </row>
    <row r="53" spans="1:6" x14ac:dyDescent="0.25">
      <c r="A53" t="s">
        <v>4044</v>
      </c>
      <c r="B53" t="s">
        <v>4045</v>
      </c>
      <c r="C53" t="s">
        <v>5</v>
      </c>
      <c r="D53" t="s">
        <v>4046</v>
      </c>
      <c r="E53" t="s">
        <v>4047</v>
      </c>
      <c r="F53" t="s">
        <v>4048</v>
      </c>
    </row>
    <row r="54" spans="1:6" x14ac:dyDescent="0.25">
      <c r="A54" t="s">
        <v>4062</v>
      </c>
      <c r="B54" t="s">
        <v>7281</v>
      </c>
      <c r="C54" t="s">
        <v>3963</v>
      </c>
      <c r="D54" s="7">
        <v>1.5</v>
      </c>
      <c r="E54" s="2">
        <v>1742.94</v>
      </c>
      <c r="F54" s="2">
        <v>2614.41</v>
      </c>
    </row>
    <row r="55" spans="1:6" x14ac:dyDescent="0.25">
      <c r="A55" t="s">
        <v>4062</v>
      </c>
      <c r="B55" t="s">
        <v>4369</v>
      </c>
      <c r="C55" t="s">
        <v>34</v>
      </c>
      <c r="D55" s="7">
        <v>0.03</v>
      </c>
      <c r="E55" s="2">
        <v>89250</v>
      </c>
      <c r="F55" s="2">
        <v>2677.5</v>
      </c>
    </row>
    <row r="56" spans="1:6" x14ac:dyDescent="0.25">
      <c r="A56" t="s">
        <v>4049</v>
      </c>
      <c r="B56" t="s">
        <v>4176</v>
      </c>
      <c r="C56" t="s">
        <v>4177</v>
      </c>
      <c r="D56" s="7">
        <v>0.01</v>
      </c>
      <c r="E56" s="2">
        <v>72300.17</v>
      </c>
      <c r="F56" s="2">
        <v>361.5</v>
      </c>
    </row>
    <row r="57" spans="1:6" x14ac:dyDescent="0.25">
      <c r="A57" t="s">
        <v>4049</v>
      </c>
      <c r="B57" t="s">
        <v>4313</v>
      </c>
      <c r="C57" t="s">
        <v>4177</v>
      </c>
      <c r="D57" s="7">
        <v>0.01</v>
      </c>
      <c r="E57" s="2">
        <v>124137.15</v>
      </c>
      <c r="F57" s="2">
        <v>868.96</v>
      </c>
    </row>
    <row r="58" spans="1:6" x14ac:dyDescent="0.25">
      <c r="A58" t="s">
        <v>4052</v>
      </c>
      <c r="B58" t="s">
        <v>7276</v>
      </c>
      <c r="C58" t="s">
        <v>287</v>
      </c>
      <c r="D58" s="7">
        <v>0.01</v>
      </c>
      <c r="E58" s="2">
        <v>135912.95</v>
      </c>
      <c r="F58" s="2">
        <v>1359.13</v>
      </c>
    </row>
    <row r="59" spans="1:6" x14ac:dyDescent="0.25">
      <c r="A59" t="s">
        <v>4052</v>
      </c>
      <c r="B59" t="s">
        <v>7282</v>
      </c>
      <c r="C59" t="s">
        <v>287</v>
      </c>
      <c r="D59" s="7">
        <v>0.01</v>
      </c>
      <c r="E59" s="2">
        <v>55000</v>
      </c>
      <c r="F59" s="2">
        <v>550</v>
      </c>
    </row>
    <row r="60" spans="1:6" x14ac:dyDescent="0.25">
      <c r="A60" t="s">
        <v>4052</v>
      </c>
      <c r="B60" t="s">
        <v>6149</v>
      </c>
      <c r="C60" t="s">
        <v>287</v>
      </c>
      <c r="D60" s="7">
        <v>0.01</v>
      </c>
      <c r="E60" s="2">
        <v>90261</v>
      </c>
      <c r="F60" s="2">
        <v>451.31</v>
      </c>
    </row>
    <row r="61" spans="1:6" x14ac:dyDescent="0.25">
      <c r="A61" t="s">
        <v>4052</v>
      </c>
      <c r="B61" t="s">
        <v>4053</v>
      </c>
      <c r="C61" t="s">
        <v>4054</v>
      </c>
      <c r="D61" s="7">
        <v>6.7</v>
      </c>
      <c r="E61" s="2">
        <v>1230.46</v>
      </c>
      <c r="F61" s="2">
        <v>82.44</v>
      </c>
    </row>
    <row r="62" spans="1:6" x14ac:dyDescent="0.25">
      <c r="A62" t="s">
        <v>4055</v>
      </c>
      <c r="D62" s="7"/>
      <c r="E62" s="2"/>
      <c r="F62" s="2">
        <f>SUBTOTAL(109,A_3_06_05[VALOR PARCIAL])</f>
      </c>
    </row>
    <row r="64" ht="30" customHeight="1" spans="1:6" x14ac:dyDescent="0.25">
      <c r="A64" s="5" t="s">
        <v>7285</v>
      </c>
      <c r="B64" s="5"/>
      <c r="C64" s="5"/>
      <c r="D64" s="5"/>
      <c r="E64" s="5"/>
      <c r="F64" s="5"/>
    </row>
    <row r="65" ht="42" customHeight="1" spans="1:6" x14ac:dyDescent="0.25">
      <c r="A65" s="6" t="s">
        <v>7286</v>
      </c>
      <c r="B65" s="6"/>
      <c r="C65" s="6"/>
      <c r="D65" s="6"/>
      <c r="E65" s="6"/>
      <c r="F65" s="6"/>
    </row>
    <row r="66" spans="1:6" x14ac:dyDescent="0.25">
      <c r="A66" t="s">
        <v>4044</v>
      </c>
      <c r="B66" t="s">
        <v>4045</v>
      </c>
      <c r="C66" t="s">
        <v>5</v>
      </c>
      <c r="D66" t="s">
        <v>4046</v>
      </c>
      <c r="E66" t="s">
        <v>4047</v>
      </c>
      <c r="F66" t="s">
        <v>4048</v>
      </c>
    </row>
    <row r="67" spans="1:6" x14ac:dyDescent="0.25">
      <c r="A67" t="s">
        <v>4049</v>
      </c>
      <c r="B67" t="s">
        <v>4176</v>
      </c>
      <c r="C67" t="s">
        <v>4177</v>
      </c>
      <c r="D67" s="7">
        <v>0</v>
      </c>
      <c r="E67" s="2">
        <v>72300.17</v>
      </c>
      <c r="F67" s="2">
        <v>216.9</v>
      </c>
    </row>
    <row r="68" spans="1:6" x14ac:dyDescent="0.25">
      <c r="A68" t="s">
        <v>4049</v>
      </c>
      <c r="B68" t="s">
        <v>4304</v>
      </c>
      <c r="C68" t="s">
        <v>4177</v>
      </c>
      <c r="D68" s="7">
        <v>0</v>
      </c>
      <c r="E68" s="2">
        <v>50188.55</v>
      </c>
      <c r="F68" s="2">
        <v>150.57</v>
      </c>
    </row>
    <row r="69" spans="1:6" x14ac:dyDescent="0.25">
      <c r="A69" t="s">
        <v>4049</v>
      </c>
      <c r="B69" t="s">
        <v>4310</v>
      </c>
      <c r="C69" t="s">
        <v>3545</v>
      </c>
      <c r="D69" s="7">
        <v>0.65</v>
      </c>
      <c r="E69" s="2">
        <v>1350</v>
      </c>
      <c r="F69" s="2">
        <v>877.5</v>
      </c>
    </row>
    <row r="70" spans="1:6" x14ac:dyDescent="0.25">
      <c r="A70" t="s">
        <v>4052</v>
      </c>
      <c r="B70" t="s">
        <v>7287</v>
      </c>
      <c r="C70" t="s">
        <v>287</v>
      </c>
      <c r="D70" s="7">
        <v>0.01</v>
      </c>
      <c r="E70" s="2">
        <v>107426.42</v>
      </c>
      <c r="F70" s="2">
        <v>1074.26</v>
      </c>
    </row>
    <row r="71" spans="1:6" x14ac:dyDescent="0.25">
      <c r="A71" t="s">
        <v>4052</v>
      </c>
      <c r="B71" t="s">
        <v>4084</v>
      </c>
      <c r="C71" t="s">
        <v>287</v>
      </c>
      <c r="D71" s="7">
        <v>0.01</v>
      </c>
      <c r="E71" s="2">
        <v>145366.67</v>
      </c>
      <c r="F71" s="2">
        <v>1453.67</v>
      </c>
    </row>
    <row r="72" spans="1:6" x14ac:dyDescent="0.25">
      <c r="A72" t="s">
        <v>4052</v>
      </c>
      <c r="B72" t="s">
        <v>7288</v>
      </c>
      <c r="C72" t="s">
        <v>287</v>
      </c>
      <c r="D72" s="7">
        <v>0.01</v>
      </c>
      <c r="E72" s="2">
        <v>340213.06</v>
      </c>
      <c r="F72" s="2">
        <v>3402.13</v>
      </c>
    </row>
    <row r="73" spans="1:6" x14ac:dyDescent="0.25">
      <c r="A73" t="s">
        <v>4055</v>
      </c>
      <c r="D73" s="7"/>
      <c r="E73" s="2"/>
      <c r="F73" s="2">
        <f>SUBTOTAL(109,A_3_06_07[VALOR PARCIAL])</f>
      </c>
    </row>
    <row r="75" ht="30" customHeight="1" spans="1:6" x14ac:dyDescent="0.25">
      <c r="A75" s="5" t="s">
        <v>7289</v>
      </c>
      <c r="B75" s="5"/>
      <c r="C75" s="5"/>
      <c r="D75" s="5"/>
      <c r="E75" s="5"/>
      <c r="F75" s="5"/>
    </row>
    <row r="76" ht="42" customHeight="1" spans="1:6" x14ac:dyDescent="0.25">
      <c r="A76" s="6" t="s">
        <v>7290</v>
      </c>
      <c r="B76" s="6"/>
      <c r="C76" s="6"/>
      <c r="D76" s="6"/>
      <c r="E76" s="6"/>
      <c r="F76" s="6"/>
    </row>
    <row r="77" spans="1:6" x14ac:dyDescent="0.25">
      <c r="A77" t="s">
        <v>4044</v>
      </c>
      <c r="B77" t="s">
        <v>4045</v>
      </c>
      <c r="C77" t="s">
        <v>5</v>
      </c>
      <c r="D77" t="s">
        <v>4046</v>
      </c>
      <c r="E77" t="s">
        <v>4047</v>
      </c>
      <c r="F77" t="s">
        <v>4048</v>
      </c>
    </row>
    <row r="78" spans="1:6" x14ac:dyDescent="0.25">
      <c r="A78" t="s">
        <v>4049</v>
      </c>
      <c r="B78" t="s">
        <v>4176</v>
      </c>
      <c r="C78" t="s">
        <v>4177</v>
      </c>
      <c r="D78" s="7">
        <v>0</v>
      </c>
      <c r="E78" s="2">
        <v>72300.17</v>
      </c>
      <c r="F78" s="2">
        <v>108.45</v>
      </c>
    </row>
    <row r="79" spans="1:6" x14ac:dyDescent="0.25">
      <c r="A79" t="s">
        <v>4049</v>
      </c>
      <c r="B79" t="s">
        <v>4304</v>
      </c>
      <c r="C79" t="s">
        <v>4177</v>
      </c>
      <c r="D79" s="7">
        <v>0</v>
      </c>
      <c r="E79" s="2">
        <v>50188.55</v>
      </c>
      <c r="F79" s="2">
        <v>75.28</v>
      </c>
    </row>
    <row r="80" spans="1:6" x14ac:dyDescent="0.25">
      <c r="A80" t="s">
        <v>4049</v>
      </c>
      <c r="B80" t="s">
        <v>4310</v>
      </c>
      <c r="C80" t="s">
        <v>3545</v>
      </c>
      <c r="D80" s="7">
        <v>0.35</v>
      </c>
      <c r="E80" s="2">
        <v>1350</v>
      </c>
      <c r="F80" s="2">
        <v>472.5</v>
      </c>
    </row>
    <row r="81" spans="1:6" x14ac:dyDescent="0.25">
      <c r="A81" t="s">
        <v>4052</v>
      </c>
      <c r="B81" t="s">
        <v>7287</v>
      </c>
      <c r="C81" t="s">
        <v>287</v>
      </c>
      <c r="D81" s="7">
        <v>0.01</v>
      </c>
      <c r="E81" s="2">
        <v>107426.42</v>
      </c>
      <c r="F81" s="2">
        <v>698.27</v>
      </c>
    </row>
    <row r="82" spans="1:6" x14ac:dyDescent="0.25">
      <c r="A82" t="s">
        <v>4052</v>
      </c>
      <c r="B82" t="s">
        <v>4084</v>
      </c>
      <c r="C82" t="s">
        <v>287</v>
      </c>
      <c r="D82" s="7">
        <v>0.01</v>
      </c>
      <c r="E82" s="2">
        <v>145366.67</v>
      </c>
      <c r="F82" s="2">
        <v>944.88</v>
      </c>
    </row>
    <row r="83" spans="1:6" x14ac:dyDescent="0.25">
      <c r="A83" t="s">
        <v>4052</v>
      </c>
      <c r="B83" t="s">
        <v>7288</v>
      </c>
      <c r="C83" t="s">
        <v>287</v>
      </c>
      <c r="D83" s="7">
        <v>0.01</v>
      </c>
      <c r="E83" s="2">
        <v>340213.06</v>
      </c>
      <c r="F83" s="2">
        <v>2211.38</v>
      </c>
    </row>
    <row r="84" spans="1:6" x14ac:dyDescent="0.25">
      <c r="A84" t="s">
        <v>4055</v>
      </c>
      <c r="D84" s="7"/>
      <c r="E84" s="2"/>
      <c r="F84" s="2">
        <f>SUBTOTAL(109,A_3_06_08[VALOR PARCIAL])</f>
      </c>
    </row>
    <row r="86" ht="30" customHeight="1" spans="1:6" x14ac:dyDescent="0.25">
      <c r="A86" s="5" t="s">
        <v>7291</v>
      </c>
      <c r="B86" s="5"/>
      <c r="C86" s="5"/>
      <c r="D86" s="5"/>
      <c r="E86" s="5"/>
      <c r="F86" s="5"/>
    </row>
    <row r="87" ht="42" customHeight="1" spans="1:6" x14ac:dyDescent="0.25">
      <c r="A87" s="6" t="s">
        <v>7292</v>
      </c>
      <c r="B87" s="6"/>
      <c r="C87" s="6"/>
      <c r="D87" s="6"/>
      <c r="E87" s="6"/>
      <c r="F87" s="6"/>
    </row>
    <row r="88" spans="1:6" x14ac:dyDescent="0.25">
      <c r="A88" t="s">
        <v>4044</v>
      </c>
      <c r="B88" t="s">
        <v>4045</v>
      </c>
      <c r="C88" t="s">
        <v>5</v>
      </c>
      <c r="D88" t="s">
        <v>4046</v>
      </c>
      <c r="E88" t="s">
        <v>4047</v>
      </c>
      <c r="F88" t="s">
        <v>4048</v>
      </c>
    </row>
    <row r="89" spans="1:6" x14ac:dyDescent="0.25">
      <c r="A89" t="s">
        <v>4062</v>
      </c>
      <c r="B89" t="s">
        <v>7214</v>
      </c>
      <c r="C89" t="s">
        <v>3963</v>
      </c>
      <c r="D89" s="7">
        <v>1</v>
      </c>
      <c r="E89" s="2">
        <v>2520</v>
      </c>
      <c r="F89" s="2">
        <v>2520</v>
      </c>
    </row>
    <row r="90" spans="1:6" x14ac:dyDescent="0.25">
      <c r="A90" t="s">
        <v>4049</v>
      </c>
      <c r="B90" t="s">
        <v>4176</v>
      </c>
      <c r="C90" t="s">
        <v>4177</v>
      </c>
      <c r="D90" s="7">
        <v>0</v>
      </c>
      <c r="E90" s="2">
        <v>72300.17</v>
      </c>
      <c r="F90" s="2">
        <v>289.2</v>
      </c>
    </row>
    <row r="91" spans="1:6" x14ac:dyDescent="0.25">
      <c r="A91" t="s">
        <v>4049</v>
      </c>
      <c r="B91" t="s">
        <v>4313</v>
      </c>
      <c r="C91" t="s">
        <v>4177</v>
      </c>
      <c r="D91" s="7">
        <v>0</v>
      </c>
      <c r="E91" s="2">
        <v>124137.15</v>
      </c>
      <c r="F91" s="2">
        <v>124.14</v>
      </c>
    </row>
    <row r="92" spans="1:6" x14ac:dyDescent="0.25">
      <c r="A92" t="s">
        <v>4052</v>
      </c>
      <c r="B92" t="s">
        <v>4123</v>
      </c>
      <c r="C92" t="s">
        <v>287</v>
      </c>
      <c r="D92" s="7">
        <v>0</v>
      </c>
      <c r="E92" s="2">
        <v>62400</v>
      </c>
      <c r="F92" s="2">
        <v>187.2</v>
      </c>
    </row>
    <row r="93" spans="1:6" x14ac:dyDescent="0.25">
      <c r="A93" t="s">
        <v>4052</v>
      </c>
      <c r="B93" t="s">
        <v>6149</v>
      </c>
      <c r="C93" t="s">
        <v>287</v>
      </c>
      <c r="D93" s="7">
        <v>0</v>
      </c>
      <c r="E93" s="2">
        <v>90261</v>
      </c>
      <c r="F93" s="2">
        <v>270.78</v>
      </c>
    </row>
    <row r="94" spans="1:6" x14ac:dyDescent="0.25">
      <c r="A94" t="s">
        <v>4052</v>
      </c>
      <c r="B94" t="s">
        <v>4053</v>
      </c>
      <c r="C94" t="s">
        <v>4054</v>
      </c>
      <c r="D94" s="7">
        <v>2</v>
      </c>
      <c r="E94" s="2">
        <v>413.34</v>
      </c>
      <c r="F94" s="2">
        <v>8.27</v>
      </c>
    </row>
    <row r="95" spans="1:6" x14ac:dyDescent="0.25">
      <c r="A95" t="s">
        <v>4055</v>
      </c>
      <c r="D95" s="7"/>
      <c r="E95" s="2"/>
      <c r="F95" s="2">
        <f>SUBTOTAL(109,A_3_06_09[VALOR PARCIAL])</f>
      </c>
    </row>
    <row r="97" ht="30" customHeight="1" spans="1:6" x14ac:dyDescent="0.25">
      <c r="A97" s="5" t="s">
        <v>7293</v>
      </c>
      <c r="B97" s="5"/>
      <c r="C97" s="5"/>
      <c r="D97" s="5"/>
      <c r="E97" s="5"/>
      <c r="F97" s="5"/>
    </row>
    <row r="98" ht="42" customHeight="1" spans="1:6" x14ac:dyDescent="0.25">
      <c r="A98" s="6" t="s">
        <v>7294</v>
      </c>
      <c r="B98" s="6"/>
      <c r="C98" s="6"/>
      <c r="D98" s="6"/>
      <c r="E98" s="6"/>
      <c r="F98" s="6"/>
    </row>
    <row r="99" spans="1:6" x14ac:dyDescent="0.25">
      <c r="A99" t="s">
        <v>4044</v>
      </c>
      <c r="B99" t="s">
        <v>4045</v>
      </c>
      <c r="C99" t="s">
        <v>5</v>
      </c>
      <c r="D99" t="s">
        <v>4046</v>
      </c>
      <c r="E99" t="s">
        <v>4047</v>
      </c>
      <c r="F99" t="s">
        <v>4048</v>
      </c>
    </row>
    <row r="100" spans="1:6" x14ac:dyDescent="0.25">
      <c r="A100" t="s">
        <v>4062</v>
      </c>
      <c r="B100" t="s">
        <v>6154</v>
      </c>
      <c r="C100" t="s">
        <v>34</v>
      </c>
      <c r="D100" s="7">
        <v>1.3</v>
      </c>
      <c r="E100" s="2">
        <v>58706.67</v>
      </c>
      <c r="F100" s="2">
        <v>76318.67</v>
      </c>
    </row>
    <row r="101" spans="1:6" x14ac:dyDescent="0.25">
      <c r="A101" t="s">
        <v>4062</v>
      </c>
      <c r="B101" t="s">
        <v>4076</v>
      </c>
      <c r="C101" t="s">
        <v>3963</v>
      </c>
      <c r="D101" s="7">
        <v>24</v>
      </c>
      <c r="E101" s="2">
        <v>21</v>
      </c>
      <c r="F101" s="2">
        <v>504</v>
      </c>
    </row>
    <row r="102" spans="1:6" x14ac:dyDescent="0.25">
      <c r="A102" t="s">
        <v>4049</v>
      </c>
      <c r="B102" t="s">
        <v>4176</v>
      </c>
      <c r="C102" t="s">
        <v>4177</v>
      </c>
      <c r="D102" s="7">
        <v>0.05</v>
      </c>
      <c r="E102" s="2">
        <v>72300.17</v>
      </c>
      <c r="F102" s="2">
        <v>3615.01</v>
      </c>
    </row>
    <row r="103" spans="1:6" x14ac:dyDescent="0.25">
      <c r="A103" t="s">
        <v>4049</v>
      </c>
      <c r="B103" t="s">
        <v>7220</v>
      </c>
      <c r="C103" t="s">
        <v>4177</v>
      </c>
      <c r="D103" s="7">
        <v>0.01</v>
      </c>
      <c r="E103" s="2">
        <v>130296.06</v>
      </c>
      <c r="F103" s="2">
        <v>1302.96</v>
      </c>
    </row>
    <row r="104" spans="1:6" x14ac:dyDescent="0.25">
      <c r="A104" t="s">
        <v>4052</v>
      </c>
      <c r="B104" t="s">
        <v>4077</v>
      </c>
      <c r="C104" t="s">
        <v>287</v>
      </c>
      <c r="D104" s="7">
        <v>0.03</v>
      </c>
      <c r="E104" s="2">
        <v>74712.95</v>
      </c>
      <c r="F104" s="2">
        <v>2241.39</v>
      </c>
    </row>
    <row r="105" spans="1:6" x14ac:dyDescent="0.25">
      <c r="A105" t="s">
        <v>4052</v>
      </c>
      <c r="B105" t="s">
        <v>4078</v>
      </c>
      <c r="C105" t="s">
        <v>287</v>
      </c>
      <c r="D105" s="7">
        <v>0.04</v>
      </c>
      <c r="E105" s="2">
        <v>157100</v>
      </c>
      <c r="F105" s="2">
        <v>5498.5</v>
      </c>
    </row>
    <row r="106" spans="1:6" x14ac:dyDescent="0.25">
      <c r="A106" t="s">
        <v>4052</v>
      </c>
      <c r="B106" t="s">
        <v>4081</v>
      </c>
      <c r="C106" t="s">
        <v>287</v>
      </c>
      <c r="D106" s="7">
        <v>0.05</v>
      </c>
      <c r="E106" s="2">
        <v>98968.79</v>
      </c>
      <c r="F106" s="2">
        <v>4948.44</v>
      </c>
    </row>
    <row r="107" spans="1:6" x14ac:dyDescent="0.25">
      <c r="A107" t="s">
        <v>4052</v>
      </c>
      <c r="B107" t="s">
        <v>4342</v>
      </c>
      <c r="C107" t="s">
        <v>287</v>
      </c>
      <c r="D107" s="7">
        <v>0.1</v>
      </c>
      <c r="E107" s="2">
        <v>8333.33</v>
      </c>
      <c r="F107" s="2">
        <v>833.33</v>
      </c>
    </row>
    <row r="108" spans="1:6" x14ac:dyDescent="0.25">
      <c r="A108" t="s">
        <v>4058</v>
      </c>
      <c r="B108" t="s">
        <v>4310</v>
      </c>
      <c r="C108" t="s">
        <v>3545</v>
      </c>
      <c r="D108" s="7">
        <v>6.5</v>
      </c>
      <c r="E108" s="2">
        <v>1350</v>
      </c>
      <c r="F108" s="2">
        <v>8775</v>
      </c>
    </row>
    <row r="109" spans="1:6" x14ac:dyDescent="0.25">
      <c r="A109" t="s">
        <v>4055</v>
      </c>
      <c r="D109" s="7"/>
      <c r="E109" s="2"/>
      <c r="F109" s="2">
        <f>SUBTOTAL(109,A_3_06_10[VALOR PARCIAL])</f>
      </c>
    </row>
    <row r="111" ht="30" customHeight="1" spans="1:6" x14ac:dyDescent="0.25">
      <c r="A111" s="5" t="s">
        <v>7295</v>
      </c>
      <c r="B111" s="5"/>
      <c r="C111" s="5"/>
      <c r="D111" s="5"/>
      <c r="E111" s="5"/>
      <c r="F111" s="5"/>
    </row>
    <row r="112" ht="42" customHeight="1" spans="1:6" x14ac:dyDescent="0.25">
      <c r="A112" s="6" t="s">
        <v>7296</v>
      </c>
      <c r="B112" s="6"/>
      <c r="C112" s="6"/>
      <c r="D112" s="6"/>
      <c r="E112" s="6"/>
      <c r="F112" s="6"/>
    </row>
    <row r="113" spans="1:6" x14ac:dyDescent="0.25">
      <c r="A113" t="s">
        <v>4044</v>
      </c>
      <c r="B113" t="s">
        <v>4045</v>
      </c>
      <c r="C113" t="s">
        <v>5</v>
      </c>
      <c r="D113" t="s">
        <v>4046</v>
      </c>
      <c r="E113" t="s">
        <v>4047</v>
      </c>
      <c r="F113" t="s">
        <v>4048</v>
      </c>
    </row>
    <row r="114" spans="1:6" x14ac:dyDescent="0.25">
      <c r="A114" t="s">
        <v>4062</v>
      </c>
      <c r="B114" t="s">
        <v>7297</v>
      </c>
      <c r="C114" t="s">
        <v>3963</v>
      </c>
      <c r="D114" s="7">
        <v>0.5</v>
      </c>
      <c r="E114" s="2">
        <v>2134</v>
      </c>
      <c r="F114" s="2">
        <v>1067</v>
      </c>
    </row>
    <row r="115" spans="1:6" x14ac:dyDescent="0.25">
      <c r="A115" t="s">
        <v>4049</v>
      </c>
      <c r="B115" t="s">
        <v>4176</v>
      </c>
      <c r="C115" t="s">
        <v>4177</v>
      </c>
      <c r="D115" s="7">
        <v>0.01</v>
      </c>
      <c r="E115" s="2">
        <v>72300.17</v>
      </c>
      <c r="F115" s="2">
        <v>361.5</v>
      </c>
    </row>
    <row r="116" spans="1:6" x14ac:dyDescent="0.25">
      <c r="A116" t="s">
        <v>4052</v>
      </c>
      <c r="B116" t="s">
        <v>4123</v>
      </c>
      <c r="C116" t="s">
        <v>287</v>
      </c>
      <c r="D116" s="7">
        <v>0.01</v>
      </c>
      <c r="E116" s="2">
        <v>62400</v>
      </c>
      <c r="F116" s="2">
        <v>312</v>
      </c>
    </row>
    <row r="117" spans="1:6" x14ac:dyDescent="0.25">
      <c r="A117" t="s">
        <v>4052</v>
      </c>
      <c r="B117" t="s">
        <v>6149</v>
      </c>
      <c r="C117" t="s">
        <v>287</v>
      </c>
      <c r="D117" s="7">
        <v>0.01</v>
      </c>
      <c r="E117" s="2">
        <v>90261</v>
      </c>
      <c r="F117" s="2">
        <v>451.31</v>
      </c>
    </row>
    <row r="118" spans="1:6" x14ac:dyDescent="0.25">
      <c r="A118" t="s">
        <v>4052</v>
      </c>
      <c r="B118" t="s">
        <v>4053</v>
      </c>
      <c r="C118" t="s">
        <v>4054</v>
      </c>
      <c r="D118" s="7">
        <v>0.2</v>
      </c>
      <c r="E118" s="2">
        <v>361.5</v>
      </c>
      <c r="F118" s="2">
        <v>0.72</v>
      </c>
    </row>
    <row r="119" spans="1:6" x14ac:dyDescent="0.25">
      <c r="A119" t="s">
        <v>4055</v>
      </c>
      <c r="D119" s="7"/>
      <c r="E119" s="2"/>
      <c r="F119" s="2">
        <f>SUBTOTAL(109,A_3_06_11[VALOR PARCIAL])</f>
      </c>
    </row>
    <row r="121" ht="30" customHeight="1" spans="1:6" x14ac:dyDescent="0.25">
      <c r="A121" s="5" t="s">
        <v>7298</v>
      </c>
      <c r="B121" s="5"/>
      <c r="C121" s="5"/>
      <c r="D121" s="5"/>
      <c r="E121" s="5"/>
      <c r="F121" s="5"/>
    </row>
    <row r="122" ht="42" customHeight="1" spans="1:6" x14ac:dyDescent="0.25">
      <c r="A122" s="6" t="s">
        <v>7299</v>
      </c>
      <c r="B122" s="6"/>
      <c r="C122" s="6"/>
      <c r="D122" s="6"/>
      <c r="E122" s="6"/>
      <c r="F122" s="6"/>
    </row>
    <row r="123" spans="1:6" x14ac:dyDescent="0.25">
      <c r="A123" t="s">
        <v>4044</v>
      </c>
      <c r="B123" t="s">
        <v>4045</v>
      </c>
      <c r="C123" t="s">
        <v>5</v>
      </c>
      <c r="D123" t="s">
        <v>4046</v>
      </c>
      <c r="E123" t="s">
        <v>4047</v>
      </c>
      <c r="F123" t="s">
        <v>4048</v>
      </c>
    </row>
    <row r="124" spans="1:6" x14ac:dyDescent="0.25">
      <c r="A124" t="s">
        <v>4062</v>
      </c>
      <c r="B124" t="s">
        <v>6870</v>
      </c>
      <c r="C124" t="s">
        <v>34</v>
      </c>
      <c r="D124" s="7">
        <v>0.01</v>
      </c>
      <c r="E124" s="2">
        <v>80523.33</v>
      </c>
      <c r="F124" s="2">
        <v>805.23</v>
      </c>
    </row>
    <row r="125" spans="1:6" x14ac:dyDescent="0.25">
      <c r="A125" t="s">
        <v>4062</v>
      </c>
      <c r="B125" t="s">
        <v>7281</v>
      </c>
      <c r="C125" t="s">
        <v>3963</v>
      </c>
      <c r="D125" s="7">
        <v>1.25</v>
      </c>
      <c r="E125" s="2">
        <v>1742.94</v>
      </c>
      <c r="F125" s="2">
        <v>2178.68</v>
      </c>
    </row>
    <row r="126" spans="1:6" x14ac:dyDescent="0.25">
      <c r="A126" t="s">
        <v>4049</v>
      </c>
      <c r="B126" t="s">
        <v>4176</v>
      </c>
      <c r="C126" t="s">
        <v>4177</v>
      </c>
      <c r="D126" s="7">
        <v>0</v>
      </c>
      <c r="E126" s="2">
        <v>72300.17</v>
      </c>
      <c r="F126" s="2">
        <v>86.76</v>
      </c>
    </row>
    <row r="127" spans="1:6" x14ac:dyDescent="0.25">
      <c r="A127" t="s">
        <v>4049</v>
      </c>
      <c r="B127" t="s">
        <v>4313</v>
      </c>
      <c r="C127" t="s">
        <v>4177</v>
      </c>
      <c r="D127" s="7">
        <v>0</v>
      </c>
      <c r="E127" s="2">
        <v>124137.15</v>
      </c>
      <c r="F127" s="2">
        <v>37.24</v>
      </c>
    </row>
    <row r="128" spans="1:6" x14ac:dyDescent="0.25">
      <c r="A128" t="s">
        <v>4052</v>
      </c>
      <c r="B128" t="s">
        <v>7300</v>
      </c>
      <c r="C128" t="s">
        <v>287</v>
      </c>
      <c r="D128" s="7">
        <v>0.01</v>
      </c>
      <c r="E128" s="2">
        <v>47071</v>
      </c>
      <c r="F128" s="2">
        <v>310.67</v>
      </c>
    </row>
    <row r="129" spans="1:6" x14ac:dyDescent="0.25">
      <c r="A129" t="s">
        <v>4052</v>
      </c>
      <c r="B129" t="s">
        <v>6149</v>
      </c>
      <c r="C129" t="s">
        <v>287</v>
      </c>
      <c r="D129" s="7">
        <v>0.01</v>
      </c>
      <c r="E129" s="2">
        <v>90261</v>
      </c>
      <c r="F129" s="2">
        <v>595.72</v>
      </c>
    </row>
    <row r="130" spans="1:6" x14ac:dyDescent="0.25">
      <c r="A130" t="s">
        <v>4052</v>
      </c>
      <c r="B130" t="s">
        <v>4081</v>
      </c>
      <c r="C130" t="s">
        <v>287</v>
      </c>
      <c r="D130" s="7">
        <v>0.01</v>
      </c>
      <c r="E130" s="2">
        <v>98968.79</v>
      </c>
      <c r="F130" s="2">
        <v>653.19</v>
      </c>
    </row>
    <row r="131" spans="1:6" x14ac:dyDescent="0.25">
      <c r="A131" t="s">
        <v>4052</v>
      </c>
      <c r="B131" t="s">
        <v>4053</v>
      </c>
      <c r="C131" t="s">
        <v>4054</v>
      </c>
      <c r="D131" s="7">
        <v>1</v>
      </c>
      <c r="E131" s="2">
        <v>124</v>
      </c>
      <c r="F131" s="2">
        <v>1.24</v>
      </c>
    </row>
    <row r="132" spans="1:6" x14ac:dyDescent="0.25">
      <c r="A132" t="s">
        <v>4055</v>
      </c>
      <c r="D132" s="7"/>
      <c r="E132" s="2"/>
      <c r="F132" s="2">
        <f>SUBTOTAL(109,A_3_06_12[VALOR PARCIAL])</f>
      </c>
    </row>
    <row r="134" ht="30" customHeight="1" spans="1:6" x14ac:dyDescent="0.25">
      <c r="A134" s="5" t="s">
        <v>7301</v>
      </c>
      <c r="B134" s="5"/>
      <c r="C134" s="5"/>
      <c r="D134" s="5"/>
      <c r="E134" s="5"/>
      <c r="F134" s="5"/>
    </row>
    <row r="135" ht="42" customHeight="1" spans="1:6" x14ac:dyDescent="0.25">
      <c r="A135" s="6" t="s">
        <v>7302</v>
      </c>
      <c r="B135" s="6"/>
      <c r="C135" s="6"/>
      <c r="D135" s="6"/>
      <c r="E135" s="6"/>
      <c r="F135" s="6"/>
    </row>
    <row r="136" spans="1:6" x14ac:dyDescent="0.25">
      <c r="A136" t="s">
        <v>4044</v>
      </c>
      <c r="B136" t="s">
        <v>4045</v>
      </c>
      <c r="C136" t="s">
        <v>5</v>
      </c>
      <c r="D136" t="s">
        <v>4046</v>
      </c>
      <c r="E136" t="s">
        <v>4047</v>
      </c>
      <c r="F136" t="s">
        <v>4048</v>
      </c>
    </row>
    <row r="137" spans="1:6" x14ac:dyDescent="0.25">
      <c r="A137" t="s">
        <v>4062</v>
      </c>
      <c r="B137" t="s">
        <v>7303</v>
      </c>
      <c r="C137" t="s">
        <v>34</v>
      </c>
      <c r="D137" s="7">
        <v>1.35</v>
      </c>
      <c r="E137" s="2">
        <v>216259</v>
      </c>
      <c r="F137" s="2">
        <v>291949.65</v>
      </c>
    </row>
    <row r="138" spans="1:6" x14ac:dyDescent="0.25">
      <c r="A138" t="s">
        <v>4049</v>
      </c>
      <c r="B138" t="s">
        <v>4176</v>
      </c>
      <c r="C138" t="s">
        <v>4177</v>
      </c>
      <c r="D138" s="7">
        <v>0.33</v>
      </c>
      <c r="E138" s="2">
        <v>72300.17</v>
      </c>
      <c r="F138" s="2">
        <v>24075.96</v>
      </c>
    </row>
    <row r="139" spans="1:6" x14ac:dyDescent="0.25">
      <c r="A139" t="s">
        <v>4049</v>
      </c>
      <c r="B139" t="s">
        <v>4313</v>
      </c>
      <c r="C139" t="s">
        <v>4177</v>
      </c>
      <c r="D139" s="7">
        <v>0.03</v>
      </c>
      <c r="E139" s="2">
        <v>124137.15</v>
      </c>
      <c r="F139" s="2">
        <v>4133.77</v>
      </c>
    </row>
    <row r="140" spans="1:6" x14ac:dyDescent="0.25">
      <c r="A140" t="s">
        <v>4052</v>
      </c>
      <c r="B140" t="s">
        <v>7304</v>
      </c>
      <c r="C140" t="s">
        <v>287</v>
      </c>
      <c r="D140" s="7">
        <v>0.1</v>
      </c>
      <c r="E140" s="2">
        <v>102366.66</v>
      </c>
      <c r="F140" s="2">
        <v>10236.67</v>
      </c>
    </row>
    <row r="141" spans="1:6" x14ac:dyDescent="0.25">
      <c r="A141" t="s">
        <v>4052</v>
      </c>
      <c r="B141" t="s">
        <v>4078</v>
      </c>
      <c r="C141" t="s">
        <v>287</v>
      </c>
      <c r="D141" s="7">
        <v>0.1</v>
      </c>
      <c r="E141" s="2">
        <v>157100</v>
      </c>
      <c r="F141" s="2">
        <v>15710</v>
      </c>
    </row>
    <row r="142" spans="1:6" x14ac:dyDescent="0.25">
      <c r="A142" t="s">
        <v>4052</v>
      </c>
      <c r="B142" t="s">
        <v>4053</v>
      </c>
      <c r="C142" t="s">
        <v>4054</v>
      </c>
      <c r="D142" s="7">
        <v>3.3</v>
      </c>
      <c r="E142" s="2">
        <v>28209.73</v>
      </c>
      <c r="F142" s="2">
        <v>930.92</v>
      </c>
    </row>
    <row r="143" spans="1:6" x14ac:dyDescent="0.25">
      <c r="A143" t="s">
        <v>4055</v>
      </c>
      <c r="D143" s="7"/>
      <c r="E143" s="2"/>
      <c r="F143" s="2">
        <f>SUBTOTAL(109,A_3_06_13[VALOR PARCIAL])</f>
      </c>
    </row>
    <row r="145" ht="30" customHeight="1" spans="1:6" x14ac:dyDescent="0.25">
      <c r="A145" s="5" t="s">
        <v>7305</v>
      </c>
      <c r="B145" s="5"/>
      <c r="C145" s="5"/>
      <c r="D145" s="5"/>
      <c r="E145" s="5"/>
      <c r="F145" s="5"/>
    </row>
    <row r="146" ht="42" customHeight="1" spans="1:6" x14ac:dyDescent="0.25">
      <c r="A146" s="6" t="s">
        <v>7306</v>
      </c>
      <c r="B146" s="6"/>
      <c r="C146" s="6"/>
      <c r="D146" s="6"/>
      <c r="E146" s="6"/>
      <c r="F146" s="6"/>
    </row>
    <row r="147" spans="1:6" x14ac:dyDescent="0.25">
      <c r="A147" t="s">
        <v>4044</v>
      </c>
      <c r="B147" t="s">
        <v>4045</v>
      </c>
      <c r="C147" t="s">
        <v>5</v>
      </c>
      <c r="D147" t="s">
        <v>4046</v>
      </c>
      <c r="E147" t="s">
        <v>4047</v>
      </c>
      <c r="F147" t="s">
        <v>4048</v>
      </c>
    </row>
    <row r="148" spans="1:6" x14ac:dyDescent="0.25">
      <c r="A148" t="s">
        <v>4062</v>
      </c>
      <c r="B148" t="s">
        <v>7307</v>
      </c>
      <c r="C148" t="s">
        <v>34</v>
      </c>
      <c r="D148" s="7">
        <v>0.01</v>
      </c>
      <c r="E148" s="2">
        <v>80523.33</v>
      </c>
      <c r="F148" s="2">
        <v>402.62</v>
      </c>
    </row>
    <row r="149" spans="1:6" x14ac:dyDescent="0.25">
      <c r="A149" t="s">
        <v>4062</v>
      </c>
      <c r="B149" t="s">
        <v>7214</v>
      </c>
      <c r="C149" t="s">
        <v>3963</v>
      </c>
      <c r="D149" s="7">
        <v>1.51</v>
      </c>
      <c r="E149" s="2">
        <v>2520</v>
      </c>
      <c r="F149" s="2">
        <v>3816.29</v>
      </c>
    </row>
    <row r="150" spans="1:6" x14ac:dyDescent="0.25">
      <c r="A150" t="s">
        <v>4049</v>
      </c>
      <c r="B150" t="s">
        <v>4176</v>
      </c>
      <c r="C150" t="s">
        <v>4177</v>
      </c>
      <c r="D150" s="7">
        <v>0.07</v>
      </c>
      <c r="E150" s="2">
        <v>72300.17</v>
      </c>
      <c r="F150" s="2">
        <v>5061.01</v>
      </c>
    </row>
    <row r="151" spans="1:6" x14ac:dyDescent="0.25">
      <c r="A151" t="s">
        <v>4052</v>
      </c>
      <c r="B151" t="s">
        <v>7308</v>
      </c>
      <c r="C151" t="s">
        <v>287</v>
      </c>
      <c r="D151" s="7">
        <v>0.01</v>
      </c>
      <c r="E151" s="2">
        <v>137509.34</v>
      </c>
      <c r="F151" s="2">
        <v>962.57</v>
      </c>
    </row>
    <row r="152" spans="1:6" x14ac:dyDescent="0.25">
      <c r="A152" t="s">
        <v>4052</v>
      </c>
      <c r="B152" t="s">
        <v>4077</v>
      </c>
      <c r="C152" t="s">
        <v>287</v>
      </c>
      <c r="D152" s="7">
        <v>0.01</v>
      </c>
      <c r="E152" s="2">
        <v>74712.95</v>
      </c>
      <c r="F152" s="2">
        <v>522.99</v>
      </c>
    </row>
    <row r="153" spans="1:6" x14ac:dyDescent="0.25">
      <c r="A153" t="s">
        <v>4052</v>
      </c>
      <c r="B153" t="s">
        <v>4118</v>
      </c>
      <c r="C153" t="s">
        <v>287</v>
      </c>
      <c r="D153" s="7">
        <v>0.01</v>
      </c>
      <c r="E153" s="2">
        <v>107433.33</v>
      </c>
      <c r="F153" s="2">
        <v>752.03</v>
      </c>
    </row>
    <row r="154" spans="1:6" x14ac:dyDescent="0.25">
      <c r="A154" t="s">
        <v>4055</v>
      </c>
      <c r="D154" s="7"/>
      <c r="E154" s="2"/>
      <c r="F154" s="2">
        <f>SUBTOTAL(109,A_3_06_14[VALOR PARCIAL])</f>
      </c>
    </row>
    <row r="156" ht="30" customHeight="1" spans="1:6" x14ac:dyDescent="0.25">
      <c r="A156" s="5" t="s">
        <v>7309</v>
      </c>
      <c r="B156" s="5"/>
      <c r="C156" s="5"/>
      <c r="D156" s="5"/>
      <c r="E156" s="5"/>
      <c r="F156" s="5"/>
    </row>
    <row r="157" ht="42" customHeight="1" spans="1:6" x14ac:dyDescent="0.25">
      <c r="A157" s="6" t="s">
        <v>7310</v>
      </c>
      <c r="B157" s="6"/>
      <c r="C157" s="6"/>
      <c r="D157" s="6"/>
      <c r="E157" s="6"/>
      <c r="F157" s="6"/>
    </row>
    <row r="158" spans="1:6" x14ac:dyDescent="0.25">
      <c r="A158" t="s">
        <v>4044</v>
      </c>
      <c r="B158" t="s">
        <v>4045</v>
      </c>
      <c r="C158" t="s">
        <v>5</v>
      </c>
      <c r="D158" t="s">
        <v>4046</v>
      </c>
      <c r="E158" t="s">
        <v>4047</v>
      </c>
      <c r="F158" t="s">
        <v>4048</v>
      </c>
    </row>
    <row r="159" spans="1:6" x14ac:dyDescent="0.25">
      <c r="A159" t="s">
        <v>4062</v>
      </c>
      <c r="B159" t="s">
        <v>7307</v>
      </c>
      <c r="C159" t="s">
        <v>34</v>
      </c>
      <c r="D159" s="7">
        <v>0.01</v>
      </c>
      <c r="E159" s="2">
        <v>80523.33</v>
      </c>
      <c r="F159" s="2">
        <v>483.14</v>
      </c>
    </row>
    <row r="160" spans="1:6" x14ac:dyDescent="0.25">
      <c r="A160" t="s">
        <v>4062</v>
      </c>
      <c r="B160" t="s">
        <v>7214</v>
      </c>
      <c r="C160" t="s">
        <v>3963</v>
      </c>
      <c r="D160" s="7">
        <v>2.27</v>
      </c>
      <c r="E160" s="2">
        <v>2520</v>
      </c>
      <c r="F160" s="2">
        <v>5724.43</v>
      </c>
    </row>
    <row r="161" spans="1:6" x14ac:dyDescent="0.25">
      <c r="A161" t="s">
        <v>4049</v>
      </c>
      <c r="B161" t="s">
        <v>4176</v>
      </c>
      <c r="C161" t="s">
        <v>4177</v>
      </c>
      <c r="D161" s="7">
        <v>0.07</v>
      </c>
      <c r="E161" s="2">
        <v>72300.17</v>
      </c>
      <c r="F161" s="2">
        <v>5061.01</v>
      </c>
    </row>
    <row r="162" spans="1:6" x14ac:dyDescent="0.25">
      <c r="A162" t="s">
        <v>4052</v>
      </c>
      <c r="B162" t="s">
        <v>7308</v>
      </c>
      <c r="C162" t="s">
        <v>287</v>
      </c>
      <c r="D162" s="7">
        <v>0.01</v>
      </c>
      <c r="E162" s="2">
        <v>137509.34</v>
      </c>
      <c r="F162" s="2">
        <v>962.57</v>
      </c>
    </row>
    <row r="163" spans="1:6" x14ac:dyDescent="0.25">
      <c r="A163" t="s">
        <v>4052</v>
      </c>
      <c r="B163" t="s">
        <v>4077</v>
      </c>
      <c r="C163" t="s">
        <v>287</v>
      </c>
      <c r="D163" s="7">
        <v>0.01</v>
      </c>
      <c r="E163" s="2">
        <v>74712.95</v>
      </c>
      <c r="F163" s="2">
        <v>522.99</v>
      </c>
    </row>
    <row r="164" spans="1:6" x14ac:dyDescent="0.25">
      <c r="A164" t="s">
        <v>4052</v>
      </c>
      <c r="B164" t="s">
        <v>4118</v>
      </c>
      <c r="C164" t="s">
        <v>287</v>
      </c>
      <c r="D164" s="7">
        <v>0.01</v>
      </c>
      <c r="E164" s="2">
        <v>107433.33</v>
      </c>
      <c r="F164" s="2">
        <v>752.03</v>
      </c>
    </row>
    <row r="165" spans="1:6" x14ac:dyDescent="0.25">
      <c r="A165" t="s">
        <v>4055</v>
      </c>
      <c r="D165" s="7"/>
      <c r="E165" s="2"/>
      <c r="F165" s="2">
        <f>SUBTOTAL(109,A_3_06_15[VALOR PARCIAL])</f>
      </c>
    </row>
    <row r="167" ht="30" customHeight="1" spans="1:6" x14ac:dyDescent="0.25">
      <c r="A167" s="5" t="s">
        <v>7311</v>
      </c>
      <c r="B167" s="5"/>
      <c r="C167" s="5"/>
      <c r="D167" s="5"/>
      <c r="E167" s="5"/>
      <c r="F167" s="5"/>
    </row>
    <row r="168" ht="42" customHeight="1" spans="1:6" x14ac:dyDescent="0.25">
      <c r="A168" s="6" t="s">
        <v>7312</v>
      </c>
      <c r="B168" s="6"/>
      <c r="C168" s="6"/>
      <c r="D168" s="6"/>
      <c r="E168" s="6"/>
      <c r="F168" s="6"/>
    </row>
    <row r="169" spans="1:6" x14ac:dyDescent="0.25">
      <c r="A169" t="s">
        <v>4044</v>
      </c>
      <c r="B169" t="s">
        <v>4045</v>
      </c>
      <c r="C169" t="s">
        <v>5</v>
      </c>
      <c r="D169" t="s">
        <v>4046</v>
      </c>
      <c r="E169" t="s">
        <v>4047</v>
      </c>
      <c r="F169" t="s">
        <v>4048</v>
      </c>
    </row>
    <row r="170" spans="1:6" x14ac:dyDescent="0.25">
      <c r="A170" t="s">
        <v>4062</v>
      </c>
      <c r="B170" t="s">
        <v>7307</v>
      </c>
      <c r="C170" t="s">
        <v>34</v>
      </c>
      <c r="D170" s="7">
        <v>0.01</v>
      </c>
      <c r="E170" s="2">
        <v>80523.33</v>
      </c>
      <c r="F170" s="2">
        <v>724.71</v>
      </c>
    </row>
    <row r="171" spans="1:6" x14ac:dyDescent="0.25">
      <c r="A171" t="s">
        <v>4062</v>
      </c>
      <c r="B171" t="s">
        <v>7214</v>
      </c>
      <c r="C171" t="s">
        <v>3963</v>
      </c>
      <c r="D171" s="7">
        <v>3.74</v>
      </c>
      <c r="E171" s="2">
        <v>2520</v>
      </c>
      <c r="F171" s="2">
        <v>9424.8</v>
      </c>
    </row>
    <row r="172" spans="1:6" x14ac:dyDescent="0.25">
      <c r="A172" t="s">
        <v>4049</v>
      </c>
      <c r="B172" t="s">
        <v>4176</v>
      </c>
      <c r="C172" t="s">
        <v>4177</v>
      </c>
      <c r="D172" s="7">
        <v>0.07</v>
      </c>
      <c r="E172" s="2">
        <v>72300.17</v>
      </c>
      <c r="F172" s="2">
        <v>5061.01</v>
      </c>
    </row>
    <row r="173" spans="1:6" x14ac:dyDescent="0.25">
      <c r="A173" t="s">
        <v>4052</v>
      </c>
      <c r="B173" t="s">
        <v>7308</v>
      </c>
      <c r="C173" t="s">
        <v>287</v>
      </c>
      <c r="D173" s="7">
        <v>0.01</v>
      </c>
      <c r="E173" s="2">
        <v>137509.34</v>
      </c>
      <c r="F173" s="2">
        <v>962.57</v>
      </c>
    </row>
    <row r="174" spans="1:6" x14ac:dyDescent="0.25">
      <c r="A174" t="s">
        <v>4052</v>
      </c>
      <c r="B174" t="s">
        <v>4077</v>
      </c>
      <c r="C174" t="s">
        <v>287</v>
      </c>
      <c r="D174" s="7">
        <v>0.01</v>
      </c>
      <c r="E174" s="2">
        <v>74712.95</v>
      </c>
      <c r="F174" s="2">
        <v>522.99</v>
      </c>
    </row>
    <row r="175" spans="1:6" x14ac:dyDescent="0.25">
      <c r="A175" t="s">
        <v>4052</v>
      </c>
      <c r="B175" t="s">
        <v>4118</v>
      </c>
      <c r="C175" t="s">
        <v>287</v>
      </c>
      <c r="D175" s="7">
        <v>0.01</v>
      </c>
      <c r="E175" s="2">
        <v>107433.33</v>
      </c>
      <c r="F175" s="2">
        <v>752.03</v>
      </c>
    </row>
    <row r="176" spans="1:6" x14ac:dyDescent="0.25">
      <c r="A176" t="s">
        <v>4055</v>
      </c>
      <c r="D176" s="7"/>
      <c r="E176" s="2"/>
      <c r="F176" s="2">
        <f>SUBTOTAL(109,A_3_06_16[VALOR PARCIAL])</f>
      </c>
    </row>
    <row r="178" ht="30" customHeight="1" spans="1:6" x14ac:dyDescent="0.25">
      <c r="A178" s="5" t="s">
        <v>7313</v>
      </c>
      <c r="B178" s="5"/>
      <c r="C178" s="5"/>
      <c r="D178" s="5"/>
      <c r="E178" s="5"/>
      <c r="F178" s="5"/>
    </row>
    <row r="179" ht="42" customHeight="1" spans="1:6" x14ac:dyDescent="0.25">
      <c r="A179" s="6" t="s">
        <v>7314</v>
      </c>
      <c r="B179" s="6"/>
      <c r="C179" s="6"/>
      <c r="D179" s="6"/>
      <c r="E179" s="6"/>
      <c r="F179" s="6"/>
    </row>
    <row r="180" spans="1:6" x14ac:dyDescent="0.25">
      <c r="A180" t="s">
        <v>4044</v>
      </c>
      <c r="B180" t="s">
        <v>4045</v>
      </c>
      <c r="C180" t="s">
        <v>5</v>
      </c>
      <c r="D180" t="s">
        <v>4046</v>
      </c>
      <c r="E180" t="s">
        <v>4047</v>
      </c>
      <c r="F180" t="s">
        <v>4048</v>
      </c>
    </row>
    <row r="181" spans="1:6" x14ac:dyDescent="0.25">
      <c r="A181" t="s">
        <v>4062</v>
      </c>
      <c r="B181" t="s">
        <v>7275</v>
      </c>
      <c r="C181" t="s">
        <v>34</v>
      </c>
      <c r="D181" s="7">
        <v>1.2</v>
      </c>
      <c r="E181" s="2">
        <v>380800</v>
      </c>
      <c r="F181" s="2">
        <v>456960</v>
      </c>
    </row>
    <row r="182" spans="1:6" x14ac:dyDescent="0.25">
      <c r="A182" t="s">
        <v>4049</v>
      </c>
      <c r="B182" t="s">
        <v>4176</v>
      </c>
      <c r="C182" t="s">
        <v>4177</v>
      </c>
      <c r="D182" s="7">
        <v>1</v>
      </c>
      <c r="E182" s="2">
        <v>72300.17</v>
      </c>
      <c r="F182" s="2">
        <v>72300.17</v>
      </c>
    </row>
    <row r="183" spans="1:6" x14ac:dyDescent="0.25">
      <c r="A183" t="s">
        <v>4049</v>
      </c>
      <c r="B183" t="s">
        <v>4313</v>
      </c>
      <c r="C183" t="s">
        <v>4177</v>
      </c>
      <c r="D183" s="7">
        <v>0.1</v>
      </c>
      <c r="E183" s="2">
        <v>124137.15</v>
      </c>
      <c r="F183" s="2">
        <v>12413.72</v>
      </c>
    </row>
    <row r="184" spans="1:6" x14ac:dyDescent="0.25">
      <c r="A184" t="s">
        <v>4052</v>
      </c>
      <c r="B184" t="s">
        <v>7276</v>
      </c>
      <c r="C184" t="s">
        <v>287</v>
      </c>
      <c r="D184" s="7">
        <v>0.1</v>
      </c>
      <c r="E184" s="2">
        <v>135912.95</v>
      </c>
      <c r="F184" s="2">
        <v>13591.3</v>
      </c>
    </row>
    <row r="185" spans="1:6" x14ac:dyDescent="0.25">
      <c r="A185" t="s">
        <v>4052</v>
      </c>
      <c r="B185" t="s">
        <v>7277</v>
      </c>
      <c r="C185" t="s">
        <v>287</v>
      </c>
      <c r="D185" s="7">
        <v>0.1</v>
      </c>
      <c r="E185" s="2">
        <v>254122</v>
      </c>
      <c r="F185" s="2">
        <v>25412.2</v>
      </c>
    </row>
    <row r="186" spans="1:6" x14ac:dyDescent="0.25">
      <c r="A186" t="s">
        <v>4052</v>
      </c>
      <c r="B186" t="s">
        <v>4081</v>
      </c>
      <c r="C186" t="s">
        <v>287</v>
      </c>
      <c r="D186" s="7">
        <v>0.1</v>
      </c>
      <c r="E186" s="2">
        <v>98968.79</v>
      </c>
      <c r="F186" s="2">
        <v>9896.88</v>
      </c>
    </row>
    <row r="187" spans="1:6" x14ac:dyDescent="0.25">
      <c r="A187" t="s">
        <v>4052</v>
      </c>
      <c r="B187" t="s">
        <v>4053</v>
      </c>
      <c r="C187" t="s">
        <v>4054</v>
      </c>
      <c r="D187" s="7">
        <v>3.3</v>
      </c>
      <c r="E187" s="2">
        <v>84713.89</v>
      </c>
      <c r="F187" s="2">
        <v>2795.56</v>
      </c>
    </row>
    <row r="188" spans="1:6" x14ac:dyDescent="0.25">
      <c r="A188" t="s">
        <v>4058</v>
      </c>
      <c r="B188" t="s">
        <v>4059</v>
      </c>
      <c r="C188" t="s">
        <v>3545</v>
      </c>
      <c r="D188" s="7">
        <v>6</v>
      </c>
      <c r="E188" s="2">
        <v>1325</v>
      </c>
      <c r="F188" s="2">
        <v>7950</v>
      </c>
    </row>
    <row r="189" spans="1:6" x14ac:dyDescent="0.25">
      <c r="A189" t="s">
        <v>4055</v>
      </c>
      <c r="D189" s="7"/>
      <c r="E189" s="2"/>
      <c r="F189" s="2">
        <f>SUBTOTAL(109,A_3_06_17[VALOR PARCIAL])</f>
      </c>
    </row>
  </sheetData>
  <mergeCells count="32">
    <mergeCell ref="A4:F4"/>
    <mergeCell ref="A5:F5"/>
    <mergeCell ref="A16:F16"/>
    <mergeCell ref="A17:F17"/>
    <mergeCell ref="A24:F24"/>
    <mergeCell ref="A25:F25"/>
    <mergeCell ref="A38:F38"/>
    <mergeCell ref="A39:F39"/>
    <mergeCell ref="A51:F51"/>
    <mergeCell ref="A52:F52"/>
    <mergeCell ref="A64:F64"/>
    <mergeCell ref="A65:F65"/>
    <mergeCell ref="A75:F75"/>
    <mergeCell ref="A76:F76"/>
    <mergeCell ref="A86:F86"/>
    <mergeCell ref="A87:F87"/>
    <mergeCell ref="A97:F97"/>
    <mergeCell ref="A98:F98"/>
    <mergeCell ref="A111:F111"/>
    <mergeCell ref="A112:F112"/>
    <mergeCell ref="A121:F121"/>
    <mergeCell ref="A122:F122"/>
    <mergeCell ref="A134:F134"/>
    <mergeCell ref="A135:F135"/>
    <mergeCell ref="A145:F145"/>
    <mergeCell ref="A146:F146"/>
    <mergeCell ref="A156:F156"/>
    <mergeCell ref="A157:F157"/>
    <mergeCell ref="A167:F167"/>
    <mergeCell ref="A168:F168"/>
    <mergeCell ref="A178:F178"/>
    <mergeCell ref="A179:F179"/>
  </mergeCells>
  <pageMargins left="0.7" right="0.7" top="0.75" bottom="0.75" header="0.3" footer="0.3"/>
  <pageSetup orientation="portrait" horizontalDpi="4294967295" verticalDpi="4294967295" scale="100" fitToWidth="1" fitToHeight="1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7315</v>
      </c>
    </row>
    <row r="2" spans="1:1" x14ac:dyDescent="0.25">
      <c r="A2" s="4" t="s">
        <v>7316</v>
      </c>
    </row>
    <row r="4" ht="30" customHeight="1" spans="1:6" x14ac:dyDescent="0.25">
      <c r="A4" s="5" t="s">
        <v>7317</v>
      </c>
      <c r="B4" s="5"/>
      <c r="C4" s="5"/>
      <c r="D4" s="5"/>
      <c r="E4" s="5"/>
      <c r="F4" s="5"/>
    </row>
    <row r="5" ht="42" customHeight="1" spans="1:6" x14ac:dyDescent="0.25">
      <c r="A5" s="6" t="s">
        <v>7318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5821</v>
      </c>
      <c r="C7" t="s">
        <v>34</v>
      </c>
      <c r="D7" s="7">
        <v>0</v>
      </c>
      <c r="E7" s="2">
        <v>93966.67</v>
      </c>
      <c r="F7" s="2">
        <v>281.9</v>
      </c>
    </row>
    <row r="8" spans="1:6" x14ac:dyDescent="0.25">
      <c r="A8" t="s">
        <v>4062</v>
      </c>
      <c r="B8" t="s">
        <v>7319</v>
      </c>
      <c r="C8" t="s">
        <v>63</v>
      </c>
      <c r="D8" s="7">
        <v>5</v>
      </c>
      <c r="E8" s="2">
        <v>752</v>
      </c>
      <c r="F8" s="2">
        <v>3760</v>
      </c>
    </row>
    <row r="9" spans="1:6" x14ac:dyDescent="0.25">
      <c r="A9" t="s">
        <v>4049</v>
      </c>
      <c r="B9" t="s">
        <v>4176</v>
      </c>
      <c r="C9" t="s">
        <v>4177</v>
      </c>
      <c r="D9" s="7">
        <v>0.07</v>
      </c>
      <c r="E9" s="2">
        <v>72300.17</v>
      </c>
      <c r="F9" s="2">
        <v>5061.01</v>
      </c>
    </row>
    <row r="10" spans="1:6" x14ac:dyDescent="0.25">
      <c r="A10" t="s">
        <v>4049</v>
      </c>
      <c r="B10" t="s">
        <v>4313</v>
      </c>
      <c r="C10" t="s">
        <v>4177</v>
      </c>
      <c r="D10" s="7">
        <v>0.03</v>
      </c>
      <c r="E10" s="2">
        <v>124137.15</v>
      </c>
      <c r="F10" s="2">
        <v>3103.43</v>
      </c>
    </row>
    <row r="11" spans="1:6" x14ac:dyDescent="0.25">
      <c r="A11" t="s">
        <v>4052</v>
      </c>
      <c r="B11" t="s">
        <v>4053</v>
      </c>
      <c r="C11" t="s">
        <v>4054</v>
      </c>
      <c r="D11" s="7">
        <v>5</v>
      </c>
      <c r="E11" s="2">
        <v>8164.44</v>
      </c>
      <c r="F11" s="2">
        <v>408.22</v>
      </c>
    </row>
    <row r="12" spans="1:6" x14ac:dyDescent="0.25">
      <c r="A12" t="s">
        <v>4055</v>
      </c>
      <c r="D12" s="7"/>
      <c r="E12" s="2"/>
      <c r="F12" s="2">
        <f>SUBTOTAL(109,A_3_07_01[VALOR PARCIAL])</f>
      </c>
    </row>
    <row r="14" ht="30" customHeight="1" spans="1:6" x14ac:dyDescent="0.25">
      <c r="A14" s="5" t="s">
        <v>7320</v>
      </c>
      <c r="B14" s="5"/>
      <c r="C14" s="5"/>
      <c r="D14" s="5"/>
      <c r="E14" s="5"/>
      <c r="F14" s="5"/>
    </row>
    <row r="15" ht="42" customHeight="1" spans="1:6" x14ac:dyDescent="0.25">
      <c r="A15" s="6" t="s">
        <v>7321</v>
      </c>
      <c r="B15" s="6"/>
      <c r="C15" s="6"/>
      <c r="D15" s="6"/>
      <c r="E15" s="6"/>
      <c r="F15" s="6"/>
    </row>
    <row r="16" spans="1:6" x14ac:dyDescent="0.25">
      <c r="A16" t="s">
        <v>4044</v>
      </c>
      <c r="B16" t="s">
        <v>4045</v>
      </c>
      <c r="C16" t="s">
        <v>5</v>
      </c>
      <c r="D16" t="s">
        <v>4046</v>
      </c>
      <c r="E16" t="s">
        <v>4047</v>
      </c>
      <c r="F16" t="s">
        <v>4048</v>
      </c>
    </row>
    <row r="17" spans="1:6" x14ac:dyDescent="0.25">
      <c r="A17" t="s">
        <v>4062</v>
      </c>
      <c r="B17" t="s">
        <v>5821</v>
      </c>
      <c r="C17" t="s">
        <v>34</v>
      </c>
      <c r="D17" s="7">
        <v>0.05</v>
      </c>
      <c r="E17" s="2">
        <v>93966.67</v>
      </c>
      <c r="F17" s="2">
        <v>4698.33</v>
      </c>
    </row>
    <row r="18" spans="1:6" x14ac:dyDescent="0.25">
      <c r="A18" t="s">
        <v>4062</v>
      </c>
      <c r="B18" t="s">
        <v>7322</v>
      </c>
      <c r="C18" t="s">
        <v>21</v>
      </c>
      <c r="D18" s="7">
        <v>1.03</v>
      </c>
      <c r="E18" s="2">
        <v>47002</v>
      </c>
      <c r="F18" s="2">
        <v>48412.06</v>
      </c>
    </row>
    <row r="19" spans="1:6" x14ac:dyDescent="0.25">
      <c r="A19" t="s">
        <v>4049</v>
      </c>
      <c r="B19" t="s">
        <v>4176</v>
      </c>
      <c r="C19" t="s">
        <v>4177</v>
      </c>
      <c r="D19" s="7">
        <v>0.1</v>
      </c>
      <c r="E19" s="2">
        <v>72300.17</v>
      </c>
      <c r="F19" s="2">
        <v>7230.02</v>
      </c>
    </row>
    <row r="20" spans="1:6" x14ac:dyDescent="0.25">
      <c r="A20" t="s">
        <v>4049</v>
      </c>
      <c r="B20" t="s">
        <v>4313</v>
      </c>
      <c r="C20" t="s">
        <v>4177</v>
      </c>
      <c r="D20" s="7">
        <v>0.1</v>
      </c>
      <c r="E20" s="2">
        <v>124137.15</v>
      </c>
      <c r="F20" s="2">
        <v>12413.72</v>
      </c>
    </row>
    <row r="21" spans="1:6" x14ac:dyDescent="0.25">
      <c r="A21" t="s">
        <v>4052</v>
      </c>
      <c r="B21" t="s">
        <v>4342</v>
      </c>
      <c r="C21" t="s">
        <v>287</v>
      </c>
      <c r="D21" s="7">
        <v>0.03</v>
      </c>
      <c r="E21" s="2">
        <v>8333.33</v>
      </c>
      <c r="F21" s="2">
        <v>216.67</v>
      </c>
    </row>
    <row r="22" spans="1:6" x14ac:dyDescent="0.25">
      <c r="A22" t="s">
        <v>4052</v>
      </c>
      <c r="B22" t="s">
        <v>4053</v>
      </c>
      <c r="C22" t="s">
        <v>4054</v>
      </c>
      <c r="D22" s="7">
        <v>6.7</v>
      </c>
      <c r="E22" s="2">
        <v>19643.74</v>
      </c>
      <c r="F22" s="2">
        <v>1316.13</v>
      </c>
    </row>
    <row r="23" spans="1:6" x14ac:dyDescent="0.25">
      <c r="A23" t="s">
        <v>4055</v>
      </c>
      <c r="D23" s="7"/>
      <c r="E23" s="2"/>
      <c r="F23" s="2">
        <f>SUBTOTAL(109,A_3_07_02[VALOR PARCIAL])</f>
      </c>
    </row>
    <row r="25" ht="30" customHeight="1" spans="1:6" x14ac:dyDescent="0.25">
      <c r="A25" s="5" t="s">
        <v>7323</v>
      </c>
      <c r="B25" s="5"/>
      <c r="C25" s="5"/>
      <c r="D25" s="5"/>
      <c r="E25" s="5"/>
      <c r="F25" s="5"/>
    </row>
    <row r="26" ht="42" customHeight="1" spans="1:6" x14ac:dyDescent="0.25">
      <c r="A26" s="6" t="s">
        <v>7324</v>
      </c>
      <c r="B26" s="6"/>
      <c r="C26" s="6"/>
      <c r="D26" s="6"/>
      <c r="E26" s="6"/>
      <c r="F26" s="6"/>
    </row>
    <row r="27" spans="1:6" x14ac:dyDescent="0.25">
      <c r="A27" t="s">
        <v>4044</v>
      </c>
      <c r="B27" t="s">
        <v>4045</v>
      </c>
      <c r="C27" t="s">
        <v>5</v>
      </c>
      <c r="D27" t="s">
        <v>4046</v>
      </c>
      <c r="E27" t="s">
        <v>4047</v>
      </c>
      <c r="F27" t="s">
        <v>4048</v>
      </c>
    </row>
    <row r="28" spans="1:6" x14ac:dyDescent="0.25">
      <c r="A28" t="s">
        <v>4062</v>
      </c>
      <c r="B28" t="s">
        <v>5821</v>
      </c>
      <c r="C28" t="s">
        <v>34</v>
      </c>
      <c r="D28" s="7">
        <v>0.05</v>
      </c>
      <c r="E28" s="2">
        <v>93966.67</v>
      </c>
      <c r="F28" s="2">
        <v>4698.33</v>
      </c>
    </row>
    <row r="29" spans="1:6" x14ac:dyDescent="0.25">
      <c r="A29" t="s">
        <v>4062</v>
      </c>
      <c r="B29" t="s">
        <v>7325</v>
      </c>
      <c r="C29" t="s">
        <v>21</v>
      </c>
      <c r="D29" s="7">
        <v>1.03</v>
      </c>
      <c r="E29" s="2">
        <v>25573.73</v>
      </c>
      <c r="F29" s="2">
        <v>26340.94</v>
      </c>
    </row>
    <row r="30" spans="1:6" x14ac:dyDescent="0.25">
      <c r="A30" t="s">
        <v>4049</v>
      </c>
      <c r="B30" t="s">
        <v>4176</v>
      </c>
      <c r="C30" t="s">
        <v>4177</v>
      </c>
      <c r="D30" s="7">
        <v>0.16</v>
      </c>
      <c r="E30" s="2">
        <v>72300.17</v>
      </c>
      <c r="F30" s="2">
        <v>11568.03</v>
      </c>
    </row>
    <row r="31" spans="1:6" x14ac:dyDescent="0.25">
      <c r="A31" t="s">
        <v>4049</v>
      </c>
      <c r="B31" t="s">
        <v>4313</v>
      </c>
      <c r="C31" t="s">
        <v>4177</v>
      </c>
      <c r="D31" s="7">
        <v>0.16</v>
      </c>
      <c r="E31" s="2">
        <v>124137.15</v>
      </c>
      <c r="F31" s="2">
        <v>19861.94</v>
      </c>
    </row>
    <row r="32" spans="1:6" x14ac:dyDescent="0.25">
      <c r="A32" t="s">
        <v>4052</v>
      </c>
      <c r="B32" t="s">
        <v>4342</v>
      </c>
      <c r="C32" t="s">
        <v>287</v>
      </c>
      <c r="D32" s="7">
        <v>0.03</v>
      </c>
      <c r="E32" s="2">
        <v>8333.33</v>
      </c>
      <c r="F32" s="2">
        <v>216.67</v>
      </c>
    </row>
    <row r="33" spans="1:6" x14ac:dyDescent="0.25">
      <c r="A33" t="s">
        <v>4052</v>
      </c>
      <c r="B33" t="s">
        <v>4053</v>
      </c>
      <c r="C33" t="s">
        <v>4054</v>
      </c>
      <c r="D33" s="7">
        <v>6.7</v>
      </c>
      <c r="E33" s="2">
        <v>31429.97</v>
      </c>
      <c r="F33" s="2">
        <v>2105.81</v>
      </c>
    </row>
    <row r="34" spans="1:6" x14ac:dyDescent="0.25">
      <c r="A34" t="s">
        <v>4055</v>
      </c>
      <c r="D34" s="7"/>
      <c r="E34" s="2"/>
      <c r="F34" s="2">
        <f>SUBTOTAL(109,A_3_07_03[VALOR PARCIAL])</f>
      </c>
    </row>
  </sheetData>
  <mergeCells count="6">
    <mergeCell ref="A4:F4"/>
    <mergeCell ref="A5:F5"/>
    <mergeCell ref="A14:F14"/>
    <mergeCell ref="A15:F15"/>
    <mergeCell ref="A25:F25"/>
    <mergeCell ref="A26:F26"/>
  </mergeCells>
  <pageMargins left="0.7" right="0.7" top="0.75" bottom="0.75" header="0.3" footer="0.3"/>
  <pageSetup orientation="portrait" horizontalDpi="4294967295" verticalDpi="4294967295" scale="100" fitToWidth="1" fitToHeight="1"/>
  <tableParts count="3">
    <tablePart r:id="rId1"/>
    <tablePart r:id="rId2"/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7326</v>
      </c>
    </row>
    <row r="2" spans="1:1" x14ac:dyDescent="0.25">
      <c r="A2" s="4" t="s">
        <v>5125</v>
      </c>
    </row>
    <row r="4" ht="30" customHeight="1" spans="1:6" x14ac:dyDescent="0.25">
      <c r="A4" s="5" t="s">
        <v>7327</v>
      </c>
      <c r="B4" s="5"/>
      <c r="C4" s="5"/>
      <c r="D4" s="5"/>
      <c r="E4" s="5"/>
      <c r="F4" s="5"/>
    </row>
    <row r="5" ht="42" customHeight="1" spans="1:6" x14ac:dyDescent="0.25">
      <c r="A5" s="6" t="s">
        <v>7328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7329</v>
      </c>
      <c r="C7" t="s">
        <v>63</v>
      </c>
      <c r="D7" s="7">
        <v>1</v>
      </c>
      <c r="E7" s="2">
        <v>86226.67</v>
      </c>
      <c r="F7" s="2">
        <v>86226.67</v>
      </c>
    </row>
    <row r="8" spans="1:6" x14ac:dyDescent="0.25">
      <c r="A8" t="s">
        <v>4062</v>
      </c>
      <c r="B8" t="s">
        <v>3995</v>
      </c>
      <c r="C8" t="s">
        <v>34</v>
      </c>
      <c r="D8" s="7">
        <v>0.01</v>
      </c>
      <c r="E8" s="2">
        <v>378413.54</v>
      </c>
      <c r="F8" s="2">
        <v>4540.96</v>
      </c>
    </row>
    <row r="9" spans="1:6" x14ac:dyDescent="0.25">
      <c r="A9" t="s">
        <v>4049</v>
      </c>
      <c r="B9" t="s">
        <v>4050</v>
      </c>
      <c r="C9" t="s">
        <v>4051</v>
      </c>
      <c r="D9" s="7">
        <v>1.5</v>
      </c>
      <c r="E9" s="2">
        <v>9037.33</v>
      </c>
      <c r="F9" s="2">
        <v>13555.99</v>
      </c>
    </row>
    <row r="10" spans="1:6" x14ac:dyDescent="0.25">
      <c r="A10" t="s">
        <v>4049</v>
      </c>
      <c r="B10" t="s">
        <v>4073</v>
      </c>
      <c r="C10" t="s">
        <v>4051</v>
      </c>
      <c r="D10" s="7">
        <v>1.5</v>
      </c>
      <c r="E10" s="2">
        <v>15517.89</v>
      </c>
      <c r="F10" s="2">
        <v>23276.83</v>
      </c>
    </row>
    <row r="11" spans="1:6" x14ac:dyDescent="0.25">
      <c r="A11" t="s">
        <v>4055</v>
      </c>
      <c r="D11" s="7"/>
      <c r="E11" s="2"/>
      <c r="F11" s="2">
        <f>SUBTOTAL(109,A_3_08_01[VALOR PARCIAL])</f>
      </c>
    </row>
    <row r="13" ht="30" customHeight="1" spans="1:6" x14ac:dyDescent="0.25">
      <c r="A13" s="5" t="s">
        <v>7330</v>
      </c>
      <c r="B13" s="5"/>
      <c r="C13" s="5"/>
      <c r="D13" s="5"/>
      <c r="E13" s="5"/>
      <c r="F13" s="5"/>
    </row>
    <row r="14" ht="42" customHeight="1" spans="1:6" x14ac:dyDescent="0.25">
      <c r="A14" s="6" t="s">
        <v>7331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4012</v>
      </c>
      <c r="C16" t="s">
        <v>34</v>
      </c>
      <c r="D16" s="7">
        <v>0.03</v>
      </c>
      <c r="E16" s="2">
        <v>475506.98</v>
      </c>
      <c r="F16" s="2">
        <v>14265.21</v>
      </c>
    </row>
    <row r="17" spans="1:6" x14ac:dyDescent="0.25">
      <c r="A17" t="s">
        <v>4062</v>
      </c>
      <c r="B17" t="s">
        <v>7332</v>
      </c>
      <c r="C17" t="s">
        <v>63</v>
      </c>
      <c r="D17" s="7">
        <v>1</v>
      </c>
      <c r="E17" s="2">
        <v>170092</v>
      </c>
      <c r="F17" s="2">
        <v>170092</v>
      </c>
    </row>
    <row r="18" spans="1:6" x14ac:dyDescent="0.25">
      <c r="A18" t="s">
        <v>4049</v>
      </c>
      <c r="B18" t="s">
        <v>4050</v>
      </c>
      <c r="C18" t="s">
        <v>4051</v>
      </c>
      <c r="D18" s="7">
        <v>1</v>
      </c>
      <c r="E18" s="2">
        <v>9037.33</v>
      </c>
      <c r="F18" s="2">
        <v>9037.33</v>
      </c>
    </row>
    <row r="19" spans="1:6" x14ac:dyDescent="0.25">
      <c r="A19" t="s">
        <v>4049</v>
      </c>
      <c r="B19" t="s">
        <v>4073</v>
      </c>
      <c r="C19" t="s">
        <v>4051</v>
      </c>
      <c r="D19" s="7">
        <v>1</v>
      </c>
      <c r="E19" s="2">
        <v>15517.89</v>
      </c>
      <c r="F19" s="2">
        <v>15517.89</v>
      </c>
    </row>
    <row r="20" spans="1:6" x14ac:dyDescent="0.25">
      <c r="A20" t="s">
        <v>4055</v>
      </c>
      <c r="D20" s="7"/>
      <c r="E20" s="2"/>
      <c r="F20" s="2">
        <f>SUBTOTAL(109,A_3_08_02[VALOR PARCIAL])</f>
      </c>
    </row>
    <row r="22" ht="30" customHeight="1" spans="1:6" x14ac:dyDescent="0.25">
      <c r="A22" s="5" t="s">
        <v>7333</v>
      </c>
      <c r="B22" s="5"/>
      <c r="C22" s="5"/>
      <c r="D22" s="5"/>
      <c r="E22" s="5"/>
      <c r="F22" s="5"/>
    </row>
    <row r="23" ht="42" customHeight="1" spans="1:6" x14ac:dyDescent="0.25">
      <c r="A23" s="6" t="s">
        <v>7334</v>
      </c>
      <c r="B23" s="6"/>
      <c r="C23" s="6"/>
      <c r="D23" s="6"/>
      <c r="E23" s="6"/>
      <c r="F23" s="6"/>
    </row>
    <row r="24" spans="1:6" x14ac:dyDescent="0.25">
      <c r="A24" t="s">
        <v>4044</v>
      </c>
      <c r="B24" t="s">
        <v>4045</v>
      </c>
      <c r="C24" t="s">
        <v>5</v>
      </c>
      <c r="D24" t="s">
        <v>4046</v>
      </c>
      <c r="E24" t="s">
        <v>4047</v>
      </c>
      <c r="F24" t="s">
        <v>4048</v>
      </c>
    </row>
    <row r="25" spans="1:6" x14ac:dyDescent="0.25">
      <c r="A25" t="s">
        <v>4062</v>
      </c>
      <c r="B25" t="s">
        <v>7335</v>
      </c>
      <c r="C25" t="s">
        <v>63</v>
      </c>
      <c r="D25" s="7">
        <v>1</v>
      </c>
      <c r="E25" s="2">
        <v>87136.67</v>
      </c>
      <c r="F25" s="2">
        <v>87136.67</v>
      </c>
    </row>
    <row r="26" spans="1:6" x14ac:dyDescent="0.25">
      <c r="A26" t="s">
        <v>4062</v>
      </c>
      <c r="B26" t="s">
        <v>3995</v>
      </c>
      <c r="C26" t="s">
        <v>34</v>
      </c>
      <c r="D26" s="7">
        <v>0.01</v>
      </c>
      <c r="E26" s="2">
        <v>378413.54</v>
      </c>
      <c r="F26" s="2">
        <v>4540.96</v>
      </c>
    </row>
    <row r="27" spans="1:6" x14ac:dyDescent="0.25">
      <c r="A27" t="s">
        <v>4049</v>
      </c>
      <c r="B27" t="s">
        <v>4050</v>
      </c>
      <c r="C27" t="s">
        <v>4051</v>
      </c>
      <c r="D27" s="7">
        <v>1</v>
      </c>
      <c r="E27" s="2">
        <v>9037.33</v>
      </c>
      <c r="F27" s="2">
        <v>9037.33</v>
      </c>
    </row>
    <row r="28" spans="1:6" x14ac:dyDescent="0.25">
      <c r="A28" t="s">
        <v>4049</v>
      </c>
      <c r="B28" t="s">
        <v>4073</v>
      </c>
      <c r="C28" t="s">
        <v>4051</v>
      </c>
      <c r="D28" s="7">
        <v>1</v>
      </c>
      <c r="E28" s="2">
        <v>15517.89</v>
      </c>
      <c r="F28" s="2">
        <v>15517.89</v>
      </c>
    </row>
    <row r="29" spans="1:6" x14ac:dyDescent="0.25">
      <c r="A29" t="s">
        <v>4055</v>
      </c>
      <c r="D29" s="7"/>
      <c r="E29" s="2"/>
      <c r="F29" s="2">
        <f>SUBTOTAL(109,A_3_08_03[VALOR PARCIAL])</f>
      </c>
    </row>
    <row r="31" ht="30" customHeight="1" spans="1:6" x14ac:dyDescent="0.25">
      <c r="A31" s="5" t="s">
        <v>7336</v>
      </c>
      <c r="B31" s="5"/>
      <c r="C31" s="5"/>
      <c r="D31" s="5"/>
      <c r="E31" s="5"/>
      <c r="F31" s="5"/>
    </row>
    <row r="32" ht="42" customHeight="1" spans="1:6" x14ac:dyDescent="0.25">
      <c r="A32" s="6" t="s">
        <v>7337</v>
      </c>
      <c r="B32" s="6"/>
      <c r="C32" s="6"/>
      <c r="D32" s="6"/>
      <c r="E32" s="6"/>
      <c r="F32" s="6"/>
    </row>
    <row r="33" spans="1:6" x14ac:dyDescent="0.25">
      <c r="A33" t="s">
        <v>4044</v>
      </c>
      <c r="B33" t="s">
        <v>4045</v>
      </c>
      <c r="C33" t="s">
        <v>5</v>
      </c>
      <c r="D33" t="s">
        <v>4046</v>
      </c>
      <c r="E33" t="s">
        <v>4047</v>
      </c>
      <c r="F33" t="s">
        <v>4048</v>
      </c>
    </row>
    <row r="34" spans="1:6" x14ac:dyDescent="0.25">
      <c r="A34" t="s">
        <v>4062</v>
      </c>
      <c r="B34" t="s">
        <v>7338</v>
      </c>
      <c r="C34" t="s">
        <v>63</v>
      </c>
      <c r="D34" s="7">
        <v>1</v>
      </c>
      <c r="E34" s="2">
        <v>170000</v>
      </c>
      <c r="F34" s="2">
        <v>170000</v>
      </c>
    </row>
    <row r="35" spans="1:6" x14ac:dyDescent="0.25">
      <c r="A35" t="s">
        <v>4062</v>
      </c>
      <c r="B35" t="s">
        <v>3995</v>
      </c>
      <c r="C35" t="s">
        <v>34</v>
      </c>
      <c r="D35" s="7">
        <v>0.06</v>
      </c>
      <c r="E35" s="2">
        <v>378413.54</v>
      </c>
      <c r="F35" s="2">
        <v>22704.81</v>
      </c>
    </row>
    <row r="36" spans="1:6" x14ac:dyDescent="0.25">
      <c r="A36" t="s">
        <v>4049</v>
      </c>
      <c r="B36" t="s">
        <v>4050</v>
      </c>
      <c r="C36" t="s">
        <v>4051</v>
      </c>
      <c r="D36" s="7">
        <v>1.5</v>
      </c>
      <c r="E36" s="2">
        <v>9037.33</v>
      </c>
      <c r="F36" s="2">
        <v>13555.99</v>
      </c>
    </row>
    <row r="37" spans="1:6" x14ac:dyDescent="0.25">
      <c r="A37" t="s">
        <v>4049</v>
      </c>
      <c r="B37" t="s">
        <v>4073</v>
      </c>
      <c r="C37" t="s">
        <v>4051</v>
      </c>
      <c r="D37" s="7">
        <v>1.5</v>
      </c>
      <c r="E37" s="2">
        <v>15517.89</v>
      </c>
      <c r="F37" s="2">
        <v>23276.83</v>
      </c>
    </row>
    <row r="38" spans="1:6" x14ac:dyDescent="0.25">
      <c r="A38" t="s">
        <v>4052</v>
      </c>
      <c r="B38" t="s">
        <v>4251</v>
      </c>
      <c r="C38" t="s">
        <v>287</v>
      </c>
      <c r="D38" s="7">
        <v>0.2</v>
      </c>
      <c r="E38" s="2">
        <v>48758.93</v>
      </c>
      <c r="F38" s="2">
        <v>9751.79</v>
      </c>
    </row>
    <row r="39" spans="1:6" x14ac:dyDescent="0.25">
      <c r="A39" t="s">
        <v>4055</v>
      </c>
      <c r="D39" s="7"/>
      <c r="E39" s="2"/>
      <c r="F39" s="2">
        <f>SUBTOTAL(109,A_3_08_04[VALOR PARCIAL])</f>
      </c>
    </row>
    <row r="41" ht="30" customHeight="1" spans="1:6" x14ac:dyDescent="0.25">
      <c r="A41" s="5" t="s">
        <v>7339</v>
      </c>
      <c r="B41" s="5"/>
      <c r="C41" s="5"/>
      <c r="D41" s="5"/>
      <c r="E41" s="5"/>
      <c r="F41" s="5"/>
    </row>
    <row r="42" ht="42" customHeight="1" spans="1:6" x14ac:dyDescent="0.25">
      <c r="A42" s="6" t="s">
        <v>7340</v>
      </c>
      <c r="B42" s="6"/>
      <c r="C42" s="6"/>
      <c r="D42" s="6"/>
      <c r="E42" s="6"/>
      <c r="F42" s="6"/>
    </row>
    <row r="43" spans="1:6" x14ac:dyDescent="0.25">
      <c r="A43" t="s">
        <v>4044</v>
      </c>
      <c r="B43" t="s">
        <v>4045</v>
      </c>
      <c r="C43" t="s">
        <v>5</v>
      </c>
      <c r="D43" t="s">
        <v>4046</v>
      </c>
      <c r="E43" t="s">
        <v>4047</v>
      </c>
      <c r="F43" t="s">
        <v>4048</v>
      </c>
    </row>
    <row r="44" spans="1:6" x14ac:dyDescent="0.25">
      <c r="A44" t="s">
        <v>4062</v>
      </c>
      <c r="B44" t="s">
        <v>5905</v>
      </c>
      <c r="C44" t="s">
        <v>42</v>
      </c>
      <c r="D44" s="7">
        <v>1</v>
      </c>
      <c r="E44" s="2">
        <v>20466.67</v>
      </c>
      <c r="F44" s="2">
        <v>20466.67</v>
      </c>
    </row>
    <row r="45" spans="1:6" x14ac:dyDescent="0.25">
      <c r="A45" t="s">
        <v>4062</v>
      </c>
      <c r="B45" t="s">
        <v>3978</v>
      </c>
      <c r="C45" t="s">
        <v>34</v>
      </c>
      <c r="D45" s="7">
        <v>0.04</v>
      </c>
      <c r="E45" s="2">
        <v>409741.65</v>
      </c>
      <c r="F45" s="2">
        <v>16389.67</v>
      </c>
    </row>
    <row r="46" spans="1:6" x14ac:dyDescent="0.25">
      <c r="A46" t="s">
        <v>4049</v>
      </c>
      <c r="B46" t="s">
        <v>4050</v>
      </c>
      <c r="C46" t="s">
        <v>4051</v>
      </c>
      <c r="D46" s="7">
        <v>1</v>
      </c>
      <c r="E46" s="2">
        <v>9037.33</v>
      </c>
      <c r="F46" s="2">
        <v>9037.33</v>
      </c>
    </row>
    <row r="47" spans="1:6" x14ac:dyDescent="0.25">
      <c r="A47" t="s">
        <v>4049</v>
      </c>
      <c r="B47" t="s">
        <v>4073</v>
      </c>
      <c r="C47" t="s">
        <v>4051</v>
      </c>
      <c r="D47" s="7">
        <v>1</v>
      </c>
      <c r="E47" s="2">
        <v>15517.89</v>
      </c>
      <c r="F47" s="2">
        <v>15517.89</v>
      </c>
    </row>
    <row r="48" spans="1:6" x14ac:dyDescent="0.25">
      <c r="A48" t="s">
        <v>4055</v>
      </c>
      <c r="D48" s="7"/>
      <c r="E48" s="2"/>
      <c r="F48" s="2">
        <f>SUBTOTAL(109,A_3_08_05[VALOR PARCIAL])</f>
      </c>
    </row>
    <row r="50" ht="30" customHeight="1" spans="1:6" x14ac:dyDescent="0.25">
      <c r="A50" s="5" t="s">
        <v>7341</v>
      </c>
      <c r="B50" s="5"/>
      <c r="C50" s="5"/>
      <c r="D50" s="5"/>
      <c r="E50" s="5"/>
      <c r="F50" s="5"/>
    </row>
    <row r="51" ht="42" customHeight="1" spans="1:6" x14ac:dyDescent="0.25">
      <c r="A51" s="6" t="s">
        <v>7342</v>
      </c>
      <c r="B51" s="6"/>
      <c r="C51" s="6"/>
      <c r="D51" s="6"/>
      <c r="E51" s="6"/>
      <c r="F51" s="6"/>
    </row>
    <row r="52" spans="1:6" x14ac:dyDescent="0.25">
      <c r="A52" t="s">
        <v>4044</v>
      </c>
      <c r="B52" t="s">
        <v>4045</v>
      </c>
      <c r="C52" t="s">
        <v>5</v>
      </c>
      <c r="D52" t="s">
        <v>4046</v>
      </c>
      <c r="E52" t="s">
        <v>4047</v>
      </c>
      <c r="F52" t="s">
        <v>4048</v>
      </c>
    </row>
    <row r="53" spans="1:6" x14ac:dyDescent="0.25">
      <c r="A53" t="s">
        <v>4062</v>
      </c>
      <c r="B53" t="s">
        <v>3373</v>
      </c>
      <c r="C53" t="s">
        <v>63</v>
      </c>
      <c r="D53" s="7">
        <v>1.25</v>
      </c>
      <c r="E53" s="2">
        <v>127746.67</v>
      </c>
      <c r="F53" s="2">
        <v>159683.34</v>
      </c>
    </row>
    <row r="54" spans="1:6" x14ac:dyDescent="0.25">
      <c r="A54" t="s">
        <v>4062</v>
      </c>
      <c r="B54" t="s">
        <v>3978</v>
      </c>
      <c r="C54" t="s">
        <v>34</v>
      </c>
      <c r="D54" s="7">
        <v>0.02</v>
      </c>
      <c r="E54" s="2">
        <v>409741.65</v>
      </c>
      <c r="F54" s="2">
        <v>8194.83</v>
      </c>
    </row>
    <row r="55" spans="1:6" x14ac:dyDescent="0.25">
      <c r="A55" t="s">
        <v>4049</v>
      </c>
      <c r="B55" t="s">
        <v>4050</v>
      </c>
      <c r="C55" t="s">
        <v>4051</v>
      </c>
      <c r="D55" s="7">
        <v>0.5</v>
      </c>
      <c r="E55" s="2">
        <v>9037.33</v>
      </c>
      <c r="F55" s="2">
        <v>4518.66</v>
      </c>
    </row>
    <row r="56" spans="1:6" x14ac:dyDescent="0.25">
      <c r="A56" t="s">
        <v>4049</v>
      </c>
      <c r="B56" t="s">
        <v>4073</v>
      </c>
      <c r="C56" t="s">
        <v>4051</v>
      </c>
      <c r="D56" s="7">
        <v>0.5</v>
      </c>
      <c r="E56" s="2">
        <v>15517.89</v>
      </c>
      <c r="F56" s="2">
        <v>7758.94</v>
      </c>
    </row>
    <row r="57" spans="1:6" x14ac:dyDescent="0.25">
      <c r="A57" t="s">
        <v>4055</v>
      </c>
      <c r="D57" s="7"/>
      <c r="E57" s="2"/>
      <c r="F57" s="2">
        <f>SUBTOTAL(109,A_3_08_06[VALOR PARCIAL])</f>
      </c>
    </row>
    <row r="59" ht="30" customHeight="1" spans="1:6" x14ac:dyDescent="0.25">
      <c r="A59" s="5" t="s">
        <v>7343</v>
      </c>
      <c r="B59" s="5"/>
      <c r="C59" s="5"/>
      <c r="D59" s="5"/>
      <c r="E59" s="5"/>
      <c r="F59" s="5"/>
    </row>
    <row r="60" ht="42" customHeight="1" spans="1:6" x14ac:dyDescent="0.25">
      <c r="A60" s="6" t="s">
        <v>7344</v>
      </c>
      <c r="B60" s="6"/>
      <c r="C60" s="6"/>
      <c r="D60" s="6"/>
      <c r="E60" s="6"/>
      <c r="F60" s="6"/>
    </row>
    <row r="61" spans="1:6" x14ac:dyDescent="0.25">
      <c r="A61" t="s">
        <v>4044</v>
      </c>
      <c r="B61" t="s">
        <v>4045</v>
      </c>
      <c r="C61" t="s">
        <v>5</v>
      </c>
      <c r="D61" t="s">
        <v>4046</v>
      </c>
      <c r="E61" t="s">
        <v>4047</v>
      </c>
      <c r="F61" t="s">
        <v>4048</v>
      </c>
    </row>
    <row r="62" spans="1:6" x14ac:dyDescent="0.25">
      <c r="A62" t="s">
        <v>4062</v>
      </c>
      <c r="B62" t="s">
        <v>3373</v>
      </c>
      <c r="C62" t="s">
        <v>63</v>
      </c>
      <c r="D62" s="7">
        <v>1.25</v>
      </c>
      <c r="E62" s="2">
        <v>127746.67</v>
      </c>
      <c r="F62" s="2">
        <v>159683.34</v>
      </c>
    </row>
    <row r="63" spans="1:6" x14ac:dyDescent="0.25">
      <c r="A63" t="s">
        <v>4062</v>
      </c>
      <c r="B63" t="s">
        <v>3978</v>
      </c>
      <c r="C63" t="s">
        <v>34</v>
      </c>
      <c r="D63" s="7">
        <v>0.02</v>
      </c>
      <c r="E63" s="2">
        <v>409741.65</v>
      </c>
      <c r="F63" s="2">
        <v>8194.83</v>
      </c>
    </row>
    <row r="64" spans="1:6" x14ac:dyDescent="0.25">
      <c r="A64" t="s">
        <v>4049</v>
      </c>
      <c r="B64" t="s">
        <v>4050</v>
      </c>
      <c r="C64" t="s">
        <v>4051</v>
      </c>
      <c r="D64" s="7">
        <v>0.5</v>
      </c>
      <c r="E64" s="2">
        <v>9037.33</v>
      </c>
      <c r="F64" s="2">
        <v>4518.66</v>
      </c>
    </row>
    <row r="65" spans="1:6" x14ac:dyDescent="0.25">
      <c r="A65" t="s">
        <v>4049</v>
      </c>
      <c r="B65" t="s">
        <v>4073</v>
      </c>
      <c r="C65" t="s">
        <v>4051</v>
      </c>
      <c r="D65" s="7">
        <v>0.5</v>
      </c>
      <c r="E65" s="2">
        <v>15517.89</v>
      </c>
      <c r="F65" s="2">
        <v>7758.94</v>
      </c>
    </row>
    <row r="66" spans="1:6" x14ac:dyDescent="0.25">
      <c r="A66" t="s">
        <v>4052</v>
      </c>
      <c r="B66" t="s">
        <v>4251</v>
      </c>
      <c r="C66" t="s">
        <v>287</v>
      </c>
      <c r="D66" s="7">
        <v>0.1</v>
      </c>
      <c r="E66" s="2">
        <v>48758.93</v>
      </c>
      <c r="F66" s="2">
        <v>4875.89</v>
      </c>
    </row>
    <row r="67" spans="1:6" x14ac:dyDescent="0.25">
      <c r="A67" t="s">
        <v>4055</v>
      </c>
      <c r="D67" s="7"/>
      <c r="E67" s="2"/>
      <c r="F67" s="2">
        <f>SUBTOTAL(109,A_3_08_07[VALOR PARCIAL])</f>
      </c>
    </row>
    <row r="69" ht="30" customHeight="1" spans="1:6" x14ac:dyDescent="0.25">
      <c r="A69" s="5" t="s">
        <v>7345</v>
      </c>
      <c r="B69" s="5"/>
      <c r="C69" s="5"/>
      <c r="D69" s="5"/>
      <c r="E69" s="5"/>
      <c r="F69" s="5"/>
    </row>
    <row r="70" ht="42" customHeight="1" spans="1:6" x14ac:dyDescent="0.25">
      <c r="A70" s="6" t="s">
        <v>7346</v>
      </c>
      <c r="B70" s="6"/>
      <c r="C70" s="6"/>
      <c r="D70" s="6"/>
      <c r="E70" s="6"/>
      <c r="F70" s="6"/>
    </row>
    <row r="71" spans="1:6" x14ac:dyDescent="0.25">
      <c r="A71" t="s">
        <v>4044</v>
      </c>
      <c r="B71" t="s">
        <v>4045</v>
      </c>
      <c r="C71" t="s">
        <v>5</v>
      </c>
      <c r="D71" t="s">
        <v>4046</v>
      </c>
      <c r="E71" t="s">
        <v>4047</v>
      </c>
      <c r="F71" t="s">
        <v>4048</v>
      </c>
    </row>
    <row r="72" spans="1:6" x14ac:dyDescent="0.25">
      <c r="A72" t="s">
        <v>4062</v>
      </c>
      <c r="B72" t="s">
        <v>4001</v>
      </c>
      <c r="C72" t="s">
        <v>34</v>
      </c>
      <c r="D72" s="7">
        <v>0.01</v>
      </c>
      <c r="E72" s="2">
        <v>450245.66</v>
      </c>
      <c r="F72" s="2">
        <v>4502.46</v>
      </c>
    </row>
    <row r="73" spans="1:6" x14ac:dyDescent="0.25">
      <c r="A73" t="s">
        <v>4049</v>
      </c>
      <c r="B73" t="s">
        <v>4050</v>
      </c>
      <c r="C73" t="s">
        <v>4051</v>
      </c>
      <c r="D73" s="7">
        <v>0.55</v>
      </c>
      <c r="E73" s="2">
        <v>9037.33</v>
      </c>
      <c r="F73" s="2">
        <v>4970.53</v>
      </c>
    </row>
    <row r="74" spans="1:6" x14ac:dyDescent="0.25">
      <c r="A74" t="s">
        <v>4049</v>
      </c>
      <c r="B74" t="s">
        <v>4073</v>
      </c>
      <c r="C74" t="s">
        <v>4051</v>
      </c>
      <c r="D74" s="7">
        <v>0.55</v>
      </c>
      <c r="E74" s="2">
        <v>15517.89</v>
      </c>
      <c r="F74" s="2">
        <v>8534.84</v>
      </c>
    </row>
    <row r="75" spans="1:6" x14ac:dyDescent="0.25">
      <c r="A75" t="s">
        <v>4052</v>
      </c>
      <c r="B75" t="s">
        <v>5857</v>
      </c>
      <c r="C75" t="s">
        <v>4106</v>
      </c>
      <c r="D75" s="7">
        <v>0.82</v>
      </c>
      <c r="E75" s="2">
        <v>1250</v>
      </c>
      <c r="F75" s="2">
        <v>1025</v>
      </c>
    </row>
    <row r="76" spans="1:6" x14ac:dyDescent="0.25">
      <c r="A76" t="s">
        <v>4055</v>
      </c>
      <c r="D76" s="7"/>
      <c r="E76" s="2"/>
      <c r="F76" s="2">
        <f>SUBTOTAL(109,A_3_08_08[VALOR PARCIAL])</f>
      </c>
    </row>
    <row r="78" ht="30" customHeight="1" spans="1:6" x14ac:dyDescent="0.25">
      <c r="A78" s="5" t="s">
        <v>7347</v>
      </c>
      <c r="B78" s="5"/>
      <c r="C78" s="5"/>
      <c r="D78" s="5"/>
      <c r="E78" s="5"/>
      <c r="F78" s="5"/>
    </row>
    <row r="79" ht="42" customHeight="1" spans="1:6" x14ac:dyDescent="0.25">
      <c r="A79" s="6" t="s">
        <v>7348</v>
      </c>
      <c r="B79" s="6"/>
      <c r="C79" s="6"/>
      <c r="D79" s="6"/>
      <c r="E79" s="6"/>
      <c r="F79" s="6"/>
    </row>
    <row r="80" spans="1:6" x14ac:dyDescent="0.25">
      <c r="A80" t="s">
        <v>4044</v>
      </c>
      <c r="B80" t="s">
        <v>4045</v>
      </c>
      <c r="C80" t="s">
        <v>5</v>
      </c>
      <c r="D80" t="s">
        <v>4046</v>
      </c>
      <c r="E80" t="s">
        <v>4047</v>
      </c>
      <c r="F80" t="s">
        <v>4048</v>
      </c>
    </row>
    <row r="81" spans="1:6" x14ac:dyDescent="0.25">
      <c r="A81" t="s">
        <v>4062</v>
      </c>
      <c r="B81" t="s">
        <v>4001</v>
      </c>
      <c r="C81" t="s">
        <v>34</v>
      </c>
      <c r="D81" s="7">
        <v>0.08</v>
      </c>
      <c r="E81" s="2">
        <v>450245.66</v>
      </c>
      <c r="F81" s="2">
        <v>36019.65</v>
      </c>
    </row>
    <row r="82" spans="1:6" x14ac:dyDescent="0.25">
      <c r="A82" t="s">
        <v>4049</v>
      </c>
      <c r="B82" t="s">
        <v>4050</v>
      </c>
      <c r="C82" t="s">
        <v>4051</v>
      </c>
      <c r="D82" s="7">
        <v>0.79</v>
      </c>
      <c r="E82" s="2">
        <v>9037.33</v>
      </c>
      <c r="F82" s="2">
        <v>7139.49</v>
      </c>
    </row>
    <row r="83" spans="1:6" x14ac:dyDescent="0.25">
      <c r="A83" t="s">
        <v>4049</v>
      </c>
      <c r="B83" t="s">
        <v>4073</v>
      </c>
      <c r="C83" t="s">
        <v>4051</v>
      </c>
      <c r="D83" s="7">
        <v>0.79</v>
      </c>
      <c r="E83" s="2">
        <v>15517.89</v>
      </c>
      <c r="F83" s="2">
        <v>12259.13</v>
      </c>
    </row>
    <row r="84" spans="1:6" x14ac:dyDescent="0.25">
      <c r="A84" t="s">
        <v>4052</v>
      </c>
      <c r="B84" t="s">
        <v>5857</v>
      </c>
      <c r="C84" t="s">
        <v>4106</v>
      </c>
      <c r="D84" s="7">
        <v>0.82</v>
      </c>
      <c r="E84" s="2">
        <v>1250</v>
      </c>
      <c r="F84" s="2">
        <v>1025</v>
      </c>
    </row>
    <row r="85" spans="1:6" x14ac:dyDescent="0.25">
      <c r="A85" t="s">
        <v>4055</v>
      </c>
      <c r="D85" s="7"/>
      <c r="E85" s="2"/>
      <c r="F85" s="2">
        <f>SUBTOTAL(109,A_3_08_09[VALOR PARCIAL])</f>
      </c>
    </row>
    <row r="87" ht="30" customHeight="1" spans="1:6" x14ac:dyDescent="0.25">
      <c r="A87" s="5" t="s">
        <v>7349</v>
      </c>
      <c r="B87" s="5"/>
      <c r="C87" s="5"/>
      <c r="D87" s="5"/>
      <c r="E87" s="5"/>
      <c r="F87" s="5"/>
    </row>
    <row r="88" ht="42" customHeight="1" spans="1:6" x14ac:dyDescent="0.25">
      <c r="A88" s="6" t="s">
        <v>7350</v>
      </c>
      <c r="B88" s="6"/>
      <c r="C88" s="6"/>
      <c r="D88" s="6"/>
      <c r="E88" s="6"/>
      <c r="F88" s="6"/>
    </row>
    <row r="89" spans="1:6" x14ac:dyDescent="0.25">
      <c r="A89" t="s">
        <v>4044</v>
      </c>
      <c r="B89" t="s">
        <v>4045</v>
      </c>
      <c r="C89" t="s">
        <v>5</v>
      </c>
      <c r="D89" t="s">
        <v>4046</v>
      </c>
      <c r="E89" t="s">
        <v>4047</v>
      </c>
      <c r="F89" t="s">
        <v>4048</v>
      </c>
    </row>
    <row r="90" spans="1:6" x14ac:dyDescent="0.25">
      <c r="A90" t="s">
        <v>4062</v>
      </c>
      <c r="B90" t="s">
        <v>3984</v>
      </c>
      <c r="C90" t="s">
        <v>34</v>
      </c>
      <c r="D90" s="7">
        <v>0.01</v>
      </c>
      <c r="E90" s="2">
        <v>336476.65</v>
      </c>
      <c r="F90" s="2">
        <v>3364.77</v>
      </c>
    </row>
    <row r="91" spans="1:6" x14ac:dyDescent="0.25">
      <c r="A91" t="s">
        <v>4062</v>
      </c>
      <c r="B91" t="s">
        <v>7351</v>
      </c>
      <c r="C91" t="s">
        <v>63</v>
      </c>
      <c r="D91" s="7">
        <v>1.25</v>
      </c>
      <c r="E91" s="2">
        <v>25104</v>
      </c>
      <c r="F91" s="2">
        <v>31380</v>
      </c>
    </row>
    <row r="92" spans="1:6" x14ac:dyDescent="0.25">
      <c r="A92" t="s">
        <v>4049</v>
      </c>
      <c r="B92" t="s">
        <v>4050</v>
      </c>
      <c r="C92" t="s">
        <v>4051</v>
      </c>
      <c r="D92" s="7">
        <v>0.75</v>
      </c>
      <c r="E92" s="2">
        <v>9037.33</v>
      </c>
      <c r="F92" s="2">
        <v>6778</v>
      </c>
    </row>
    <row r="93" spans="1:6" x14ac:dyDescent="0.25">
      <c r="A93" t="s">
        <v>4049</v>
      </c>
      <c r="B93" t="s">
        <v>4073</v>
      </c>
      <c r="C93" t="s">
        <v>4051</v>
      </c>
      <c r="D93" s="7">
        <v>0.75</v>
      </c>
      <c r="E93" s="2">
        <v>15517.89</v>
      </c>
      <c r="F93" s="2">
        <v>11638.42</v>
      </c>
    </row>
    <row r="94" spans="1:6" x14ac:dyDescent="0.25">
      <c r="A94" t="s">
        <v>4055</v>
      </c>
      <c r="D94" s="7"/>
      <c r="E94" s="2"/>
      <c r="F94" s="2">
        <f>SUBTOTAL(109,A_3_08_10[VALOR PARCIAL])</f>
      </c>
    </row>
    <row r="96" ht="30" customHeight="1" spans="1:6" x14ac:dyDescent="0.25">
      <c r="A96" s="5" t="s">
        <v>7352</v>
      </c>
      <c r="B96" s="5"/>
      <c r="C96" s="5"/>
      <c r="D96" s="5"/>
      <c r="E96" s="5"/>
      <c r="F96" s="5"/>
    </row>
    <row r="97" ht="42" customHeight="1" spans="1:6" x14ac:dyDescent="0.25">
      <c r="A97" s="6" t="s">
        <v>7353</v>
      </c>
      <c r="B97" s="6"/>
      <c r="C97" s="6"/>
      <c r="D97" s="6"/>
      <c r="E97" s="6"/>
      <c r="F97" s="6"/>
    </row>
    <row r="98" spans="1:6" x14ac:dyDescent="0.25">
      <c r="A98" t="s">
        <v>4044</v>
      </c>
      <c r="B98" t="s">
        <v>4045</v>
      </c>
      <c r="C98" t="s">
        <v>5</v>
      </c>
      <c r="D98" t="s">
        <v>4046</v>
      </c>
      <c r="E98" t="s">
        <v>4047</v>
      </c>
      <c r="F98" t="s">
        <v>4048</v>
      </c>
    </row>
    <row r="99" spans="1:6" x14ac:dyDescent="0.25">
      <c r="A99" t="s">
        <v>4062</v>
      </c>
      <c r="B99" t="s">
        <v>4298</v>
      </c>
      <c r="C99" t="s">
        <v>42</v>
      </c>
      <c r="D99" s="7">
        <v>0.3</v>
      </c>
      <c r="E99" s="2">
        <v>6466.67</v>
      </c>
      <c r="F99" s="2">
        <v>1940</v>
      </c>
    </row>
    <row r="100" spans="1:6" x14ac:dyDescent="0.25">
      <c r="A100" t="s">
        <v>4062</v>
      </c>
      <c r="B100" t="s">
        <v>4001</v>
      </c>
      <c r="C100" t="s">
        <v>34</v>
      </c>
      <c r="D100" s="7">
        <v>1.03</v>
      </c>
      <c r="E100" s="2">
        <v>450245.66</v>
      </c>
      <c r="F100" s="2">
        <v>463753.03</v>
      </c>
    </row>
    <row r="101" spans="1:6" x14ac:dyDescent="0.25">
      <c r="A101" t="s">
        <v>4062</v>
      </c>
      <c r="B101" t="s">
        <v>4072</v>
      </c>
      <c r="C101" t="s">
        <v>4066</v>
      </c>
      <c r="D101" s="7">
        <v>0.25</v>
      </c>
      <c r="E101" s="2">
        <v>3150</v>
      </c>
      <c r="F101" s="2">
        <v>787.5</v>
      </c>
    </row>
    <row r="102" spans="1:6" x14ac:dyDescent="0.25">
      <c r="A102" t="s">
        <v>4062</v>
      </c>
      <c r="B102" t="s">
        <v>4322</v>
      </c>
      <c r="C102" t="s">
        <v>42</v>
      </c>
      <c r="D102" s="7">
        <v>5</v>
      </c>
      <c r="E102" s="2">
        <v>5304</v>
      </c>
      <c r="F102" s="2">
        <v>26520</v>
      </c>
    </row>
    <row r="103" spans="1:6" x14ac:dyDescent="0.25">
      <c r="A103" t="s">
        <v>4049</v>
      </c>
      <c r="B103" t="s">
        <v>4176</v>
      </c>
      <c r="C103" t="s">
        <v>4177</v>
      </c>
      <c r="D103" s="7">
        <v>0.2</v>
      </c>
      <c r="E103" s="2">
        <v>72300.17</v>
      </c>
      <c r="F103" s="2">
        <v>14460.03</v>
      </c>
    </row>
    <row r="104" spans="1:6" x14ac:dyDescent="0.25">
      <c r="A104" t="s">
        <v>4049</v>
      </c>
      <c r="B104" t="s">
        <v>4313</v>
      </c>
      <c r="C104" t="s">
        <v>4177</v>
      </c>
      <c r="D104" s="7">
        <v>0.1</v>
      </c>
      <c r="E104" s="2">
        <v>124137.15</v>
      </c>
      <c r="F104" s="2">
        <v>12413.72</v>
      </c>
    </row>
    <row r="105" spans="1:6" x14ac:dyDescent="0.25">
      <c r="A105" t="s">
        <v>4052</v>
      </c>
      <c r="B105" t="s">
        <v>4053</v>
      </c>
      <c r="C105" t="s">
        <v>4054</v>
      </c>
      <c r="D105" s="7">
        <v>3.3</v>
      </c>
      <c r="E105" s="2">
        <v>26873.75</v>
      </c>
      <c r="F105" s="2">
        <v>886.83</v>
      </c>
    </row>
    <row r="106" spans="1:6" x14ac:dyDescent="0.25">
      <c r="A106" t="s">
        <v>4055</v>
      </c>
      <c r="D106" s="7"/>
      <c r="E106" s="2"/>
      <c r="F106" s="2">
        <f>SUBTOTAL(109,A_3_08_11[VALOR PARCIAL])</f>
      </c>
    </row>
    <row r="108" ht="30" customHeight="1" spans="1:6" x14ac:dyDescent="0.25">
      <c r="A108" s="5" t="s">
        <v>7354</v>
      </c>
      <c r="B108" s="5"/>
      <c r="C108" s="5"/>
      <c r="D108" s="5"/>
      <c r="E108" s="5"/>
      <c r="F108" s="5"/>
    </row>
    <row r="109" ht="42" customHeight="1" spans="1:6" x14ac:dyDescent="0.25">
      <c r="A109" s="6" t="s">
        <v>7355</v>
      </c>
      <c r="B109" s="6"/>
      <c r="C109" s="6"/>
      <c r="D109" s="6"/>
      <c r="E109" s="6"/>
      <c r="F109" s="6"/>
    </row>
    <row r="110" spans="1:6" x14ac:dyDescent="0.25">
      <c r="A110" t="s">
        <v>4044</v>
      </c>
      <c r="B110" t="s">
        <v>4045</v>
      </c>
      <c r="C110" t="s">
        <v>5</v>
      </c>
      <c r="D110" t="s">
        <v>4046</v>
      </c>
      <c r="E110" t="s">
        <v>4047</v>
      </c>
      <c r="F110" t="s">
        <v>4048</v>
      </c>
    </row>
    <row r="111" spans="1:6" x14ac:dyDescent="0.25">
      <c r="A111" t="s">
        <v>4062</v>
      </c>
      <c r="B111" t="s">
        <v>4001</v>
      </c>
      <c r="C111" t="s">
        <v>34</v>
      </c>
      <c r="D111" s="7">
        <v>1.03</v>
      </c>
      <c r="E111" s="2">
        <v>450245.66</v>
      </c>
      <c r="F111" s="2">
        <v>463753.03</v>
      </c>
    </row>
    <row r="112" spans="1:6" x14ac:dyDescent="0.25">
      <c r="A112" t="s">
        <v>4049</v>
      </c>
      <c r="B112" t="s">
        <v>4176</v>
      </c>
      <c r="C112" t="s">
        <v>4177</v>
      </c>
      <c r="D112" s="7">
        <v>1</v>
      </c>
      <c r="E112" s="2">
        <v>72300.17</v>
      </c>
      <c r="F112" s="2">
        <v>72300.17</v>
      </c>
    </row>
    <row r="113" spans="1:6" x14ac:dyDescent="0.25">
      <c r="A113" t="s">
        <v>4049</v>
      </c>
      <c r="B113" t="s">
        <v>4313</v>
      </c>
      <c r="C113" t="s">
        <v>4177</v>
      </c>
      <c r="D113" s="7">
        <v>0.25</v>
      </c>
      <c r="E113" s="2">
        <v>124137.15</v>
      </c>
      <c r="F113" s="2">
        <v>31034.29</v>
      </c>
    </row>
    <row r="114" spans="1:6" x14ac:dyDescent="0.25">
      <c r="A114" t="s">
        <v>4052</v>
      </c>
      <c r="B114" t="s">
        <v>7356</v>
      </c>
      <c r="C114" t="s">
        <v>42</v>
      </c>
      <c r="D114" s="7">
        <v>12.5</v>
      </c>
      <c r="E114" s="2">
        <v>2108.3</v>
      </c>
      <c r="F114" s="2">
        <v>26353.75</v>
      </c>
    </row>
    <row r="115" spans="1:6" x14ac:dyDescent="0.25">
      <c r="A115" t="s">
        <v>4052</v>
      </c>
      <c r="B115" t="s">
        <v>4053</v>
      </c>
      <c r="C115" t="s">
        <v>4054</v>
      </c>
      <c r="D115" s="7">
        <v>3.3</v>
      </c>
      <c r="E115" s="2">
        <v>103334.46</v>
      </c>
      <c r="F115" s="2">
        <v>3410.04</v>
      </c>
    </row>
    <row r="116" spans="1:6" x14ac:dyDescent="0.25">
      <c r="A116" t="s">
        <v>4055</v>
      </c>
      <c r="D116" s="7"/>
      <c r="E116" s="2"/>
      <c r="F116" s="2">
        <f>SUBTOTAL(109,A_3_08_12[VALOR PARCIAL])</f>
      </c>
    </row>
    <row r="118" ht="30" customHeight="1" spans="1:6" x14ac:dyDescent="0.25">
      <c r="A118" s="5" t="s">
        <v>7357</v>
      </c>
      <c r="B118" s="5"/>
      <c r="C118" s="5"/>
      <c r="D118" s="5"/>
      <c r="E118" s="5"/>
      <c r="F118" s="5"/>
    </row>
    <row r="119" ht="42" customHeight="1" spans="1:6" x14ac:dyDescent="0.25">
      <c r="A119" s="6" t="s">
        <v>7358</v>
      </c>
      <c r="B119" s="6"/>
      <c r="C119" s="6"/>
      <c r="D119" s="6"/>
      <c r="E119" s="6"/>
      <c r="F119" s="6"/>
    </row>
    <row r="120" spans="1:6" x14ac:dyDescent="0.25">
      <c r="A120" t="s">
        <v>4044</v>
      </c>
      <c r="B120" t="s">
        <v>4045</v>
      </c>
      <c r="C120" t="s">
        <v>5</v>
      </c>
      <c r="D120" t="s">
        <v>4046</v>
      </c>
      <c r="E120" t="s">
        <v>4047</v>
      </c>
      <c r="F120" t="s">
        <v>4048</v>
      </c>
    </row>
    <row r="121" spans="1:6" x14ac:dyDescent="0.25">
      <c r="A121" t="s">
        <v>4062</v>
      </c>
      <c r="B121" t="s">
        <v>5816</v>
      </c>
      <c r="C121" t="s">
        <v>34</v>
      </c>
      <c r="D121" s="7">
        <v>0.2</v>
      </c>
      <c r="E121" s="2">
        <v>93966.67</v>
      </c>
      <c r="F121" s="2">
        <v>18793.33</v>
      </c>
    </row>
    <row r="122" spans="1:6" x14ac:dyDescent="0.25">
      <c r="A122" t="s">
        <v>4062</v>
      </c>
      <c r="B122" t="s">
        <v>7359</v>
      </c>
      <c r="C122" t="s">
        <v>21</v>
      </c>
      <c r="D122" s="7">
        <v>1</v>
      </c>
      <c r="E122" s="2">
        <v>35333.33</v>
      </c>
      <c r="F122" s="2">
        <v>35333.33</v>
      </c>
    </row>
    <row r="123" spans="1:6" x14ac:dyDescent="0.25">
      <c r="A123" t="s">
        <v>4062</v>
      </c>
      <c r="B123" t="s">
        <v>3978</v>
      </c>
      <c r="C123" t="s">
        <v>34</v>
      </c>
      <c r="D123" s="7">
        <v>0.03</v>
      </c>
      <c r="E123" s="2">
        <v>409741.65</v>
      </c>
      <c r="F123" s="2">
        <v>12292.25</v>
      </c>
    </row>
    <row r="124" spans="1:6" x14ac:dyDescent="0.25">
      <c r="A124" t="s">
        <v>4049</v>
      </c>
      <c r="B124" t="s">
        <v>4050</v>
      </c>
      <c r="C124" t="s">
        <v>4051</v>
      </c>
      <c r="D124" s="7">
        <v>0.6</v>
      </c>
      <c r="E124" s="2">
        <v>9037.33</v>
      </c>
      <c r="F124" s="2">
        <v>5422.4</v>
      </c>
    </row>
    <row r="125" spans="1:6" x14ac:dyDescent="0.25">
      <c r="A125" t="s">
        <v>4049</v>
      </c>
      <c r="B125" t="s">
        <v>4073</v>
      </c>
      <c r="C125" t="s">
        <v>4051</v>
      </c>
      <c r="D125" s="7">
        <v>0.6</v>
      </c>
      <c r="E125" s="2">
        <v>15517.89</v>
      </c>
      <c r="F125" s="2">
        <v>9310.73</v>
      </c>
    </row>
    <row r="126" spans="1:6" x14ac:dyDescent="0.25">
      <c r="A126" t="s">
        <v>4055</v>
      </c>
      <c r="D126" s="7"/>
      <c r="E126" s="2"/>
      <c r="F126" s="2">
        <f>SUBTOTAL(109,A_3_08_13[VALOR PARCIAL])</f>
      </c>
    </row>
    <row r="128" ht="30" customHeight="1" spans="1:6" x14ac:dyDescent="0.25">
      <c r="A128" s="5" t="s">
        <v>7360</v>
      </c>
      <c r="B128" s="5"/>
      <c r="C128" s="5"/>
      <c r="D128" s="5"/>
      <c r="E128" s="5"/>
      <c r="F128" s="5"/>
    </row>
    <row r="129" ht="42" customHeight="1" spans="1:6" x14ac:dyDescent="0.25">
      <c r="A129" s="6" t="s">
        <v>7361</v>
      </c>
      <c r="B129" s="6"/>
      <c r="C129" s="6"/>
      <c r="D129" s="6"/>
      <c r="E129" s="6"/>
      <c r="F129" s="6"/>
    </row>
    <row r="130" spans="1:6" x14ac:dyDescent="0.25">
      <c r="A130" t="s">
        <v>4044</v>
      </c>
      <c r="B130" t="s">
        <v>4045</v>
      </c>
      <c r="C130" t="s">
        <v>5</v>
      </c>
      <c r="D130" t="s">
        <v>4046</v>
      </c>
      <c r="E130" t="s">
        <v>4047</v>
      </c>
      <c r="F130" t="s">
        <v>4048</v>
      </c>
    </row>
    <row r="131" spans="1:6" x14ac:dyDescent="0.25">
      <c r="A131" t="s">
        <v>4062</v>
      </c>
      <c r="B131" t="s">
        <v>4587</v>
      </c>
      <c r="C131" t="s">
        <v>34</v>
      </c>
      <c r="D131" s="7">
        <v>0.04</v>
      </c>
      <c r="E131" s="2">
        <v>82125</v>
      </c>
      <c r="F131" s="2">
        <v>3285</v>
      </c>
    </row>
    <row r="132" spans="1:6" x14ac:dyDescent="0.25">
      <c r="A132" t="s">
        <v>4062</v>
      </c>
      <c r="B132" t="s">
        <v>7362</v>
      </c>
      <c r="C132" t="s">
        <v>21</v>
      </c>
      <c r="D132" s="7">
        <v>1</v>
      </c>
      <c r="E132" s="2">
        <v>58649</v>
      </c>
      <c r="F132" s="2">
        <v>58649</v>
      </c>
    </row>
    <row r="133" spans="1:6" x14ac:dyDescent="0.25">
      <c r="A133" t="s">
        <v>4062</v>
      </c>
      <c r="B133" t="s">
        <v>3978</v>
      </c>
      <c r="C133" t="s">
        <v>34</v>
      </c>
      <c r="D133" s="7">
        <v>0.01</v>
      </c>
      <c r="E133" s="2">
        <v>409741.65</v>
      </c>
      <c r="F133" s="2">
        <v>4097.42</v>
      </c>
    </row>
    <row r="134" spans="1:6" x14ac:dyDescent="0.25">
      <c r="A134" t="s">
        <v>4049</v>
      </c>
      <c r="B134" t="s">
        <v>4050</v>
      </c>
      <c r="C134" t="s">
        <v>4051</v>
      </c>
      <c r="D134" s="7">
        <v>0.7</v>
      </c>
      <c r="E134" s="2">
        <v>9037.33</v>
      </c>
      <c r="F134" s="2">
        <v>6326.13</v>
      </c>
    </row>
    <row r="135" spans="1:6" x14ac:dyDescent="0.25">
      <c r="A135" t="s">
        <v>4049</v>
      </c>
      <c r="B135" t="s">
        <v>4073</v>
      </c>
      <c r="C135" t="s">
        <v>4051</v>
      </c>
      <c r="D135" s="7">
        <v>0.7</v>
      </c>
      <c r="E135" s="2">
        <v>15517.89</v>
      </c>
      <c r="F135" s="2">
        <v>10862.52</v>
      </c>
    </row>
    <row r="136" spans="1:6" x14ac:dyDescent="0.25">
      <c r="A136" t="s">
        <v>4055</v>
      </c>
      <c r="D136" s="7"/>
      <c r="E136" s="2"/>
      <c r="F136" s="2">
        <f>SUBTOTAL(109,A_3_08_14[VALOR PARCIAL])</f>
      </c>
    </row>
    <row r="138" ht="30" customHeight="1" spans="1:6" x14ac:dyDescent="0.25">
      <c r="A138" s="5" t="s">
        <v>7363</v>
      </c>
      <c r="B138" s="5"/>
      <c r="C138" s="5"/>
      <c r="D138" s="5"/>
      <c r="E138" s="5"/>
      <c r="F138" s="5"/>
    </row>
    <row r="139" ht="42" customHeight="1" spans="1:6" x14ac:dyDescent="0.25">
      <c r="A139" s="6" t="s">
        <v>7364</v>
      </c>
      <c r="B139" s="6"/>
      <c r="C139" s="6"/>
      <c r="D139" s="6"/>
      <c r="E139" s="6"/>
      <c r="F139" s="6"/>
    </row>
    <row r="140" spans="1:6" x14ac:dyDescent="0.25">
      <c r="A140" t="s">
        <v>4044</v>
      </c>
      <c r="B140" t="s">
        <v>4045</v>
      </c>
      <c r="C140" t="s">
        <v>5</v>
      </c>
      <c r="D140" t="s">
        <v>4046</v>
      </c>
      <c r="E140" t="s">
        <v>4047</v>
      </c>
      <c r="F140" t="s">
        <v>4048</v>
      </c>
    </row>
    <row r="141" spans="1:6" x14ac:dyDescent="0.25">
      <c r="A141" t="s">
        <v>4062</v>
      </c>
      <c r="B141" t="s">
        <v>4587</v>
      </c>
      <c r="C141" t="s">
        <v>34</v>
      </c>
      <c r="D141" s="7">
        <v>0.04</v>
      </c>
      <c r="E141" s="2">
        <v>82125</v>
      </c>
      <c r="F141" s="2">
        <v>3285</v>
      </c>
    </row>
    <row r="142" spans="1:6" x14ac:dyDescent="0.25">
      <c r="A142" t="s">
        <v>4062</v>
      </c>
      <c r="B142" t="s">
        <v>7365</v>
      </c>
      <c r="C142" t="s">
        <v>21</v>
      </c>
      <c r="D142" s="7">
        <v>1</v>
      </c>
      <c r="E142" s="2">
        <v>38958.33</v>
      </c>
      <c r="F142" s="2">
        <v>38958.33</v>
      </c>
    </row>
    <row r="143" spans="1:6" x14ac:dyDescent="0.25">
      <c r="A143" t="s">
        <v>4062</v>
      </c>
      <c r="B143" t="s">
        <v>3978</v>
      </c>
      <c r="C143" t="s">
        <v>34</v>
      </c>
      <c r="D143" s="7">
        <v>0.01</v>
      </c>
      <c r="E143" s="2">
        <v>409741.65</v>
      </c>
      <c r="F143" s="2">
        <v>4097.42</v>
      </c>
    </row>
    <row r="144" spans="1:6" x14ac:dyDescent="0.25">
      <c r="A144" t="s">
        <v>4049</v>
      </c>
      <c r="B144" t="s">
        <v>4050</v>
      </c>
      <c r="C144" t="s">
        <v>4051</v>
      </c>
      <c r="D144" s="7">
        <v>0.6</v>
      </c>
      <c r="E144" s="2">
        <v>9037.33</v>
      </c>
      <c r="F144" s="2">
        <v>5422.4</v>
      </c>
    </row>
    <row r="145" spans="1:6" x14ac:dyDescent="0.25">
      <c r="A145" t="s">
        <v>4049</v>
      </c>
      <c r="B145" t="s">
        <v>4073</v>
      </c>
      <c r="C145" t="s">
        <v>4051</v>
      </c>
      <c r="D145" s="7">
        <v>0.6</v>
      </c>
      <c r="E145" s="2">
        <v>15517.89</v>
      </c>
      <c r="F145" s="2">
        <v>9310.73</v>
      </c>
    </row>
    <row r="146" spans="1:6" x14ac:dyDescent="0.25">
      <c r="A146" t="s">
        <v>4055</v>
      </c>
      <c r="D146" s="7"/>
      <c r="E146" s="2"/>
      <c r="F146" s="2">
        <f>SUBTOTAL(109,A_3_08_15[VALOR PARCIAL])</f>
      </c>
    </row>
    <row r="148" ht="30" customHeight="1" spans="1:6" x14ac:dyDescent="0.25">
      <c r="A148" s="5" t="s">
        <v>7366</v>
      </c>
      <c r="B148" s="5"/>
      <c r="C148" s="5"/>
      <c r="D148" s="5"/>
      <c r="E148" s="5"/>
      <c r="F148" s="5"/>
    </row>
    <row r="149" ht="42" customHeight="1" spans="1:6" x14ac:dyDescent="0.25">
      <c r="A149" s="6" t="s">
        <v>7367</v>
      </c>
      <c r="B149" s="6"/>
      <c r="C149" s="6"/>
      <c r="D149" s="6"/>
      <c r="E149" s="6"/>
      <c r="F149" s="6"/>
    </row>
    <row r="150" spans="1:6" x14ac:dyDescent="0.25">
      <c r="A150" t="s">
        <v>4044</v>
      </c>
      <c r="B150" t="s">
        <v>4045</v>
      </c>
      <c r="C150" t="s">
        <v>5</v>
      </c>
      <c r="D150" t="s">
        <v>4046</v>
      </c>
      <c r="E150" t="s">
        <v>4047</v>
      </c>
      <c r="F150" t="s">
        <v>4048</v>
      </c>
    </row>
    <row r="151" spans="1:6" x14ac:dyDescent="0.25">
      <c r="A151" t="s">
        <v>4062</v>
      </c>
      <c r="B151" t="s">
        <v>4587</v>
      </c>
      <c r="C151" t="s">
        <v>34</v>
      </c>
      <c r="D151" s="7">
        <v>0.04</v>
      </c>
      <c r="E151" s="2">
        <v>82125</v>
      </c>
      <c r="F151" s="2">
        <v>3285</v>
      </c>
    </row>
    <row r="152" spans="1:6" x14ac:dyDescent="0.25">
      <c r="A152" t="s">
        <v>4062</v>
      </c>
      <c r="B152" t="s">
        <v>7368</v>
      </c>
      <c r="C152" t="s">
        <v>21</v>
      </c>
      <c r="D152" s="7">
        <v>1</v>
      </c>
      <c r="E152" s="2">
        <v>40906</v>
      </c>
      <c r="F152" s="2">
        <v>40906</v>
      </c>
    </row>
    <row r="153" spans="1:6" x14ac:dyDescent="0.25">
      <c r="A153" t="s">
        <v>4062</v>
      </c>
      <c r="B153" t="s">
        <v>3978</v>
      </c>
      <c r="C153" t="s">
        <v>34</v>
      </c>
      <c r="D153" s="7">
        <v>0.01</v>
      </c>
      <c r="E153" s="2">
        <v>409741.65</v>
      </c>
      <c r="F153" s="2">
        <v>4097.42</v>
      </c>
    </row>
    <row r="154" spans="1:6" x14ac:dyDescent="0.25">
      <c r="A154" t="s">
        <v>4049</v>
      </c>
      <c r="B154" t="s">
        <v>4050</v>
      </c>
      <c r="C154" t="s">
        <v>4051</v>
      </c>
      <c r="D154" s="7">
        <v>0.5</v>
      </c>
      <c r="E154" s="2">
        <v>9037.33</v>
      </c>
      <c r="F154" s="2">
        <v>4518.66</v>
      </c>
    </row>
    <row r="155" spans="1:6" x14ac:dyDescent="0.25">
      <c r="A155" t="s">
        <v>4049</v>
      </c>
      <c r="B155" t="s">
        <v>4073</v>
      </c>
      <c r="C155" t="s">
        <v>4051</v>
      </c>
      <c r="D155" s="7">
        <v>0.5</v>
      </c>
      <c r="E155" s="2">
        <v>15517.89</v>
      </c>
      <c r="F155" s="2">
        <v>7758.94</v>
      </c>
    </row>
    <row r="156" spans="1:6" x14ac:dyDescent="0.25">
      <c r="A156" t="s">
        <v>4055</v>
      </c>
      <c r="D156" s="7"/>
      <c r="E156" s="2"/>
      <c r="F156" s="2">
        <f>SUBTOTAL(109,A_3_08_16[VALOR PARCIAL])</f>
      </c>
    </row>
    <row r="158" ht="30" customHeight="1" spans="1:6" x14ac:dyDescent="0.25">
      <c r="A158" s="5" t="s">
        <v>7369</v>
      </c>
      <c r="B158" s="5"/>
      <c r="C158" s="5"/>
      <c r="D158" s="5"/>
      <c r="E158" s="5"/>
      <c r="F158" s="5"/>
    </row>
    <row r="159" ht="42" customHeight="1" spans="1:6" x14ac:dyDescent="0.25">
      <c r="A159" s="6" t="s">
        <v>7370</v>
      </c>
      <c r="B159" s="6"/>
      <c r="C159" s="6"/>
      <c r="D159" s="6"/>
      <c r="E159" s="6"/>
      <c r="F159" s="6"/>
    </row>
    <row r="160" spans="1:6" x14ac:dyDescent="0.25">
      <c r="A160" t="s">
        <v>4044</v>
      </c>
      <c r="B160" t="s">
        <v>4045</v>
      </c>
      <c r="C160" t="s">
        <v>5</v>
      </c>
      <c r="D160" t="s">
        <v>4046</v>
      </c>
      <c r="E160" t="s">
        <v>4047</v>
      </c>
      <c r="F160" t="s">
        <v>4048</v>
      </c>
    </row>
    <row r="161" spans="1:6" x14ac:dyDescent="0.25">
      <c r="A161" t="s">
        <v>4062</v>
      </c>
      <c r="B161" t="s">
        <v>5816</v>
      </c>
      <c r="C161" t="s">
        <v>34</v>
      </c>
      <c r="D161" s="7">
        <v>0.24</v>
      </c>
      <c r="E161" s="2">
        <v>93966.67</v>
      </c>
      <c r="F161" s="2">
        <v>22552</v>
      </c>
    </row>
    <row r="162" spans="1:6" x14ac:dyDescent="0.25">
      <c r="A162" t="s">
        <v>4062</v>
      </c>
      <c r="B162" t="s">
        <v>7368</v>
      </c>
      <c r="C162" t="s">
        <v>21</v>
      </c>
      <c r="D162" s="7">
        <v>3.38</v>
      </c>
      <c r="E162" s="2">
        <v>40906</v>
      </c>
      <c r="F162" s="2">
        <v>138262.28</v>
      </c>
    </row>
    <row r="163" spans="1:6" x14ac:dyDescent="0.25">
      <c r="A163" t="s">
        <v>4062</v>
      </c>
      <c r="B163" t="s">
        <v>5823</v>
      </c>
      <c r="C163" t="s">
        <v>42</v>
      </c>
      <c r="D163" s="7">
        <v>5.8</v>
      </c>
      <c r="E163" s="2">
        <v>15765</v>
      </c>
      <c r="F163" s="2">
        <v>91437</v>
      </c>
    </row>
    <row r="164" spans="1:6" x14ac:dyDescent="0.25">
      <c r="A164" t="s">
        <v>4062</v>
      </c>
      <c r="B164" t="s">
        <v>3978</v>
      </c>
      <c r="C164" t="s">
        <v>34</v>
      </c>
      <c r="D164" s="7">
        <v>0.11</v>
      </c>
      <c r="E164" s="2">
        <v>409741.65</v>
      </c>
      <c r="F164" s="2">
        <v>45071.58</v>
      </c>
    </row>
    <row r="165" spans="1:6" x14ac:dyDescent="0.25">
      <c r="A165" t="s">
        <v>4062</v>
      </c>
      <c r="B165" t="s">
        <v>7371</v>
      </c>
      <c r="C165" t="s">
        <v>63</v>
      </c>
      <c r="D165" s="7">
        <v>2</v>
      </c>
      <c r="E165" s="2">
        <v>28234.67</v>
      </c>
      <c r="F165" s="2">
        <v>56469.34</v>
      </c>
    </row>
    <row r="166" spans="1:6" x14ac:dyDescent="0.25">
      <c r="A166" t="s">
        <v>4062</v>
      </c>
      <c r="B166" t="s">
        <v>7372</v>
      </c>
      <c r="C166" t="s">
        <v>63</v>
      </c>
      <c r="D166" s="7">
        <v>2</v>
      </c>
      <c r="E166" s="2">
        <v>24401.33</v>
      </c>
      <c r="F166" s="2">
        <v>48802.66</v>
      </c>
    </row>
    <row r="167" spans="1:6" x14ac:dyDescent="0.25">
      <c r="A167" t="s">
        <v>4062</v>
      </c>
      <c r="B167" t="s">
        <v>7373</v>
      </c>
      <c r="C167" t="s">
        <v>63</v>
      </c>
      <c r="D167" s="7">
        <v>2.5</v>
      </c>
      <c r="E167" s="2">
        <v>24202</v>
      </c>
      <c r="F167" s="2">
        <v>60505</v>
      </c>
    </row>
    <row r="168" spans="1:6" x14ac:dyDescent="0.25">
      <c r="A168" t="s">
        <v>4049</v>
      </c>
      <c r="B168" t="s">
        <v>4050</v>
      </c>
      <c r="C168" t="s">
        <v>4051</v>
      </c>
      <c r="D168" s="7">
        <v>7</v>
      </c>
      <c r="E168" s="2">
        <v>9037.33</v>
      </c>
      <c r="F168" s="2">
        <v>63261.31</v>
      </c>
    </row>
    <row r="169" spans="1:6" x14ac:dyDescent="0.25">
      <c r="A169" t="s">
        <v>4049</v>
      </c>
      <c r="B169" t="s">
        <v>4073</v>
      </c>
      <c r="C169" t="s">
        <v>4051</v>
      </c>
      <c r="D169" s="7">
        <v>7</v>
      </c>
      <c r="E169" s="2">
        <v>15517.89</v>
      </c>
      <c r="F169" s="2">
        <v>108625.23</v>
      </c>
    </row>
    <row r="170" spans="1:6" x14ac:dyDescent="0.25">
      <c r="A170" t="s">
        <v>4052</v>
      </c>
      <c r="B170" t="s">
        <v>4342</v>
      </c>
      <c r="C170" t="s">
        <v>4106</v>
      </c>
      <c r="D170" s="7">
        <v>0.14</v>
      </c>
      <c r="E170" s="2">
        <v>66666.67</v>
      </c>
      <c r="F170" s="2">
        <v>9333.33</v>
      </c>
    </row>
    <row r="171" spans="1:6" x14ac:dyDescent="0.25">
      <c r="A171" t="s">
        <v>4055</v>
      </c>
      <c r="D171" s="7"/>
      <c r="E171" s="2"/>
      <c r="F171" s="2">
        <f>SUBTOTAL(109,A_3_08_17[VALOR PARCIAL])</f>
      </c>
    </row>
    <row r="173" ht="30" customHeight="1" spans="1:6" x14ac:dyDescent="0.25">
      <c r="A173" s="5" t="s">
        <v>7374</v>
      </c>
      <c r="B173" s="5"/>
      <c r="C173" s="5"/>
      <c r="D173" s="5"/>
      <c r="E173" s="5"/>
      <c r="F173" s="5"/>
    </row>
    <row r="174" ht="42" customHeight="1" spans="1:6" x14ac:dyDescent="0.25">
      <c r="A174" s="6" t="s">
        <v>7375</v>
      </c>
      <c r="B174" s="6"/>
      <c r="C174" s="6"/>
      <c r="D174" s="6"/>
      <c r="E174" s="6"/>
      <c r="F174" s="6"/>
    </row>
    <row r="175" spans="1:6" x14ac:dyDescent="0.25">
      <c r="A175" t="s">
        <v>4044</v>
      </c>
      <c r="B175" t="s">
        <v>4045</v>
      </c>
      <c r="C175" t="s">
        <v>5</v>
      </c>
      <c r="D175" t="s">
        <v>4046</v>
      </c>
      <c r="E175" t="s">
        <v>4047</v>
      </c>
      <c r="F175" t="s">
        <v>4048</v>
      </c>
    </row>
    <row r="176" spans="1:6" x14ac:dyDescent="0.25">
      <c r="A176" t="s">
        <v>4062</v>
      </c>
      <c r="B176" t="s">
        <v>4492</v>
      </c>
      <c r="C176" t="s">
        <v>34</v>
      </c>
      <c r="D176" s="7">
        <v>0.06</v>
      </c>
      <c r="E176" s="2">
        <v>68425</v>
      </c>
      <c r="F176" s="2">
        <v>4105.5</v>
      </c>
    </row>
    <row r="177" spans="1:6" x14ac:dyDescent="0.25">
      <c r="A177" t="s">
        <v>4062</v>
      </c>
      <c r="B177" t="s">
        <v>5823</v>
      </c>
      <c r="C177" t="s">
        <v>63</v>
      </c>
      <c r="D177" s="7">
        <v>1</v>
      </c>
      <c r="E177" s="2">
        <v>22857.06</v>
      </c>
      <c r="F177" s="2">
        <v>22857.06</v>
      </c>
    </row>
    <row r="178" spans="1:6" x14ac:dyDescent="0.25">
      <c r="A178" t="s">
        <v>4062</v>
      </c>
      <c r="B178" t="s">
        <v>4475</v>
      </c>
      <c r="C178" t="s">
        <v>231</v>
      </c>
      <c r="D178" s="7">
        <v>6.5</v>
      </c>
      <c r="E178" s="2">
        <v>730</v>
      </c>
      <c r="F178" s="2">
        <v>4745</v>
      </c>
    </row>
    <row r="179" spans="1:6" x14ac:dyDescent="0.25">
      <c r="A179" t="s">
        <v>4062</v>
      </c>
      <c r="B179" t="s">
        <v>4076</v>
      </c>
      <c r="C179" t="s">
        <v>3963</v>
      </c>
      <c r="D179" s="7">
        <v>2</v>
      </c>
      <c r="E179" s="2">
        <v>21</v>
      </c>
      <c r="F179" s="2">
        <v>42</v>
      </c>
    </row>
    <row r="180" spans="1:6" x14ac:dyDescent="0.25">
      <c r="A180" t="s">
        <v>4049</v>
      </c>
      <c r="B180" t="s">
        <v>4050</v>
      </c>
      <c r="C180" t="s">
        <v>4051</v>
      </c>
      <c r="D180" s="7">
        <v>0.48</v>
      </c>
      <c r="E180" s="2">
        <v>9037.33</v>
      </c>
      <c r="F180" s="2">
        <v>4337.92</v>
      </c>
    </row>
    <row r="181" spans="1:6" x14ac:dyDescent="0.25">
      <c r="A181" t="s">
        <v>4049</v>
      </c>
      <c r="B181" t="s">
        <v>4073</v>
      </c>
      <c r="C181" t="s">
        <v>4051</v>
      </c>
      <c r="D181" s="7">
        <v>0.48</v>
      </c>
      <c r="E181" s="2">
        <v>15517.89</v>
      </c>
      <c r="F181" s="2">
        <v>7448.59</v>
      </c>
    </row>
    <row r="182" spans="1:6" x14ac:dyDescent="0.25">
      <c r="A182" t="s">
        <v>4055</v>
      </c>
      <c r="D182" s="7"/>
      <c r="E182" s="2"/>
      <c r="F182" s="2">
        <f>SUBTOTAL(109,A_3_08_18[VALOR PARCIAL])</f>
      </c>
    </row>
    <row r="184" ht="30" customHeight="1" spans="1:6" x14ac:dyDescent="0.25">
      <c r="A184" s="5" t="s">
        <v>7376</v>
      </c>
      <c r="B184" s="5"/>
      <c r="C184" s="5"/>
      <c r="D184" s="5"/>
      <c r="E184" s="5"/>
      <c r="F184" s="5"/>
    </row>
    <row r="185" ht="42" customHeight="1" spans="1:6" x14ac:dyDescent="0.25">
      <c r="A185" s="6" t="s">
        <v>7377</v>
      </c>
      <c r="B185" s="6"/>
      <c r="C185" s="6"/>
      <c r="D185" s="6"/>
      <c r="E185" s="6"/>
      <c r="F185" s="6"/>
    </row>
    <row r="186" spans="1:6" x14ac:dyDescent="0.25">
      <c r="A186" t="s">
        <v>4044</v>
      </c>
      <c r="B186" t="s">
        <v>4045</v>
      </c>
      <c r="C186" t="s">
        <v>5</v>
      </c>
      <c r="D186" t="s">
        <v>4046</v>
      </c>
      <c r="E186" t="s">
        <v>4047</v>
      </c>
      <c r="F186" t="s">
        <v>4048</v>
      </c>
    </row>
    <row r="187" spans="1:6" x14ac:dyDescent="0.25">
      <c r="A187" t="s">
        <v>4062</v>
      </c>
      <c r="B187" t="s">
        <v>3972</v>
      </c>
      <c r="C187" t="s">
        <v>34</v>
      </c>
      <c r="D187" s="7">
        <v>0.01</v>
      </c>
      <c r="E187" s="2">
        <v>470829.15</v>
      </c>
      <c r="F187" s="2">
        <v>3531.22</v>
      </c>
    </row>
    <row r="188" spans="1:6" x14ac:dyDescent="0.25">
      <c r="A188" t="s">
        <v>4062</v>
      </c>
      <c r="B188" t="s">
        <v>7378</v>
      </c>
      <c r="C188" t="s">
        <v>42</v>
      </c>
      <c r="D188" s="7">
        <v>1.25</v>
      </c>
      <c r="E188" s="2">
        <v>31780</v>
      </c>
      <c r="F188" s="2">
        <v>39725</v>
      </c>
    </row>
    <row r="189" spans="1:6" x14ac:dyDescent="0.25">
      <c r="A189" t="s">
        <v>4049</v>
      </c>
      <c r="B189" t="s">
        <v>4176</v>
      </c>
      <c r="C189" t="s">
        <v>4177</v>
      </c>
      <c r="D189" s="7">
        <v>0.08</v>
      </c>
      <c r="E189" s="2">
        <v>72300.17</v>
      </c>
      <c r="F189" s="2">
        <v>5784.01</v>
      </c>
    </row>
    <row r="190" spans="1:6" x14ac:dyDescent="0.25">
      <c r="A190" t="s">
        <v>4049</v>
      </c>
      <c r="B190" t="s">
        <v>4313</v>
      </c>
      <c r="C190" t="s">
        <v>4177</v>
      </c>
      <c r="D190" s="7">
        <v>0.02</v>
      </c>
      <c r="E190" s="2">
        <v>124137.15</v>
      </c>
      <c r="F190" s="2">
        <v>2482.74</v>
      </c>
    </row>
    <row r="191" spans="1:6" x14ac:dyDescent="0.25">
      <c r="A191" t="s">
        <v>4052</v>
      </c>
      <c r="B191" t="s">
        <v>4053</v>
      </c>
      <c r="C191" t="s">
        <v>4054</v>
      </c>
      <c r="D191" s="7">
        <v>3.3</v>
      </c>
      <c r="E191" s="2">
        <v>8266.75</v>
      </c>
      <c r="F191" s="2">
        <v>272.8</v>
      </c>
    </row>
    <row r="192" spans="1:6" x14ac:dyDescent="0.25">
      <c r="A192" t="s">
        <v>4055</v>
      </c>
      <c r="D192" s="7"/>
      <c r="E192" s="2"/>
      <c r="F192" s="2">
        <f>SUBTOTAL(109,A_3_08_19[VALOR PARCIAL])</f>
      </c>
    </row>
    <row r="194" ht="30" customHeight="1" spans="1:6" x14ac:dyDescent="0.25">
      <c r="A194" s="5" t="s">
        <v>7379</v>
      </c>
      <c r="B194" s="5"/>
      <c r="C194" s="5"/>
      <c r="D194" s="5"/>
      <c r="E194" s="5"/>
      <c r="F194" s="5"/>
    </row>
    <row r="195" ht="42" customHeight="1" spans="1:6" x14ac:dyDescent="0.25">
      <c r="A195" s="6" t="s">
        <v>7380</v>
      </c>
      <c r="B195" s="6"/>
      <c r="C195" s="6"/>
      <c r="D195" s="6"/>
      <c r="E195" s="6"/>
      <c r="F195" s="6"/>
    </row>
    <row r="196" spans="1:6" x14ac:dyDescent="0.25">
      <c r="A196" t="s">
        <v>4044</v>
      </c>
      <c r="B196" t="s">
        <v>4045</v>
      </c>
      <c r="C196" t="s">
        <v>5</v>
      </c>
      <c r="D196" t="s">
        <v>4046</v>
      </c>
      <c r="E196" t="s">
        <v>4047</v>
      </c>
      <c r="F196" t="s">
        <v>4048</v>
      </c>
    </row>
    <row r="197" spans="1:6" x14ac:dyDescent="0.25">
      <c r="A197" t="s">
        <v>4062</v>
      </c>
      <c r="B197" t="s">
        <v>4587</v>
      </c>
      <c r="C197" t="s">
        <v>34</v>
      </c>
      <c r="D197" s="7">
        <v>0.04</v>
      </c>
      <c r="E197" s="2">
        <v>82125</v>
      </c>
      <c r="F197" s="2">
        <v>3285</v>
      </c>
    </row>
    <row r="198" spans="1:6" x14ac:dyDescent="0.25">
      <c r="A198" t="s">
        <v>4062</v>
      </c>
      <c r="B198" t="s">
        <v>7381</v>
      </c>
      <c r="C198" t="s">
        <v>21</v>
      </c>
      <c r="D198" s="7">
        <v>1</v>
      </c>
      <c r="E198" s="2">
        <v>52978.5</v>
      </c>
      <c r="F198" s="2">
        <v>52978.5</v>
      </c>
    </row>
    <row r="199" spans="1:6" x14ac:dyDescent="0.25">
      <c r="A199" t="s">
        <v>4062</v>
      </c>
      <c r="B199" t="s">
        <v>3978</v>
      </c>
      <c r="C199" t="s">
        <v>34</v>
      </c>
      <c r="D199" s="7">
        <v>0.01</v>
      </c>
      <c r="E199" s="2">
        <v>409741.65</v>
      </c>
      <c r="F199" s="2">
        <v>4097.42</v>
      </c>
    </row>
    <row r="200" spans="1:6" x14ac:dyDescent="0.25">
      <c r="A200" t="s">
        <v>4049</v>
      </c>
      <c r="B200" t="s">
        <v>4050</v>
      </c>
      <c r="C200" t="s">
        <v>4051</v>
      </c>
      <c r="D200" s="7">
        <v>0.5</v>
      </c>
      <c r="E200" s="2">
        <v>9037.33</v>
      </c>
      <c r="F200" s="2">
        <v>4518.66</v>
      </c>
    </row>
    <row r="201" spans="1:6" x14ac:dyDescent="0.25">
      <c r="A201" t="s">
        <v>4049</v>
      </c>
      <c r="B201" t="s">
        <v>4073</v>
      </c>
      <c r="C201" t="s">
        <v>4051</v>
      </c>
      <c r="D201" s="7">
        <v>0.5</v>
      </c>
      <c r="E201" s="2">
        <v>15517.89</v>
      </c>
      <c r="F201" s="2">
        <v>7758.94</v>
      </c>
    </row>
    <row r="202" spans="1:6" x14ac:dyDescent="0.25">
      <c r="A202" t="s">
        <v>4055</v>
      </c>
      <c r="D202" s="7"/>
      <c r="E202" s="2"/>
      <c r="F202" s="2">
        <f>SUBTOTAL(109,A_3_08_20[VALOR PARCIAL])</f>
      </c>
    </row>
    <row r="204" ht="30" customHeight="1" spans="1:6" x14ac:dyDescent="0.25">
      <c r="A204" s="5" t="s">
        <v>7382</v>
      </c>
      <c r="B204" s="5"/>
      <c r="C204" s="5"/>
      <c r="D204" s="5"/>
      <c r="E204" s="5"/>
      <c r="F204" s="5"/>
    </row>
    <row r="205" ht="42" customHeight="1" spans="1:6" x14ac:dyDescent="0.25">
      <c r="A205" s="6" t="s">
        <v>7383</v>
      </c>
      <c r="B205" s="6"/>
      <c r="C205" s="6"/>
      <c r="D205" s="6"/>
      <c r="E205" s="6"/>
      <c r="F205" s="6"/>
    </row>
    <row r="206" spans="1:6" x14ac:dyDescent="0.25">
      <c r="A206" t="s">
        <v>4044</v>
      </c>
      <c r="B206" t="s">
        <v>4045</v>
      </c>
      <c r="C206" t="s">
        <v>5</v>
      </c>
      <c r="D206" t="s">
        <v>4046</v>
      </c>
      <c r="E206" t="s">
        <v>4047</v>
      </c>
      <c r="F206" t="s">
        <v>4048</v>
      </c>
    </row>
    <row r="207" spans="1:6" x14ac:dyDescent="0.25">
      <c r="A207" t="s">
        <v>4062</v>
      </c>
      <c r="B207" t="s">
        <v>4587</v>
      </c>
      <c r="C207" t="s">
        <v>34</v>
      </c>
      <c r="D207" s="7">
        <v>0.04</v>
      </c>
      <c r="E207" s="2">
        <v>82125</v>
      </c>
      <c r="F207" s="2">
        <v>3285</v>
      </c>
    </row>
    <row r="208" spans="1:6" x14ac:dyDescent="0.25">
      <c r="A208" t="s">
        <v>4062</v>
      </c>
      <c r="B208" t="s">
        <v>7384</v>
      </c>
      <c r="C208" t="s">
        <v>21</v>
      </c>
      <c r="D208" s="7">
        <v>1</v>
      </c>
      <c r="E208" s="2">
        <v>56103.5</v>
      </c>
      <c r="F208" s="2">
        <v>56103.5</v>
      </c>
    </row>
    <row r="209" spans="1:6" x14ac:dyDescent="0.25">
      <c r="A209" t="s">
        <v>4062</v>
      </c>
      <c r="B209" t="s">
        <v>3978</v>
      </c>
      <c r="C209" t="s">
        <v>34</v>
      </c>
      <c r="D209" s="7">
        <v>0.01</v>
      </c>
      <c r="E209" s="2">
        <v>409741.65</v>
      </c>
      <c r="F209" s="2">
        <v>4097.42</v>
      </c>
    </row>
    <row r="210" spans="1:6" x14ac:dyDescent="0.25">
      <c r="A210" t="s">
        <v>4049</v>
      </c>
      <c r="B210" t="s">
        <v>4050</v>
      </c>
      <c r="C210" t="s">
        <v>4051</v>
      </c>
      <c r="D210" s="7">
        <v>0.5</v>
      </c>
      <c r="E210" s="2">
        <v>9037.33</v>
      </c>
      <c r="F210" s="2">
        <v>4518.66</v>
      </c>
    </row>
    <row r="211" spans="1:6" x14ac:dyDescent="0.25">
      <c r="A211" t="s">
        <v>4049</v>
      </c>
      <c r="B211" t="s">
        <v>4073</v>
      </c>
      <c r="C211" t="s">
        <v>4051</v>
      </c>
      <c r="D211" s="7">
        <v>0.5</v>
      </c>
      <c r="E211" s="2">
        <v>15517.89</v>
      </c>
      <c r="F211" s="2">
        <v>7758.94</v>
      </c>
    </row>
    <row r="212" spans="1:6" x14ac:dyDescent="0.25">
      <c r="A212" t="s">
        <v>4055</v>
      </c>
      <c r="D212" s="7"/>
      <c r="E212" s="2"/>
      <c r="F212" s="2">
        <f>SUBTOTAL(109,A_3_08_21[VALOR PARCIAL])</f>
      </c>
    </row>
  </sheetData>
  <mergeCells count="42">
    <mergeCell ref="A4:F4"/>
    <mergeCell ref="A5:F5"/>
    <mergeCell ref="A13:F13"/>
    <mergeCell ref="A14:F14"/>
    <mergeCell ref="A22:F22"/>
    <mergeCell ref="A23:F23"/>
    <mergeCell ref="A31:F31"/>
    <mergeCell ref="A32:F32"/>
    <mergeCell ref="A41:F41"/>
    <mergeCell ref="A42:F42"/>
    <mergeCell ref="A50:F50"/>
    <mergeCell ref="A51:F51"/>
    <mergeCell ref="A59:F59"/>
    <mergeCell ref="A60:F60"/>
    <mergeCell ref="A69:F69"/>
    <mergeCell ref="A70:F70"/>
    <mergeCell ref="A78:F78"/>
    <mergeCell ref="A79:F79"/>
    <mergeCell ref="A87:F87"/>
    <mergeCell ref="A88:F88"/>
    <mergeCell ref="A96:F96"/>
    <mergeCell ref="A97:F97"/>
    <mergeCell ref="A108:F108"/>
    <mergeCell ref="A109:F109"/>
    <mergeCell ref="A118:F118"/>
    <mergeCell ref="A119:F119"/>
    <mergeCell ref="A128:F128"/>
    <mergeCell ref="A129:F129"/>
    <mergeCell ref="A138:F138"/>
    <mergeCell ref="A139:F139"/>
    <mergeCell ref="A148:F148"/>
    <mergeCell ref="A149:F149"/>
    <mergeCell ref="A158:F158"/>
    <mergeCell ref="A159:F159"/>
    <mergeCell ref="A173:F173"/>
    <mergeCell ref="A174:F174"/>
    <mergeCell ref="A184:F184"/>
    <mergeCell ref="A185:F185"/>
    <mergeCell ref="A194:F194"/>
    <mergeCell ref="A195:F195"/>
    <mergeCell ref="A204:F204"/>
    <mergeCell ref="A205:F205"/>
  </mergeCells>
  <pageMargins left="0.7" right="0.7" top="0.75" bottom="0.75" header="0.3" footer="0.3"/>
  <pageSetup orientation="portrait" horizontalDpi="4294967295" verticalDpi="4294967295" scale="100" fitToWidth="1" fitToHeight="1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7385</v>
      </c>
    </row>
    <row r="2" spans="1:1" x14ac:dyDescent="0.25">
      <c r="A2" s="4" t="s">
        <v>7386</v>
      </c>
    </row>
    <row r="4" ht="30" customHeight="1" spans="1:6" x14ac:dyDescent="0.25">
      <c r="A4" s="5" t="s">
        <v>7387</v>
      </c>
      <c r="B4" s="5"/>
      <c r="C4" s="5"/>
      <c r="D4" s="5"/>
      <c r="E4" s="5"/>
      <c r="F4" s="5"/>
    </row>
    <row r="5" ht="42" customHeight="1" spans="1:6" x14ac:dyDescent="0.25">
      <c r="A5" s="6" t="s">
        <v>7388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7389</v>
      </c>
      <c r="C7" t="s">
        <v>63</v>
      </c>
      <c r="D7" s="7">
        <v>0</v>
      </c>
      <c r="E7" s="2">
        <v>31066.67</v>
      </c>
      <c r="F7" s="2">
        <v>124.27</v>
      </c>
    </row>
    <row r="8" spans="1:6" x14ac:dyDescent="0.25">
      <c r="A8" t="s">
        <v>4062</v>
      </c>
      <c r="B8" t="s">
        <v>7390</v>
      </c>
      <c r="C8" t="s">
        <v>4377</v>
      </c>
      <c r="D8" s="7">
        <v>0</v>
      </c>
      <c r="E8" s="2">
        <v>82633</v>
      </c>
      <c r="F8" s="2">
        <v>165.27</v>
      </c>
    </row>
    <row r="9" spans="1:6" x14ac:dyDescent="0.25">
      <c r="A9" t="s">
        <v>4049</v>
      </c>
      <c r="B9" t="s">
        <v>5067</v>
      </c>
      <c r="C9" t="s">
        <v>4051</v>
      </c>
      <c r="D9" s="7">
        <v>0.14</v>
      </c>
      <c r="E9" s="2">
        <v>10392.41</v>
      </c>
      <c r="F9" s="2">
        <v>1454.94</v>
      </c>
    </row>
    <row r="10" spans="1:6" x14ac:dyDescent="0.25">
      <c r="A10" t="s">
        <v>4049</v>
      </c>
      <c r="B10" t="s">
        <v>5068</v>
      </c>
      <c r="C10" t="s">
        <v>4051</v>
      </c>
      <c r="D10" s="7">
        <v>0.07</v>
      </c>
      <c r="E10" s="2">
        <v>17845.35</v>
      </c>
      <c r="F10" s="2">
        <v>1249.17</v>
      </c>
    </row>
    <row r="11" spans="1:6" x14ac:dyDescent="0.25">
      <c r="A11" t="s">
        <v>4052</v>
      </c>
      <c r="B11" t="s">
        <v>4053</v>
      </c>
      <c r="C11" t="s">
        <v>4054</v>
      </c>
      <c r="D11" s="7">
        <v>3</v>
      </c>
      <c r="E11" s="2">
        <v>2704.11</v>
      </c>
      <c r="F11" s="2">
        <v>81.12</v>
      </c>
    </row>
    <row r="12" spans="1:6" x14ac:dyDescent="0.25">
      <c r="A12" t="s">
        <v>4055</v>
      </c>
      <c r="D12" s="7"/>
      <c r="E12" s="2"/>
      <c r="F12" s="2">
        <f>SUBTOTAL(109,A_3_09_01[VALOR PARCIAL])</f>
      </c>
    </row>
    <row r="14" ht="30" customHeight="1" spans="1:6" x14ac:dyDescent="0.25">
      <c r="A14" s="5" t="s">
        <v>7391</v>
      </c>
      <c r="B14" s="5"/>
      <c r="C14" s="5"/>
      <c r="D14" s="5"/>
      <c r="E14" s="5"/>
      <c r="F14" s="5"/>
    </row>
    <row r="15" ht="42" customHeight="1" spans="1:6" x14ac:dyDescent="0.25">
      <c r="A15" s="6" t="s">
        <v>7392</v>
      </c>
      <c r="B15" s="6"/>
      <c r="C15" s="6"/>
      <c r="D15" s="6"/>
      <c r="E15" s="6"/>
      <c r="F15" s="6"/>
    </row>
    <row r="16" spans="1:6" x14ac:dyDescent="0.25">
      <c r="A16" t="s">
        <v>4044</v>
      </c>
      <c r="B16" t="s">
        <v>4045</v>
      </c>
      <c r="C16" t="s">
        <v>5</v>
      </c>
      <c r="D16" t="s">
        <v>4046</v>
      </c>
      <c r="E16" t="s">
        <v>4047</v>
      </c>
      <c r="F16" t="s">
        <v>4048</v>
      </c>
    </row>
    <row r="17" spans="1:6" x14ac:dyDescent="0.25">
      <c r="A17" t="s">
        <v>4062</v>
      </c>
      <c r="B17" t="s">
        <v>7393</v>
      </c>
      <c r="C17" t="s">
        <v>63</v>
      </c>
      <c r="D17" s="7">
        <v>1</v>
      </c>
      <c r="E17" s="2">
        <v>14518</v>
      </c>
      <c r="F17" s="2">
        <v>14518</v>
      </c>
    </row>
    <row r="18" spans="1:6" x14ac:dyDescent="0.25">
      <c r="A18" t="s">
        <v>4049</v>
      </c>
      <c r="B18" t="s">
        <v>4050</v>
      </c>
      <c r="C18" t="s">
        <v>4051</v>
      </c>
      <c r="D18" s="7">
        <v>0.15</v>
      </c>
      <c r="E18" s="2">
        <v>9037.33</v>
      </c>
      <c r="F18" s="2">
        <v>1355.6</v>
      </c>
    </row>
    <row r="19" spans="1:6" x14ac:dyDescent="0.25">
      <c r="A19" t="s">
        <v>4052</v>
      </c>
      <c r="B19" t="s">
        <v>286</v>
      </c>
      <c r="C19" t="s">
        <v>287</v>
      </c>
      <c r="D19" s="7">
        <v>0.05</v>
      </c>
      <c r="E19" s="2">
        <v>57796.26</v>
      </c>
      <c r="F19" s="2">
        <v>2889.81</v>
      </c>
    </row>
    <row r="20" spans="1:6" x14ac:dyDescent="0.25">
      <c r="A20" t="s">
        <v>4055</v>
      </c>
      <c r="D20" s="7"/>
      <c r="E20" s="2"/>
      <c r="F20" s="2">
        <f>SUBTOTAL(109,A_3_09_02[VALOR PARCIAL])</f>
      </c>
    </row>
    <row r="22" ht="30" customHeight="1" spans="1:6" x14ac:dyDescent="0.25">
      <c r="A22" s="5" t="s">
        <v>7394</v>
      </c>
      <c r="B22" s="5"/>
      <c r="C22" s="5"/>
      <c r="D22" s="5"/>
      <c r="E22" s="5"/>
      <c r="F22" s="5"/>
    </row>
    <row r="23" ht="42" customHeight="1" spans="1:6" x14ac:dyDescent="0.25">
      <c r="A23" s="6" t="s">
        <v>7395</v>
      </c>
      <c r="B23" s="6"/>
      <c r="C23" s="6"/>
      <c r="D23" s="6"/>
      <c r="E23" s="6"/>
      <c r="F23" s="6"/>
    </row>
    <row r="24" spans="1:6" x14ac:dyDescent="0.25">
      <c r="A24" t="s">
        <v>4044</v>
      </c>
      <c r="B24" t="s">
        <v>4045</v>
      </c>
      <c r="C24" t="s">
        <v>5</v>
      </c>
      <c r="D24" t="s">
        <v>4046</v>
      </c>
      <c r="E24" t="s">
        <v>4047</v>
      </c>
      <c r="F24" t="s">
        <v>4048</v>
      </c>
    </row>
    <row r="25" spans="1:6" x14ac:dyDescent="0.25">
      <c r="A25" t="s">
        <v>4062</v>
      </c>
      <c r="B25" t="s">
        <v>7389</v>
      </c>
      <c r="C25" t="s">
        <v>63</v>
      </c>
      <c r="D25" s="7">
        <v>0</v>
      </c>
      <c r="E25" s="2">
        <v>31066.67</v>
      </c>
      <c r="F25" s="2">
        <v>124.27</v>
      </c>
    </row>
    <row r="26" spans="1:6" x14ac:dyDescent="0.25">
      <c r="A26" t="s">
        <v>4062</v>
      </c>
      <c r="B26" t="s">
        <v>7396</v>
      </c>
      <c r="C26" t="s">
        <v>63</v>
      </c>
      <c r="D26" s="7">
        <v>1</v>
      </c>
      <c r="E26" s="2">
        <v>2578.33</v>
      </c>
      <c r="F26" s="2">
        <v>2578.33</v>
      </c>
    </row>
    <row r="27" spans="1:6" x14ac:dyDescent="0.25">
      <c r="A27" t="s">
        <v>4062</v>
      </c>
      <c r="B27" t="s">
        <v>7397</v>
      </c>
      <c r="C27" t="s">
        <v>63</v>
      </c>
      <c r="D27" s="7">
        <v>0.06</v>
      </c>
      <c r="E27" s="2">
        <v>35601</v>
      </c>
      <c r="F27" s="2">
        <v>2136.06</v>
      </c>
    </row>
    <row r="28" spans="1:6" x14ac:dyDescent="0.25">
      <c r="A28" t="s">
        <v>4049</v>
      </c>
      <c r="B28" t="s">
        <v>5067</v>
      </c>
      <c r="C28" t="s">
        <v>4051</v>
      </c>
      <c r="D28" s="7">
        <v>0.07</v>
      </c>
      <c r="E28" s="2">
        <v>10392.41</v>
      </c>
      <c r="F28" s="2">
        <v>727.47</v>
      </c>
    </row>
    <row r="29" spans="1:6" x14ac:dyDescent="0.25">
      <c r="A29" t="s">
        <v>4049</v>
      </c>
      <c r="B29" t="s">
        <v>5068</v>
      </c>
      <c r="C29" t="s">
        <v>4051</v>
      </c>
      <c r="D29" s="7">
        <v>0.05</v>
      </c>
      <c r="E29" s="2">
        <v>17845.35</v>
      </c>
      <c r="F29" s="2">
        <v>892.27</v>
      </c>
    </row>
    <row r="30" spans="1:6" x14ac:dyDescent="0.25">
      <c r="A30" t="s">
        <v>4052</v>
      </c>
      <c r="B30" t="s">
        <v>4053</v>
      </c>
      <c r="C30" t="s">
        <v>4054</v>
      </c>
      <c r="D30" s="7">
        <v>5</v>
      </c>
      <c r="E30" s="2">
        <v>1619.74</v>
      </c>
      <c r="F30" s="2">
        <v>80.99</v>
      </c>
    </row>
    <row r="31" spans="1:6" x14ac:dyDescent="0.25">
      <c r="A31" t="s">
        <v>4055</v>
      </c>
      <c r="D31" s="7"/>
      <c r="E31" s="2"/>
      <c r="F31" s="2">
        <f>SUBTOTAL(109,A_3_09_03[VALOR PARCIAL])</f>
      </c>
    </row>
    <row r="33" ht="30" customHeight="1" spans="1:6" x14ac:dyDescent="0.25">
      <c r="A33" s="5" t="s">
        <v>7398</v>
      </c>
      <c r="B33" s="5"/>
      <c r="C33" s="5"/>
      <c r="D33" s="5"/>
      <c r="E33" s="5"/>
      <c r="F33" s="5"/>
    </row>
    <row r="34" ht="42" customHeight="1" spans="1:6" x14ac:dyDescent="0.25">
      <c r="A34" s="6" t="s">
        <v>7399</v>
      </c>
      <c r="B34" s="6"/>
      <c r="C34" s="6"/>
      <c r="D34" s="6"/>
      <c r="E34" s="6"/>
      <c r="F34" s="6"/>
    </row>
    <row r="35" spans="1:6" x14ac:dyDescent="0.25">
      <c r="A35" t="s">
        <v>4044</v>
      </c>
      <c r="B35" t="s">
        <v>4045</v>
      </c>
      <c r="C35" t="s">
        <v>5</v>
      </c>
      <c r="D35" t="s">
        <v>4046</v>
      </c>
      <c r="E35" t="s">
        <v>4047</v>
      </c>
      <c r="F35" t="s">
        <v>4048</v>
      </c>
    </row>
    <row r="36" spans="1:6" x14ac:dyDescent="0.25">
      <c r="A36" t="s">
        <v>4062</v>
      </c>
      <c r="B36" t="s">
        <v>7400</v>
      </c>
      <c r="C36" t="s">
        <v>21</v>
      </c>
      <c r="D36" s="7">
        <v>1.05</v>
      </c>
      <c r="E36" s="2">
        <v>30484.57</v>
      </c>
      <c r="F36" s="2">
        <v>32008.8</v>
      </c>
    </row>
    <row r="37" spans="1:6" x14ac:dyDescent="0.25">
      <c r="A37" t="s">
        <v>4049</v>
      </c>
      <c r="B37" t="s">
        <v>5067</v>
      </c>
      <c r="C37" t="s">
        <v>4051</v>
      </c>
      <c r="D37" s="7">
        <v>0.5</v>
      </c>
      <c r="E37" s="2">
        <v>10392.41</v>
      </c>
      <c r="F37" s="2">
        <v>5196.2</v>
      </c>
    </row>
    <row r="38" spans="1:6" x14ac:dyDescent="0.25">
      <c r="A38" t="s">
        <v>4049</v>
      </c>
      <c r="B38" t="s">
        <v>5068</v>
      </c>
      <c r="C38" t="s">
        <v>4051</v>
      </c>
      <c r="D38" s="7">
        <v>0.5</v>
      </c>
      <c r="E38" s="2">
        <v>17845.35</v>
      </c>
      <c r="F38" s="2">
        <v>8922.67</v>
      </c>
    </row>
    <row r="39" spans="1:6" x14ac:dyDescent="0.25">
      <c r="A39" t="s">
        <v>4052</v>
      </c>
      <c r="B39" t="s">
        <v>4251</v>
      </c>
      <c r="C39" t="s">
        <v>287</v>
      </c>
      <c r="D39" s="7">
        <v>0.1</v>
      </c>
      <c r="E39" s="2">
        <v>48758.93</v>
      </c>
      <c r="F39" s="2">
        <v>4875.89</v>
      </c>
    </row>
    <row r="40" spans="1:6" x14ac:dyDescent="0.25">
      <c r="A40" t="s">
        <v>4052</v>
      </c>
      <c r="B40" t="s">
        <v>4053</v>
      </c>
      <c r="C40" t="s">
        <v>4054</v>
      </c>
      <c r="D40" s="7">
        <v>5</v>
      </c>
      <c r="E40" s="2">
        <v>14118.87</v>
      </c>
      <c r="F40" s="2">
        <v>705.94</v>
      </c>
    </row>
    <row r="41" spans="1:6" x14ac:dyDescent="0.25">
      <c r="A41" t="s">
        <v>4055</v>
      </c>
      <c r="D41" s="7"/>
      <c r="E41" s="2"/>
      <c r="F41" s="2">
        <f>SUBTOTAL(109,A_3_09_04[VALOR PARCIAL])</f>
      </c>
    </row>
    <row r="43" ht="30" customHeight="1" spans="1:6" x14ac:dyDescent="0.25">
      <c r="A43" s="5" t="s">
        <v>7401</v>
      </c>
      <c r="B43" s="5"/>
      <c r="C43" s="5"/>
      <c r="D43" s="5"/>
      <c r="E43" s="5"/>
      <c r="F43" s="5"/>
    </row>
    <row r="44" ht="42" customHeight="1" spans="1:6" x14ac:dyDescent="0.25">
      <c r="A44" s="6" t="s">
        <v>7402</v>
      </c>
      <c r="B44" s="6"/>
      <c r="C44" s="6"/>
      <c r="D44" s="6"/>
      <c r="E44" s="6"/>
      <c r="F44" s="6"/>
    </row>
    <row r="45" spans="1:6" x14ac:dyDescent="0.25">
      <c r="A45" t="s">
        <v>4044</v>
      </c>
      <c r="B45" t="s">
        <v>4045</v>
      </c>
      <c r="C45" t="s">
        <v>5</v>
      </c>
      <c r="D45" t="s">
        <v>4046</v>
      </c>
      <c r="E45" t="s">
        <v>4047</v>
      </c>
      <c r="F45" t="s">
        <v>4048</v>
      </c>
    </row>
    <row r="46" spans="1:6" x14ac:dyDescent="0.25">
      <c r="A46" t="s">
        <v>4062</v>
      </c>
      <c r="B46" t="s">
        <v>4001</v>
      </c>
      <c r="C46" t="s">
        <v>34</v>
      </c>
      <c r="D46" s="7">
        <v>0.07</v>
      </c>
      <c r="E46" s="2">
        <v>450245.66</v>
      </c>
      <c r="F46" s="2">
        <v>29265.97</v>
      </c>
    </row>
    <row r="47" spans="1:6" x14ac:dyDescent="0.25">
      <c r="A47" t="s">
        <v>4062</v>
      </c>
      <c r="B47" t="s">
        <v>7403</v>
      </c>
      <c r="C47" t="s">
        <v>63</v>
      </c>
      <c r="D47" s="7">
        <v>1</v>
      </c>
      <c r="E47" s="2">
        <v>398250</v>
      </c>
      <c r="F47" s="2">
        <v>398250</v>
      </c>
    </row>
    <row r="48" spans="1:6" x14ac:dyDescent="0.25">
      <c r="A48" t="s">
        <v>4049</v>
      </c>
      <c r="B48" t="s">
        <v>4050</v>
      </c>
      <c r="C48" t="s">
        <v>4051</v>
      </c>
      <c r="D48" s="7">
        <v>2.8</v>
      </c>
      <c r="E48" s="2">
        <v>9037.33</v>
      </c>
      <c r="F48" s="2">
        <v>25304.52</v>
      </c>
    </row>
    <row r="49" spans="1:6" x14ac:dyDescent="0.25">
      <c r="A49" t="s">
        <v>4049</v>
      </c>
      <c r="B49" t="s">
        <v>4073</v>
      </c>
      <c r="C49" t="s">
        <v>4051</v>
      </c>
      <c r="D49" s="7">
        <v>1.2</v>
      </c>
      <c r="E49" s="2">
        <v>15517.89</v>
      </c>
      <c r="F49" s="2">
        <v>18621.47</v>
      </c>
    </row>
    <row r="50" spans="1:6" x14ac:dyDescent="0.25">
      <c r="A50" t="s">
        <v>4052</v>
      </c>
      <c r="B50" t="s">
        <v>4251</v>
      </c>
      <c r="C50" t="s">
        <v>287</v>
      </c>
      <c r="D50" s="7">
        <v>1</v>
      </c>
      <c r="E50" s="2">
        <v>48758.93</v>
      </c>
      <c r="F50" s="2">
        <v>48758.93</v>
      </c>
    </row>
    <row r="51" spans="1:6" x14ac:dyDescent="0.25">
      <c r="A51" t="s">
        <v>4052</v>
      </c>
      <c r="B51" t="s">
        <v>4053</v>
      </c>
      <c r="C51" t="s">
        <v>4054</v>
      </c>
      <c r="D51" s="7">
        <v>5</v>
      </c>
      <c r="E51" s="2">
        <v>43925.99</v>
      </c>
      <c r="F51" s="2">
        <v>2196.3</v>
      </c>
    </row>
    <row r="52" spans="1:6" x14ac:dyDescent="0.25">
      <c r="A52" t="s">
        <v>4055</v>
      </c>
      <c r="D52" s="7"/>
      <c r="E52" s="2"/>
      <c r="F52" s="2">
        <f>SUBTOTAL(109,A_3_09_05[VALOR PARCIAL])</f>
      </c>
    </row>
    <row r="54" ht="30" customHeight="1" spans="1:6" x14ac:dyDescent="0.25">
      <c r="A54" s="5" t="s">
        <v>7404</v>
      </c>
      <c r="B54" s="5"/>
      <c r="C54" s="5"/>
      <c r="D54" s="5"/>
      <c r="E54" s="5"/>
      <c r="F54" s="5"/>
    </row>
    <row r="55" ht="42" customHeight="1" spans="1:6" x14ac:dyDescent="0.25">
      <c r="A55" s="6" t="s">
        <v>7405</v>
      </c>
      <c r="B55" s="6"/>
      <c r="C55" s="6"/>
      <c r="D55" s="6"/>
      <c r="E55" s="6"/>
      <c r="F55" s="6"/>
    </row>
    <row r="56" spans="1:6" x14ac:dyDescent="0.25">
      <c r="A56" t="s">
        <v>4044</v>
      </c>
      <c r="B56" t="s">
        <v>4045</v>
      </c>
      <c r="C56" t="s">
        <v>5</v>
      </c>
      <c r="D56" t="s">
        <v>4046</v>
      </c>
      <c r="E56" t="s">
        <v>4047</v>
      </c>
      <c r="F56" t="s">
        <v>4048</v>
      </c>
    </row>
    <row r="57" spans="1:6" x14ac:dyDescent="0.25">
      <c r="A57" t="s">
        <v>4062</v>
      </c>
      <c r="B57" t="s">
        <v>4001</v>
      </c>
      <c r="C57" t="s">
        <v>34</v>
      </c>
      <c r="D57" s="7">
        <v>0.01</v>
      </c>
      <c r="E57" s="2">
        <v>450245.66</v>
      </c>
      <c r="F57" s="2">
        <v>4502.46</v>
      </c>
    </row>
    <row r="58" spans="1:6" x14ac:dyDescent="0.25">
      <c r="A58" t="s">
        <v>4062</v>
      </c>
      <c r="B58" t="s">
        <v>7406</v>
      </c>
      <c r="C58" t="s">
        <v>63</v>
      </c>
      <c r="D58" s="7">
        <v>1</v>
      </c>
      <c r="E58" s="2">
        <v>198158.33</v>
      </c>
      <c r="F58" s="2">
        <v>198158.33</v>
      </c>
    </row>
    <row r="59" spans="1:6" x14ac:dyDescent="0.25">
      <c r="A59" t="s">
        <v>4049</v>
      </c>
      <c r="B59" t="s">
        <v>4050</v>
      </c>
      <c r="C59" t="s">
        <v>4051</v>
      </c>
      <c r="D59" s="7">
        <v>1.3</v>
      </c>
      <c r="E59" s="2">
        <v>9037.33</v>
      </c>
      <c r="F59" s="2">
        <v>11748.53</v>
      </c>
    </row>
    <row r="60" spans="1:6" x14ac:dyDescent="0.25">
      <c r="A60" t="s">
        <v>4049</v>
      </c>
      <c r="B60" t="s">
        <v>4073</v>
      </c>
      <c r="C60" t="s">
        <v>4051</v>
      </c>
      <c r="D60" s="7">
        <v>0.65</v>
      </c>
      <c r="E60" s="2">
        <v>15517.89</v>
      </c>
      <c r="F60" s="2">
        <v>10086.63</v>
      </c>
    </row>
    <row r="61" spans="1:6" x14ac:dyDescent="0.25">
      <c r="A61" t="s">
        <v>4052</v>
      </c>
      <c r="B61" t="s">
        <v>4053</v>
      </c>
      <c r="C61" t="s">
        <v>4054</v>
      </c>
      <c r="D61" s="7">
        <v>5</v>
      </c>
      <c r="E61" s="2">
        <v>21835.16</v>
      </c>
      <c r="F61" s="2">
        <v>1091.76</v>
      </c>
    </row>
    <row r="62" spans="1:6" x14ac:dyDescent="0.25">
      <c r="A62" t="s">
        <v>4055</v>
      </c>
      <c r="D62" s="7"/>
      <c r="E62" s="2"/>
      <c r="F62" s="2">
        <f>SUBTOTAL(109,A_3_09_06[VALOR PARCIAL])</f>
      </c>
    </row>
    <row r="64" ht="30" customHeight="1" spans="1:6" x14ac:dyDescent="0.25">
      <c r="A64" s="5" t="s">
        <v>7407</v>
      </c>
      <c r="B64" s="5"/>
      <c r="C64" s="5"/>
      <c r="D64" s="5"/>
      <c r="E64" s="5"/>
      <c r="F64" s="5"/>
    </row>
    <row r="65" ht="42" customHeight="1" spans="1:6" x14ac:dyDescent="0.25">
      <c r="A65" s="6" t="s">
        <v>7408</v>
      </c>
      <c r="B65" s="6"/>
      <c r="C65" s="6"/>
      <c r="D65" s="6"/>
      <c r="E65" s="6"/>
      <c r="F65" s="6"/>
    </row>
    <row r="66" spans="1:6" x14ac:dyDescent="0.25">
      <c r="A66" t="s">
        <v>4044</v>
      </c>
      <c r="B66" t="s">
        <v>4045</v>
      </c>
      <c r="C66" t="s">
        <v>5</v>
      </c>
      <c r="D66" t="s">
        <v>4046</v>
      </c>
      <c r="E66" t="s">
        <v>4047</v>
      </c>
      <c r="F66" t="s">
        <v>4048</v>
      </c>
    </row>
    <row r="67" spans="1:6" x14ac:dyDescent="0.25">
      <c r="A67" t="s">
        <v>4062</v>
      </c>
      <c r="B67" t="s">
        <v>7409</v>
      </c>
      <c r="C67" t="s">
        <v>63</v>
      </c>
      <c r="D67" s="7">
        <v>0.2</v>
      </c>
      <c r="E67" s="2">
        <v>37163.24</v>
      </c>
      <c r="F67" s="2">
        <v>7432.65</v>
      </c>
    </row>
    <row r="68" spans="1:6" x14ac:dyDescent="0.25">
      <c r="A68" t="s">
        <v>4062</v>
      </c>
      <c r="B68" t="s">
        <v>7410</v>
      </c>
      <c r="C68" t="s">
        <v>63</v>
      </c>
      <c r="D68" s="7">
        <v>0.26</v>
      </c>
      <c r="E68" s="2">
        <v>86958.46</v>
      </c>
      <c r="F68" s="2">
        <v>22783.12</v>
      </c>
    </row>
    <row r="69" spans="1:6" x14ac:dyDescent="0.25">
      <c r="A69" t="s">
        <v>4062</v>
      </c>
      <c r="B69" t="s">
        <v>7393</v>
      </c>
      <c r="C69" t="s">
        <v>63</v>
      </c>
      <c r="D69" s="7">
        <v>0.26</v>
      </c>
      <c r="E69" s="2">
        <v>14518</v>
      </c>
      <c r="F69" s="2">
        <v>3803.72</v>
      </c>
    </row>
    <row r="70" spans="1:6" x14ac:dyDescent="0.25">
      <c r="A70" t="s">
        <v>4062</v>
      </c>
      <c r="B70" t="s">
        <v>7411</v>
      </c>
      <c r="C70" t="s">
        <v>42</v>
      </c>
      <c r="D70" s="7">
        <v>1</v>
      </c>
      <c r="E70" s="2">
        <v>100783.07</v>
      </c>
      <c r="F70" s="2">
        <v>100783.07</v>
      </c>
    </row>
    <row r="71" spans="1:6" x14ac:dyDescent="0.25">
      <c r="A71" t="s">
        <v>4062</v>
      </c>
      <c r="B71" t="s">
        <v>7412</v>
      </c>
      <c r="C71" t="s">
        <v>63</v>
      </c>
      <c r="D71" s="7">
        <v>0.26</v>
      </c>
      <c r="E71" s="2">
        <v>144736.52</v>
      </c>
      <c r="F71" s="2">
        <v>37920.97</v>
      </c>
    </row>
    <row r="72" spans="1:6" x14ac:dyDescent="0.25">
      <c r="A72" t="s">
        <v>4049</v>
      </c>
      <c r="B72" t="s">
        <v>4176</v>
      </c>
      <c r="C72" t="s">
        <v>4177</v>
      </c>
      <c r="D72" s="7">
        <v>0.08</v>
      </c>
      <c r="E72" s="2">
        <v>72300.17</v>
      </c>
      <c r="F72" s="2">
        <v>5784.01</v>
      </c>
    </row>
    <row r="73" spans="1:6" x14ac:dyDescent="0.25">
      <c r="A73" t="s">
        <v>4049</v>
      </c>
      <c r="B73" t="s">
        <v>4313</v>
      </c>
      <c r="C73" t="s">
        <v>4177</v>
      </c>
      <c r="D73" s="7">
        <v>0.02</v>
      </c>
      <c r="E73" s="2">
        <v>124137.15</v>
      </c>
      <c r="F73" s="2">
        <v>2482.74</v>
      </c>
    </row>
    <row r="74" spans="1:6" x14ac:dyDescent="0.25">
      <c r="A74" t="s">
        <v>4052</v>
      </c>
      <c r="B74" t="s">
        <v>4254</v>
      </c>
      <c r="C74" t="s">
        <v>287</v>
      </c>
      <c r="D74" s="7">
        <v>0.13</v>
      </c>
      <c r="E74" s="2">
        <v>54539.62</v>
      </c>
      <c r="F74" s="2">
        <v>7155.6</v>
      </c>
    </row>
    <row r="75" spans="1:6" x14ac:dyDescent="0.25">
      <c r="A75" t="s">
        <v>4052</v>
      </c>
      <c r="B75" t="s">
        <v>4053</v>
      </c>
      <c r="C75" t="s">
        <v>4054</v>
      </c>
      <c r="D75" s="7">
        <v>5</v>
      </c>
      <c r="E75" s="2">
        <v>8266.75</v>
      </c>
      <c r="F75" s="2">
        <v>413.34</v>
      </c>
    </row>
    <row r="76" spans="1:6" x14ac:dyDescent="0.25">
      <c r="A76" t="s">
        <v>4055</v>
      </c>
      <c r="D76" s="7"/>
      <c r="E76" s="2"/>
      <c r="F76" s="2">
        <f>SUBTOTAL(109,A_3_09_07[VALOR PARCIAL])</f>
      </c>
    </row>
    <row r="78" ht="30" customHeight="1" spans="1:6" x14ac:dyDescent="0.25">
      <c r="A78" s="5" t="s">
        <v>7413</v>
      </c>
      <c r="B78" s="5"/>
      <c r="C78" s="5"/>
      <c r="D78" s="5"/>
      <c r="E78" s="5"/>
      <c r="F78" s="5"/>
    </row>
    <row r="79" ht="42" customHeight="1" spans="1:6" x14ac:dyDescent="0.25">
      <c r="A79" s="6" t="s">
        <v>7414</v>
      </c>
      <c r="B79" s="6"/>
      <c r="C79" s="6"/>
      <c r="D79" s="6"/>
      <c r="E79" s="6"/>
      <c r="F79" s="6"/>
    </row>
    <row r="80" spans="1:6" x14ac:dyDescent="0.25">
      <c r="A80" t="s">
        <v>4044</v>
      </c>
      <c r="B80" t="s">
        <v>4045</v>
      </c>
      <c r="C80" t="s">
        <v>5</v>
      </c>
      <c r="D80" t="s">
        <v>4046</v>
      </c>
      <c r="E80" t="s">
        <v>4047</v>
      </c>
      <c r="F80" t="s">
        <v>4048</v>
      </c>
    </row>
    <row r="81" spans="1:6" x14ac:dyDescent="0.25">
      <c r="A81" t="s">
        <v>4062</v>
      </c>
      <c r="B81" t="s">
        <v>7415</v>
      </c>
      <c r="C81" t="s">
        <v>63</v>
      </c>
      <c r="D81" s="7">
        <v>1</v>
      </c>
      <c r="E81" s="2">
        <v>208250</v>
      </c>
      <c r="F81" s="2">
        <v>208250</v>
      </c>
    </row>
    <row r="82" spans="1:6" x14ac:dyDescent="0.25">
      <c r="A82" t="s">
        <v>4049</v>
      </c>
      <c r="B82" t="s">
        <v>4050</v>
      </c>
      <c r="C82" t="s">
        <v>4051</v>
      </c>
      <c r="D82" s="7">
        <v>1</v>
      </c>
      <c r="E82" s="2">
        <v>9037.33</v>
      </c>
      <c r="F82" s="2">
        <v>9037.33</v>
      </c>
    </row>
    <row r="83" spans="1:6" x14ac:dyDescent="0.25">
      <c r="A83" t="s">
        <v>4049</v>
      </c>
      <c r="B83" t="s">
        <v>4073</v>
      </c>
      <c r="C83" t="s">
        <v>4051</v>
      </c>
      <c r="D83" s="7">
        <v>1</v>
      </c>
      <c r="E83" s="2">
        <v>15517.89</v>
      </c>
      <c r="F83" s="2">
        <v>15517.89</v>
      </c>
    </row>
    <row r="84" spans="1:6" x14ac:dyDescent="0.25">
      <c r="A84" t="s">
        <v>4052</v>
      </c>
      <c r="B84" t="s">
        <v>4053</v>
      </c>
      <c r="C84" t="s">
        <v>4054</v>
      </c>
      <c r="D84" s="7">
        <v>5</v>
      </c>
      <c r="E84" s="2">
        <v>24555.22</v>
      </c>
      <c r="F84" s="2">
        <v>1227.76</v>
      </c>
    </row>
    <row r="85" spans="1:6" x14ac:dyDescent="0.25">
      <c r="A85" t="s">
        <v>4055</v>
      </c>
      <c r="D85" s="7"/>
      <c r="E85" s="2"/>
      <c r="F85" s="2">
        <f>SUBTOTAL(109,A_3_09_08[VALOR PARCIAL])</f>
      </c>
    </row>
    <row r="87" ht="30" customHeight="1" spans="1:6" x14ac:dyDescent="0.25">
      <c r="A87" s="5" t="s">
        <v>7416</v>
      </c>
      <c r="B87" s="5"/>
      <c r="C87" s="5"/>
      <c r="D87" s="5"/>
      <c r="E87" s="5"/>
      <c r="F87" s="5"/>
    </row>
    <row r="88" ht="42" customHeight="1" spans="1:6" x14ac:dyDescent="0.25">
      <c r="A88" s="6" t="s">
        <v>7417</v>
      </c>
      <c r="B88" s="6"/>
      <c r="C88" s="6"/>
      <c r="D88" s="6"/>
      <c r="E88" s="6"/>
      <c r="F88" s="6"/>
    </row>
    <row r="89" spans="1:6" x14ac:dyDescent="0.25">
      <c r="A89" t="s">
        <v>4044</v>
      </c>
      <c r="B89" t="s">
        <v>4045</v>
      </c>
      <c r="C89" t="s">
        <v>5</v>
      </c>
      <c r="D89" t="s">
        <v>4046</v>
      </c>
      <c r="E89" t="s">
        <v>4047</v>
      </c>
      <c r="F89" t="s">
        <v>4048</v>
      </c>
    </row>
    <row r="90" spans="1:6" x14ac:dyDescent="0.25">
      <c r="A90" t="s">
        <v>4062</v>
      </c>
      <c r="B90" t="s">
        <v>4001</v>
      </c>
      <c r="C90" t="s">
        <v>34</v>
      </c>
      <c r="D90" s="7">
        <v>0.06</v>
      </c>
      <c r="E90" s="2">
        <v>450245.66</v>
      </c>
      <c r="F90" s="2">
        <v>27014.74</v>
      </c>
    </row>
    <row r="91" spans="1:6" x14ac:dyDescent="0.25">
      <c r="A91" t="s">
        <v>4062</v>
      </c>
      <c r="B91" t="s">
        <v>7418</v>
      </c>
      <c r="C91" t="s">
        <v>63</v>
      </c>
      <c r="D91" s="7">
        <v>1</v>
      </c>
      <c r="E91" s="2">
        <v>88714</v>
      </c>
      <c r="F91" s="2">
        <v>88714</v>
      </c>
    </row>
    <row r="92" spans="1:6" x14ac:dyDescent="0.25">
      <c r="A92" t="s">
        <v>4049</v>
      </c>
      <c r="B92" t="s">
        <v>4176</v>
      </c>
      <c r="C92" t="s">
        <v>4177</v>
      </c>
      <c r="D92" s="7">
        <v>0.35</v>
      </c>
      <c r="E92" s="2">
        <v>72300.17</v>
      </c>
      <c r="F92" s="2">
        <v>25305.06</v>
      </c>
    </row>
    <row r="93" spans="1:6" x14ac:dyDescent="0.25">
      <c r="A93" t="s">
        <v>4052</v>
      </c>
      <c r="B93" t="s">
        <v>4053</v>
      </c>
      <c r="C93" t="s">
        <v>4054</v>
      </c>
      <c r="D93" s="7">
        <v>3.3</v>
      </c>
      <c r="E93" s="2">
        <v>25305.06</v>
      </c>
      <c r="F93" s="2">
        <v>835.07</v>
      </c>
    </row>
    <row r="94" spans="1:6" x14ac:dyDescent="0.25">
      <c r="A94" t="s">
        <v>4055</v>
      </c>
      <c r="D94" s="7"/>
      <c r="E94" s="2"/>
      <c r="F94" s="2">
        <f>SUBTOTAL(109,A_3_09_09[VALOR PARCIAL])</f>
      </c>
    </row>
    <row r="96" ht="30" customHeight="1" spans="1:6" x14ac:dyDescent="0.25">
      <c r="A96" s="5" t="s">
        <v>7419</v>
      </c>
      <c r="B96" s="5"/>
      <c r="C96" s="5"/>
      <c r="D96" s="5"/>
      <c r="E96" s="5"/>
      <c r="F96" s="5"/>
    </row>
    <row r="97" ht="42" customHeight="1" spans="1:6" x14ac:dyDescent="0.25">
      <c r="A97" s="6" t="s">
        <v>7420</v>
      </c>
      <c r="B97" s="6"/>
      <c r="C97" s="6"/>
      <c r="D97" s="6"/>
      <c r="E97" s="6"/>
      <c r="F97" s="6"/>
    </row>
    <row r="98" spans="1:6" x14ac:dyDescent="0.25">
      <c r="A98" t="s">
        <v>4044</v>
      </c>
      <c r="B98" t="s">
        <v>4045</v>
      </c>
      <c r="C98" t="s">
        <v>5</v>
      </c>
      <c r="D98" t="s">
        <v>4046</v>
      </c>
      <c r="E98" t="s">
        <v>4047</v>
      </c>
      <c r="F98" t="s">
        <v>4048</v>
      </c>
    </row>
    <row r="99" spans="1:6" x14ac:dyDescent="0.25">
      <c r="A99" t="s">
        <v>4062</v>
      </c>
      <c r="B99" t="s">
        <v>4001</v>
      </c>
      <c r="C99" t="s">
        <v>34</v>
      </c>
      <c r="D99" s="7">
        <v>0.01</v>
      </c>
      <c r="E99" s="2">
        <v>450245.66</v>
      </c>
      <c r="F99" s="2">
        <v>4502.46</v>
      </c>
    </row>
    <row r="100" spans="1:6" x14ac:dyDescent="0.25">
      <c r="A100" t="s">
        <v>4062</v>
      </c>
      <c r="B100" t="s">
        <v>7421</v>
      </c>
      <c r="C100" t="s">
        <v>63</v>
      </c>
      <c r="D100" s="7">
        <v>1</v>
      </c>
      <c r="E100" s="2">
        <v>42959</v>
      </c>
      <c r="F100" s="2">
        <v>42959</v>
      </c>
    </row>
    <row r="101" spans="1:6" x14ac:dyDescent="0.25">
      <c r="A101" t="s">
        <v>4062</v>
      </c>
      <c r="B101" t="s">
        <v>7422</v>
      </c>
      <c r="C101" t="s">
        <v>63</v>
      </c>
      <c r="D101" s="7">
        <v>1</v>
      </c>
      <c r="E101" s="2">
        <v>277746</v>
      </c>
      <c r="F101" s="2">
        <v>277746</v>
      </c>
    </row>
    <row r="102" spans="1:6" x14ac:dyDescent="0.25">
      <c r="A102" t="s">
        <v>4049</v>
      </c>
      <c r="B102" t="s">
        <v>4050</v>
      </c>
      <c r="C102" t="s">
        <v>4051</v>
      </c>
      <c r="D102" s="7">
        <v>1</v>
      </c>
      <c r="E102" s="2">
        <v>9037.33</v>
      </c>
      <c r="F102" s="2">
        <v>9037.33</v>
      </c>
    </row>
    <row r="103" spans="1:6" x14ac:dyDescent="0.25">
      <c r="A103" t="s">
        <v>4049</v>
      </c>
      <c r="B103" t="s">
        <v>4073</v>
      </c>
      <c r="C103" t="s">
        <v>4051</v>
      </c>
      <c r="D103" s="7">
        <v>1</v>
      </c>
      <c r="E103" s="2">
        <v>15517.89</v>
      </c>
      <c r="F103" s="2">
        <v>15517.89</v>
      </c>
    </row>
    <row r="104" spans="1:6" x14ac:dyDescent="0.25">
      <c r="A104" t="s">
        <v>4052</v>
      </c>
      <c r="B104" t="s">
        <v>4053</v>
      </c>
      <c r="C104" t="s">
        <v>4054</v>
      </c>
      <c r="D104" s="7">
        <v>5</v>
      </c>
      <c r="E104" s="2">
        <v>24555.22</v>
      </c>
      <c r="F104" s="2">
        <v>1227.76</v>
      </c>
    </row>
    <row r="105" spans="1:6" x14ac:dyDescent="0.25">
      <c r="A105" t="s">
        <v>4055</v>
      </c>
      <c r="D105" s="7"/>
      <c r="E105" s="2"/>
      <c r="F105" s="2">
        <f>SUBTOTAL(109,A_3_09_10[VALOR PARCIAL])</f>
      </c>
    </row>
    <row r="107" ht="30" customHeight="1" spans="1:6" x14ac:dyDescent="0.25">
      <c r="A107" s="5" t="s">
        <v>7423</v>
      </c>
      <c r="B107" s="5"/>
      <c r="C107" s="5"/>
      <c r="D107" s="5"/>
      <c r="E107" s="5"/>
      <c r="F107" s="5"/>
    </row>
    <row r="108" ht="42" customHeight="1" spans="1:6" x14ac:dyDescent="0.25">
      <c r="A108" s="6" t="s">
        <v>7424</v>
      </c>
      <c r="B108" s="6"/>
      <c r="C108" s="6"/>
      <c r="D108" s="6"/>
      <c r="E108" s="6"/>
      <c r="F108" s="6"/>
    </row>
    <row r="109" spans="1:6" x14ac:dyDescent="0.25">
      <c r="A109" t="s">
        <v>4044</v>
      </c>
      <c r="B109" t="s">
        <v>4045</v>
      </c>
      <c r="C109" t="s">
        <v>5</v>
      </c>
      <c r="D109" t="s">
        <v>4046</v>
      </c>
      <c r="E109" t="s">
        <v>4047</v>
      </c>
      <c r="F109" t="s">
        <v>4048</v>
      </c>
    </row>
    <row r="110" spans="1:6" x14ac:dyDescent="0.25">
      <c r="A110" t="s">
        <v>4062</v>
      </c>
      <c r="B110" t="s">
        <v>4001</v>
      </c>
      <c r="C110" t="s">
        <v>34</v>
      </c>
      <c r="D110" s="7">
        <v>0.01</v>
      </c>
      <c r="E110" s="2">
        <v>450245.66</v>
      </c>
      <c r="F110" s="2">
        <v>4502.46</v>
      </c>
    </row>
    <row r="111" spans="1:6" x14ac:dyDescent="0.25">
      <c r="A111" t="s">
        <v>4062</v>
      </c>
      <c r="B111" t="s">
        <v>7425</v>
      </c>
      <c r="C111" t="s">
        <v>63</v>
      </c>
      <c r="D111" s="7">
        <v>1</v>
      </c>
      <c r="E111" s="2">
        <v>33354.88</v>
      </c>
      <c r="F111" s="2">
        <v>33354.88</v>
      </c>
    </row>
    <row r="112" spans="1:6" x14ac:dyDescent="0.25">
      <c r="A112" t="s">
        <v>4062</v>
      </c>
      <c r="B112" t="s">
        <v>7422</v>
      </c>
      <c r="C112" t="s">
        <v>63</v>
      </c>
      <c r="D112" s="7">
        <v>1</v>
      </c>
      <c r="E112" s="2">
        <v>277746</v>
      </c>
      <c r="F112" s="2">
        <v>277746</v>
      </c>
    </row>
    <row r="113" spans="1:6" x14ac:dyDescent="0.25">
      <c r="A113" t="s">
        <v>4049</v>
      </c>
      <c r="B113" t="s">
        <v>4050</v>
      </c>
      <c r="C113" t="s">
        <v>4051</v>
      </c>
      <c r="D113" s="7">
        <v>1</v>
      </c>
      <c r="E113" s="2">
        <v>9037.33</v>
      </c>
      <c r="F113" s="2">
        <v>9037.33</v>
      </c>
    </row>
    <row r="114" spans="1:6" x14ac:dyDescent="0.25">
      <c r="A114" t="s">
        <v>4049</v>
      </c>
      <c r="B114" t="s">
        <v>4073</v>
      </c>
      <c r="C114" t="s">
        <v>4051</v>
      </c>
      <c r="D114" s="7">
        <v>1</v>
      </c>
      <c r="E114" s="2">
        <v>15517.89</v>
      </c>
      <c r="F114" s="2">
        <v>15517.89</v>
      </c>
    </row>
    <row r="115" spans="1:6" x14ac:dyDescent="0.25">
      <c r="A115" t="s">
        <v>4052</v>
      </c>
      <c r="B115" t="s">
        <v>4053</v>
      </c>
      <c r="C115" t="s">
        <v>4054</v>
      </c>
      <c r="D115" s="7">
        <v>5</v>
      </c>
      <c r="E115" s="2">
        <v>24555.22</v>
      </c>
      <c r="F115" s="2">
        <v>1227.76</v>
      </c>
    </row>
    <row r="116" spans="1:6" x14ac:dyDescent="0.25">
      <c r="A116" t="s">
        <v>4055</v>
      </c>
      <c r="D116" s="7"/>
      <c r="E116" s="2"/>
      <c r="F116" s="2">
        <f>SUBTOTAL(109,A_3_09_11[VALOR PARCIAL])</f>
      </c>
    </row>
    <row r="118" ht="30" customHeight="1" spans="1:6" x14ac:dyDescent="0.25">
      <c r="A118" s="5" t="s">
        <v>7426</v>
      </c>
      <c r="B118" s="5"/>
      <c r="C118" s="5"/>
      <c r="D118" s="5"/>
      <c r="E118" s="5"/>
      <c r="F118" s="5"/>
    </row>
    <row r="119" ht="42" customHeight="1" spans="1:6" x14ac:dyDescent="0.25">
      <c r="A119" s="6" t="s">
        <v>7427</v>
      </c>
      <c r="B119" s="6"/>
      <c r="C119" s="6"/>
      <c r="D119" s="6"/>
      <c r="E119" s="6"/>
      <c r="F119" s="6"/>
    </row>
    <row r="120" spans="1:6" x14ac:dyDescent="0.25">
      <c r="A120" t="s">
        <v>4044</v>
      </c>
      <c r="B120" t="s">
        <v>4045</v>
      </c>
      <c r="C120" t="s">
        <v>5</v>
      </c>
      <c r="D120" t="s">
        <v>4046</v>
      </c>
      <c r="E120" t="s">
        <v>4047</v>
      </c>
      <c r="F120" t="s">
        <v>4048</v>
      </c>
    </row>
    <row r="121" spans="1:6" x14ac:dyDescent="0.25">
      <c r="A121" t="s">
        <v>4062</v>
      </c>
      <c r="B121" t="s">
        <v>4001</v>
      </c>
      <c r="C121" t="s">
        <v>34</v>
      </c>
      <c r="D121" s="7">
        <v>0.01</v>
      </c>
      <c r="E121" s="2">
        <v>450245.66</v>
      </c>
      <c r="F121" s="2">
        <v>4502.46</v>
      </c>
    </row>
    <row r="122" spans="1:6" x14ac:dyDescent="0.25">
      <c r="A122" t="s">
        <v>4062</v>
      </c>
      <c r="B122" t="s">
        <v>7428</v>
      </c>
      <c r="C122" t="s">
        <v>63</v>
      </c>
      <c r="D122" s="7">
        <v>1</v>
      </c>
      <c r="E122" s="2">
        <v>61979.33</v>
      </c>
      <c r="F122" s="2">
        <v>61979.33</v>
      </c>
    </row>
    <row r="123" spans="1:6" x14ac:dyDescent="0.25">
      <c r="A123" t="s">
        <v>4062</v>
      </c>
      <c r="B123" t="s">
        <v>7422</v>
      </c>
      <c r="C123" t="s">
        <v>63</v>
      </c>
      <c r="D123" s="7">
        <v>1</v>
      </c>
      <c r="E123" s="2">
        <v>277746</v>
      </c>
      <c r="F123" s="2">
        <v>277746</v>
      </c>
    </row>
    <row r="124" spans="1:6" x14ac:dyDescent="0.25">
      <c r="A124" t="s">
        <v>4049</v>
      </c>
      <c r="B124" t="s">
        <v>4050</v>
      </c>
      <c r="C124" t="s">
        <v>4051</v>
      </c>
      <c r="D124" s="7">
        <v>1</v>
      </c>
      <c r="E124" s="2">
        <v>9037.33</v>
      </c>
      <c r="F124" s="2">
        <v>9037.33</v>
      </c>
    </row>
    <row r="125" spans="1:6" x14ac:dyDescent="0.25">
      <c r="A125" t="s">
        <v>4049</v>
      </c>
      <c r="B125" t="s">
        <v>4073</v>
      </c>
      <c r="C125" t="s">
        <v>4051</v>
      </c>
      <c r="D125" s="7">
        <v>1</v>
      </c>
      <c r="E125" s="2">
        <v>15517.89</v>
      </c>
      <c r="F125" s="2">
        <v>15517.89</v>
      </c>
    </row>
    <row r="126" spans="1:6" x14ac:dyDescent="0.25">
      <c r="A126" t="s">
        <v>4052</v>
      </c>
      <c r="B126" t="s">
        <v>4053</v>
      </c>
      <c r="C126" t="s">
        <v>4054</v>
      </c>
      <c r="D126" s="7">
        <v>5</v>
      </c>
      <c r="E126" s="2">
        <v>24555.22</v>
      </c>
      <c r="F126" s="2">
        <v>1227.76</v>
      </c>
    </row>
    <row r="127" spans="1:6" x14ac:dyDescent="0.25">
      <c r="A127" t="s">
        <v>4055</v>
      </c>
      <c r="D127" s="7"/>
      <c r="E127" s="2"/>
      <c r="F127" s="2">
        <f>SUBTOTAL(109,A_3_09_12[VALOR PARCIAL])</f>
      </c>
    </row>
    <row r="129" ht="30" customHeight="1" spans="1:6" x14ac:dyDescent="0.25">
      <c r="A129" s="5" t="s">
        <v>7429</v>
      </c>
      <c r="B129" s="5"/>
      <c r="C129" s="5"/>
      <c r="D129" s="5"/>
      <c r="E129" s="5"/>
      <c r="F129" s="5"/>
    </row>
    <row r="130" ht="42" customHeight="1" spans="1:6" x14ac:dyDescent="0.25">
      <c r="A130" s="6" t="s">
        <v>7430</v>
      </c>
      <c r="B130" s="6"/>
      <c r="C130" s="6"/>
      <c r="D130" s="6"/>
      <c r="E130" s="6"/>
      <c r="F130" s="6"/>
    </row>
    <row r="131" spans="1:6" x14ac:dyDescent="0.25">
      <c r="A131" t="s">
        <v>4044</v>
      </c>
      <c r="B131" t="s">
        <v>4045</v>
      </c>
      <c r="C131" t="s">
        <v>5</v>
      </c>
      <c r="D131" t="s">
        <v>4046</v>
      </c>
      <c r="E131" t="s">
        <v>4047</v>
      </c>
      <c r="F131" t="s">
        <v>4048</v>
      </c>
    </row>
    <row r="132" spans="1:6" x14ac:dyDescent="0.25">
      <c r="A132" t="s">
        <v>4062</v>
      </c>
      <c r="B132" t="s">
        <v>7431</v>
      </c>
      <c r="C132" t="s">
        <v>63</v>
      </c>
      <c r="D132" s="7">
        <v>1</v>
      </c>
      <c r="E132" s="2">
        <v>5796.5</v>
      </c>
      <c r="F132" s="2">
        <v>5796.5</v>
      </c>
    </row>
    <row r="133" spans="1:6" x14ac:dyDescent="0.25">
      <c r="A133" t="s">
        <v>4062</v>
      </c>
      <c r="B133" t="s">
        <v>7432</v>
      </c>
      <c r="C133" t="s">
        <v>231</v>
      </c>
      <c r="D133" s="7">
        <v>0.02</v>
      </c>
      <c r="E133" s="2">
        <v>7179.78</v>
      </c>
      <c r="F133" s="2">
        <v>143.6</v>
      </c>
    </row>
    <row r="134" spans="1:6" x14ac:dyDescent="0.25">
      <c r="A134" t="s">
        <v>4049</v>
      </c>
      <c r="B134" t="s">
        <v>4050</v>
      </c>
      <c r="C134" t="s">
        <v>4051</v>
      </c>
      <c r="D134" s="7">
        <v>0.1</v>
      </c>
      <c r="E134" s="2">
        <v>9037.33</v>
      </c>
      <c r="F134" s="2">
        <v>903.73</v>
      </c>
    </row>
    <row r="135" spans="1:6" x14ac:dyDescent="0.25">
      <c r="A135" t="s">
        <v>4049</v>
      </c>
      <c r="B135" t="s">
        <v>4073</v>
      </c>
      <c r="C135" t="s">
        <v>4051</v>
      </c>
      <c r="D135" s="7">
        <v>0.04</v>
      </c>
      <c r="E135" s="2">
        <v>15517.89</v>
      </c>
      <c r="F135" s="2">
        <v>620.72</v>
      </c>
    </row>
    <row r="136" spans="1:6" x14ac:dyDescent="0.25">
      <c r="A136" t="s">
        <v>4052</v>
      </c>
      <c r="B136" t="s">
        <v>4251</v>
      </c>
      <c r="C136" t="s">
        <v>287</v>
      </c>
      <c r="D136" s="7">
        <v>0.01</v>
      </c>
      <c r="E136" s="2">
        <v>48758.93</v>
      </c>
      <c r="F136" s="2">
        <v>390.07</v>
      </c>
    </row>
    <row r="137" spans="1:6" x14ac:dyDescent="0.25">
      <c r="A137" t="s">
        <v>4052</v>
      </c>
      <c r="B137" t="s">
        <v>7433</v>
      </c>
      <c r="C137" t="s">
        <v>287</v>
      </c>
      <c r="D137" s="7">
        <v>0.01</v>
      </c>
      <c r="E137" s="2">
        <v>21290</v>
      </c>
      <c r="F137" s="2">
        <v>170.32</v>
      </c>
    </row>
    <row r="138" spans="1:6" x14ac:dyDescent="0.25">
      <c r="A138" t="s">
        <v>4052</v>
      </c>
      <c r="B138" t="s">
        <v>4053</v>
      </c>
      <c r="C138" t="s">
        <v>4054</v>
      </c>
      <c r="D138" s="7">
        <v>1</v>
      </c>
      <c r="E138" s="2">
        <v>1524.45</v>
      </c>
      <c r="F138" s="2">
        <v>15.24</v>
      </c>
    </row>
    <row r="139" spans="1:6" x14ac:dyDescent="0.25">
      <c r="A139" t="s">
        <v>4055</v>
      </c>
      <c r="D139" s="7"/>
      <c r="E139" s="2"/>
      <c r="F139" s="2">
        <f>SUBTOTAL(109,A_3_09_13[VALOR PARCIAL])</f>
      </c>
    </row>
    <row r="141" ht="30" customHeight="1" spans="1:6" x14ac:dyDescent="0.25">
      <c r="A141" s="5" t="s">
        <v>7434</v>
      </c>
      <c r="B141" s="5"/>
      <c r="C141" s="5"/>
      <c r="D141" s="5"/>
      <c r="E141" s="5"/>
      <c r="F141" s="5"/>
    </row>
    <row r="142" ht="42" customHeight="1" spans="1:6" x14ac:dyDescent="0.25">
      <c r="A142" s="6" t="s">
        <v>7435</v>
      </c>
      <c r="B142" s="6"/>
      <c r="C142" s="6"/>
      <c r="D142" s="6"/>
      <c r="E142" s="6"/>
      <c r="F142" s="6"/>
    </row>
    <row r="143" spans="1:6" x14ac:dyDescent="0.25">
      <c r="A143" t="s">
        <v>4044</v>
      </c>
      <c r="B143" t="s">
        <v>4045</v>
      </c>
      <c r="C143" t="s">
        <v>5</v>
      </c>
      <c r="D143" t="s">
        <v>4046</v>
      </c>
      <c r="E143" t="s">
        <v>4047</v>
      </c>
      <c r="F143" t="s">
        <v>4048</v>
      </c>
    </row>
    <row r="144" spans="1:6" x14ac:dyDescent="0.25">
      <c r="A144" t="s">
        <v>4062</v>
      </c>
      <c r="B144" t="s">
        <v>4001</v>
      </c>
      <c r="C144" t="s">
        <v>34</v>
      </c>
      <c r="D144" s="7">
        <v>0.03</v>
      </c>
      <c r="E144" s="2">
        <v>450245.66</v>
      </c>
      <c r="F144" s="2">
        <v>13507.37</v>
      </c>
    </row>
    <row r="145" spans="1:6" x14ac:dyDescent="0.25">
      <c r="A145" t="s">
        <v>4062</v>
      </c>
      <c r="B145" t="s">
        <v>7436</v>
      </c>
      <c r="C145" t="s">
        <v>63</v>
      </c>
      <c r="D145" s="7">
        <v>1</v>
      </c>
      <c r="E145" s="2">
        <v>450000</v>
      </c>
      <c r="F145" s="2">
        <v>450000</v>
      </c>
    </row>
    <row r="146" spans="1:6" x14ac:dyDescent="0.25">
      <c r="A146" t="s">
        <v>4049</v>
      </c>
      <c r="B146" t="s">
        <v>4050</v>
      </c>
      <c r="C146" t="s">
        <v>4051</v>
      </c>
      <c r="D146" s="7">
        <v>1</v>
      </c>
      <c r="E146" s="2">
        <v>9037.33</v>
      </c>
      <c r="F146" s="2">
        <v>9037.33</v>
      </c>
    </row>
    <row r="147" spans="1:6" x14ac:dyDescent="0.25">
      <c r="A147" t="s">
        <v>4049</v>
      </c>
      <c r="B147" t="s">
        <v>4073</v>
      </c>
      <c r="C147" t="s">
        <v>4051</v>
      </c>
      <c r="D147" s="7">
        <v>1</v>
      </c>
      <c r="E147" s="2">
        <v>15517.89</v>
      </c>
      <c r="F147" s="2">
        <v>15517.89</v>
      </c>
    </row>
    <row r="148" spans="1:6" x14ac:dyDescent="0.25">
      <c r="A148" t="s">
        <v>4052</v>
      </c>
      <c r="B148" t="s">
        <v>4053</v>
      </c>
      <c r="C148" t="s">
        <v>4054</v>
      </c>
      <c r="D148" s="7">
        <v>5</v>
      </c>
      <c r="E148" s="2">
        <v>24555.22</v>
      </c>
      <c r="F148" s="2">
        <v>1227.76</v>
      </c>
    </row>
    <row r="149" spans="1:6" x14ac:dyDescent="0.25">
      <c r="A149" t="s">
        <v>4055</v>
      </c>
      <c r="D149" s="7"/>
      <c r="E149" s="2"/>
      <c r="F149" s="2">
        <f>SUBTOTAL(109,A_3_09_14[VALOR PARCIAL])</f>
      </c>
    </row>
    <row r="151" ht="30" customHeight="1" spans="1:6" x14ac:dyDescent="0.25">
      <c r="A151" s="5" t="s">
        <v>7437</v>
      </c>
      <c r="B151" s="5"/>
      <c r="C151" s="5"/>
      <c r="D151" s="5"/>
      <c r="E151" s="5"/>
      <c r="F151" s="5"/>
    </row>
    <row r="152" ht="42" customHeight="1" spans="1:6" x14ac:dyDescent="0.25">
      <c r="A152" s="6" t="s">
        <v>7438</v>
      </c>
      <c r="B152" s="6"/>
      <c r="C152" s="6"/>
      <c r="D152" s="6"/>
      <c r="E152" s="6"/>
      <c r="F152" s="6"/>
    </row>
    <row r="153" spans="1:6" x14ac:dyDescent="0.25">
      <c r="A153" t="s">
        <v>4044</v>
      </c>
      <c r="B153" t="s">
        <v>4045</v>
      </c>
      <c r="C153" t="s">
        <v>5</v>
      </c>
      <c r="D153" t="s">
        <v>4046</v>
      </c>
      <c r="E153" t="s">
        <v>4047</v>
      </c>
      <c r="F153" t="s">
        <v>4048</v>
      </c>
    </row>
    <row r="154" spans="1:6" x14ac:dyDescent="0.25">
      <c r="A154" t="s">
        <v>4062</v>
      </c>
      <c r="B154" t="s">
        <v>4001</v>
      </c>
      <c r="C154" t="s">
        <v>34</v>
      </c>
      <c r="D154" s="7">
        <v>0.03</v>
      </c>
      <c r="E154" s="2">
        <v>450245.66</v>
      </c>
      <c r="F154" s="2">
        <v>13507.37</v>
      </c>
    </row>
    <row r="155" spans="1:6" x14ac:dyDescent="0.25">
      <c r="A155" t="s">
        <v>4062</v>
      </c>
      <c r="B155" t="s">
        <v>7439</v>
      </c>
      <c r="C155" t="s">
        <v>63</v>
      </c>
      <c r="D155" s="7">
        <v>1</v>
      </c>
      <c r="E155" s="2">
        <v>206041.67</v>
      </c>
      <c r="F155" s="2">
        <v>206041.67</v>
      </c>
    </row>
    <row r="156" spans="1:6" x14ac:dyDescent="0.25">
      <c r="A156" t="s">
        <v>4049</v>
      </c>
      <c r="B156" t="s">
        <v>4050</v>
      </c>
      <c r="C156" t="s">
        <v>4051</v>
      </c>
      <c r="D156" s="7">
        <v>1</v>
      </c>
      <c r="E156" s="2">
        <v>9037.33</v>
      </c>
      <c r="F156" s="2">
        <v>9037.33</v>
      </c>
    </row>
    <row r="157" spans="1:6" x14ac:dyDescent="0.25">
      <c r="A157" t="s">
        <v>4049</v>
      </c>
      <c r="B157" t="s">
        <v>4073</v>
      </c>
      <c r="C157" t="s">
        <v>4051</v>
      </c>
      <c r="D157" s="7">
        <v>1</v>
      </c>
      <c r="E157" s="2">
        <v>15517.89</v>
      </c>
      <c r="F157" s="2">
        <v>15517.89</v>
      </c>
    </row>
    <row r="158" spans="1:6" x14ac:dyDescent="0.25">
      <c r="A158" t="s">
        <v>4052</v>
      </c>
      <c r="B158" t="s">
        <v>4053</v>
      </c>
      <c r="C158" t="s">
        <v>4054</v>
      </c>
      <c r="D158" s="7">
        <v>5</v>
      </c>
      <c r="E158" s="2">
        <v>24555.22</v>
      </c>
      <c r="F158" s="2">
        <v>1227.76</v>
      </c>
    </row>
    <row r="159" spans="1:6" x14ac:dyDescent="0.25">
      <c r="A159" t="s">
        <v>4055</v>
      </c>
      <c r="D159" s="7"/>
      <c r="E159" s="2"/>
      <c r="F159" s="2">
        <f>SUBTOTAL(109,A_3_09_15[VALOR PARCIAL])</f>
      </c>
    </row>
    <row r="161" ht="30" customHeight="1" spans="1:6" x14ac:dyDescent="0.25">
      <c r="A161" s="5" t="s">
        <v>7440</v>
      </c>
      <c r="B161" s="5"/>
      <c r="C161" s="5"/>
      <c r="D161" s="5"/>
      <c r="E161" s="5"/>
      <c r="F161" s="5"/>
    </row>
    <row r="162" ht="42" customHeight="1" spans="1:6" x14ac:dyDescent="0.25">
      <c r="A162" s="6" t="s">
        <v>7441</v>
      </c>
      <c r="B162" s="6"/>
      <c r="C162" s="6"/>
      <c r="D162" s="6"/>
      <c r="E162" s="6"/>
      <c r="F162" s="6"/>
    </row>
    <row r="163" spans="1:6" x14ac:dyDescent="0.25">
      <c r="A163" t="s">
        <v>4044</v>
      </c>
      <c r="B163" t="s">
        <v>4045</v>
      </c>
      <c r="C163" t="s">
        <v>5</v>
      </c>
      <c r="D163" t="s">
        <v>4046</v>
      </c>
      <c r="E163" t="s">
        <v>4047</v>
      </c>
      <c r="F163" t="s">
        <v>4048</v>
      </c>
    </row>
    <row r="164" spans="1:6" x14ac:dyDescent="0.25">
      <c r="A164" t="s">
        <v>4062</v>
      </c>
      <c r="B164" t="s">
        <v>4001</v>
      </c>
      <c r="C164" t="s">
        <v>34</v>
      </c>
      <c r="D164" s="7">
        <v>0.03</v>
      </c>
      <c r="E164" s="2">
        <v>450245.66</v>
      </c>
      <c r="F164" s="2">
        <v>13507.37</v>
      </c>
    </row>
    <row r="165" spans="1:6" x14ac:dyDescent="0.25">
      <c r="A165" t="s">
        <v>4062</v>
      </c>
      <c r="B165" t="s">
        <v>7422</v>
      </c>
      <c r="C165" t="s">
        <v>63</v>
      </c>
      <c r="D165" s="7">
        <v>1</v>
      </c>
      <c r="E165" s="2">
        <v>277746</v>
      </c>
      <c r="F165" s="2">
        <v>277746</v>
      </c>
    </row>
    <row r="166" spans="1:6" x14ac:dyDescent="0.25">
      <c r="A166" t="s">
        <v>4049</v>
      </c>
      <c r="B166" t="s">
        <v>4050</v>
      </c>
      <c r="C166" t="s">
        <v>4051</v>
      </c>
      <c r="D166" s="7">
        <v>1</v>
      </c>
      <c r="E166" s="2">
        <v>9037.33</v>
      </c>
      <c r="F166" s="2">
        <v>9037.33</v>
      </c>
    </row>
    <row r="167" spans="1:6" x14ac:dyDescent="0.25">
      <c r="A167" t="s">
        <v>4049</v>
      </c>
      <c r="B167" t="s">
        <v>4073</v>
      </c>
      <c r="C167" t="s">
        <v>4051</v>
      </c>
      <c r="D167" s="7">
        <v>1</v>
      </c>
      <c r="E167" s="2">
        <v>15517.89</v>
      </c>
      <c r="F167" s="2">
        <v>15517.89</v>
      </c>
    </row>
    <row r="168" spans="1:6" x14ac:dyDescent="0.25">
      <c r="A168" t="s">
        <v>4052</v>
      </c>
      <c r="B168" t="s">
        <v>4053</v>
      </c>
      <c r="C168" t="s">
        <v>4054</v>
      </c>
      <c r="D168" s="7">
        <v>5</v>
      </c>
      <c r="E168" s="2">
        <v>24555.22</v>
      </c>
      <c r="F168" s="2">
        <v>1227.76</v>
      </c>
    </row>
    <row r="169" spans="1:6" x14ac:dyDescent="0.25">
      <c r="A169" t="s">
        <v>4055</v>
      </c>
      <c r="D169" s="7"/>
      <c r="E169" s="2"/>
      <c r="F169" s="2">
        <f>SUBTOTAL(109,A_3_09_16[VALOR PARCIAL])</f>
      </c>
    </row>
    <row r="171" ht="30" customHeight="1" spans="1:6" x14ac:dyDescent="0.25">
      <c r="A171" s="5" t="s">
        <v>7442</v>
      </c>
      <c r="B171" s="5"/>
      <c r="C171" s="5"/>
      <c r="D171" s="5"/>
      <c r="E171" s="5"/>
      <c r="F171" s="5"/>
    </row>
    <row r="172" ht="42" customHeight="1" spans="1:6" x14ac:dyDescent="0.25">
      <c r="A172" s="6" t="s">
        <v>7443</v>
      </c>
      <c r="B172" s="6"/>
      <c r="C172" s="6"/>
      <c r="D172" s="6"/>
      <c r="E172" s="6"/>
      <c r="F172" s="6"/>
    </row>
    <row r="173" spans="1:6" x14ac:dyDescent="0.25">
      <c r="A173" t="s">
        <v>4044</v>
      </c>
      <c r="B173" t="s">
        <v>4045</v>
      </c>
      <c r="C173" t="s">
        <v>5</v>
      </c>
      <c r="D173" t="s">
        <v>4046</v>
      </c>
      <c r="E173" t="s">
        <v>4047</v>
      </c>
      <c r="F173" t="s">
        <v>4048</v>
      </c>
    </row>
    <row r="174" spans="1:6" x14ac:dyDescent="0.25">
      <c r="A174" t="s">
        <v>4062</v>
      </c>
      <c r="B174" t="s">
        <v>5073</v>
      </c>
      <c r="C174" t="s">
        <v>4377</v>
      </c>
      <c r="D174" s="7">
        <v>0</v>
      </c>
      <c r="E174" s="2">
        <v>20966.67</v>
      </c>
      <c r="F174" s="2">
        <v>8.39</v>
      </c>
    </row>
    <row r="175" spans="1:6" x14ac:dyDescent="0.25">
      <c r="A175" t="s">
        <v>4062</v>
      </c>
      <c r="B175" t="s">
        <v>7444</v>
      </c>
      <c r="C175" t="s">
        <v>231</v>
      </c>
      <c r="D175" s="7">
        <v>0.05</v>
      </c>
      <c r="E175" s="2">
        <v>3589.03</v>
      </c>
      <c r="F175" s="2">
        <v>179.45</v>
      </c>
    </row>
    <row r="176" spans="1:6" x14ac:dyDescent="0.25">
      <c r="A176" t="s">
        <v>4062</v>
      </c>
      <c r="B176" t="s">
        <v>5880</v>
      </c>
      <c r="C176" t="s">
        <v>4377</v>
      </c>
      <c r="D176" s="7">
        <v>0.02</v>
      </c>
      <c r="E176" s="2">
        <v>87340</v>
      </c>
      <c r="F176" s="2">
        <v>1746.8</v>
      </c>
    </row>
    <row r="177" spans="1:6" x14ac:dyDescent="0.25">
      <c r="A177" t="s">
        <v>4049</v>
      </c>
      <c r="B177" t="s">
        <v>4176</v>
      </c>
      <c r="C177" t="s">
        <v>4177</v>
      </c>
      <c r="D177" s="7">
        <v>0</v>
      </c>
      <c r="E177" s="2">
        <v>72300.17</v>
      </c>
      <c r="F177" s="2">
        <v>115.68</v>
      </c>
    </row>
    <row r="178" spans="1:6" x14ac:dyDescent="0.25">
      <c r="A178" t="s">
        <v>4049</v>
      </c>
      <c r="B178" t="s">
        <v>4313</v>
      </c>
      <c r="C178" t="s">
        <v>4177</v>
      </c>
      <c r="D178" s="7">
        <v>0</v>
      </c>
      <c r="E178" s="2">
        <v>124137.15</v>
      </c>
      <c r="F178" s="2">
        <v>99.31</v>
      </c>
    </row>
    <row r="179" spans="1:6" x14ac:dyDescent="0.25">
      <c r="A179" t="s">
        <v>4052</v>
      </c>
      <c r="B179" t="s">
        <v>4251</v>
      </c>
      <c r="C179" t="s">
        <v>287</v>
      </c>
      <c r="D179" s="7">
        <v>0</v>
      </c>
      <c r="E179" s="2">
        <v>48758.93</v>
      </c>
      <c r="F179" s="2">
        <v>39.01</v>
      </c>
    </row>
    <row r="180" spans="1:6" x14ac:dyDescent="0.25">
      <c r="A180" t="s">
        <v>4052</v>
      </c>
      <c r="B180" t="s">
        <v>7445</v>
      </c>
      <c r="C180" t="s">
        <v>287</v>
      </c>
      <c r="D180" s="7">
        <v>0</v>
      </c>
      <c r="E180" s="2">
        <v>107382.63</v>
      </c>
      <c r="F180" s="2">
        <v>128.86</v>
      </c>
    </row>
    <row r="181" spans="1:6" x14ac:dyDescent="0.25">
      <c r="A181" t="s">
        <v>4052</v>
      </c>
      <c r="B181" t="s">
        <v>4053</v>
      </c>
      <c r="C181" t="s">
        <v>4054</v>
      </c>
      <c r="D181" s="7">
        <v>5</v>
      </c>
      <c r="E181" s="2">
        <v>214.99</v>
      </c>
      <c r="F181" s="2">
        <v>10.75</v>
      </c>
    </row>
    <row r="182" spans="1:6" x14ac:dyDescent="0.25">
      <c r="A182" t="s">
        <v>4055</v>
      </c>
      <c r="D182" s="7"/>
      <c r="E182" s="2"/>
      <c r="F182" s="2">
        <f>SUBTOTAL(109,A_3_09_17[VALOR PARCIAL])</f>
      </c>
    </row>
  </sheetData>
  <mergeCells count="34">
    <mergeCell ref="A4:F4"/>
    <mergeCell ref="A5:F5"/>
    <mergeCell ref="A14:F14"/>
    <mergeCell ref="A15:F15"/>
    <mergeCell ref="A22:F22"/>
    <mergeCell ref="A23:F23"/>
    <mergeCell ref="A33:F33"/>
    <mergeCell ref="A34:F34"/>
    <mergeCell ref="A43:F43"/>
    <mergeCell ref="A44:F44"/>
    <mergeCell ref="A54:F54"/>
    <mergeCell ref="A55:F55"/>
    <mergeCell ref="A64:F64"/>
    <mergeCell ref="A65:F65"/>
    <mergeCell ref="A78:F78"/>
    <mergeCell ref="A79:F79"/>
    <mergeCell ref="A87:F87"/>
    <mergeCell ref="A88:F88"/>
    <mergeCell ref="A96:F96"/>
    <mergeCell ref="A97:F97"/>
    <mergeCell ref="A107:F107"/>
    <mergeCell ref="A108:F108"/>
    <mergeCell ref="A118:F118"/>
    <mergeCell ref="A119:F119"/>
    <mergeCell ref="A129:F129"/>
    <mergeCell ref="A130:F130"/>
    <mergeCell ref="A141:F141"/>
    <mergeCell ref="A142:F142"/>
    <mergeCell ref="A151:F151"/>
    <mergeCell ref="A152:F152"/>
    <mergeCell ref="A161:F161"/>
    <mergeCell ref="A162:F162"/>
    <mergeCell ref="A171:F171"/>
    <mergeCell ref="A172:F172"/>
  </mergeCells>
  <pageMargins left="0.7" right="0.7" top="0.75" bottom="0.75" header="0.3" footer="0.3"/>
  <pageSetup orientation="portrait" horizontalDpi="4294967295" verticalDpi="4294967295" scale="100" fitToWidth="1" fitToHeight="1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7446</v>
      </c>
    </row>
    <row r="2" spans="1:1" x14ac:dyDescent="0.25">
      <c r="A2" s="4" t="s">
        <v>5813</v>
      </c>
    </row>
    <row r="4" ht="30" customHeight="1" spans="1:6" x14ac:dyDescent="0.25">
      <c r="A4" s="5" t="s">
        <v>7447</v>
      </c>
      <c r="B4" s="5"/>
      <c r="C4" s="5"/>
      <c r="D4" s="5"/>
      <c r="E4" s="5"/>
      <c r="F4" s="5"/>
    </row>
    <row r="5" ht="42" customHeight="1" spans="1:6" x14ac:dyDescent="0.25">
      <c r="A5" s="6" t="s">
        <v>7448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4390</v>
      </c>
      <c r="C7" t="s">
        <v>231</v>
      </c>
      <c r="D7" s="7">
        <v>2</v>
      </c>
      <c r="E7" s="2">
        <v>4155</v>
      </c>
      <c r="F7" s="2">
        <v>8310</v>
      </c>
    </row>
    <row r="8" spans="1:6" x14ac:dyDescent="0.25">
      <c r="A8" t="s">
        <v>4062</v>
      </c>
      <c r="B8" t="s">
        <v>4391</v>
      </c>
      <c r="C8" t="s">
        <v>231</v>
      </c>
      <c r="D8" s="7">
        <v>83.52</v>
      </c>
      <c r="E8" s="2">
        <v>2930</v>
      </c>
      <c r="F8" s="2">
        <v>244713.6</v>
      </c>
    </row>
    <row r="9" spans="1:6" x14ac:dyDescent="0.25">
      <c r="A9" t="s">
        <v>4062</v>
      </c>
      <c r="B9" t="s">
        <v>4261</v>
      </c>
      <c r="C9" t="s">
        <v>231</v>
      </c>
      <c r="D9" s="7">
        <v>85.02</v>
      </c>
      <c r="E9" s="2">
        <v>2982</v>
      </c>
      <c r="F9" s="2">
        <v>253529.64</v>
      </c>
    </row>
    <row r="10" spans="1:6" x14ac:dyDescent="0.25">
      <c r="A10" t="s">
        <v>4062</v>
      </c>
      <c r="B10" t="s">
        <v>4012</v>
      </c>
      <c r="C10" t="s">
        <v>34</v>
      </c>
      <c r="D10" s="7">
        <v>1.05</v>
      </c>
      <c r="E10" s="2">
        <v>475506.98</v>
      </c>
      <c r="F10" s="2">
        <v>499282.33</v>
      </c>
    </row>
    <row r="11" spans="1:6" x14ac:dyDescent="0.25">
      <c r="A11" t="s">
        <v>4062</v>
      </c>
      <c r="B11" t="s">
        <v>4320</v>
      </c>
      <c r="C11" t="s">
        <v>42</v>
      </c>
      <c r="D11" s="7">
        <v>33.3</v>
      </c>
      <c r="E11" s="2">
        <v>6222.23</v>
      </c>
      <c r="F11" s="2">
        <v>207200.26</v>
      </c>
    </row>
    <row r="12" spans="1:6" x14ac:dyDescent="0.25">
      <c r="A12" t="s">
        <v>4062</v>
      </c>
      <c r="B12" t="s">
        <v>4065</v>
      </c>
      <c r="C12" t="s">
        <v>4066</v>
      </c>
      <c r="D12" s="7">
        <v>8</v>
      </c>
      <c r="E12" s="2">
        <v>3433</v>
      </c>
      <c r="F12" s="2">
        <v>27464</v>
      </c>
    </row>
    <row r="13" spans="1:6" x14ac:dyDescent="0.25">
      <c r="A13" t="s">
        <v>4062</v>
      </c>
      <c r="B13" t="s">
        <v>4406</v>
      </c>
      <c r="C13" t="s">
        <v>42</v>
      </c>
      <c r="D13" s="7">
        <v>25</v>
      </c>
      <c r="E13" s="2">
        <v>9483.5</v>
      </c>
      <c r="F13" s="2">
        <v>237087.5</v>
      </c>
    </row>
    <row r="14" spans="1:6" x14ac:dyDescent="0.25">
      <c r="A14" t="s">
        <v>4049</v>
      </c>
      <c r="B14" t="s">
        <v>4176</v>
      </c>
      <c r="C14" t="s">
        <v>4177</v>
      </c>
      <c r="D14" s="7">
        <v>2</v>
      </c>
      <c r="E14" s="2">
        <v>72300.17</v>
      </c>
      <c r="F14" s="2">
        <v>144600.34</v>
      </c>
    </row>
    <row r="15" spans="1:6" x14ac:dyDescent="0.25">
      <c r="A15" t="s">
        <v>4049</v>
      </c>
      <c r="B15" t="s">
        <v>4313</v>
      </c>
      <c r="C15" t="s">
        <v>4177</v>
      </c>
      <c r="D15" s="7">
        <v>1</v>
      </c>
      <c r="E15" s="2">
        <v>124137.15</v>
      </c>
      <c r="F15" s="2">
        <v>124137.15</v>
      </c>
    </row>
    <row r="16" spans="1:6" x14ac:dyDescent="0.25">
      <c r="A16" t="s">
        <v>4052</v>
      </c>
      <c r="B16" t="s">
        <v>4286</v>
      </c>
      <c r="C16" t="s">
        <v>287</v>
      </c>
      <c r="D16" s="7">
        <v>0.3</v>
      </c>
      <c r="E16" s="2">
        <v>9375</v>
      </c>
      <c r="F16" s="2">
        <v>2812.5</v>
      </c>
    </row>
    <row r="17" spans="1:6" x14ac:dyDescent="0.25">
      <c r="A17" t="s">
        <v>4052</v>
      </c>
      <c r="B17" t="s">
        <v>4053</v>
      </c>
      <c r="C17" t="s">
        <v>4054</v>
      </c>
      <c r="D17" s="7">
        <v>0.2</v>
      </c>
      <c r="E17" s="2">
        <v>268737.49</v>
      </c>
      <c r="F17" s="2">
        <v>537.47</v>
      </c>
    </row>
    <row r="18" spans="1:6" x14ac:dyDescent="0.25">
      <c r="A18" t="s">
        <v>4055</v>
      </c>
      <c r="D18" s="7"/>
      <c r="E18" s="2"/>
      <c r="F18" s="2">
        <f>SUBTOTAL(109,A_3_10_01[VALOR PARCIAL])</f>
      </c>
    </row>
    <row r="20" ht="30" customHeight="1" spans="1:6" x14ac:dyDescent="0.25">
      <c r="A20" s="5" t="s">
        <v>7449</v>
      </c>
      <c r="B20" s="5"/>
      <c r="C20" s="5"/>
      <c r="D20" s="5"/>
      <c r="E20" s="5"/>
      <c r="F20" s="5"/>
    </row>
    <row r="21" ht="42" customHeight="1" spans="1:6" x14ac:dyDescent="0.25">
      <c r="A21" s="6" t="s">
        <v>7450</v>
      </c>
      <c r="B21" s="6"/>
      <c r="C21" s="6"/>
      <c r="D21" s="6"/>
      <c r="E21" s="6"/>
      <c r="F21" s="6"/>
    </row>
    <row r="22" spans="1:6" x14ac:dyDescent="0.25">
      <c r="A22" t="s">
        <v>4044</v>
      </c>
      <c r="B22" t="s">
        <v>4045</v>
      </c>
      <c r="C22" t="s">
        <v>5</v>
      </c>
      <c r="D22" t="s">
        <v>4046</v>
      </c>
      <c r="E22" t="s">
        <v>4047</v>
      </c>
      <c r="F22" t="s">
        <v>4048</v>
      </c>
    </row>
    <row r="23" spans="1:6" x14ac:dyDescent="0.25">
      <c r="A23" t="s">
        <v>4062</v>
      </c>
      <c r="B23" t="s">
        <v>4009</v>
      </c>
      <c r="C23" t="s">
        <v>34</v>
      </c>
      <c r="D23" s="7">
        <v>1.05</v>
      </c>
      <c r="E23" s="2">
        <v>543324.7</v>
      </c>
      <c r="F23" s="2">
        <v>570490.94</v>
      </c>
    </row>
    <row r="24" spans="1:6" x14ac:dyDescent="0.25">
      <c r="A24" t="s">
        <v>4062</v>
      </c>
      <c r="B24" t="s">
        <v>7451</v>
      </c>
      <c r="C24" t="s">
        <v>4377</v>
      </c>
      <c r="D24" s="7">
        <v>1</v>
      </c>
      <c r="E24" s="2">
        <v>89220.79</v>
      </c>
      <c r="F24" s="2">
        <v>89220.79</v>
      </c>
    </row>
    <row r="25" spans="1:6" x14ac:dyDescent="0.25">
      <c r="A25" t="s">
        <v>4049</v>
      </c>
      <c r="B25" t="s">
        <v>4176</v>
      </c>
      <c r="C25" t="s">
        <v>4177</v>
      </c>
      <c r="D25" s="7">
        <v>3.7</v>
      </c>
      <c r="E25" s="2">
        <v>72300.17</v>
      </c>
      <c r="F25" s="2">
        <v>267510.63</v>
      </c>
    </row>
    <row r="26" spans="1:6" x14ac:dyDescent="0.25">
      <c r="A26" t="s">
        <v>4049</v>
      </c>
      <c r="B26" t="s">
        <v>4313</v>
      </c>
      <c r="C26" t="s">
        <v>4177</v>
      </c>
      <c r="D26" s="7">
        <v>0.56</v>
      </c>
      <c r="E26" s="2">
        <v>124137.15</v>
      </c>
      <c r="F26" s="2">
        <v>69516.8</v>
      </c>
    </row>
    <row r="27" spans="1:6" x14ac:dyDescent="0.25">
      <c r="A27" t="s">
        <v>4052</v>
      </c>
      <c r="B27" t="s">
        <v>4286</v>
      </c>
      <c r="C27" t="s">
        <v>287</v>
      </c>
      <c r="D27" s="7">
        <v>1</v>
      </c>
      <c r="E27" s="2">
        <v>9375</v>
      </c>
      <c r="F27" s="2">
        <v>9375</v>
      </c>
    </row>
    <row r="28" spans="1:6" x14ac:dyDescent="0.25">
      <c r="A28" t="s">
        <v>4052</v>
      </c>
      <c r="B28" t="s">
        <v>4053</v>
      </c>
      <c r="C28" t="s">
        <v>4054</v>
      </c>
      <c r="D28" s="7">
        <v>3.3</v>
      </c>
      <c r="E28" s="2">
        <v>337027.43</v>
      </c>
      <c r="F28" s="2">
        <v>11121.91</v>
      </c>
    </row>
    <row r="29" spans="1:6" x14ac:dyDescent="0.25">
      <c r="A29" t="s">
        <v>4055</v>
      </c>
      <c r="D29" s="7"/>
      <c r="E29" s="2"/>
      <c r="F29" s="2">
        <f>SUBTOTAL(109,A_3_10_02[VALOR PARCIAL])</f>
      </c>
    </row>
    <row r="31" ht="30" customHeight="1" spans="1:6" x14ac:dyDescent="0.25">
      <c r="A31" s="5" t="s">
        <v>7452</v>
      </c>
      <c r="B31" s="5"/>
      <c r="C31" s="5"/>
      <c r="D31" s="5"/>
      <c r="E31" s="5"/>
      <c r="F31" s="5"/>
    </row>
    <row r="32" ht="42" customHeight="1" spans="1:6" x14ac:dyDescent="0.25">
      <c r="A32" s="6" t="s">
        <v>7453</v>
      </c>
      <c r="B32" s="6"/>
      <c r="C32" s="6"/>
      <c r="D32" s="6"/>
      <c r="E32" s="6"/>
      <c r="F32" s="6"/>
    </row>
    <row r="33" spans="1:6" x14ac:dyDescent="0.25">
      <c r="A33" t="s">
        <v>4044</v>
      </c>
      <c r="B33" t="s">
        <v>4045</v>
      </c>
      <c r="C33" t="s">
        <v>5</v>
      </c>
      <c r="D33" t="s">
        <v>4046</v>
      </c>
      <c r="E33" t="s">
        <v>4047</v>
      </c>
      <c r="F33" t="s">
        <v>4048</v>
      </c>
    </row>
    <row r="34" spans="1:6" x14ac:dyDescent="0.25">
      <c r="A34" t="s">
        <v>4062</v>
      </c>
      <c r="B34" t="s">
        <v>4009</v>
      </c>
      <c r="C34" t="s">
        <v>34</v>
      </c>
      <c r="D34" s="7">
        <v>1.05</v>
      </c>
      <c r="E34" s="2">
        <v>543324.7</v>
      </c>
      <c r="F34" s="2">
        <v>570490.94</v>
      </c>
    </row>
    <row r="35" spans="1:6" x14ac:dyDescent="0.25">
      <c r="A35" t="s">
        <v>4062</v>
      </c>
      <c r="B35" t="s">
        <v>7454</v>
      </c>
      <c r="C35" t="s">
        <v>4377</v>
      </c>
      <c r="D35" s="7">
        <v>1</v>
      </c>
      <c r="E35" s="2">
        <v>52683.31</v>
      </c>
      <c r="F35" s="2">
        <v>52683.31</v>
      </c>
    </row>
    <row r="36" spans="1:6" x14ac:dyDescent="0.25">
      <c r="A36" t="s">
        <v>4049</v>
      </c>
      <c r="B36" t="s">
        <v>4176</v>
      </c>
      <c r="C36" t="s">
        <v>4177</v>
      </c>
      <c r="D36" s="7">
        <v>2.8</v>
      </c>
      <c r="E36" s="2">
        <v>72300.17</v>
      </c>
      <c r="F36" s="2">
        <v>202440.48</v>
      </c>
    </row>
    <row r="37" spans="1:6" x14ac:dyDescent="0.25">
      <c r="A37" t="s">
        <v>4049</v>
      </c>
      <c r="B37" t="s">
        <v>4313</v>
      </c>
      <c r="C37" t="s">
        <v>4177</v>
      </c>
      <c r="D37" s="7">
        <v>0.42</v>
      </c>
      <c r="E37" s="2">
        <v>124137.15</v>
      </c>
      <c r="F37" s="2">
        <v>51727.95</v>
      </c>
    </row>
    <row r="38" spans="1:6" x14ac:dyDescent="0.25">
      <c r="A38" t="s">
        <v>4052</v>
      </c>
      <c r="B38" t="s">
        <v>4286</v>
      </c>
      <c r="C38" t="s">
        <v>287</v>
      </c>
      <c r="D38" s="7">
        <v>0.5</v>
      </c>
      <c r="E38" s="2">
        <v>9375</v>
      </c>
      <c r="F38" s="2">
        <v>4687.5</v>
      </c>
    </row>
    <row r="39" spans="1:6" x14ac:dyDescent="0.25">
      <c r="A39" t="s">
        <v>4052</v>
      </c>
      <c r="B39" t="s">
        <v>4053</v>
      </c>
      <c r="C39" t="s">
        <v>4054</v>
      </c>
      <c r="D39" s="7">
        <v>3.3</v>
      </c>
      <c r="E39" s="2">
        <v>254168.43</v>
      </c>
      <c r="F39" s="2">
        <v>8387.56</v>
      </c>
    </row>
    <row r="40" spans="1:6" x14ac:dyDescent="0.25">
      <c r="A40" t="s">
        <v>4055</v>
      </c>
      <c r="D40" s="7"/>
      <c r="E40" s="2"/>
      <c r="F40" s="2">
        <f>SUBTOTAL(109,A_3_10_03[VALOR PARCIAL])</f>
      </c>
    </row>
    <row r="42" ht="30" customHeight="1" spans="1:6" x14ac:dyDescent="0.25">
      <c r="A42" s="5" t="s">
        <v>7455</v>
      </c>
      <c r="B42" s="5"/>
      <c r="C42" s="5"/>
      <c r="D42" s="5"/>
      <c r="E42" s="5"/>
      <c r="F42" s="5"/>
    </row>
    <row r="43" ht="42" customHeight="1" spans="1:6" x14ac:dyDescent="0.25">
      <c r="A43" s="6" t="s">
        <v>7456</v>
      </c>
      <c r="B43" s="6"/>
      <c r="C43" s="6"/>
      <c r="D43" s="6"/>
      <c r="E43" s="6"/>
      <c r="F43" s="6"/>
    </row>
    <row r="44" spans="1:6" x14ac:dyDescent="0.25">
      <c r="A44" t="s">
        <v>4044</v>
      </c>
      <c r="B44" t="s">
        <v>4045</v>
      </c>
      <c r="C44" t="s">
        <v>5</v>
      </c>
      <c r="D44" t="s">
        <v>4046</v>
      </c>
      <c r="E44" t="s">
        <v>4047</v>
      </c>
      <c r="F44" t="s">
        <v>4048</v>
      </c>
    </row>
    <row r="45" spans="1:6" x14ac:dyDescent="0.25">
      <c r="A45" t="s">
        <v>4062</v>
      </c>
      <c r="B45" t="s">
        <v>4009</v>
      </c>
      <c r="C45" t="s">
        <v>34</v>
      </c>
      <c r="D45" s="7">
        <v>1.05</v>
      </c>
      <c r="E45" s="2">
        <v>543324.7</v>
      </c>
      <c r="F45" s="2">
        <v>570490.94</v>
      </c>
    </row>
    <row r="46" spans="1:6" x14ac:dyDescent="0.25">
      <c r="A46" t="s">
        <v>4062</v>
      </c>
      <c r="B46" t="s">
        <v>7457</v>
      </c>
      <c r="C46" t="s">
        <v>4377</v>
      </c>
      <c r="D46" s="7">
        <v>1</v>
      </c>
      <c r="E46" s="2">
        <v>60287.87</v>
      </c>
      <c r="F46" s="2">
        <v>60287.87</v>
      </c>
    </row>
    <row r="47" spans="1:6" x14ac:dyDescent="0.25">
      <c r="A47" t="s">
        <v>4049</v>
      </c>
      <c r="B47" t="s">
        <v>4176</v>
      </c>
      <c r="C47" t="s">
        <v>4177</v>
      </c>
      <c r="D47" s="7">
        <v>3.8</v>
      </c>
      <c r="E47" s="2">
        <v>72300.17</v>
      </c>
      <c r="F47" s="2">
        <v>274740.65</v>
      </c>
    </row>
    <row r="48" spans="1:6" x14ac:dyDescent="0.25">
      <c r="A48" t="s">
        <v>4049</v>
      </c>
      <c r="B48" t="s">
        <v>4313</v>
      </c>
      <c r="C48" t="s">
        <v>4177</v>
      </c>
      <c r="D48" s="7">
        <v>0.5</v>
      </c>
      <c r="E48" s="2">
        <v>124137.15</v>
      </c>
      <c r="F48" s="2">
        <v>62068.57</v>
      </c>
    </row>
    <row r="49" spans="1:6" x14ac:dyDescent="0.25">
      <c r="A49" t="s">
        <v>4052</v>
      </c>
      <c r="B49" t="s">
        <v>4286</v>
      </c>
      <c r="C49" t="s">
        <v>287</v>
      </c>
      <c r="D49" s="7">
        <v>0.5</v>
      </c>
      <c r="E49" s="2">
        <v>9375</v>
      </c>
      <c r="F49" s="2">
        <v>4687.5</v>
      </c>
    </row>
    <row r="50" spans="1:6" x14ac:dyDescent="0.25">
      <c r="A50" t="s">
        <v>4052</v>
      </c>
      <c r="B50" t="s">
        <v>4053</v>
      </c>
      <c r="C50" t="s">
        <v>4054</v>
      </c>
      <c r="D50" s="7">
        <v>3.3</v>
      </c>
      <c r="E50" s="2">
        <v>336809.22</v>
      </c>
      <c r="F50" s="2">
        <v>11114.7</v>
      </c>
    </row>
    <row r="51" spans="1:6" x14ac:dyDescent="0.25">
      <c r="A51" t="s">
        <v>4055</v>
      </c>
      <c r="D51" s="7"/>
      <c r="E51" s="2"/>
      <c r="F51" s="2">
        <f>SUBTOTAL(109,A_3_10_04[VALOR PARCIAL])</f>
      </c>
    </row>
    <row r="53" ht="30" customHeight="1" spans="1:6" x14ac:dyDescent="0.25">
      <c r="A53" s="5" t="s">
        <v>7458</v>
      </c>
      <c r="B53" s="5"/>
      <c r="C53" s="5"/>
      <c r="D53" s="5"/>
      <c r="E53" s="5"/>
      <c r="F53" s="5"/>
    </row>
    <row r="54" ht="42" customHeight="1" spans="1:6" x14ac:dyDescent="0.25">
      <c r="A54" s="6" t="s">
        <v>7459</v>
      </c>
      <c r="B54" s="6"/>
      <c r="C54" s="6"/>
      <c r="D54" s="6"/>
      <c r="E54" s="6"/>
      <c r="F54" s="6"/>
    </row>
    <row r="55" spans="1:6" x14ac:dyDescent="0.25">
      <c r="A55" t="s">
        <v>4044</v>
      </c>
      <c r="B55" t="s">
        <v>4045</v>
      </c>
      <c r="C55" t="s">
        <v>5</v>
      </c>
      <c r="D55" t="s">
        <v>4046</v>
      </c>
      <c r="E55" t="s">
        <v>4047</v>
      </c>
      <c r="F55" t="s">
        <v>4048</v>
      </c>
    </row>
    <row r="56" spans="1:6" x14ac:dyDescent="0.25">
      <c r="A56" t="s">
        <v>4062</v>
      </c>
      <c r="B56" t="s">
        <v>4009</v>
      </c>
      <c r="C56" t="s">
        <v>34</v>
      </c>
      <c r="D56" s="7">
        <v>1.05</v>
      </c>
      <c r="E56" s="2">
        <v>543324.7</v>
      </c>
      <c r="F56" s="2">
        <v>570490.94</v>
      </c>
    </row>
    <row r="57" spans="1:6" x14ac:dyDescent="0.25">
      <c r="A57" t="s">
        <v>4062</v>
      </c>
      <c r="B57" t="s">
        <v>4400</v>
      </c>
      <c r="C57" t="s">
        <v>42</v>
      </c>
      <c r="D57" s="7">
        <v>1.47</v>
      </c>
      <c r="E57" s="2">
        <v>5286.26</v>
      </c>
      <c r="F57" s="2">
        <v>7770.8</v>
      </c>
    </row>
    <row r="58" spans="1:6" x14ac:dyDescent="0.25">
      <c r="A58" t="s">
        <v>4062</v>
      </c>
      <c r="B58" t="s">
        <v>4070</v>
      </c>
      <c r="C58" t="s">
        <v>42</v>
      </c>
      <c r="D58" s="7">
        <v>3.23</v>
      </c>
      <c r="E58" s="2">
        <v>7381.08</v>
      </c>
      <c r="F58" s="2">
        <v>23840.89</v>
      </c>
    </row>
    <row r="59" spans="1:6" x14ac:dyDescent="0.25">
      <c r="A59" t="s">
        <v>4062</v>
      </c>
      <c r="B59" t="s">
        <v>4071</v>
      </c>
      <c r="C59" t="s">
        <v>42</v>
      </c>
      <c r="D59" s="7">
        <v>1.91</v>
      </c>
      <c r="E59" s="2">
        <v>2555</v>
      </c>
      <c r="F59" s="2">
        <v>4880.05</v>
      </c>
    </row>
    <row r="60" spans="1:6" x14ac:dyDescent="0.25">
      <c r="A60" t="s">
        <v>4062</v>
      </c>
      <c r="B60" t="s">
        <v>4065</v>
      </c>
      <c r="C60" t="s">
        <v>4066</v>
      </c>
      <c r="D60" s="7">
        <v>1.58</v>
      </c>
      <c r="E60" s="2">
        <v>3433</v>
      </c>
      <c r="F60" s="2">
        <v>5424.14</v>
      </c>
    </row>
    <row r="61" spans="1:6" x14ac:dyDescent="0.25">
      <c r="A61" t="s">
        <v>4049</v>
      </c>
      <c r="B61" t="s">
        <v>4176</v>
      </c>
      <c r="C61" t="s">
        <v>4177</v>
      </c>
      <c r="D61" s="7">
        <v>1</v>
      </c>
      <c r="E61" s="2">
        <v>72300.17</v>
      </c>
      <c r="F61" s="2">
        <v>72300.17</v>
      </c>
    </row>
    <row r="62" spans="1:6" x14ac:dyDescent="0.25">
      <c r="A62" t="s">
        <v>4049</v>
      </c>
      <c r="B62" t="s">
        <v>4073</v>
      </c>
      <c r="C62" t="s">
        <v>4051</v>
      </c>
      <c r="D62" s="7">
        <v>0.5</v>
      </c>
      <c r="E62" s="2">
        <v>15517.89</v>
      </c>
      <c r="F62" s="2">
        <v>7758.94</v>
      </c>
    </row>
    <row r="63" spans="1:6" x14ac:dyDescent="0.25">
      <c r="A63" t="s">
        <v>4052</v>
      </c>
      <c r="B63" t="s">
        <v>4053</v>
      </c>
      <c r="C63" t="s">
        <v>4054</v>
      </c>
      <c r="D63" s="7">
        <v>3.3</v>
      </c>
      <c r="E63" s="2">
        <v>80059.11</v>
      </c>
      <c r="F63" s="2">
        <v>2641.95</v>
      </c>
    </row>
    <row r="64" spans="1:6" x14ac:dyDescent="0.25">
      <c r="A64" t="s">
        <v>4055</v>
      </c>
      <c r="D64" s="7"/>
      <c r="E64" s="2"/>
      <c r="F64" s="2">
        <f>SUBTOTAL(109,A_3_10_05[VALOR PARCIAL])</f>
      </c>
    </row>
    <row r="66" ht="30" customHeight="1" spans="1:6" x14ac:dyDescent="0.25">
      <c r="A66" s="5" t="s">
        <v>7460</v>
      </c>
      <c r="B66" s="5"/>
      <c r="C66" s="5"/>
      <c r="D66" s="5"/>
      <c r="E66" s="5"/>
      <c r="F66" s="5"/>
    </row>
    <row r="67" ht="42" customHeight="1" spans="1:6" x14ac:dyDescent="0.25">
      <c r="A67" s="6" t="s">
        <v>7461</v>
      </c>
      <c r="B67" s="6"/>
      <c r="C67" s="6"/>
      <c r="D67" s="6"/>
      <c r="E67" s="6"/>
      <c r="F67" s="6"/>
    </row>
    <row r="68" spans="1:6" x14ac:dyDescent="0.25">
      <c r="A68" t="s">
        <v>4044</v>
      </c>
      <c r="B68" t="s">
        <v>4045</v>
      </c>
      <c r="C68" t="s">
        <v>5</v>
      </c>
      <c r="D68" t="s">
        <v>4046</v>
      </c>
      <c r="E68" t="s">
        <v>4047</v>
      </c>
      <c r="F68" t="s">
        <v>4048</v>
      </c>
    </row>
    <row r="69" spans="1:6" x14ac:dyDescent="0.25">
      <c r="A69" t="s">
        <v>4062</v>
      </c>
      <c r="B69" t="s">
        <v>7462</v>
      </c>
      <c r="C69" t="s">
        <v>42</v>
      </c>
      <c r="D69" s="7">
        <v>1</v>
      </c>
      <c r="E69" s="2">
        <v>287.24</v>
      </c>
      <c r="F69" s="2">
        <v>287.24</v>
      </c>
    </row>
    <row r="70" spans="1:6" x14ac:dyDescent="0.25">
      <c r="A70" t="s">
        <v>4062</v>
      </c>
      <c r="B70" t="s">
        <v>7463</v>
      </c>
      <c r="C70" t="s">
        <v>63</v>
      </c>
      <c r="D70" s="7">
        <v>0.03</v>
      </c>
      <c r="E70" s="2">
        <v>44079</v>
      </c>
      <c r="F70" s="2">
        <v>1322.37</v>
      </c>
    </row>
    <row r="71" spans="1:6" x14ac:dyDescent="0.25">
      <c r="A71" t="s">
        <v>4049</v>
      </c>
      <c r="B71" t="s">
        <v>4050</v>
      </c>
      <c r="C71" t="s">
        <v>4051</v>
      </c>
      <c r="D71" s="7">
        <v>0.4</v>
      </c>
      <c r="E71" s="2">
        <v>9037.33</v>
      </c>
      <c r="F71" s="2">
        <v>3614.93</v>
      </c>
    </row>
    <row r="72" spans="1:6" x14ac:dyDescent="0.25">
      <c r="A72" t="s">
        <v>4049</v>
      </c>
      <c r="B72" t="s">
        <v>4073</v>
      </c>
      <c r="C72" t="s">
        <v>4051</v>
      </c>
      <c r="D72" s="7">
        <v>0.4</v>
      </c>
      <c r="E72" s="2">
        <v>15517.89</v>
      </c>
      <c r="F72" s="2">
        <v>6207.16</v>
      </c>
    </row>
    <row r="73" spans="1:6" x14ac:dyDescent="0.25">
      <c r="A73" t="s">
        <v>4052</v>
      </c>
      <c r="B73" t="s">
        <v>4053</v>
      </c>
      <c r="C73" t="s">
        <v>4054</v>
      </c>
      <c r="D73" s="7">
        <v>7</v>
      </c>
      <c r="E73" s="2">
        <v>9822.09</v>
      </c>
      <c r="F73" s="2">
        <v>687.55</v>
      </c>
    </row>
    <row r="74" spans="1:6" x14ac:dyDescent="0.25">
      <c r="A74" t="s">
        <v>4055</v>
      </c>
      <c r="D74" s="7"/>
      <c r="E74" s="2"/>
      <c r="F74" s="2">
        <f>SUBTOTAL(109,A_3_10_06[VALOR PARCIAL])</f>
      </c>
    </row>
    <row r="76" ht="30" customHeight="1" spans="1:6" x14ac:dyDescent="0.25">
      <c r="A76" s="5" t="s">
        <v>7464</v>
      </c>
      <c r="B76" s="5"/>
      <c r="C76" s="5"/>
      <c r="D76" s="5"/>
      <c r="E76" s="5"/>
      <c r="F76" s="5"/>
    </row>
    <row r="77" ht="42" customHeight="1" spans="1:6" x14ac:dyDescent="0.25">
      <c r="A77" s="6" t="s">
        <v>7465</v>
      </c>
      <c r="B77" s="6"/>
      <c r="C77" s="6"/>
      <c r="D77" s="6"/>
      <c r="E77" s="6"/>
      <c r="F77" s="6"/>
    </row>
    <row r="78" spans="1:6" x14ac:dyDescent="0.25">
      <c r="A78" t="s">
        <v>4044</v>
      </c>
      <c r="B78" t="s">
        <v>4045</v>
      </c>
      <c r="C78" t="s">
        <v>5</v>
      </c>
      <c r="D78" t="s">
        <v>4046</v>
      </c>
      <c r="E78" t="s">
        <v>4047</v>
      </c>
      <c r="F78" t="s">
        <v>4048</v>
      </c>
    </row>
    <row r="79" spans="1:6" x14ac:dyDescent="0.25">
      <c r="A79" t="s">
        <v>4062</v>
      </c>
      <c r="B79" t="s">
        <v>5929</v>
      </c>
      <c r="C79" t="s">
        <v>42</v>
      </c>
      <c r="D79" s="7">
        <v>4</v>
      </c>
      <c r="E79" s="2">
        <v>9479</v>
      </c>
      <c r="F79" s="2">
        <v>37916</v>
      </c>
    </row>
    <row r="80" spans="1:6" x14ac:dyDescent="0.25">
      <c r="A80" t="s">
        <v>4062</v>
      </c>
      <c r="B80" t="s">
        <v>7466</v>
      </c>
      <c r="C80" t="s">
        <v>4171</v>
      </c>
      <c r="D80" s="7">
        <v>1.5</v>
      </c>
      <c r="E80" s="2">
        <v>66150</v>
      </c>
      <c r="F80" s="2">
        <v>99225</v>
      </c>
    </row>
    <row r="81" spans="1:6" x14ac:dyDescent="0.25">
      <c r="A81" t="s">
        <v>4062</v>
      </c>
      <c r="B81" t="s">
        <v>5013</v>
      </c>
      <c r="C81" t="s">
        <v>231</v>
      </c>
      <c r="D81" s="7">
        <v>0.5</v>
      </c>
      <c r="E81" s="2">
        <v>11906</v>
      </c>
      <c r="F81" s="2">
        <v>5953</v>
      </c>
    </row>
    <row r="82" spans="1:6" x14ac:dyDescent="0.25">
      <c r="A82" t="s">
        <v>4049</v>
      </c>
      <c r="B82" t="s">
        <v>4176</v>
      </c>
      <c r="C82" t="s">
        <v>4177</v>
      </c>
      <c r="D82" s="7">
        <v>0.5</v>
      </c>
      <c r="E82" s="2">
        <v>72300.17</v>
      </c>
      <c r="F82" s="2">
        <v>36150.08</v>
      </c>
    </row>
    <row r="83" spans="1:6" x14ac:dyDescent="0.25">
      <c r="A83" t="s">
        <v>4049</v>
      </c>
      <c r="B83" t="s">
        <v>4313</v>
      </c>
      <c r="C83" t="s">
        <v>4177</v>
      </c>
      <c r="D83" s="7">
        <v>0.5</v>
      </c>
      <c r="E83" s="2">
        <v>124137.15</v>
      </c>
      <c r="F83" s="2">
        <v>62068.57</v>
      </c>
    </row>
    <row r="84" spans="1:6" x14ac:dyDescent="0.25">
      <c r="A84" t="s">
        <v>4049</v>
      </c>
      <c r="B84" t="s">
        <v>5474</v>
      </c>
      <c r="C84" t="s">
        <v>4177</v>
      </c>
      <c r="D84" s="7">
        <v>0.5</v>
      </c>
      <c r="E84" s="2">
        <v>148967.85</v>
      </c>
      <c r="F84" s="2">
        <v>74483.93</v>
      </c>
    </row>
    <row r="85" spans="1:6" x14ac:dyDescent="0.25">
      <c r="A85" t="s">
        <v>4052</v>
      </c>
      <c r="B85" t="s">
        <v>7467</v>
      </c>
      <c r="C85" t="s">
        <v>4106</v>
      </c>
      <c r="D85" s="7">
        <v>0</v>
      </c>
      <c r="E85" s="2">
        <v>99264</v>
      </c>
      <c r="F85" s="2">
        <v>148.9</v>
      </c>
    </row>
    <row r="86" spans="1:6" x14ac:dyDescent="0.25">
      <c r="A86" t="s">
        <v>4052</v>
      </c>
      <c r="B86" t="s">
        <v>4124</v>
      </c>
      <c r="C86" t="s">
        <v>287</v>
      </c>
      <c r="D86" s="7">
        <v>0.5</v>
      </c>
      <c r="E86" s="2">
        <v>13993</v>
      </c>
      <c r="F86" s="2">
        <v>6996.5</v>
      </c>
    </row>
    <row r="87" spans="1:6" x14ac:dyDescent="0.25">
      <c r="A87" t="s">
        <v>4052</v>
      </c>
      <c r="B87" t="s">
        <v>4053</v>
      </c>
      <c r="C87" t="s">
        <v>4054</v>
      </c>
      <c r="D87" s="7">
        <v>5</v>
      </c>
      <c r="E87" s="2">
        <v>172702.58</v>
      </c>
      <c r="F87" s="2">
        <v>8635.13</v>
      </c>
    </row>
    <row r="88" spans="1:6" x14ac:dyDescent="0.25">
      <c r="A88" t="s">
        <v>4055</v>
      </c>
      <c r="D88" s="7"/>
      <c r="E88" s="2"/>
      <c r="F88" s="2">
        <f>SUBTOTAL(109,A_3_10_07[VALOR PARCIAL])</f>
      </c>
    </row>
    <row r="90" ht="30" customHeight="1" spans="1:6" x14ac:dyDescent="0.25">
      <c r="A90" s="5" t="s">
        <v>7468</v>
      </c>
      <c r="B90" s="5"/>
      <c r="C90" s="5"/>
      <c r="D90" s="5"/>
      <c r="E90" s="5"/>
      <c r="F90" s="5"/>
    </row>
    <row r="91" ht="42" customHeight="1" spans="1:6" x14ac:dyDescent="0.25">
      <c r="A91" s="6" t="s">
        <v>7469</v>
      </c>
      <c r="B91" s="6"/>
      <c r="C91" s="6"/>
      <c r="D91" s="6"/>
      <c r="E91" s="6"/>
      <c r="F91" s="6"/>
    </row>
    <row r="92" spans="1:6" x14ac:dyDescent="0.25">
      <c r="A92" t="s">
        <v>4044</v>
      </c>
      <c r="B92" t="s">
        <v>4045</v>
      </c>
      <c r="C92" t="s">
        <v>5</v>
      </c>
      <c r="D92" t="s">
        <v>4046</v>
      </c>
      <c r="E92" t="s">
        <v>4047</v>
      </c>
      <c r="F92" t="s">
        <v>4048</v>
      </c>
    </row>
    <row r="93" spans="1:6" x14ac:dyDescent="0.25">
      <c r="A93" t="s">
        <v>4062</v>
      </c>
      <c r="B93" t="s">
        <v>7470</v>
      </c>
      <c r="C93" t="s">
        <v>21</v>
      </c>
      <c r="D93" s="7">
        <v>1.1</v>
      </c>
      <c r="E93" s="2">
        <v>263918.1</v>
      </c>
      <c r="F93" s="2">
        <v>290309.91</v>
      </c>
    </row>
    <row r="94" spans="1:6" x14ac:dyDescent="0.25">
      <c r="A94" t="s">
        <v>4049</v>
      </c>
      <c r="B94" t="s">
        <v>4313</v>
      </c>
      <c r="C94" t="s">
        <v>4177</v>
      </c>
      <c r="D94" s="7">
        <v>0.33</v>
      </c>
      <c r="E94" s="2">
        <v>124137.15</v>
      </c>
      <c r="F94" s="2">
        <v>41374.91</v>
      </c>
    </row>
    <row r="95" spans="1:6" x14ac:dyDescent="0.25">
      <c r="A95" t="s">
        <v>4052</v>
      </c>
      <c r="B95" t="s">
        <v>4053</v>
      </c>
      <c r="C95" t="s">
        <v>4054</v>
      </c>
      <c r="D95" s="7">
        <v>0.7</v>
      </c>
      <c r="E95" s="2">
        <v>41374.91</v>
      </c>
      <c r="F95" s="2">
        <v>289.62</v>
      </c>
    </row>
    <row r="96" spans="1:6" x14ac:dyDescent="0.25">
      <c r="A96" t="s">
        <v>4055</v>
      </c>
      <c r="D96" s="7"/>
      <c r="E96" s="2"/>
      <c r="F96" s="2">
        <f>SUBTOTAL(109,A_3_10_08[VALOR PARCIAL])</f>
      </c>
    </row>
    <row r="98" ht="30" customHeight="1" spans="1:6" x14ac:dyDescent="0.25">
      <c r="A98" s="5" t="s">
        <v>7471</v>
      </c>
      <c r="B98" s="5"/>
      <c r="C98" s="5"/>
      <c r="D98" s="5"/>
      <c r="E98" s="5"/>
      <c r="F98" s="5"/>
    </row>
    <row r="99" ht="42" customHeight="1" spans="1:6" x14ac:dyDescent="0.25">
      <c r="A99" s="6" t="s">
        <v>7472</v>
      </c>
      <c r="B99" s="6"/>
      <c r="C99" s="6"/>
      <c r="D99" s="6"/>
      <c r="E99" s="6"/>
      <c r="F99" s="6"/>
    </row>
    <row r="100" spans="1:6" x14ac:dyDescent="0.25">
      <c r="A100" t="s">
        <v>4044</v>
      </c>
      <c r="B100" t="s">
        <v>4045</v>
      </c>
      <c r="C100" t="s">
        <v>5</v>
      </c>
      <c r="D100" t="s">
        <v>4046</v>
      </c>
      <c r="E100" t="s">
        <v>4047</v>
      </c>
      <c r="F100" t="s">
        <v>4048</v>
      </c>
    </row>
    <row r="101" spans="1:6" x14ac:dyDescent="0.25">
      <c r="A101" t="s">
        <v>4062</v>
      </c>
      <c r="B101" t="s">
        <v>7473</v>
      </c>
      <c r="C101" t="s">
        <v>42</v>
      </c>
      <c r="D101" s="7">
        <v>1</v>
      </c>
      <c r="E101" s="2">
        <v>16665</v>
      </c>
      <c r="F101" s="2">
        <v>16665</v>
      </c>
    </row>
    <row r="102" spans="1:6" x14ac:dyDescent="0.25">
      <c r="A102" t="s">
        <v>4062</v>
      </c>
      <c r="B102" t="s">
        <v>4659</v>
      </c>
      <c r="C102" t="s">
        <v>4377</v>
      </c>
      <c r="D102" s="7">
        <v>0.02</v>
      </c>
      <c r="E102" s="2">
        <v>31500</v>
      </c>
      <c r="F102" s="2">
        <v>504</v>
      </c>
    </row>
    <row r="103" spans="1:6" x14ac:dyDescent="0.25">
      <c r="A103" t="s">
        <v>4062</v>
      </c>
      <c r="B103" t="s">
        <v>4376</v>
      </c>
      <c r="C103" t="s">
        <v>4377</v>
      </c>
      <c r="D103" s="7">
        <v>0.02</v>
      </c>
      <c r="E103" s="2">
        <v>72237.67</v>
      </c>
      <c r="F103" s="2">
        <v>1155.8</v>
      </c>
    </row>
    <row r="104" spans="1:6" x14ac:dyDescent="0.25">
      <c r="A104" t="s">
        <v>4049</v>
      </c>
      <c r="B104" t="s">
        <v>4176</v>
      </c>
      <c r="C104" t="s">
        <v>4177</v>
      </c>
      <c r="D104" s="7">
        <v>0.1</v>
      </c>
      <c r="E104" s="2">
        <v>72300.17</v>
      </c>
      <c r="F104" s="2">
        <v>7230.02</v>
      </c>
    </row>
    <row r="105" spans="1:6" x14ac:dyDescent="0.25">
      <c r="A105" t="s">
        <v>4052</v>
      </c>
      <c r="B105" t="s">
        <v>4053</v>
      </c>
      <c r="C105" t="s">
        <v>4054</v>
      </c>
      <c r="D105" s="7">
        <v>0.65</v>
      </c>
      <c r="E105" s="2">
        <v>7230.02</v>
      </c>
      <c r="F105" s="2">
        <v>47</v>
      </c>
    </row>
    <row r="106" spans="1:6" x14ac:dyDescent="0.25">
      <c r="A106" t="s">
        <v>4055</v>
      </c>
      <c r="D106" s="7"/>
      <c r="E106" s="2"/>
      <c r="F106" s="2">
        <f>SUBTOTAL(109,A_3_10_09[VALOR PARCIAL])</f>
      </c>
    </row>
    <row r="108" ht="30" customHeight="1" spans="1:6" x14ac:dyDescent="0.25">
      <c r="A108" s="5" t="s">
        <v>7474</v>
      </c>
      <c r="B108" s="5"/>
      <c r="C108" s="5"/>
      <c r="D108" s="5"/>
      <c r="E108" s="5"/>
      <c r="F108" s="5"/>
    </row>
    <row r="109" ht="42" customHeight="1" spans="1:6" x14ac:dyDescent="0.25">
      <c r="A109" s="6" t="s">
        <v>7475</v>
      </c>
      <c r="B109" s="6"/>
      <c r="C109" s="6"/>
      <c r="D109" s="6"/>
      <c r="E109" s="6"/>
      <c r="F109" s="6"/>
    </row>
    <row r="110" spans="1:6" x14ac:dyDescent="0.25">
      <c r="A110" t="s">
        <v>4044</v>
      </c>
      <c r="B110" t="s">
        <v>4045</v>
      </c>
      <c r="C110" t="s">
        <v>5</v>
      </c>
      <c r="D110" t="s">
        <v>4046</v>
      </c>
      <c r="E110" t="s">
        <v>4047</v>
      </c>
      <c r="F110" t="s">
        <v>4048</v>
      </c>
    </row>
    <row r="111" spans="1:6" x14ac:dyDescent="0.25">
      <c r="A111" t="s">
        <v>4062</v>
      </c>
      <c r="B111" t="s">
        <v>7476</v>
      </c>
      <c r="C111" t="s">
        <v>42</v>
      </c>
      <c r="D111" s="7">
        <v>2</v>
      </c>
      <c r="E111" s="2">
        <v>46856.73</v>
      </c>
      <c r="F111" s="2">
        <v>93713.46</v>
      </c>
    </row>
    <row r="112" spans="1:6" x14ac:dyDescent="0.25">
      <c r="A112" t="s">
        <v>4062</v>
      </c>
      <c r="B112" t="s">
        <v>3513</v>
      </c>
      <c r="C112" t="s">
        <v>231</v>
      </c>
      <c r="D112" s="7">
        <v>4</v>
      </c>
      <c r="E112" s="2">
        <v>4427.28</v>
      </c>
      <c r="F112" s="2">
        <v>17709.12</v>
      </c>
    </row>
    <row r="113" spans="1:6" x14ac:dyDescent="0.25">
      <c r="A113" t="s">
        <v>4062</v>
      </c>
      <c r="B113" t="s">
        <v>7477</v>
      </c>
      <c r="C113" t="s">
        <v>42</v>
      </c>
      <c r="D113" s="7">
        <v>1.05</v>
      </c>
      <c r="E113" s="2">
        <v>54866.67</v>
      </c>
      <c r="F113" s="2">
        <v>57610</v>
      </c>
    </row>
    <row r="114" spans="1:6" x14ac:dyDescent="0.25">
      <c r="A114" t="s">
        <v>4062</v>
      </c>
      <c r="B114" t="s">
        <v>7478</v>
      </c>
      <c r="C114" t="s">
        <v>63</v>
      </c>
      <c r="D114" s="7">
        <v>2</v>
      </c>
      <c r="E114" s="2">
        <v>19704.89</v>
      </c>
      <c r="F114" s="2">
        <v>39409.78</v>
      </c>
    </row>
    <row r="115" spans="1:6" x14ac:dyDescent="0.25">
      <c r="A115" t="s">
        <v>4049</v>
      </c>
      <c r="B115" t="s">
        <v>4176</v>
      </c>
      <c r="C115" t="s">
        <v>4177</v>
      </c>
      <c r="D115" s="7">
        <v>1</v>
      </c>
      <c r="E115" s="2">
        <v>72300.17</v>
      </c>
      <c r="F115" s="2">
        <v>72300.17</v>
      </c>
    </row>
    <row r="116" spans="1:6" x14ac:dyDescent="0.25">
      <c r="A116" t="s">
        <v>4049</v>
      </c>
      <c r="B116" t="s">
        <v>4313</v>
      </c>
      <c r="C116" t="s">
        <v>4177</v>
      </c>
      <c r="D116" s="7">
        <v>0.5</v>
      </c>
      <c r="E116" s="2">
        <v>124137.15</v>
      </c>
      <c r="F116" s="2">
        <v>62068.57</v>
      </c>
    </row>
    <row r="117" spans="1:6" x14ac:dyDescent="0.25">
      <c r="A117" t="s">
        <v>4049</v>
      </c>
      <c r="B117" t="s">
        <v>5474</v>
      </c>
      <c r="C117" t="s">
        <v>4177</v>
      </c>
      <c r="D117" s="7">
        <v>0.5</v>
      </c>
      <c r="E117" s="2">
        <v>148967.85</v>
      </c>
      <c r="F117" s="2">
        <v>74483.93</v>
      </c>
    </row>
    <row r="118" spans="1:6" x14ac:dyDescent="0.25">
      <c r="A118" t="s">
        <v>4052</v>
      </c>
      <c r="B118" t="s">
        <v>4124</v>
      </c>
      <c r="C118" t="s">
        <v>287</v>
      </c>
      <c r="D118" s="7">
        <v>0.6</v>
      </c>
      <c r="E118" s="2">
        <v>13993</v>
      </c>
      <c r="F118" s="2">
        <v>8395.8</v>
      </c>
    </row>
    <row r="119" spans="1:6" x14ac:dyDescent="0.25">
      <c r="A119" t="s">
        <v>4052</v>
      </c>
      <c r="B119" t="s">
        <v>4053</v>
      </c>
      <c r="C119" t="s">
        <v>4054</v>
      </c>
      <c r="D119" s="7">
        <v>3.3</v>
      </c>
      <c r="E119" s="2">
        <v>208852.67</v>
      </c>
      <c r="F119" s="2">
        <v>6892.14</v>
      </c>
    </row>
    <row r="120" spans="1:6" x14ac:dyDescent="0.25">
      <c r="A120" t="s">
        <v>4055</v>
      </c>
      <c r="D120" s="7"/>
      <c r="E120" s="2"/>
      <c r="F120" s="2">
        <f>SUBTOTAL(109,A_3_10_10[VALOR PARCIAL])</f>
      </c>
    </row>
    <row r="122" ht="30" customHeight="1" spans="1:6" x14ac:dyDescent="0.25">
      <c r="A122" s="5" t="s">
        <v>7479</v>
      </c>
      <c r="B122" s="5"/>
      <c r="C122" s="5"/>
      <c r="D122" s="5"/>
      <c r="E122" s="5"/>
      <c r="F122" s="5"/>
    </row>
    <row r="123" ht="42" customHeight="1" spans="1:6" x14ac:dyDescent="0.25">
      <c r="A123" s="6" t="s">
        <v>7480</v>
      </c>
      <c r="B123" s="6"/>
      <c r="C123" s="6"/>
      <c r="D123" s="6"/>
      <c r="E123" s="6"/>
      <c r="F123" s="6"/>
    </row>
    <row r="124" spans="1:6" x14ac:dyDescent="0.25">
      <c r="A124" t="s">
        <v>4044</v>
      </c>
      <c r="B124" t="s">
        <v>4045</v>
      </c>
      <c r="C124" t="s">
        <v>5</v>
      </c>
      <c r="D124" t="s">
        <v>4046</v>
      </c>
      <c r="E124" t="s">
        <v>4047</v>
      </c>
      <c r="F124" t="s">
        <v>4048</v>
      </c>
    </row>
    <row r="125" spans="1:6" x14ac:dyDescent="0.25">
      <c r="A125" t="s">
        <v>4062</v>
      </c>
      <c r="B125" t="s">
        <v>4390</v>
      </c>
      <c r="C125" t="s">
        <v>231</v>
      </c>
      <c r="D125" s="7">
        <v>0.03</v>
      </c>
      <c r="E125" s="2">
        <v>4155</v>
      </c>
      <c r="F125" s="2">
        <v>124.65</v>
      </c>
    </row>
    <row r="126" spans="1:6" x14ac:dyDescent="0.25">
      <c r="A126" t="s">
        <v>4062</v>
      </c>
      <c r="B126" t="s">
        <v>4391</v>
      </c>
      <c r="C126" t="s">
        <v>231</v>
      </c>
      <c r="D126" s="7">
        <v>1.05</v>
      </c>
      <c r="E126" s="2">
        <v>2930</v>
      </c>
      <c r="F126" s="2">
        <v>3076.5</v>
      </c>
    </row>
    <row r="127" spans="1:6" x14ac:dyDescent="0.25">
      <c r="A127" t="s">
        <v>4062</v>
      </c>
      <c r="B127" t="s">
        <v>4392</v>
      </c>
      <c r="C127" t="s">
        <v>63</v>
      </c>
      <c r="D127" s="7">
        <v>0.03</v>
      </c>
      <c r="E127" s="2">
        <v>3159.98</v>
      </c>
      <c r="F127" s="2">
        <v>94.8</v>
      </c>
    </row>
    <row r="128" spans="1:6" x14ac:dyDescent="0.25">
      <c r="A128" t="s">
        <v>4049</v>
      </c>
      <c r="B128" t="s">
        <v>4050</v>
      </c>
      <c r="C128" t="s">
        <v>4051</v>
      </c>
      <c r="D128" s="7">
        <v>0.05</v>
      </c>
      <c r="E128" s="2">
        <v>9037.33</v>
      </c>
      <c r="F128" s="2">
        <v>448.25</v>
      </c>
    </row>
    <row r="129" spans="1:6" x14ac:dyDescent="0.25">
      <c r="A129" t="s">
        <v>4049</v>
      </c>
      <c r="B129" t="s">
        <v>4073</v>
      </c>
      <c r="C129" t="s">
        <v>4051</v>
      </c>
      <c r="D129" s="7">
        <v>0.02</v>
      </c>
      <c r="E129" s="2">
        <v>15517.89</v>
      </c>
      <c r="F129" s="2">
        <v>384.84</v>
      </c>
    </row>
    <row r="130" spans="1:6" x14ac:dyDescent="0.25">
      <c r="A130" t="s">
        <v>4052</v>
      </c>
      <c r="B130" t="s">
        <v>4053</v>
      </c>
      <c r="C130" t="s">
        <v>4054</v>
      </c>
      <c r="D130" s="7">
        <v>5</v>
      </c>
      <c r="E130" s="2">
        <v>833.09</v>
      </c>
      <c r="F130" s="2">
        <v>41.65</v>
      </c>
    </row>
    <row r="131" spans="1:6" x14ac:dyDescent="0.25">
      <c r="A131" t="s">
        <v>4055</v>
      </c>
      <c r="D131" s="7"/>
      <c r="E131" s="2"/>
      <c r="F131" s="2">
        <f>SUBTOTAL(109,A_3_10_11[VALOR PARCIAL])</f>
      </c>
    </row>
    <row r="133" ht="30" customHeight="1" spans="1:6" x14ac:dyDescent="0.25">
      <c r="A133" s="5" t="s">
        <v>7481</v>
      </c>
      <c r="B133" s="5"/>
      <c r="C133" s="5"/>
      <c r="D133" s="5"/>
      <c r="E133" s="5"/>
      <c r="F133" s="5"/>
    </row>
    <row r="134" ht="42" customHeight="1" spans="1:6" x14ac:dyDescent="0.25">
      <c r="A134" s="6" t="s">
        <v>7482</v>
      </c>
      <c r="B134" s="6"/>
      <c r="C134" s="6"/>
      <c r="D134" s="6"/>
      <c r="E134" s="6"/>
      <c r="F134" s="6"/>
    </row>
    <row r="135" spans="1:6" x14ac:dyDescent="0.25">
      <c r="A135" t="s">
        <v>4044</v>
      </c>
      <c r="B135" t="s">
        <v>4045</v>
      </c>
      <c r="C135" t="s">
        <v>5</v>
      </c>
      <c r="D135" t="s">
        <v>4046</v>
      </c>
      <c r="E135" t="s">
        <v>4047</v>
      </c>
      <c r="F135" t="s">
        <v>4048</v>
      </c>
    </row>
    <row r="136" spans="1:6" x14ac:dyDescent="0.25">
      <c r="A136" t="s">
        <v>4062</v>
      </c>
      <c r="B136" t="s">
        <v>4390</v>
      </c>
      <c r="C136" t="s">
        <v>231</v>
      </c>
      <c r="D136" s="7">
        <v>0.03</v>
      </c>
      <c r="E136" s="2">
        <v>4155</v>
      </c>
      <c r="F136" s="2">
        <v>124.65</v>
      </c>
    </row>
    <row r="137" spans="1:6" x14ac:dyDescent="0.25">
      <c r="A137" t="s">
        <v>4062</v>
      </c>
      <c r="B137" t="s">
        <v>4261</v>
      </c>
      <c r="C137" t="s">
        <v>231</v>
      </c>
      <c r="D137" s="7">
        <v>1.05</v>
      </c>
      <c r="E137" s="2">
        <v>2982</v>
      </c>
      <c r="F137" s="2">
        <v>3131.1</v>
      </c>
    </row>
    <row r="138" spans="1:6" x14ac:dyDescent="0.25">
      <c r="A138" t="s">
        <v>4062</v>
      </c>
      <c r="B138" t="s">
        <v>4392</v>
      </c>
      <c r="C138" t="s">
        <v>63</v>
      </c>
      <c r="D138" s="7">
        <v>0.03</v>
      </c>
      <c r="E138" s="2">
        <v>3159.98</v>
      </c>
      <c r="F138" s="2">
        <v>94.8</v>
      </c>
    </row>
    <row r="139" spans="1:6" x14ac:dyDescent="0.25">
      <c r="A139" t="s">
        <v>4049</v>
      </c>
      <c r="B139" t="s">
        <v>4050</v>
      </c>
      <c r="C139" t="s">
        <v>4051</v>
      </c>
      <c r="D139" s="7">
        <v>0.06</v>
      </c>
      <c r="E139" s="2">
        <v>9037.33</v>
      </c>
      <c r="F139" s="2">
        <v>540.43</v>
      </c>
    </row>
    <row r="140" spans="1:6" x14ac:dyDescent="0.25">
      <c r="A140" t="s">
        <v>4049</v>
      </c>
      <c r="B140" t="s">
        <v>4073</v>
      </c>
      <c r="C140" t="s">
        <v>4051</v>
      </c>
      <c r="D140" s="7">
        <v>0.03</v>
      </c>
      <c r="E140" s="2">
        <v>15517.89</v>
      </c>
      <c r="F140" s="2">
        <v>463.98</v>
      </c>
    </row>
    <row r="141" spans="1:6" x14ac:dyDescent="0.25">
      <c r="A141" t="s">
        <v>4052</v>
      </c>
      <c r="B141" t="s">
        <v>4053</v>
      </c>
      <c r="C141" t="s">
        <v>4054</v>
      </c>
      <c r="D141" s="7">
        <v>7.2</v>
      </c>
      <c r="E141" s="2">
        <v>1004.41</v>
      </c>
      <c r="F141" s="2">
        <v>72.32</v>
      </c>
    </row>
    <row r="142" spans="1:6" x14ac:dyDescent="0.25">
      <c r="A142" t="s">
        <v>4055</v>
      </c>
      <c r="D142" s="7"/>
      <c r="E142" s="2"/>
      <c r="F142" s="2">
        <f>SUBTOTAL(109,A_3_10_12[VALOR PARCIAL])</f>
      </c>
    </row>
  </sheetData>
  <mergeCells count="24">
    <mergeCell ref="A4:F4"/>
    <mergeCell ref="A5:F5"/>
    <mergeCell ref="A20:F20"/>
    <mergeCell ref="A21:F21"/>
    <mergeCell ref="A31:F31"/>
    <mergeCell ref="A32:F32"/>
    <mergeCell ref="A42:F42"/>
    <mergeCell ref="A43:F43"/>
    <mergeCell ref="A53:F53"/>
    <mergeCell ref="A54:F54"/>
    <mergeCell ref="A66:F66"/>
    <mergeCell ref="A67:F67"/>
    <mergeCell ref="A76:F76"/>
    <mergeCell ref="A77:F77"/>
    <mergeCell ref="A90:F90"/>
    <mergeCell ref="A91:F91"/>
    <mergeCell ref="A98:F98"/>
    <mergeCell ref="A99:F99"/>
    <mergeCell ref="A108:F108"/>
    <mergeCell ref="A109:F109"/>
    <mergeCell ref="A122:F122"/>
    <mergeCell ref="A123:F123"/>
    <mergeCell ref="A133:F133"/>
    <mergeCell ref="A134:F134"/>
  </mergeCells>
  <pageMargins left="0.7" right="0.7" top="0.75" bottom="0.75" header="0.3" footer="0.3"/>
  <pageSetup orientation="portrait" horizontalDpi="4294967295" verticalDpi="4294967295" scale="100" fitToWidth="1" fitToHeight="1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7483</v>
      </c>
    </row>
    <row r="2" spans="1:1" x14ac:dyDescent="0.25">
      <c r="A2" s="4" t="s">
        <v>7078</v>
      </c>
    </row>
    <row r="4" ht="30" customHeight="1" spans="1:6" x14ac:dyDescent="0.25">
      <c r="A4" s="5" t="s">
        <v>7484</v>
      </c>
      <c r="B4" s="5"/>
      <c r="C4" s="5"/>
      <c r="D4" s="5"/>
      <c r="E4" s="5"/>
      <c r="F4" s="5"/>
    </row>
    <row r="5" ht="42" customHeight="1" spans="1:6" x14ac:dyDescent="0.25">
      <c r="A5" s="6" t="s">
        <v>7485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4052</v>
      </c>
      <c r="B7" t="s">
        <v>4078</v>
      </c>
      <c r="C7" t="s">
        <v>287</v>
      </c>
      <c r="D7" s="7">
        <v>4</v>
      </c>
      <c r="E7" s="2">
        <v>157100</v>
      </c>
      <c r="F7" s="2">
        <v>628400</v>
      </c>
    </row>
    <row r="8" spans="1:6" x14ac:dyDescent="0.25">
      <c r="A8" t="s">
        <v>4055</v>
      </c>
      <c r="D8" s="7"/>
      <c r="E8" s="2"/>
      <c r="F8" s="2">
        <f>SUBTOTAL(109,A_3_11_01[VALOR PARCIAL])</f>
      </c>
    </row>
    <row r="10" ht="30" customHeight="1" spans="1:6" x14ac:dyDescent="0.25">
      <c r="A10" s="5" t="s">
        <v>7486</v>
      </c>
      <c r="B10" s="5"/>
      <c r="C10" s="5"/>
      <c r="D10" s="5"/>
      <c r="E10" s="5"/>
      <c r="F10" s="5"/>
    </row>
    <row r="11" ht="42" customHeight="1" spans="1:6" x14ac:dyDescent="0.25">
      <c r="A11" s="6" t="s">
        <v>7487</v>
      </c>
      <c r="B11" s="6"/>
      <c r="C11" s="6"/>
      <c r="D11" s="6"/>
      <c r="E11" s="6"/>
      <c r="F11" s="6"/>
    </row>
    <row r="12" spans="1:6" x14ac:dyDescent="0.25">
      <c r="A12" t="s">
        <v>4044</v>
      </c>
      <c r="B12" t="s">
        <v>4045</v>
      </c>
      <c r="C12" t="s">
        <v>5</v>
      </c>
      <c r="D12" t="s">
        <v>4046</v>
      </c>
      <c r="E12" t="s">
        <v>4047</v>
      </c>
      <c r="F12" t="s">
        <v>4048</v>
      </c>
    </row>
    <row r="13" spans="1:6" x14ac:dyDescent="0.25">
      <c r="A13" t="s">
        <v>4049</v>
      </c>
      <c r="B13" t="s">
        <v>4176</v>
      </c>
      <c r="C13" t="s">
        <v>4177</v>
      </c>
      <c r="D13" s="7">
        <v>1</v>
      </c>
      <c r="E13" s="2">
        <v>72300.17</v>
      </c>
      <c r="F13" s="2">
        <v>72300.17</v>
      </c>
    </row>
    <row r="14" spans="1:6" x14ac:dyDescent="0.25">
      <c r="A14" t="s">
        <v>4052</v>
      </c>
      <c r="B14" t="s">
        <v>4077</v>
      </c>
      <c r="C14" t="s">
        <v>287</v>
      </c>
      <c r="D14" s="7">
        <v>18.18</v>
      </c>
      <c r="E14" s="2">
        <v>74712.95</v>
      </c>
      <c r="F14" s="2">
        <v>1358415.91</v>
      </c>
    </row>
    <row r="15" spans="1:6" x14ac:dyDescent="0.25">
      <c r="A15" t="s">
        <v>4052</v>
      </c>
      <c r="B15" t="s">
        <v>4078</v>
      </c>
      <c r="C15" t="s">
        <v>287</v>
      </c>
      <c r="D15" s="7">
        <v>18.18</v>
      </c>
      <c r="E15" s="2">
        <v>157100</v>
      </c>
      <c r="F15" s="2">
        <v>2856360.78</v>
      </c>
    </row>
    <row r="16" spans="1:6" x14ac:dyDescent="0.25">
      <c r="A16" t="s">
        <v>4052</v>
      </c>
      <c r="B16" t="s">
        <v>4081</v>
      </c>
      <c r="C16" t="s">
        <v>287</v>
      </c>
      <c r="D16" s="7">
        <v>18.18</v>
      </c>
      <c r="E16" s="2">
        <v>98968.79</v>
      </c>
      <c r="F16" s="2">
        <v>1799430.75</v>
      </c>
    </row>
    <row r="17" spans="1:6" x14ac:dyDescent="0.25">
      <c r="A17" t="s">
        <v>4055</v>
      </c>
      <c r="D17" s="7"/>
      <c r="E17" s="2"/>
      <c r="F17" s="2">
        <f>SUBTOTAL(109,A_3_11_02[VALOR PARCIAL])</f>
      </c>
    </row>
    <row r="19" ht="30" customHeight="1" spans="1:6" x14ac:dyDescent="0.25">
      <c r="A19" s="5" t="s">
        <v>7488</v>
      </c>
      <c r="B19" s="5"/>
      <c r="C19" s="5"/>
      <c r="D19" s="5"/>
      <c r="E19" s="5"/>
      <c r="F19" s="5"/>
    </row>
    <row r="20" ht="42" customHeight="1" spans="1:6" x14ac:dyDescent="0.25">
      <c r="A20" s="6" t="s">
        <v>7489</v>
      </c>
      <c r="B20" s="6"/>
      <c r="C20" s="6"/>
      <c r="D20" s="6"/>
      <c r="E20" s="6"/>
      <c r="F20" s="6"/>
    </row>
    <row r="21" spans="1:6" x14ac:dyDescent="0.25">
      <c r="A21" t="s">
        <v>4044</v>
      </c>
      <c r="B21" t="s">
        <v>4045</v>
      </c>
      <c r="C21" t="s">
        <v>5</v>
      </c>
      <c r="D21" t="s">
        <v>4046</v>
      </c>
      <c r="E21" t="s">
        <v>4047</v>
      </c>
      <c r="F21" t="s">
        <v>4048</v>
      </c>
    </row>
    <row r="22" spans="1:6" x14ac:dyDescent="0.25">
      <c r="A22" t="s">
        <v>4049</v>
      </c>
      <c r="B22" t="s">
        <v>4176</v>
      </c>
      <c r="C22" t="s">
        <v>4177</v>
      </c>
      <c r="D22" s="7">
        <v>3</v>
      </c>
      <c r="E22" s="2">
        <v>72300.17</v>
      </c>
      <c r="F22" s="2">
        <v>216900.51</v>
      </c>
    </row>
    <row r="23" spans="1:6" x14ac:dyDescent="0.25">
      <c r="A23" t="s">
        <v>4052</v>
      </c>
      <c r="B23" t="s">
        <v>4053</v>
      </c>
      <c r="C23" t="s">
        <v>4054</v>
      </c>
      <c r="D23" s="7">
        <v>3.3</v>
      </c>
      <c r="E23" s="2">
        <v>216900.51</v>
      </c>
      <c r="F23" s="2">
        <v>7157.72</v>
      </c>
    </row>
    <row r="24" spans="1:6" x14ac:dyDescent="0.25">
      <c r="A24" t="s">
        <v>4055</v>
      </c>
      <c r="D24" s="7"/>
      <c r="E24" s="2"/>
      <c r="F24" s="2">
        <f>SUBTOTAL(109,A_3_11_03[VALOR PARCIAL])</f>
      </c>
    </row>
    <row r="26" ht="30" customHeight="1" spans="1:6" x14ac:dyDescent="0.25">
      <c r="A26" s="5" t="s">
        <v>7490</v>
      </c>
      <c r="B26" s="5"/>
      <c r="C26" s="5"/>
      <c r="D26" s="5"/>
      <c r="E26" s="5"/>
      <c r="F26" s="5"/>
    </row>
    <row r="27" ht="42" customHeight="1" spans="1:6" x14ac:dyDescent="0.25">
      <c r="A27" s="6" t="s">
        <v>7491</v>
      </c>
      <c r="B27" s="6"/>
      <c r="C27" s="6"/>
      <c r="D27" s="6"/>
      <c r="E27" s="6"/>
      <c r="F27" s="6"/>
    </row>
    <row r="28" spans="1:6" x14ac:dyDescent="0.25">
      <c r="A28" t="s">
        <v>4044</v>
      </c>
      <c r="B28" t="s">
        <v>4045</v>
      </c>
      <c r="C28" t="s">
        <v>5</v>
      </c>
      <c r="D28" t="s">
        <v>4046</v>
      </c>
      <c r="E28" t="s">
        <v>4047</v>
      </c>
      <c r="F28" t="s">
        <v>4048</v>
      </c>
    </row>
    <row r="29" spans="1:6" x14ac:dyDescent="0.25">
      <c r="A29" t="s">
        <v>4049</v>
      </c>
      <c r="B29" t="s">
        <v>4176</v>
      </c>
      <c r="C29" t="s">
        <v>4177</v>
      </c>
      <c r="D29" s="7">
        <v>0.08</v>
      </c>
      <c r="E29" s="2">
        <v>72300.17</v>
      </c>
      <c r="F29" s="2">
        <v>5422.51</v>
      </c>
    </row>
    <row r="30" spans="1:6" x14ac:dyDescent="0.25">
      <c r="A30" t="s">
        <v>4052</v>
      </c>
      <c r="B30" t="s">
        <v>4053</v>
      </c>
      <c r="C30" t="s">
        <v>4054</v>
      </c>
      <c r="D30" s="7">
        <v>3.3</v>
      </c>
      <c r="E30" s="2">
        <v>5422.51</v>
      </c>
      <c r="F30" s="2">
        <v>178.94</v>
      </c>
    </row>
    <row r="31" spans="1:6" x14ac:dyDescent="0.25">
      <c r="A31" t="s">
        <v>4055</v>
      </c>
      <c r="D31" s="7"/>
      <c r="E31" s="2"/>
      <c r="F31" s="2">
        <f>SUBTOTAL(109,A_3_11_04[VALOR PARCIAL])</f>
      </c>
    </row>
    <row r="33" ht="30" customHeight="1" spans="1:6" x14ac:dyDescent="0.25">
      <c r="A33" s="5" t="s">
        <v>7492</v>
      </c>
      <c r="B33" s="5"/>
      <c r="C33" s="5"/>
      <c r="D33" s="5"/>
      <c r="E33" s="5"/>
      <c r="F33" s="5"/>
    </row>
    <row r="34" ht="42" customHeight="1" spans="1:6" x14ac:dyDescent="0.25">
      <c r="A34" s="6" t="s">
        <v>7493</v>
      </c>
      <c r="B34" s="6"/>
      <c r="C34" s="6"/>
      <c r="D34" s="6"/>
      <c r="E34" s="6"/>
      <c r="F34" s="6"/>
    </row>
    <row r="35" spans="1:6" x14ac:dyDescent="0.25">
      <c r="A35" t="s">
        <v>4044</v>
      </c>
      <c r="B35" t="s">
        <v>4045</v>
      </c>
      <c r="C35" t="s">
        <v>5</v>
      </c>
      <c r="D35" t="s">
        <v>4046</v>
      </c>
      <c r="E35" t="s">
        <v>4047</v>
      </c>
      <c r="F35" t="s">
        <v>4048</v>
      </c>
    </row>
    <row r="36" spans="1:6" x14ac:dyDescent="0.25">
      <c r="A36" t="s">
        <v>4049</v>
      </c>
      <c r="B36" t="s">
        <v>4176</v>
      </c>
      <c r="C36" t="s">
        <v>4177</v>
      </c>
      <c r="D36" s="7">
        <v>0.04</v>
      </c>
      <c r="E36" s="2">
        <v>72300.17</v>
      </c>
      <c r="F36" s="2">
        <v>2711.26</v>
      </c>
    </row>
    <row r="37" spans="1:6" x14ac:dyDescent="0.25">
      <c r="A37" t="s">
        <v>4052</v>
      </c>
      <c r="B37" t="s">
        <v>4053</v>
      </c>
      <c r="C37" t="s">
        <v>4054</v>
      </c>
      <c r="D37" s="7">
        <v>3.3</v>
      </c>
      <c r="E37" s="2">
        <v>2711.26</v>
      </c>
      <c r="F37" s="2">
        <v>89.47</v>
      </c>
    </row>
    <row r="38" spans="1:6" x14ac:dyDescent="0.25">
      <c r="A38" t="s">
        <v>4055</v>
      </c>
      <c r="D38" s="7"/>
      <c r="E38" s="2"/>
      <c r="F38" s="2">
        <f>SUBTOTAL(109,A_3_11_05[VALOR PARCIAL])</f>
      </c>
    </row>
    <row r="40" ht="30" customHeight="1" spans="1:6" x14ac:dyDescent="0.25">
      <c r="A40" s="5" t="s">
        <v>7494</v>
      </c>
      <c r="B40" s="5"/>
      <c r="C40" s="5"/>
      <c r="D40" s="5"/>
      <c r="E40" s="5"/>
      <c r="F40" s="5"/>
    </row>
    <row r="41" ht="42" customHeight="1" spans="1:6" x14ac:dyDescent="0.25">
      <c r="A41" s="6" t="s">
        <v>7495</v>
      </c>
      <c r="B41" s="6"/>
      <c r="C41" s="6"/>
      <c r="D41" s="6"/>
      <c r="E41" s="6"/>
      <c r="F41" s="6"/>
    </row>
    <row r="42" spans="1:6" x14ac:dyDescent="0.25">
      <c r="A42" t="s">
        <v>4044</v>
      </c>
      <c r="B42" t="s">
        <v>4045</v>
      </c>
      <c r="C42" t="s">
        <v>5</v>
      </c>
      <c r="D42" t="s">
        <v>4046</v>
      </c>
      <c r="E42" t="s">
        <v>4047</v>
      </c>
      <c r="F42" t="s">
        <v>4048</v>
      </c>
    </row>
    <row r="43" spans="1:6" x14ac:dyDescent="0.25">
      <c r="A43" t="s">
        <v>4049</v>
      </c>
      <c r="B43" t="s">
        <v>4176</v>
      </c>
      <c r="C43" t="s">
        <v>4177</v>
      </c>
      <c r="D43" s="7">
        <v>3.53</v>
      </c>
      <c r="E43" s="2">
        <v>72300.17</v>
      </c>
      <c r="F43" s="2">
        <v>255183.45</v>
      </c>
    </row>
    <row r="44" spans="1:6" x14ac:dyDescent="0.25">
      <c r="A44" t="s">
        <v>4052</v>
      </c>
      <c r="B44" t="s">
        <v>4053</v>
      </c>
      <c r="C44" t="s">
        <v>4054</v>
      </c>
      <c r="D44" s="7">
        <v>3.3</v>
      </c>
      <c r="E44" s="2">
        <v>255183.45</v>
      </c>
      <c r="F44" s="2">
        <v>8421.05</v>
      </c>
    </row>
    <row r="45" spans="1:6" x14ac:dyDescent="0.25">
      <c r="A45" t="s">
        <v>4055</v>
      </c>
      <c r="D45" s="7"/>
      <c r="E45" s="2"/>
      <c r="F45" s="2">
        <f>SUBTOTAL(109,A_3_11_06[VALOR PARCIAL])</f>
      </c>
    </row>
    <row r="47" ht="30" customHeight="1" spans="1:6" x14ac:dyDescent="0.25">
      <c r="A47" s="5" t="s">
        <v>7496</v>
      </c>
      <c r="B47" s="5"/>
      <c r="C47" s="5"/>
      <c r="D47" s="5"/>
      <c r="E47" s="5"/>
      <c r="F47" s="5"/>
    </row>
    <row r="48" ht="42" customHeight="1" spans="1:6" x14ac:dyDescent="0.25">
      <c r="A48" s="6" t="s">
        <v>7497</v>
      </c>
      <c r="B48" s="6"/>
      <c r="C48" s="6"/>
      <c r="D48" s="6"/>
      <c r="E48" s="6"/>
      <c r="F48" s="6"/>
    </row>
    <row r="49" spans="1:6" x14ac:dyDescent="0.25">
      <c r="A49" t="s">
        <v>4044</v>
      </c>
      <c r="B49" t="s">
        <v>4045</v>
      </c>
      <c r="C49" t="s">
        <v>5</v>
      </c>
      <c r="D49" t="s">
        <v>4046</v>
      </c>
      <c r="E49" t="s">
        <v>4047</v>
      </c>
      <c r="F49" t="s">
        <v>4048</v>
      </c>
    </row>
    <row r="50" spans="1:6" x14ac:dyDescent="0.25">
      <c r="A50" t="s">
        <v>4049</v>
      </c>
      <c r="B50" t="s">
        <v>4176</v>
      </c>
      <c r="C50" t="s">
        <v>4177</v>
      </c>
      <c r="D50" s="7">
        <v>3.48</v>
      </c>
      <c r="E50" s="2">
        <v>72300.17</v>
      </c>
      <c r="F50" s="2">
        <v>251604.59</v>
      </c>
    </row>
    <row r="51" spans="1:6" x14ac:dyDescent="0.25">
      <c r="A51" t="s">
        <v>4052</v>
      </c>
      <c r="B51" t="s">
        <v>7085</v>
      </c>
      <c r="C51" t="s">
        <v>287</v>
      </c>
      <c r="D51" s="7">
        <v>26.67</v>
      </c>
      <c r="E51" s="2">
        <v>7226.17</v>
      </c>
      <c r="F51" s="2">
        <v>192693.05</v>
      </c>
    </row>
    <row r="52" spans="1:6" x14ac:dyDescent="0.25">
      <c r="A52" t="s">
        <v>4052</v>
      </c>
      <c r="B52" t="s">
        <v>4053</v>
      </c>
      <c r="C52" t="s">
        <v>4054</v>
      </c>
      <c r="D52" s="7">
        <v>3.3</v>
      </c>
      <c r="E52" s="2">
        <v>251604.59</v>
      </c>
      <c r="F52" s="2">
        <v>8302.95</v>
      </c>
    </row>
    <row r="53" spans="1:6" x14ac:dyDescent="0.25">
      <c r="A53" t="s">
        <v>4058</v>
      </c>
      <c r="B53" t="s">
        <v>4059</v>
      </c>
      <c r="C53" t="s">
        <v>3545</v>
      </c>
      <c r="D53" s="7">
        <v>25</v>
      </c>
      <c r="E53" s="2">
        <v>1325</v>
      </c>
      <c r="F53" s="2">
        <v>33125</v>
      </c>
    </row>
    <row r="54" spans="1:6" x14ac:dyDescent="0.25">
      <c r="A54" t="s">
        <v>4055</v>
      </c>
      <c r="D54" s="7"/>
      <c r="E54" s="2"/>
      <c r="F54" s="2">
        <f>SUBTOTAL(109,A_3_11_07[VALOR PARCIAL])</f>
      </c>
    </row>
  </sheetData>
  <mergeCells count="14">
    <mergeCell ref="A4:F4"/>
    <mergeCell ref="A5:F5"/>
    <mergeCell ref="A10:F10"/>
    <mergeCell ref="A11:F11"/>
    <mergeCell ref="A19:F19"/>
    <mergeCell ref="A20:F20"/>
    <mergeCell ref="A26:F26"/>
    <mergeCell ref="A27:F27"/>
    <mergeCell ref="A33:F33"/>
    <mergeCell ref="A34:F34"/>
    <mergeCell ref="A40:F40"/>
    <mergeCell ref="A41:F41"/>
    <mergeCell ref="A47:F47"/>
    <mergeCell ref="A48:F48"/>
  </mergeCells>
  <pageMargins left="0.7" right="0.7" top="0.75" bottom="0.75" header="0.3" footer="0.3"/>
  <pageSetup orientation="portrait" horizontalDpi="4294967295" verticalDpi="4294967295" scale="100" fitToWidth="1" fitToHeight="1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7498</v>
      </c>
    </row>
    <row r="2" spans="1:1" x14ac:dyDescent="0.25">
      <c r="A2" s="4" t="s">
        <v>5794</v>
      </c>
    </row>
    <row r="4" ht="30" customHeight="1" spans="1:6" x14ac:dyDescent="0.25">
      <c r="A4" s="5" t="s">
        <v>7499</v>
      </c>
      <c r="B4" s="5"/>
      <c r="C4" s="5"/>
      <c r="D4" s="5"/>
      <c r="E4" s="5"/>
      <c r="F4" s="5"/>
    </row>
    <row r="5" ht="42" customHeight="1" spans="1:6" x14ac:dyDescent="0.25">
      <c r="A5" s="6" t="s">
        <v>7500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4052</v>
      </c>
      <c r="B7" t="s">
        <v>4118</v>
      </c>
      <c r="C7" t="s">
        <v>287</v>
      </c>
      <c r="D7" s="7">
        <v>0.03</v>
      </c>
      <c r="E7" s="2">
        <v>107433.33</v>
      </c>
      <c r="F7" s="2">
        <v>3577.53</v>
      </c>
    </row>
    <row r="8" spans="1:6" x14ac:dyDescent="0.25">
      <c r="A8" t="s">
        <v>4058</v>
      </c>
      <c r="B8" t="s">
        <v>4059</v>
      </c>
      <c r="C8" t="s">
        <v>3545</v>
      </c>
      <c r="D8" s="7">
        <v>1</v>
      </c>
      <c r="E8" s="2">
        <v>1325</v>
      </c>
      <c r="F8" s="2">
        <v>1325</v>
      </c>
    </row>
    <row r="9" spans="1:6" x14ac:dyDescent="0.25">
      <c r="A9" t="s">
        <v>4055</v>
      </c>
      <c r="D9" s="7"/>
      <c r="E9" s="2"/>
      <c r="F9" s="2">
        <f>SUBTOTAL(109,A_3_12_01[VALOR PARCIAL])</f>
      </c>
    </row>
    <row r="11" ht="30" customHeight="1" spans="1:6" x14ac:dyDescent="0.25">
      <c r="A11" s="5" t="s">
        <v>7501</v>
      </c>
      <c r="B11" s="5"/>
      <c r="C11" s="5"/>
      <c r="D11" s="5"/>
      <c r="E11" s="5"/>
      <c r="F11" s="5"/>
    </row>
    <row r="12" ht="42" customHeight="1" spans="1:6" x14ac:dyDescent="0.25">
      <c r="A12" s="6" t="s">
        <v>7502</v>
      </c>
      <c r="B12" s="6"/>
      <c r="C12" s="6"/>
      <c r="D12" s="6"/>
      <c r="E12" s="6"/>
      <c r="F12" s="6"/>
    </row>
    <row r="13" spans="1:6" x14ac:dyDescent="0.25">
      <c r="A13" t="s">
        <v>4044</v>
      </c>
      <c r="B13" t="s">
        <v>4045</v>
      </c>
      <c r="C13" t="s">
        <v>5</v>
      </c>
      <c r="D13" t="s">
        <v>4046</v>
      </c>
      <c r="E13" t="s">
        <v>4047</v>
      </c>
      <c r="F13" t="s">
        <v>4048</v>
      </c>
    </row>
    <row r="14" spans="1:6" x14ac:dyDescent="0.25">
      <c r="A14" t="s">
        <v>4058</v>
      </c>
      <c r="B14" t="s">
        <v>4059</v>
      </c>
      <c r="C14" t="s">
        <v>3545</v>
      </c>
      <c r="D14" s="7">
        <v>1</v>
      </c>
      <c r="E14" s="2">
        <v>1325</v>
      </c>
      <c r="F14" s="2">
        <v>1325</v>
      </c>
    </row>
    <row r="15" spans="1:6" x14ac:dyDescent="0.25">
      <c r="A15" t="s">
        <v>4055</v>
      </c>
      <c r="D15" s="7"/>
      <c r="E15" s="2"/>
      <c r="F15" s="2">
        <f>SUBTOTAL(109,A_3_12_02[VALOR PARCIAL])</f>
      </c>
    </row>
    <row r="17" ht="30" customHeight="1" spans="1:6" x14ac:dyDescent="0.25">
      <c r="A17" s="5" t="s">
        <v>7503</v>
      </c>
      <c r="B17" s="5"/>
      <c r="C17" s="5"/>
      <c r="D17" s="5"/>
      <c r="E17" s="5"/>
      <c r="F17" s="5"/>
    </row>
    <row r="18" ht="42" customHeight="1" spans="1:6" x14ac:dyDescent="0.25">
      <c r="A18" s="6" t="s">
        <v>7504</v>
      </c>
      <c r="B18" s="6"/>
      <c r="C18" s="6"/>
      <c r="D18" s="6"/>
      <c r="E18" s="6"/>
      <c r="F18" s="6"/>
    </row>
    <row r="19" spans="1:6" x14ac:dyDescent="0.25">
      <c r="A19" t="s">
        <v>4044</v>
      </c>
      <c r="B19" t="s">
        <v>4045</v>
      </c>
      <c r="C19" t="s">
        <v>5</v>
      </c>
      <c r="D19" t="s">
        <v>4046</v>
      </c>
      <c r="E19" t="s">
        <v>4047</v>
      </c>
      <c r="F19" t="s">
        <v>4048</v>
      </c>
    </row>
    <row r="20" spans="1:6" x14ac:dyDescent="0.25">
      <c r="A20" t="s">
        <v>4058</v>
      </c>
      <c r="B20" t="s">
        <v>4059</v>
      </c>
      <c r="C20" t="s">
        <v>3545</v>
      </c>
      <c r="D20" s="7">
        <v>1.25</v>
      </c>
      <c r="E20" s="2">
        <v>1325</v>
      </c>
      <c r="F20" s="2">
        <v>1656.25</v>
      </c>
    </row>
    <row r="21" spans="1:6" x14ac:dyDescent="0.25">
      <c r="A21" t="s">
        <v>4055</v>
      </c>
      <c r="D21" s="7"/>
      <c r="E21" s="2"/>
      <c r="F21" s="2">
        <f>SUBTOTAL(109,A_3_12_03[VALOR PARCIAL])</f>
      </c>
    </row>
    <row r="23" ht="30" customHeight="1" spans="1:6" x14ac:dyDescent="0.25">
      <c r="A23" s="5" t="s">
        <v>7505</v>
      </c>
      <c r="B23" s="5"/>
      <c r="C23" s="5"/>
      <c r="D23" s="5"/>
      <c r="E23" s="5"/>
      <c r="F23" s="5"/>
    </row>
    <row r="24" ht="42" customHeight="1" spans="1:6" x14ac:dyDescent="0.25">
      <c r="A24" s="6" t="s">
        <v>7506</v>
      </c>
      <c r="B24" s="6"/>
      <c r="C24" s="6"/>
      <c r="D24" s="6"/>
      <c r="E24" s="6"/>
      <c r="F24" s="6"/>
    </row>
    <row r="25" spans="1:6" x14ac:dyDescent="0.25">
      <c r="A25" t="s">
        <v>4044</v>
      </c>
      <c r="B25" t="s">
        <v>4045</v>
      </c>
      <c r="C25" t="s">
        <v>5</v>
      </c>
      <c r="D25" t="s">
        <v>4046</v>
      </c>
      <c r="E25" t="s">
        <v>4047</v>
      </c>
      <c r="F25" t="s">
        <v>4048</v>
      </c>
    </row>
    <row r="26" spans="1:6" x14ac:dyDescent="0.25">
      <c r="A26" t="s">
        <v>4058</v>
      </c>
      <c r="B26" t="s">
        <v>4059</v>
      </c>
      <c r="C26" t="s">
        <v>3545</v>
      </c>
      <c r="D26" s="7">
        <v>1.25</v>
      </c>
      <c r="E26" s="2">
        <v>1325</v>
      </c>
      <c r="F26" s="2">
        <v>1656.25</v>
      </c>
    </row>
    <row r="27" spans="1:6" x14ac:dyDescent="0.25">
      <c r="A27" t="s">
        <v>4055</v>
      </c>
      <c r="D27" s="7"/>
      <c r="E27" s="2"/>
      <c r="F27" s="2">
        <f>SUBTOTAL(109,A_3_12_04[VALOR PARCIAL])</f>
      </c>
    </row>
    <row r="29" ht="30" customHeight="1" spans="1:6" x14ac:dyDescent="0.25">
      <c r="A29" s="5" t="s">
        <v>7507</v>
      </c>
      <c r="B29" s="5"/>
      <c r="C29" s="5"/>
      <c r="D29" s="5"/>
      <c r="E29" s="5"/>
      <c r="F29" s="5"/>
    </row>
    <row r="30" ht="42" customHeight="1" spans="1:6" x14ac:dyDescent="0.25">
      <c r="A30" s="6" t="s">
        <v>7508</v>
      </c>
      <c r="B30" s="6"/>
      <c r="C30" s="6"/>
      <c r="D30" s="6"/>
      <c r="E30" s="6"/>
      <c r="F30" s="6"/>
    </row>
    <row r="31" spans="1:6" x14ac:dyDescent="0.25">
      <c r="A31" t="s">
        <v>4044</v>
      </c>
      <c r="B31" t="s">
        <v>4045</v>
      </c>
      <c r="C31" t="s">
        <v>5</v>
      </c>
      <c r="D31" t="s">
        <v>4046</v>
      </c>
      <c r="E31" t="s">
        <v>4047</v>
      </c>
      <c r="F31" t="s">
        <v>4048</v>
      </c>
    </row>
    <row r="32" spans="1:6" x14ac:dyDescent="0.25">
      <c r="A32" t="s">
        <v>4058</v>
      </c>
      <c r="B32" t="s">
        <v>7278</v>
      </c>
      <c r="C32" t="s">
        <v>3545</v>
      </c>
      <c r="D32" s="7">
        <v>1.25</v>
      </c>
      <c r="E32" s="2">
        <v>1537</v>
      </c>
      <c r="F32" s="2">
        <v>1921.25</v>
      </c>
    </row>
    <row r="33" spans="1:6" x14ac:dyDescent="0.25">
      <c r="A33" t="s">
        <v>4055</v>
      </c>
      <c r="D33" s="7"/>
      <c r="E33" s="2"/>
      <c r="F33" s="2">
        <f>SUBTOTAL(109,A_3_12_05[VALOR PARCIAL])</f>
      </c>
    </row>
    <row r="35" ht="30" customHeight="1" spans="1:6" x14ac:dyDescent="0.25">
      <c r="A35" s="5" t="s">
        <v>7509</v>
      </c>
      <c r="B35" s="5"/>
      <c r="C35" s="5"/>
      <c r="D35" s="5"/>
      <c r="E35" s="5"/>
      <c r="F35" s="5"/>
    </row>
    <row r="36" ht="42" customHeight="1" spans="1:6" x14ac:dyDescent="0.25">
      <c r="A36" s="6" t="s">
        <v>7510</v>
      </c>
      <c r="B36" s="6"/>
      <c r="C36" s="6"/>
      <c r="D36" s="6"/>
      <c r="E36" s="6"/>
      <c r="F36" s="6"/>
    </row>
    <row r="37" spans="1:6" x14ac:dyDescent="0.25">
      <c r="A37" t="s">
        <v>4044</v>
      </c>
      <c r="B37" t="s">
        <v>4045</v>
      </c>
      <c r="C37" t="s">
        <v>5</v>
      </c>
      <c r="D37" t="s">
        <v>4046</v>
      </c>
      <c r="E37" t="s">
        <v>4047</v>
      </c>
      <c r="F37" t="s">
        <v>4048</v>
      </c>
    </row>
    <row r="38" spans="1:6" x14ac:dyDescent="0.25">
      <c r="A38" t="s">
        <v>4058</v>
      </c>
      <c r="B38" t="s">
        <v>7097</v>
      </c>
      <c r="C38" t="s">
        <v>7098</v>
      </c>
      <c r="D38" s="7">
        <v>1</v>
      </c>
      <c r="E38" s="2">
        <v>146.18</v>
      </c>
      <c r="F38" s="2">
        <v>146.18</v>
      </c>
    </row>
    <row r="39" spans="1:6" x14ac:dyDescent="0.25">
      <c r="A39" t="s">
        <v>4055</v>
      </c>
      <c r="D39" s="7"/>
      <c r="E39" s="2"/>
      <c r="F39" s="2">
        <f>SUBTOTAL(109,A_3_12_06[VALOR PARCIAL])</f>
      </c>
    </row>
  </sheetData>
  <mergeCells count="12">
    <mergeCell ref="A4:F4"/>
    <mergeCell ref="A5:F5"/>
    <mergeCell ref="A11:F11"/>
    <mergeCell ref="A12:F12"/>
    <mergeCell ref="A17:F17"/>
    <mergeCell ref="A18:F18"/>
    <mergeCell ref="A23:F23"/>
    <mergeCell ref="A24:F24"/>
    <mergeCell ref="A29:F29"/>
    <mergeCell ref="A30:F30"/>
    <mergeCell ref="A35:F35"/>
    <mergeCell ref="A36:F36"/>
  </mergeCells>
  <pageMargins left="0.7" right="0.7" top="0.75" bottom="0.75" header="0.3" footer="0.3"/>
  <pageSetup orientation="portrait" horizontalDpi="4294967295" verticalDpi="4294967295" scale="100" fitToWidth="1" fitToHeight="1"/>
  <tableParts count="6">
    <tablePart r:id="rId1"/>
    <tablePart r:id="rId2"/>
    <tablePart r:id="rId3"/>
    <tablePart r:id="rId4"/>
    <tablePart r:id="rId5"/>
    <tablePart r:id="rId6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9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7511</v>
      </c>
    </row>
    <row r="2" spans="1:1" x14ac:dyDescent="0.25">
      <c r="A2" s="4" t="s">
        <v>7512</v>
      </c>
    </row>
    <row r="4" ht="30" customHeight="1" spans="1:6" x14ac:dyDescent="0.25">
      <c r="A4" s="5" t="s">
        <v>7513</v>
      </c>
      <c r="B4" s="5"/>
      <c r="C4" s="5"/>
      <c r="D4" s="5"/>
      <c r="E4" s="5"/>
      <c r="F4" s="5"/>
    </row>
    <row r="5" ht="42" customHeight="1" spans="1:6" x14ac:dyDescent="0.25">
      <c r="A5" s="6" t="s">
        <v>7514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4390</v>
      </c>
      <c r="C7" t="s">
        <v>231</v>
      </c>
      <c r="D7" s="7">
        <v>0.02</v>
      </c>
      <c r="E7" s="2">
        <v>4155</v>
      </c>
      <c r="F7" s="2">
        <v>83.1</v>
      </c>
    </row>
    <row r="8" spans="1:6" x14ac:dyDescent="0.25">
      <c r="A8" t="s">
        <v>4062</v>
      </c>
      <c r="B8" t="s">
        <v>7515</v>
      </c>
      <c r="C8" t="s">
        <v>63</v>
      </c>
      <c r="D8" s="7">
        <v>0</v>
      </c>
      <c r="E8" s="2">
        <v>20035</v>
      </c>
      <c r="F8" s="2">
        <v>80.14</v>
      </c>
    </row>
    <row r="9" spans="1:6" x14ac:dyDescent="0.25">
      <c r="A9" t="s">
        <v>4062</v>
      </c>
      <c r="B9" t="s">
        <v>7516</v>
      </c>
      <c r="C9" t="s">
        <v>231</v>
      </c>
      <c r="D9" s="7">
        <v>0.09</v>
      </c>
      <c r="E9" s="2">
        <v>6479</v>
      </c>
      <c r="F9" s="2">
        <v>550.72</v>
      </c>
    </row>
    <row r="10" spans="1:6" x14ac:dyDescent="0.25">
      <c r="A10" t="s">
        <v>4062</v>
      </c>
      <c r="B10" t="s">
        <v>7517</v>
      </c>
      <c r="C10" t="s">
        <v>231</v>
      </c>
      <c r="D10" s="7">
        <v>0</v>
      </c>
      <c r="E10" s="2">
        <v>67691</v>
      </c>
      <c r="F10" s="2">
        <v>67.69</v>
      </c>
    </row>
    <row r="11" spans="1:6" x14ac:dyDescent="0.25">
      <c r="A11" t="s">
        <v>4062</v>
      </c>
      <c r="B11" t="s">
        <v>3962</v>
      </c>
      <c r="C11" t="s">
        <v>3963</v>
      </c>
      <c r="D11" s="7">
        <v>0.07</v>
      </c>
      <c r="E11" s="2">
        <v>315.67</v>
      </c>
      <c r="F11" s="2">
        <v>22.1</v>
      </c>
    </row>
    <row r="12" spans="1:6" x14ac:dyDescent="0.25">
      <c r="A12" t="s">
        <v>4062</v>
      </c>
      <c r="B12" t="s">
        <v>7518</v>
      </c>
      <c r="C12" t="s">
        <v>42</v>
      </c>
      <c r="D12" s="7">
        <v>0.06</v>
      </c>
      <c r="E12" s="2">
        <v>11489.66</v>
      </c>
      <c r="F12" s="2">
        <v>689.38</v>
      </c>
    </row>
    <row r="13" spans="1:6" x14ac:dyDescent="0.25">
      <c r="A13" t="s">
        <v>4049</v>
      </c>
      <c r="B13" t="s">
        <v>4176</v>
      </c>
      <c r="C13" t="s">
        <v>4177</v>
      </c>
      <c r="D13" s="7">
        <v>0</v>
      </c>
      <c r="E13" s="2">
        <v>72300.17</v>
      </c>
      <c r="F13" s="2">
        <v>216.9</v>
      </c>
    </row>
    <row r="14" spans="1:6" x14ac:dyDescent="0.25">
      <c r="A14" t="s">
        <v>4049</v>
      </c>
      <c r="B14" t="s">
        <v>4313</v>
      </c>
      <c r="C14" t="s">
        <v>4177</v>
      </c>
      <c r="D14" s="7">
        <v>0</v>
      </c>
      <c r="E14" s="2">
        <v>124137.15</v>
      </c>
      <c r="F14" s="2">
        <v>186.21</v>
      </c>
    </row>
    <row r="15" spans="1:6" x14ac:dyDescent="0.25">
      <c r="A15" t="s">
        <v>4052</v>
      </c>
      <c r="B15" t="s">
        <v>7519</v>
      </c>
      <c r="C15" t="s">
        <v>287</v>
      </c>
      <c r="D15" s="7">
        <v>0</v>
      </c>
      <c r="E15" s="2">
        <v>26653</v>
      </c>
      <c r="F15" s="2">
        <v>39.98</v>
      </c>
    </row>
    <row r="16" spans="1:6" x14ac:dyDescent="0.25">
      <c r="A16" t="s">
        <v>4052</v>
      </c>
      <c r="B16" t="s">
        <v>7520</v>
      </c>
      <c r="C16" t="s">
        <v>287</v>
      </c>
      <c r="D16" s="7">
        <v>0</v>
      </c>
      <c r="E16" s="2">
        <v>47892</v>
      </c>
      <c r="F16" s="2">
        <v>71.84</v>
      </c>
    </row>
    <row r="17" spans="1:6" x14ac:dyDescent="0.25">
      <c r="A17" t="s">
        <v>4052</v>
      </c>
      <c r="B17" t="s">
        <v>7521</v>
      </c>
      <c r="C17" t="s">
        <v>287</v>
      </c>
      <c r="D17" s="7">
        <v>0</v>
      </c>
      <c r="E17" s="2">
        <v>153968</v>
      </c>
      <c r="F17" s="2">
        <v>230.95</v>
      </c>
    </row>
    <row r="18" spans="1:6" x14ac:dyDescent="0.25">
      <c r="A18" t="s">
        <v>4052</v>
      </c>
      <c r="B18" t="s">
        <v>4053</v>
      </c>
      <c r="C18" t="s">
        <v>4054</v>
      </c>
      <c r="D18" s="7">
        <v>1.3</v>
      </c>
      <c r="E18" s="2">
        <v>403.11</v>
      </c>
      <c r="F18" s="2">
        <v>5.24</v>
      </c>
    </row>
    <row r="19" spans="1:6" x14ac:dyDescent="0.25">
      <c r="A19" t="s">
        <v>4055</v>
      </c>
      <c r="D19" s="7"/>
      <c r="E19" s="2"/>
      <c r="F19" s="2">
        <f>SUBTOTAL(109,A_3_13_01[VALOR PARCIAL])</f>
      </c>
    </row>
    <row r="21" ht="30" customHeight="1" spans="1:6" x14ac:dyDescent="0.25">
      <c r="A21" s="5" t="s">
        <v>7522</v>
      </c>
      <c r="B21" s="5"/>
      <c r="C21" s="5"/>
      <c r="D21" s="5"/>
      <c r="E21" s="5"/>
      <c r="F21" s="5"/>
    </row>
    <row r="22" ht="42" customHeight="1" spans="1:6" x14ac:dyDescent="0.25">
      <c r="A22" s="6" t="s">
        <v>7523</v>
      </c>
      <c r="B22" s="6"/>
      <c r="C22" s="6"/>
      <c r="D22" s="6"/>
      <c r="E22" s="6"/>
      <c r="F22" s="6"/>
    </row>
    <row r="23" spans="1:6" x14ac:dyDescent="0.25">
      <c r="A23" t="s">
        <v>4044</v>
      </c>
      <c r="B23" t="s">
        <v>4045</v>
      </c>
      <c r="C23" t="s">
        <v>5</v>
      </c>
      <c r="D23" t="s">
        <v>4046</v>
      </c>
      <c r="E23" t="s">
        <v>4047</v>
      </c>
      <c r="F23" t="s">
        <v>4048</v>
      </c>
    </row>
    <row r="24" spans="1:6" x14ac:dyDescent="0.25">
      <c r="A24" t="s">
        <v>4062</v>
      </c>
      <c r="B24" t="s">
        <v>4390</v>
      </c>
      <c r="C24" t="s">
        <v>231</v>
      </c>
      <c r="D24" s="7">
        <v>0.05</v>
      </c>
      <c r="E24" s="2">
        <v>4155</v>
      </c>
      <c r="F24" s="2">
        <v>207.75</v>
      </c>
    </row>
    <row r="25" spans="1:6" x14ac:dyDescent="0.25">
      <c r="A25" t="s">
        <v>4062</v>
      </c>
      <c r="B25" t="s">
        <v>7524</v>
      </c>
      <c r="C25" t="s">
        <v>63</v>
      </c>
      <c r="D25" s="7">
        <v>0.1</v>
      </c>
      <c r="E25" s="2">
        <v>1345.33</v>
      </c>
      <c r="F25" s="2">
        <v>134.53</v>
      </c>
    </row>
    <row r="26" spans="1:6" x14ac:dyDescent="0.25">
      <c r="A26" t="s">
        <v>4062</v>
      </c>
      <c r="B26" t="s">
        <v>7516</v>
      </c>
      <c r="C26" t="s">
        <v>231</v>
      </c>
      <c r="D26" s="7">
        <v>3</v>
      </c>
      <c r="E26" s="2">
        <v>6479</v>
      </c>
      <c r="F26" s="2">
        <v>19437</v>
      </c>
    </row>
    <row r="27" spans="1:6" x14ac:dyDescent="0.25">
      <c r="A27" t="s">
        <v>4062</v>
      </c>
      <c r="B27" t="s">
        <v>7525</v>
      </c>
      <c r="C27" t="s">
        <v>42</v>
      </c>
      <c r="D27" s="7">
        <v>0.55</v>
      </c>
      <c r="E27" s="2">
        <v>41687.5</v>
      </c>
      <c r="F27" s="2">
        <v>22928.13</v>
      </c>
    </row>
    <row r="28" spans="1:6" x14ac:dyDescent="0.25">
      <c r="A28" t="s">
        <v>4062</v>
      </c>
      <c r="B28" t="s">
        <v>7526</v>
      </c>
      <c r="C28" t="s">
        <v>63</v>
      </c>
      <c r="D28" s="7">
        <v>0.1</v>
      </c>
      <c r="E28" s="2">
        <v>594</v>
      </c>
      <c r="F28" s="2">
        <v>59.4</v>
      </c>
    </row>
    <row r="29" spans="1:6" x14ac:dyDescent="0.25">
      <c r="A29" t="s">
        <v>4062</v>
      </c>
      <c r="B29" t="s">
        <v>6195</v>
      </c>
      <c r="C29" t="s">
        <v>42</v>
      </c>
      <c r="D29" s="7">
        <v>1</v>
      </c>
      <c r="E29" s="2">
        <v>4451</v>
      </c>
      <c r="F29" s="2">
        <v>4451</v>
      </c>
    </row>
    <row r="30" spans="1:6" x14ac:dyDescent="0.25">
      <c r="A30" t="s">
        <v>4062</v>
      </c>
      <c r="B30" t="s">
        <v>4475</v>
      </c>
      <c r="C30" t="s">
        <v>231</v>
      </c>
      <c r="D30" s="7">
        <v>17.79</v>
      </c>
      <c r="E30" s="2">
        <v>730</v>
      </c>
      <c r="F30" s="2">
        <v>12983.05</v>
      </c>
    </row>
    <row r="31" spans="1:6" x14ac:dyDescent="0.25">
      <c r="A31" t="s">
        <v>4062</v>
      </c>
      <c r="B31" t="s">
        <v>4659</v>
      </c>
      <c r="C31" t="s">
        <v>4377</v>
      </c>
      <c r="D31" s="7">
        <v>0.02</v>
      </c>
      <c r="E31" s="2">
        <v>31500</v>
      </c>
      <c r="F31" s="2">
        <v>630</v>
      </c>
    </row>
    <row r="32" spans="1:6" x14ac:dyDescent="0.25">
      <c r="A32" t="s">
        <v>4062</v>
      </c>
      <c r="B32" t="s">
        <v>7527</v>
      </c>
      <c r="C32" t="s">
        <v>4532</v>
      </c>
      <c r="D32" s="7">
        <v>0.02</v>
      </c>
      <c r="E32" s="2">
        <v>243000</v>
      </c>
      <c r="F32" s="2">
        <v>4860</v>
      </c>
    </row>
    <row r="33" spans="1:6" x14ac:dyDescent="0.25">
      <c r="A33" t="s">
        <v>4062</v>
      </c>
      <c r="B33" t="s">
        <v>5673</v>
      </c>
      <c r="C33" t="s">
        <v>4377</v>
      </c>
      <c r="D33" s="7">
        <v>0.02</v>
      </c>
      <c r="E33" s="2">
        <v>38633</v>
      </c>
      <c r="F33" s="2">
        <v>579.5</v>
      </c>
    </row>
    <row r="34" spans="1:6" x14ac:dyDescent="0.25">
      <c r="A34" t="s">
        <v>4062</v>
      </c>
      <c r="B34" t="s">
        <v>4076</v>
      </c>
      <c r="C34" t="s">
        <v>3963</v>
      </c>
      <c r="D34" s="7">
        <v>100</v>
      </c>
      <c r="E34" s="2">
        <v>21</v>
      </c>
      <c r="F34" s="2">
        <v>2100</v>
      </c>
    </row>
    <row r="35" spans="1:6" x14ac:dyDescent="0.25">
      <c r="A35" t="s">
        <v>4062</v>
      </c>
      <c r="B35" t="s">
        <v>4376</v>
      </c>
      <c r="C35" t="s">
        <v>4377</v>
      </c>
      <c r="D35" s="7">
        <v>0.01</v>
      </c>
      <c r="E35" s="2">
        <v>72237.67</v>
      </c>
      <c r="F35" s="2">
        <v>650.14</v>
      </c>
    </row>
    <row r="36" spans="1:6" x14ac:dyDescent="0.25">
      <c r="A36" t="s">
        <v>4049</v>
      </c>
      <c r="B36" t="s">
        <v>4176</v>
      </c>
      <c r="C36" t="s">
        <v>4177</v>
      </c>
      <c r="D36" s="7">
        <v>0.29</v>
      </c>
      <c r="E36" s="2">
        <v>72300.17</v>
      </c>
      <c r="F36" s="2">
        <v>20663.39</v>
      </c>
    </row>
    <row r="37" spans="1:6" x14ac:dyDescent="0.25">
      <c r="A37" t="s">
        <v>4052</v>
      </c>
      <c r="B37" t="s">
        <v>7519</v>
      </c>
      <c r="C37" t="s">
        <v>287</v>
      </c>
      <c r="D37" s="7">
        <v>0.08</v>
      </c>
      <c r="E37" s="2">
        <v>26653</v>
      </c>
      <c r="F37" s="2">
        <v>2220.19</v>
      </c>
    </row>
    <row r="38" spans="1:6" x14ac:dyDescent="0.25">
      <c r="A38" t="s">
        <v>4052</v>
      </c>
      <c r="B38" t="s">
        <v>7520</v>
      </c>
      <c r="C38" t="s">
        <v>287</v>
      </c>
      <c r="D38" s="7">
        <v>0.08</v>
      </c>
      <c r="E38" s="2">
        <v>47892</v>
      </c>
      <c r="F38" s="2">
        <v>3989.4</v>
      </c>
    </row>
    <row r="39" spans="1:6" x14ac:dyDescent="0.25">
      <c r="A39" t="s">
        <v>4052</v>
      </c>
      <c r="B39" t="s">
        <v>7528</v>
      </c>
      <c r="C39" t="s">
        <v>287</v>
      </c>
      <c r="D39" s="7">
        <v>1.25</v>
      </c>
      <c r="E39" s="2">
        <v>93400</v>
      </c>
      <c r="F39" s="2">
        <v>116750</v>
      </c>
    </row>
    <row r="40" spans="1:6" x14ac:dyDescent="0.25">
      <c r="A40" t="s">
        <v>4052</v>
      </c>
      <c r="B40" t="s">
        <v>7166</v>
      </c>
      <c r="C40" t="s">
        <v>287</v>
      </c>
      <c r="D40" s="7">
        <v>1.25</v>
      </c>
      <c r="E40" s="2">
        <v>181997</v>
      </c>
      <c r="F40" s="2">
        <v>227496.25</v>
      </c>
    </row>
    <row r="41" spans="1:6" x14ac:dyDescent="0.25">
      <c r="A41" t="s">
        <v>4052</v>
      </c>
      <c r="B41" t="s">
        <v>7521</v>
      </c>
      <c r="C41" t="s">
        <v>287</v>
      </c>
      <c r="D41" s="7">
        <v>0.4</v>
      </c>
      <c r="E41" s="2">
        <v>153968</v>
      </c>
      <c r="F41" s="2">
        <v>61156.09</v>
      </c>
    </row>
    <row r="42" spans="1:6" x14ac:dyDescent="0.25">
      <c r="A42" t="s">
        <v>4052</v>
      </c>
      <c r="B42" t="s">
        <v>4053</v>
      </c>
      <c r="C42" t="s">
        <v>4054</v>
      </c>
      <c r="D42" s="7">
        <v>3.3</v>
      </c>
      <c r="E42" s="2">
        <v>20663.39</v>
      </c>
      <c r="F42" s="2">
        <v>681.89</v>
      </c>
    </row>
    <row r="43" spans="1:6" x14ac:dyDescent="0.25">
      <c r="A43" t="s">
        <v>4055</v>
      </c>
      <c r="D43" s="7"/>
      <c r="E43" s="2"/>
      <c r="F43" s="2">
        <f>SUBTOTAL(109,A_3_13_02[VALOR PARCIAL])</f>
      </c>
    </row>
    <row r="45" ht="30" customHeight="1" spans="1:6" x14ac:dyDescent="0.25">
      <c r="A45" s="5" t="s">
        <v>7529</v>
      </c>
      <c r="B45" s="5"/>
      <c r="C45" s="5"/>
      <c r="D45" s="5"/>
      <c r="E45" s="5"/>
      <c r="F45" s="5"/>
    </row>
    <row r="46" ht="42" customHeight="1" spans="1:6" x14ac:dyDescent="0.25">
      <c r="A46" s="6" t="s">
        <v>7530</v>
      </c>
      <c r="B46" s="6"/>
      <c r="C46" s="6"/>
      <c r="D46" s="6"/>
      <c r="E46" s="6"/>
      <c r="F46" s="6"/>
    </row>
    <row r="47" spans="1:6" x14ac:dyDescent="0.25">
      <c r="A47" t="s">
        <v>4044</v>
      </c>
      <c r="B47" t="s">
        <v>4045</v>
      </c>
      <c r="C47" t="s">
        <v>5</v>
      </c>
      <c r="D47" t="s">
        <v>4046</v>
      </c>
      <c r="E47" t="s">
        <v>4047</v>
      </c>
      <c r="F47" t="s">
        <v>4048</v>
      </c>
    </row>
    <row r="48" spans="1:6" x14ac:dyDescent="0.25">
      <c r="A48" t="s">
        <v>4062</v>
      </c>
      <c r="B48" t="s">
        <v>4261</v>
      </c>
      <c r="C48" t="s">
        <v>231</v>
      </c>
      <c r="D48" s="7">
        <v>42</v>
      </c>
      <c r="E48" s="2">
        <v>2982</v>
      </c>
      <c r="F48" s="2">
        <v>125244</v>
      </c>
    </row>
    <row r="49" spans="1:6" x14ac:dyDescent="0.25">
      <c r="A49" t="s">
        <v>4062</v>
      </c>
      <c r="B49" t="s">
        <v>4009</v>
      </c>
      <c r="C49" t="s">
        <v>34</v>
      </c>
      <c r="D49" s="7">
        <v>1</v>
      </c>
      <c r="E49" s="2">
        <v>543324.7</v>
      </c>
      <c r="F49" s="2">
        <v>543324.7</v>
      </c>
    </row>
    <row r="50" spans="1:6" x14ac:dyDescent="0.25">
      <c r="A50" t="s">
        <v>4062</v>
      </c>
      <c r="B50" t="s">
        <v>7531</v>
      </c>
      <c r="C50" t="s">
        <v>63</v>
      </c>
      <c r="D50" s="7">
        <v>1</v>
      </c>
      <c r="E50" s="2">
        <v>973</v>
      </c>
      <c r="F50" s="2">
        <v>973</v>
      </c>
    </row>
    <row r="51" spans="1:6" x14ac:dyDescent="0.25">
      <c r="A51" t="s">
        <v>4062</v>
      </c>
      <c r="B51" t="s">
        <v>7118</v>
      </c>
      <c r="C51" t="s">
        <v>231</v>
      </c>
      <c r="D51" s="7">
        <v>0.1</v>
      </c>
      <c r="E51" s="2">
        <v>13756</v>
      </c>
      <c r="F51" s="2">
        <v>1375.6</v>
      </c>
    </row>
    <row r="52" spans="1:6" x14ac:dyDescent="0.25">
      <c r="A52" t="s">
        <v>4062</v>
      </c>
      <c r="B52" t="s">
        <v>7128</v>
      </c>
      <c r="C52" t="s">
        <v>42</v>
      </c>
      <c r="D52" s="7">
        <v>0.5</v>
      </c>
      <c r="E52" s="2">
        <v>761.5</v>
      </c>
      <c r="F52" s="2">
        <v>380.75</v>
      </c>
    </row>
    <row r="53" spans="1:6" x14ac:dyDescent="0.25">
      <c r="A53" t="s">
        <v>4049</v>
      </c>
      <c r="B53" t="s">
        <v>4176</v>
      </c>
      <c r="C53" t="s">
        <v>4177</v>
      </c>
      <c r="D53" s="7">
        <v>3.5</v>
      </c>
      <c r="E53" s="2">
        <v>72300.17</v>
      </c>
      <c r="F53" s="2">
        <v>253050.6</v>
      </c>
    </row>
    <row r="54" spans="1:6" x14ac:dyDescent="0.25">
      <c r="A54" t="s">
        <v>4049</v>
      </c>
      <c r="B54" t="s">
        <v>4313</v>
      </c>
      <c r="C54" t="s">
        <v>4177</v>
      </c>
      <c r="D54" s="7">
        <v>0.9</v>
      </c>
      <c r="E54" s="2">
        <v>124137.15</v>
      </c>
      <c r="F54" s="2">
        <v>111723.43</v>
      </c>
    </row>
    <row r="55" spans="1:6" x14ac:dyDescent="0.25">
      <c r="A55" t="s">
        <v>4052</v>
      </c>
      <c r="B55" t="s">
        <v>4123</v>
      </c>
      <c r="C55" t="s">
        <v>287</v>
      </c>
      <c r="D55" s="7">
        <v>6.25</v>
      </c>
      <c r="E55" s="2">
        <v>62400</v>
      </c>
      <c r="F55" s="2">
        <v>390000</v>
      </c>
    </row>
    <row r="56" spans="1:6" x14ac:dyDescent="0.25">
      <c r="A56" t="s">
        <v>4052</v>
      </c>
      <c r="B56" t="s">
        <v>7129</v>
      </c>
      <c r="C56" t="s">
        <v>287</v>
      </c>
      <c r="D56" s="7">
        <v>6.25</v>
      </c>
      <c r="E56" s="2">
        <v>9929.67</v>
      </c>
      <c r="F56" s="2">
        <v>62060.44</v>
      </c>
    </row>
    <row r="57" spans="1:6" x14ac:dyDescent="0.25">
      <c r="A57" t="s">
        <v>4052</v>
      </c>
      <c r="B57" t="s">
        <v>4053</v>
      </c>
      <c r="C57" t="s">
        <v>4054</v>
      </c>
      <c r="D57" s="7">
        <v>5</v>
      </c>
      <c r="E57" s="2">
        <v>364774.03</v>
      </c>
      <c r="F57" s="2">
        <v>18238.7</v>
      </c>
    </row>
    <row r="58" spans="1:6" x14ac:dyDescent="0.25">
      <c r="A58" t="s">
        <v>4055</v>
      </c>
      <c r="D58" s="7"/>
      <c r="E58" s="2"/>
      <c r="F58" s="2">
        <f>SUBTOTAL(109,A_3_13_03[VALOR PARCIAL])</f>
      </c>
    </row>
    <row r="60" ht="30" customHeight="1" spans="1:6" x14ac:dyDescent="0.25">
      <c r="A60" s="5" t="s">
        <v>7532</v>
      </c>
      <c r="B60" s="5"/>
      <c r="C60" s="5"/>
      <c r="D60" s="5"/>
      <c r="E60" s="5"/>
      <c r="F60" s="5"/>
    </row>
    <row r="61" ht="42" customHeight="1" spans="1:6" x14ac:dyDescent="0.25">
      <c r="A61" s="6" t="s">
        <v>7533</v>
      </c>
      <c r="B61" s="6"/>
      <c r="C61" s="6"/>
      <c r="D61" s="6"/>
      <c r="E61" s="6"/>
      <c r="F61" s="6"/>
    </row>
    <row r="62" spans="1:6" x14ac:dyDescent="0.25">
      <c r="A62" t="s">
        <v>4044</v>
      </c>
      <c r="B62" t="s">
        <v>4045</v>
      </c>
      <c r="C62" t="s">
        <v>5</v>
      </c>
      <c r="D62" t="s">
        <v>4046</v>
      </c>
      <c r="E62" t="s">
        <v>4047</v>
      </c>
      <c r="F62" t="s">
        <v>4048</v>
      </c>
    </row>
    <row r="63" spans="1:6" x14ac:dyDescent="0.25">
      <c r="A63" t="s">
        <v>4062</v>
      </c>
      <c r="B63" t="s">
        <v>4001</v>
      </c>
      <c r="C63" t="s">
        <v>34</v>
      </c>
      <c r="D63" s="7">
        <v>1</v>
      </c>
      <c r="E63" s="2">
        <v>450245.66</v>
      </c>
      <c r="F63" s="2">
        <v>450245.66</v>
      </c>
    </row>
    <row r="64" spans="1:6" x14ac:dyDescent="0.25">
      <c r="A64" t="s">
        <v>4062</v>
      </c>
      <c r="B64" t="s">
        <v>7534</v>
      </c>
      <c r="C64" t="s">
        <v>63</v>
      </c>
      <c r="D64" s="7">
        <v>1</v>
      </c>
      <c r="E64" s="2">
        <v>27458.22</v>
      </c>
      <c r="F64" s="2">
        <v>27458.22</v>
      </c>
    </row>
    <row r="65" spans="1:6" x14ac:dyDescent="0.25">
      <c r="A65" t="s">
        <v>4049</v>
      </c>
      <c r="B65" t="s">
        <v>4176</v>
      </c>
      <c r="C65" t="s">
        <v>4177</v>
      </c>
      <c r="D65" s="7">
        <v>0.45</v>
      </c>
      <c r="E65" s="2">
        <v>72300.17</v>
      </c>
      <c r="F65" s="2">
        <v>32535.08</v>
      </c>
    </row>
    <row r="66" spans="1:6" x14ac:dyDescent="0.25">
      <c r="A66" t="s">
        <v>4049</v>
      </c>
      <c r="B66" t="s">
        <v>4313</v>
      </c>
      <c r="C66" t="s">
        <v>4177</v>
      </c>
      <c r="D66" s="7">
        <v>0.1</v>
      </c>
      <c r="E66" s="2">
        <v>124137.15</v>
      </c>
      <c r="F66" s="2">
        <v>12413.72</v>
      </c>
    </row>
    <row r="67" spans="1:6" x14ac:dyDescent="0.25">
      <c r="A67" t="s">
        <v>4055</v>
      </c>
      <c r="D67" s="7"/>
      <c r="E67" s="2"/>
      <c r="F67" s="2">
        <f>SUBTOTAL(109,A_3_13_04[VALOR PARCIAL])</f>
      </c>
    </row>
    <row r="69" ht="30" customHeight="1" spans="1:6" x14ac:dyDescent="0.25">
      <c r="A69" s="5" t="s">
        <v>7535</v>
      </c>
      <c r="B69" s="5"/>
      <c r="C69" s="5"/>
      <c r="D69" s="5"/>
      <c r="E69" s="5"/>
      <c r="F69" s="5"/>
    </row>
    <row r="70" ht="42" customHeight="1" spans="1:6" x14ac:dyDescent="0.25">
      <c r="A70" s="6" t="s">
        <v>7536</v>
      </c>
      <c r="B70" s="6"/>
      <c r="C70" s="6"/>
      <c r="D70" s="6"/>
      <c r="E70" s="6"/>
      <c r="F70" s="6"/>
    </row>
    <row r="71" spans="1:6" x14ac:dyDescent="0.25">
      <c r="A71" t="s">
        <v>4044</v>
      </c>
      <c r="B71" t="s">
        <v>4045</v>
      </c>
      <c r="C71" t="s">
        <v>5</v>
      </c>
      <c r="D71" t="s">
        <v>4046</v>
      </c>
      <c r="E71" t="s">
        <v>4047</v>
      </c>
      <c r="F71" t="s">
        <v>4048</v>
      </c>
    </row>
    <row r="72" spans="1:6" x14ac:dyDescent="0.25">
      <c r="A72" t="s">
        <v>4062</v>
      </c>
      <c r="B72" t="s">
        <v>4012</v>
      </c>
      <c r="C72" t="s">
        <v>34</v>
      </c>
      <c r="D72" s="7">
        <v>0.36</v>
      </c>
      <c r="E72" s="2">
        <v>475506.98</v>
      </c>
      <c r="F72" s="2">
        <v>168804.98</v>
      </c>
    </row>
    <row r="73" spans="1:6" x14ac:dyDescent="0.25">
      <c r="A73" t="s">
        <v>4049</v>
      </c>
      <c r="B73" t="s">
        <v>4176</v>
      </c>
      <c r="C73" t="s">
        <v>4177</v>
      </c>
      <c r="D73" s="7">
        <v>0.38</v>
      </c>
      <c r="E73" s="2">
        <v>72300.17</v>
      </c>
      <c r="F73" s="2">
        <v>27112.56</v>
      </c>
    </row>
    <row r="74" spans="1:6" x14ac:dyDescent="0.25">
      <c r="A74" t="s">
        <v>4049</v>
      </c>
      <c r="B74" t="s">
        <v>4313</v>
      </c>
      <c r="C74" t="s">
        <v>4177</v>
      </c>
      <c r="D74" s="7">
        <v>0.13</v>
      </c>
      <c r="E74" s="2">
        <v>124137.15</v>
      </c>
      <c r="F74" s="2">
        <v>15517.14</v>
      </c>
    </row>
    <row r="75" spans="1:6" x14ac:dyDescent="0.25">
      <c r="A75" t="s">
        <v>4052</v>
      </c>
      <c r="B75" t="s">
        <v>7537</v>
      </c>
      <c r="C75" t="s">
        <v>287</v>
      </c>
      <c r="D75" s="7">
        <v>1</v>
      </c>
      <c r="E75" s="2">
        <v>18923.83</v>
      </c>
      <c r="F75" s="2">
        <v>18923.83</v>
      </c>
    </row>
    <row r="76" spans="1:6" x14ac:dyDescent="0.25">
      <c r="A76" t="s">
        <v>4052</v>
      </c>
      <c r="B76" t="s">
        <v>4053</v>
      </c>
      <c r="C76" t="s">
        <v>4054</v>
      </c>
      <c r="D76" s="7">
        <v>5</v>
      </c>
      <c r="E76" s="2">
        <v>42629.7</v>
      </c>
      <c r="F76" s="2">
        <v>2131.49</v>
      </c>
    </row>
    <row r="77" spans="1:6" x14ac:dyDescent="0.25">
      <c r="A77" t="s">
        <v>4055</v>
      </c>
      <c r="D77" s="7"/>
      <c r="E77" s="2"/>
      <c r="F77" s="2">
        <f>SUBTOTAL(109,A_3_13_05[VALOR PARCIAL])</f>
      </c>
    </row>
    <row r="79" ht="30" customHeight="1" spans="1:6" x14ac:dyDescent="0.25">
      <c r="A79" s="5" t="s">
        <v>7538</v>
      </c>
      <c r="B79" s="5"/>
      <c r="C79" s="5"/>
      <c r="D79" s="5"/>
      <c r="E79" s="5"/>
      <c r="F79" s="5"/>
    </row>
    <row r="80" ht="42" customHeight="1" spans="1:6" x14ac:dyDescent="0.25">
      <c r="A80" s="6" t="s">
        <v>7539</v>
      </c>
      <c r="B80" s="6"/>
      <c r="C80" s="6"/>
      <c r="D80" s="6"/>
      <c r="E80" s="6"/>
      <c r="F80" s="6"/>
    </row>
    <row r="81" spans="1:6" x14ac:dyDescent="0.25">
      <c r="A81" t="s">
        <v>4044</v>
      </c>
      <c r="B81" t="s">
        <v>4045</v>
      </c>
      <c r="C81" t="s">
        <v>5</v>
      </c>
      <c r="D81" t="s">
        <v>4046</v>
      </c>
      <c r="E81" t="s">
        <v>4047</v>
      </c>
      <c r="F81" t="s">
        <v>4048</v>
      </c>
    </row>
    <row r="82" spans="1:6" x14ac:dyDescent="0.25">
      <c r="A82" t="s">
        <v>4062</v>
      </c>
      <c r="B82" t="s">
        <v>4614</v>
      </c>
      <c r="C82" t="s">
        <v>231</v>
      </c>
      <c r="D82" s="7">
        <v>0.09</v>
      </c>
      <c r="E82" s="2">
        <v>4706</v>
      </c>
      <c r="F82" s="2">
        <v>423.54</v>
      </c>
    </row>
    <row r="83" spans="1:6" x14ac:dyDescent="0.25">
      <c r="A83" t="s">
        <v>4062</v>
      </c>
      <c r="B83" t="s">
        <v>4063</v>
      </c>
      <c r="C83" t="s">
        <v>231</v>
      </c>
      <c r="D83" s="7">
        <v>0.15</v>
      </c>
      <c r="E83" s="2">
        <v>7400</v>
      </c>
      <c r="F83" s="2">
        <v>1110</v>
      </c>
    </row>
    <row r="84" spans="1:6" x14ac:dyDescent="0.25">
      <c r="A84" t="s">
        <v>4062</v>
      </c>
      <c r="B84" t="s">
        <v>7540</v>
      </c>
      <c r="C84" t="s">
        <v>63</v>
      </c>
      <c r="D84" s="7">
        <v>0.5</v>
      </c>
      <c r="E84" s="2">
        <v>25542.61</v>
      </c>
      <c r="F84" s="2">
        <v>12771.31</v>
      </c>
    </row>
    <row r="85" spans="1:6" x14ac:dyDescent="0.25">
      <c r="A85" t="s">
        <v>4062</v>
      </c>
      <c r="B85" t="s">
        <v>4067</v>
      </c>
      <c r="C85" t="s">
        <v>231</v>
      </c>
      <c r="D85" s="7">
        <v>0.6</v>
      </c>
      <c r="E85" s="2">
        <v>7080</v>
      </c>
      <c r="F85" s="2">
        <v>4248</v>
      </c>
    </row>
    <row r="86" spans="1:6" x14ac:dyDescent="0.25">
      <c r="A86" t="s">
        <v>4049</v>
      </c>
      <c r="B86" t="s">
        <v>4050</v>
      </c>
      <c r="C86" t="s">
        <v>4051</v>
      </c>
      <c r="D86" s="7">
        <v>0.8</v>
      </c>
      <c r="E86" s="2">
        <v>9037.33</v>
      </c>
      <c r="F86" s="2">
        <v>7229.86</v>
      </c>
    </row>
    <row r="87" spans="1:6" x14ac:dyDescent="0.25">
      <c r="A87" t="s">
        <v>4049</v>
      </c>
      <c r="B87" t="s">
        <v>4073</v>
      </c>
      <c r="C87" t="s">
        <v>4051</v>
      </c>
      <c r="D87" s="7">
        <v>0.7</v>
      </c>
      <c r="E87" s="2">
        <v>15517.89</v>
      </c>
      <c r="F87" s="2">
        <v>10862.52</v>
      </c>
    </row>
    <row r="88" spans="1:6" x14ac:dyDescent="0.25">
      <c r="A88" t="s">
        <v>4052</v>
      </c>
      <c r="B88" t="s">
        <v>4053</v>
      </c>
      <c r="C88" t="s">
        <v>4054</v>
      </c>
      <c r="D88" s="7">
        <v>5</v>
      </c>
      <c r="E88" s="2">
        <v>18092.38</v>
      </c>
      <c r="F88" s="2">
        <v>904.62</v>
      </c>
    </row>
    <row r="89" spans="1:6" x14ac:dyDescent="0.25">
      <c r="A89" t="s">
        <v>4055</v>
      </c>
      <c r="D89" s="7"/>
      <c r="E89" s="2"/>
      <c r="F89" s="2">
        <f>SUBTOTAL(109,A_3_13_06[VALOR PARCIAL])</f>
      </c>
    </row>
    <row r="91" ht="30" customHeight="1" spans="1:6" x14ac:dyDescent="0.25">
      <c r="A91" s="5" t="s">
        <v>7541</v>
      </c>
      <c r="B91" s="5"/>
      <c r="C91" s="5"/>
      <c r="D91" s="5"/>
      <c r="E91" s="5"/>
      <c r="F91" s="5"/>
    </row>
    <row r="92" ht="42" customHeight="1" spans="1:6" x14ac:dyDescent="0.25">
      <c r="A92" s="6" t="s">
        <v>7542</v>
      </c>
      <c r="B92" s="6"/>
      <c r="C92" s="6"/>
      <c r="D92" s="6"/>
      <c r="E92" s="6"/>
      <c r="F92" s="6"/>
    </row>
    <row r="93" spans="1:6" x14ac:dyDescent="0.25">
      <c r="A93" t="s">
        <v>4044</v>
      </c>
      <c r="B93" t="s">
        <v>4045</v>
      </c>
      <c r="C93" t="s">
        <v>5</v>
      </c>
      <c r="D93" t="s">
        <v>4046</v>
      </c>
      <c r="E93" t="s">
        <v>4047</v>
      </c>
      <c r="F93" t="s">
        <v>4048</v>
      </c>
    </row>
    <row r="94" spans="1:6" x14ac:dyDescent="0.25">
      <c r="A94" t="s">
        <v>4062</v>
      </c>
      <c r="B94" t="s">
        <v>4063</v>
      </c>
      <c r="C94" t="s">
        <v>231</v>
      </c>
      <c r="D94" s="7">
        <v>0.05</v>
      </c>
      <c r="E94" s="2">
        <v>7400</v>
      </c>
      <c r="F94" s="2">
        <v>370</v>
      </c>
    </row>
    <row r="95" spans="1:6" x14ac:dyDescent="0.25">
      <c r="A95" t="s">
        <v>4062</v>
      </c>
      <c r="B95" t="s">
        <v>4064</v>
      </c>
      <c r="C95" t="s">
        <v>63</v>
      </c>
      <c r="D95" s="7">
        <v>0.5</v>
      </c>
      <c r="E95" s="2">
        <v>17200</v>
      </c>
      <c r="F95" s="2">
        <v>8600</v>
      </c>
    </row>
    <row r="96" spans="1:6" x14ac:dyDescent="0.25">
      <c r="A96" t="s">
        <v>4062</v>
      </c>
      <c r="B96" t="s">
        <v>4067</v>
      </c>
      <c r="C96" t="s">
        <v>231</v>
      </c>
      <c r="D96" s="7">
        <v>0.6</v>
      </c>
      <c r="E96" s="2">
        <v>7080</v>
      </c>
      <c r="F96" s="2">
        <v>4248</v>
      </c>
    </row>
    <row r="97" spans="1:6" x14ac:dyDescent="0.25">
      <c r="A97" t="s">
        <v>4049</v>
      </c>
      <c r="B97" t="s">
        <v>4050</v>
      </c>
      <c r="C97" t="s">
        <v>4051</v>
      </c>
      <c r="D97" s="7">
        <v>0.7</v>
      </c>
      <c r="E97" s="2">
        <v>9037.33</v>
      </c>
      <c r="F97" s="2">
        <v>6326.13</v>
      </c>
    </row>
    <row r="98" spans="1:6" x14ac:dyDescent="0.25">
      <c r="A98" t="s">
        <v>4049</v>
      </c>
      <c r="B98" t="s">
        <v>4073</v>
      </c>
      <c r="C98" t="s">
        <v>4051</v>
      </c>
      <c r="D98" s="7">
        <v>0.7</v>
      </c>
      <c r="E98" s="2">
        <v>15517.89</v>
      </c>
      <c r="F98" s="2">
        <v>10862.52</v>
      </c>
    </row>
    <row r="99" spans="1:6" x14ac:dyDescent="0.25">
      <c r="A99" t="s">
        <v>4052</v>
      </c>
      <c r="B99" t="s">
        <v>4053</v>
      </c>
      <c r="C99" t="s">
        <v>4054</v>
      </c>
      <c r="D99" s="7">
        <v>5</v>
      </c>
      <c r="E99" s="2">
        <v>17188.65</v>
      </c>
      <c r="F99" s="2">
        <v>859.43</v>
      </c>
    </row>
    <row r="100" spans="1:6" x14ac:dyDescent="0.25">
      <c r="A100" t="s">
        <v>4055</v>
      </c>
      <c r="D100" s="7"/>
      <c r="E100" s="2"/>
      <c r="F100" s="2">
        <f>SUBTOTAL(109,A_3_13_07[VALOR PARCIAL])</f>
      </c>
    </row>
    <row r="102" ht="30" customHeight="1" spans="1:6" x14ac:dyDescent="0.25">
      <c r="A102" s="5" t="s">
        <v>7543</v>
      </c>
      <c r="B102" s="5"/>
      <c r="C102" s="5"/>
      <c r="D102" s="5"/>
      <c r="E102" s="5"/>
      <c r="F102" s="5"/>
    </row>
    <row r="103" ht="42" customHeight="1" spans="1:6" x14ac:dyDescent="0.25">
      <c r="A103" s="6" t="s">
        <v>7544</v>
      </c>
      <c r="B103" s="6"/>
      <c r="C103" s="6"/>
      <c r="D103" s="6"/>
      <c r="E103" s="6"/>
      <c r="F103" s="6"/>
    </row>
    <row r="104" spans="1:6" x14ac:dyDescent="0.25">
      <c r="A104" t="s">
        <v>4044</v>
      </c>
      <c r="B104" t="s">
        <v>4045</v>
      </c>
      <c r="C104" t="s">
        <v>5</v>
      </c>
      <c r="D104" t="s">
        <v>4046</v>
      </c>
      <c r="E104" t="s">
        <v>4047</v>
      </c>
      <c r="F104" t="s">
        <v>4048</v>
      </c>
    </row>
    <row r="105" spans="1:6" x14ac:dyDescent="0.25">
      <c r="A105" t="s">
        <v>4062</v>
      </c>
      <c r="B105" t="s">
        <v>4614</v>
      </c>
      <c r="C105" t="s">
        <v>231</v>
      </c>
      <c r="D105" s="7">
        <v>0.18</v>
      </c>
      <c r="E105" s="2">
        <v>4706</v>
      </c>
      <c r="F105" s="2">
        <v>847.08</v>
      </c>
    </row>
    <row r="106" spans="1:6" x14ac:dyDescent="0.25">
      <c r="A106" t="s">
        <v>4062</v>
      </c>
      <c r="B106" t="s">
        <v>7545</v>
      </c>
      <c r="C106" t="s">
        <v>4532</v>
      </c>
      <c r="D106" s="7">
        <v>0.03</v>
      </c>
      <c r="E106" s="2">
        <v>453214.67</v>
      </c>
      <c r="F106" s="2">
        <v>12554.05</v>
      </c>
    </row>
    <row r="107" spans="1:6" x14ac:dyDescent="0.25">
      <c r="A107" t="s">
        <v>4062</v>
      </c>
      <c r="B107" t="s">
        <v>7540</v>
      </c>
      <c r="C107" t="s">
        <v>63</v>
      </c>
      <c r="D107" s="7">
        <v>0.5</v>
      </c>
      <c r="E107" s="2">
        <v>25542.61</v>
      </c>
      <c r="F107" s="2">
        <v>12771.31</v>
      </c>
    </row>
    <row r="108" spans="1:6" x14ac:dyDescent="0.25">
      <c r="A108" t="s">
        <v>4049</v>
      </c>
      <c r="B108" t="s">
        <v>4050</v>
      </c>
      <c r="C108" t="s">
        <v>4051</v>
      </c>
      <c r="D108" s="7">
        <v>2.02</v>
      </c>
      <c r="E108" s="2">
        <v>9037.33</v>
      </c>
      <c r="F108" s="2">
        <v>18255.41</v>
      </c>
    </row>
    <row r="109" spans="1:6" x14ac:dyDescent="0.25">
      <c r="A109" t="s">
        <v>4052</v>
      </c>
      <c r="B109" t="s">
        <v>4053</v>
      </c>
      <c r="C109" t="s">
        <v>4054</v>
      </c>
      <c r="D109" s="7">
        <v>5</v>
      </c>
      <c r="E109" s="2">
        <v>18255.41</v>
      </c>
      <c r="F109" s="2">
        <v>912.77</v>
      </c>
    </row>
    <row r="110" spans="1:6" x14ac:dyDescent="0.25">
      <c r="A110" t="s">
        <v>4055</v>
      </c>
      <c r="D110" s="7"/>
      <c r="E110" s="2"/>
      <c r="F110" s="2">
        <f>SUBTOTAL(109,A_3_13_08[VALOR PARCIAL])</f>
      </c>
    </row>
    <row r="112" ht="30" customHeight="1" spans="1:6" x14ac:dyDescent="0.25">
      <c r="A112" s="5" t="s">
        <v>7546</v>
      </c>
      <c r="B112" s="5"/>
      <c r="C112" s="5"/>
      <c r="D112" s="5"/>
      <c r="E112" s="5"/>
      <c r="F112" s="5"/>
    </row>
    <row r="113" ht="42" customHeight="1" spans="1:6" x14ac:dyDescent="0.25">
      <c r="A113" s="6" t="s">
        <v>7547</v>
      </c>
      <c r="B113" s="6"/>
      <c r="C113" s="6"/>
      <c r="D113" s="6"/>
      <c r="E113" s="6"/>
      <c r="F113" s="6"/>
    </row>
    <row r="114" spans="1:6" x14ac:dyDescent="0.25">
      <c r="A114" t="s">
        <v>4044</v>
      </c>
      <c r="B114" t="s">
        <v>4045</v>
      </c>
      <c r="C114" t="s">
        <v>5</v>
      </c>
      <c r="D114" t="s">
        <v>4046</v>
      </c>
      <c r="E114" t="s">
        <v>4047</v>
      </c>
      <c r="F114" t="s">
        <v>4048</v>
      </c>
    </row>
    <row r="115" spans="1:6" x14ac:dyDescent="0.25">
      <c r="A115" t="s">
        <v>4062</v>
      </c>
      <c r="B115" t="s">
        <v>7548</v>
      </c>
      <c r="C115" t="s">
        <v>42</v>
      </c>
      <c r="D115" s="7">
        <v>1</v>
      </c>
      <c r="E115" s="2">
        <v>1899.67</v>
      </c>
      <c r="F115" s="2">
        <v>1899.67</v>
      </c>
    </row>
    <row r="116" spans="1:6" x14ac:dyDescent="0.25">
      <c r="A116" t="s">
        <v>4062</v>
      </c>
      <c r="B116" t="s">
        <v>6140</v>
      </c>
      <c r="C116" t="s">
        <v>42</v>
      </c>
      <c r="D116" s="7">
        <v>2</v>
      </c>
      <c r="E116" s="2">
        <v>13966.67</v>
      </c>
      <c r="F116" s="2">
        <v>27933.34</v>
      </c>
    </row>
    <row r="117" spans="1:6" x14ac:dyDescent="0.25">
      <c r="A117" t="s">
        <v>4062</v>
      </c>
      <c r="B117" t="s">
        <v>4071</v>
      </c>
      <c r="C117" t="s">
        <v>42</v>
      </c>
      <c r="D117" s="7">
        <v>0.5</v>
      </c>
      <c r="E117" s="2">
        <v>2555</v>
      </c>
      <c r="F117" s="2">
        <v>1277.5</v>
      </c>
    </row>
    <row r="118" spans="1:6" x14ac:dyDescent="0.25">
      <c r="A118" t="s">
        <v>4062</v>
      </c>
      <c r="B118" t="s">
        <v>4065</v>
      </c>
      <c r="C118" t="s">
        <v>4066</v>
      </c>
      <c r="D118" s="7">
        <v>0.03</v>
      </c>
      <c r="E118" s="2">
        <v>3433</v>
      </c>
      <c r="F118" s="2">
        <v>102.99</v>
      </c>
    </row>
    <row r="119" spans="1:6" x14ac:dyDescent="0.25">
      <c r="A119" t="s">
        <v>4049</v>
      </c>
      <c r="B119" t="s">
        <v>4050</v>
      </c>
      <c r="C119" t="s">
        <v>4051</v>
      </c>
      <c r="D119" s="7">
        <v>0.6</v>
      </c>
      <c r="E119" s="2">
        <v>9037.33</v>
      </c>
      <c r="F119" s="2">
        <v>5422.4</v>
      </c>
    </row>
    <row r="120" spans="1:6" x14ac:dyDescent="0.25">
      <c r="A120" t="s">
        <v>4049</v>
      </c>
      <c r="B120" t="s">
        <v>4073</v>
      </c>
      <c r="C120" t="s">
        <v>4051</v>
      </c>
      <c r="D120" s="7">
        <v>0.3</v>
      </c>
      <c r="E120" s="2">
        <v>15517.89</v>
      </c>
      <c r="F120" s="2">
        <v>4655.37</v>
      </c>
    </row>
    <row r="121" spans="1:6" x14ac:dyDescent="0.25">
      <c r="A121" t="s">
        <v>4052</v>
      </c>
      <c r="B121" t="s">
        <v>4053</v>
      </c>
      <c r="C121" t="s">
        <v>4054</v>
      </c>
      <c r="D121" s="7">
        <v>5</v>
      </c>
      <c r="E121" s="2">
        <v>10077.77</v>
      </c>
      <c r="F121" s="2">
        <v>503.89</v>
      </c>
    </row>
    <row r="122" spans="1:6" x14ac:dyDescent="0.25">
      <c r="A122" t="s">
        <v>4055</v>
      </c>
      <c r="D122" s="7"/>
      <c r="E122" s="2"/>
      <c r="F122" s="2">
        <f>SUBTOTAL(109,A_3_13_09[VALOR PARCIAL])</f>
      </c>
    </row>
    <row r="124" ht="30" customHeight="1" spans="1:6" x14ac:dyDescent="0.25">
      <c r="A124" s="5" t="s">
        <v>7549</v>
      </c>
      <c r="B124" s="5"/>
      <c r="C124" s="5"/>
      <c r="D124" s="5"/>
      <c r="E124" s="5"/>
      <c r="F124" s="5"/>
    </row>
    <row r="125" ht="42" customHeight="1" spans="1:6" x14ac:dyDescent="0.25">
      <c r="A125" s="6" t="s">
        <v>7550</v>
      </c>
      <c r="B125" s="6"/>
      <c r="C125" s="6"/>
      <c r="D125" s="6"/>
      <c r="E125" s="6"/>
      <c r="F125" s="6"/>
    </row>
    <row r="126" spans="1:6" x14ac:dyDescent="0.25">
      <c r="A126" t="s">
        <v>4044</v>
      </c>
      <c r="B126" t="s">
        <v>4045</v>
      </c>
      <c r="C126" t="s">
        <v>5</v>
      </c>
      <c r="D126" t="s">
        <v>4046</v>
      </c>
      <c r="E126" t="s">
        <v>4047</v>
      </c>
      <c r="F126" t="s">
        <v>4048</v>
      </c>
    </row>
    <row r="127" spans="1:6" x14ac:dyDescent="0.25">
      <c r="A127" t="s">
        <v>4062</v>
      </c>
      <c r="B127" t="s">
        <v>7551</v>
      </c>
      <c r="C127" t="s">
        <v>42</v>
      </c>
      <c r="D127" s="7">
        <v>1</v>
      </c>
      <c r="E127" s="2">
        <v>12618</v>
      </c>
      <c r="F127" s="2">
        <v>12618</v>
      </c>
    </row>
    <row r="128" spans="1:6" x14ac:dyDescent="0.25">
      <c r="A128" t="s">
        <v>4049</v>
      </c>
      <c r="B128" t="s">
        <v>4176</v>
      </c>
      <c r="C128" t="s">
        <v>4177</v>
      </c>
      <c r="D128" s="7">
        <v>0.01</v>
      </c>
      <c r="E128" s="2">
        <v>72300.17</v>
      </c>
      <c r="F128" s="2">
        <v>361.5</v>
      </c>
    </row>
    <row r="129" spans="1:6" x14ac:dyDescent="0.25">
      <c r="A129" t="s">
        <v>4049</v>
      </c>
      <c r="B129" t="s">
        <v>4313</v>
      </c>
      <c r="C129" t="s">
        <v>4177</v>
      </c>
      <c r="D129" s="7">
        <v>0.01</v>
      </c>
      <c r="E129" s="2">
        <v>124137.15</v>
      </c>
      <c r="F129" s="2">
        <v>620.69</v>
      </c>
    </row>
    <row r="130" spans="1:6" x14ac:dyDescent="0.25">
      <c r="A130" t="s">
        <v>4052</v>
      </c>
      <c r="B130" t="s">
        <v>4053</v>
      </c>
      <c r="C130" t="s">
        <v>4054</v>
      </c>
      <c r="D130" s="7">
        <v>5</v>
      </c>
      <c r="E130" s="2">
        <v>982.19</v>
      </c>
      <c r="F130" s="2">
        <v>49.11</v>
      </c>
    </row>
    <row r="131" spans="1:6" x14ac:dyDescent="0.25">
      <c r="A131" t="s">
        <v>4055</v>
      </c>
      <c r="D131" s="7"/>
      <c r="E131" s="2"/>
      <c r="F131" s="2">
        <f>SUBTOTAL(109,A_3_13_10[VALOR PARCIAL])</f>
      </c>
    </row>
    <row r="133" ht="30" customHeight="1" spans="1:6" x14ac:dyDescent="0.25">
      <c r="A133" s="5" t="s">
        <v>7552</v>
      </c>
      <c r="B133" s="5"/>
      <c r="C133" s="5"/>
      <c r="D133" s="5"/>
      <c r="E133" s="5"/>
      <c r="F133" s="5"/>
    </row>
    <row r="134" ht="42" customHeight="1" spans="1:6" x14ac:dyDescent="0.25">
      <c r="A134" s="6" t="s">
        <v>7553</v>
      </c>
      <c r="B134" s="6"/>
      <c r="C134" s="6"/>
      <c r="D134" s="6"/>
      <c r="E134" s="6"/>
      <c r="F134" s="6"/>
    </row>
    <row r="135" spans="1:6" x14ac:dyDescent="0.25">
      <c r="A135" t="s">
        <v>4044</v>
      </c>
      <c r="B135" t="s">
        <v>4045</v>
      </c>
      <c r="C135" t="s">
        <v>5</v>
      </c>
      <c r="D135" t="s">
        <v>4046</v>
      </c>
      <c r="E135" t="s">
        <v>4047</v>
      </c>
      <c r="F135" t="s">
        <v>4048</v>
      </c>
    </row>
    <row r="136" spans="1:6" x14ac:dyDescent="0.25">
      <c r="A136" t="s">
        <v>4062</v>
      </c>
      <c r="B136" t="s">
        <v>7554</v>
      </c>
      <c r="C136" t="s">
        <v>42</v>
      </c>
      <c r="D136" s="7">
        <v>1</v>
      </c>
      <c r="E136" s="2">
        <v>22043</v>
      </c>
      <c r="F136" s="2">
        <v>22043</v>
      </c>
    </row>
    <row r="137" spans="1:6" x14ac:dyDescent="0.25">
      <c r="A137" t="s">
        <v>4049</v>
      </c>
      <c r="B137" t="s">
        <v>4176</v>
      </c>
      <c r="C137" t="s">
        <v>4177</v>
      </c>
      <c r="D137" s="7">
        <v>0.01</v>
      </c>
      <c r="E137" s="2">
        <v>72300.17</v>
      </c>
      <c r="F137" s="2">
        <v>404.88</v>
      </c>
    </row>
    <row r="138" spans="1:6" x14ac:dyDescent="0.25">
      <c r="A138" t="s">
        <v>4049</v>
      </c>
      <c r="B138" t="s">
        <v>4313</v>
      </c>
      <c r="C138" t="s">
        <v>4177</v>
      </c>
      <c r="D138" s="7">
        <v>0.01</v>
      </c>
      <c r="E138" s="2">
        <v>124137.15</v>
      </c>
      <c r="F138" s="2">
        <v>695.17</v>
      </c>
    </row>
    <row r="139" spans="1:6" x14ac:dyDescent="0.25">
      <c r="A139" t="s">
        <v>4052</v>
      </c>
      <c r="B139" t="s">
        <v>4053</v>
      </c>
      <c r="C139" t="s">
        <v>4054</v>
      </c>
      <c r="D139" s="7">
        <v>5</v>
      </c>
      <c r="E139" s="2">
        <v>1100.05</v>
      </c>
      <c r="F139" s="2">
        <v>55</v>
      </c>
    </row>
    <row r="140" spans="1:6" x14ac:dyDescent="0.25">
      <c r="A140" t="s">
        <v>4055</v>
      </c>
      <c r="D140" s="7"/>
      <c r="E140" s="2"/>
      <c r="F140" s="2">
        <f>SUBTOTAL(109,A_3_13_11[VALOR PARCIAL])</f>
      </c>
    </row>
    <row r="142" ht="30" customHeight="1" spans="1:6" x14ac:dyDescent="0.25">
      <c r="A142" s="5" t="s">
        <v>7555</v>
      </c>
      <c r="B142" s="5"/>
      <c r="C142" s="5"/>
      <c r="D142" s="5"/>
      <c r="E142" s="5"/>
      <c r="F142" s="5"/>
    </row>
    <row r="143" ht="42" customHeight="1" spans="1:6" x14ac:dyDescent="0.25">
      <c r="A143" s="6" t="s">
        <v>7556</v>
      </c>
      <c r="B143" s="6"/>
      <c r="C143" s="6"/>
      <c r="D143" s="6"/>
      <c r="E143" s="6"/>
      <c r="F143" s="6"/>
    </row>
    <row r="144" spans="1:6" x14ac:dyDescent="0.25">
      <c r="A144" t="s">
        <v>4044</v>
      </c>
      <c r="B144" t="s">
        <v>4045</v>
      </c>
      <c r="C144" t="s">
        <v>5</v>
      </c>
      <c r="D144" t="s">
        <v>4046</v>
      </c>
      <c r="E144" t="s">
        <v>4047</v>
      </c>
      <c r="F144" t="s">
        <v>4048</v>
      </c>
    </row>
    <row r="145" spans="1:6" x14ac:dyDescent="0.25">
      <c r="A145" t="s">
        <v>4062</v>
      </c>
      <c r="B145" t="s">
        <v>7557</v>
      </c>
      <c r="C145" t="s">
        <v>42</v>
      </c>
      <c r="D145" s="7">
        <v>1</v>
      </c>
      <c r="E145" s="2">
        <v>34354.07</v>
      </c>
      <c r="F145" s="2">
        <v>34354.07</v>
      </c>
    </row>
    <row r="146" spans="1:6" x14ac:dyDescent="0.25">
      <c r="A146" t="s">
        <v>4049</v>
      </c>
      <c r="B146" t="s">
        <v>4176</v>
      </c>
      <c r="C146" t="s">
        <v>4177</v>
      </c>
      <c r="D146" s="7">
        <v>0.01</v>
      </c>
      <c r="E146" s="2">
        <v>72300.17</v>
      </c>
      <c r="F146" s="2">
        <v>426.57</v>
      </c>
    </row>
    <row r="147" spans="1:6" x14ac:dyDescent="0.25">
      <c r="A147" t="s">
        <v>4049</v>
      </c>
      <c r="B147" t="s">
        <v>4313</v>
      </c>
      <c r="C147" t="s">
        <v>4177</v>
      </c>
      <c r="D147" s="7">
        <v>0.01</v>
      </c>
      <c r="E147" s="2">
        <v>124137.15</v>
      </c>
      <c r="F147" s="2">
        <v>732.41</v>
      </c>
    </row>
    <row r="148" spans="1:6" x14ac:dyDescent="0.25">
      <c r="A148" t="s">
        <v>4052</v>
      </c>
      <c r="B148" t="s">
        <v>4053</v>
      </c>
      <c r="C148" t="s">
        <v>4054</v>
      </c>
      <c r="D148" s="7">
        <v>5</v>
      </c>
      <c r="E148" s="2">
        <v>1158.98</v>
      </c>
      <c r="F148" s="2">
        <v>57.95</v>
      </c>
    </row>
    <row r="149" spans="1:6" x14ac:dyDescent="0.25">
      <c r="A149" t="s">
        <v>4055</v>
      </c>
      <c r="D149" s="7"/>
      <c r="E149" s="2"/>
      <c r="F149" s="2">
        <f>SUBTOTAL(109,A_3_13_12[VALOR PARCIAL])</f>
      </c>
    </row>
    <row r="151" ht="30" customHeight="1" spans="1:6" x14ac:dyDescent="0.25">
      <c r="A151" s="5" t="s">
        <v>7558</v>
      </c>
      <c r="B151" s="5"/>
      <c r="C151" s="5"/>
      <c r="D151" s="5"/>
      <c r="E151" s="5"/>
      <c r="F151" s="5"/>
    </row>
    <row r="152" ht="42" customHeight="1" spans="1:6" x14ac:dyDescent="0.25">
      <c r="A152" s="6" t="s">
        <v>7559</v>
      </c>
      <c r="B152" s="6"/>
      <c r="C152" s="6"/>
      <c r="D152" s="6"/>
      <c r="E152" s="6"/>
      <c r="F152" s="6"/>
    </row>
    <row r="153" spans="1:6" x14ac:dyDescent="0.25">
      <c r="A153" t="s">
        <v>4044</v>
      </c>
      <c r="B153" t="s">
        <v>4045</v>
      </c>
      <c r="C153" t="s">
        <v>5</v>
      </c>
      <c r="D153" t="s">
        <v>4046</v>
      </c>
      <c r="E153" t="s">
        <v>4047</v>
      </c>
      <c r="F153" t="s">
        <v>4048</v>
      </c>
    </row>
    <row r="154" spans="1:6" x14ac:dyDescent="0.25">
      <c r="A154" t="s">
        <v>4062</v>
      </c>
      <c r="B154" t="s">
        <v>7560</v>
      </c>
      <c r="C154" t="s">
        <v>231</v>
      </c>
      <c r="D154" s="7">
        <v>40</v>
      </c>
      <c r="E154" s="2">
        <v>4800</v>
      </c>
      <c r="F154" s="2">
        <v>192000</v>
      </c>
    </row>
    <row r="155" spans="1:6" x14ac:dyDescent="0.25">
      <c r="A155" t="s">
        <v>4062</v>
      </c>
      <c r="B155" t="s">
        <v>7561</v>
      </c>
      <c r="C155" t="s">
        <v>4066</v>
      </c>
      <c r="D155" s="7">
        <v>0.5</v>
      </c>
      <c r="E155" s="2">
        <v>1669</v>
      </c>
      <c r="F155" s="2">
        <v>834.5</v>
      </c>
    </row>
    <row r="156" spans="1:6" x14ac:dyDescent="0.25">
      <c r="A156" t="s">
        <v>4062</v>
      </c>
      <c r="B156" t="s">
        <v>4369</v>
      </c>
      <c r="C156" t="s">
        <v>34</v>
      </c>
      <c r="D156" s="7">
        <v>0.15</v>
      </c>
      <c r="E156" s="2">
        <v>89250</v>
      </c>
      <c r="F156" s="2">
        <v>13387.5</v>
      </c>
    </row>
    <row r="157" spans="1:6" x14ac:dyDescent="0.25">
      <c r="A157" t="s">
        <v>4062</v>
      </c>
      <c r="B157" t="s">
        <v>7562</v>
      </c>
      <c r="C157" t="s">
        <v>42</v>
      </c>
      <c r="D157" s="7">
        <v>1</v>
      </c>
      <c r="E157" s="2">
        <v>38306.18</v>
      </c>
      <c r="F157" s="2">
        <v>38306.18</v>
      </c>
    </row>
    <row r="158" spans="1:6" x14ac:dyDescent="0.25">
      <c r="A158" t="s">
        <v>4062</v>
      </c>
      <c r="B158" t="s">
        <v>7563</v>
      </c>
      <c r="C158" t="s">
        <v>231</v>
      </c>
      <c r="D158" s="7">
        <v>0.09</v>
      </c>
      <c r="E158" s="2">
        <v>4807.18</v>
      </c>
      <c r="F158" s="2">
        <v>432.65</v>
      </c>
    </row>
    <row r="159" spans="1:6" x14ac:dyDescent="0.25">
      <c r="A159" t="s">
        <v>4062</v>
      </c>
      <c r="B159" t="s">
        <v>7564</v>
      </c>
      <c r="C159" t="s">
        <v>21</v>
      </c>
      <c r="D159" s="7">
        <v>4.59</v>
      </c>
      <c r="E159" s="2">
        <v>3399.59</v>
      </c>
      <c r="F159" s="2">
        <v>15613.98</v>
      </c>
    </row>
    <row r="160" spans="1:6" x14ac:dyDescent="0.25">
      <c r="A160" t="s">
        <v>4049</v>
      </c>
      <c r="B160" t="s">
        <v>4176</v>
      </c>
      <c r="C160" t="s">
        <v>4177</v>
      </c>
      <c r="D160" s="7">
        <v>2.5</v>
      </c>
      <c r="E160" s="2">
        <v>72300.17</v>
      </c>
      <c r="F160" s="2">
        <v>180750.42</v>
      </c>
    </row>
    <row r="161" spans="1:6" x14ac:dyDescent="0.25">
      <c r="A161" t="s">
        <v>4049</v>
      </c>
      <c r="B161" t="s">
        <v>4313</v>
      </c>
      <c r="C161" t="s">
        <v>4177</v>
      </c>
      <c r="D161" s="7">
        <v>0.5</v>
      </c>
      <c r="E161" s="2">
        <v>124137.15</v>
      </c>
      <c r="F161" s="2">
        <v>62068.57</v>
      </c>
    </row>
    <row r="162" spans="1:6" x14ac:dyDescent="0.25">
      <c r="A162" t="s">
        <v>4052</v>
      </c>
      <c r="B162" t="s">
        <v>7565</v>
      </c>
      <c r="C162" t="s">
        <v>287</v>
      </c>
      <c r="D162" s="7">
        <v>0.5</v>
      </c>
      <c r="E162" s="2">
        <v>68907.65</v>
      </c>
      <c r="F162" s="2">
        <v>34453.82</v>
      </c>
    </row>
    <row r="163" spans="1:6" x14ac:dyDescent="0.25">
      <c r="A163" t="s">
        <v>4052</v>
      </c>
      <c r="B163" t="s">
        <v>7566</v>
      </c>
      <c r="C163" t="s">
        <v>287</v>
      </c>
      <c r="D163" s="7">
        <v>0.5</v>
      </c>
      <c r="E163" s="2">
        <v>227617.23</v>
      </c>
      <c r="F163" s="2">
        <v>113808.62</v>
      </c>
    </row>
    <row r="164" spans="1:6" x14ac:dyDescent="0.25">
      <c r="A164" t="s">
        <v>4052</v>
      </c>
      <c r="B164" t="s">
        <v>7567</v>
      </c>
      <c r="C164" t="s">
        <v>287</v>
      </c>
      <c r="D164" s="7">
        <v>2.8</v>
      </c>
      <c r="E164" s="2">
        <v>13969</v>
      </c>
      <c r="F164" s="2">
        <v>39113.2</v>
      </c>
    </row>
    <row r="165" spans="1:6" x14ac:dyDescent="0.25">
      <c r="A165" t="s">
        <v>4052</v>
      </c>
      <c r="B165" t="s">
        <v>6157</v>
      </c>
      <c r="C165" t="s">
        <v>287</v>
      </c>
      <c r="D165" s="7">
        <v>0.5</v>
      </c>
      <c r="E165" s="2">
        <v>59791.06</v>
      </c>
      <c r="F165" s="2">
        <v>29895.53</v>
      </c>
    </row>
    <row r="166" spans="1:6" x14ac:dyDescent="0.25">
      <c r="A166" t="s">
        <v>4052</v>
      </c>
      <c r="B166" t="s">
        <v>4342</v>
      </c>
      <c r="C166" t="s">
        <v>287</v>
      </c>
      <c r="D166" s="7">
        <v>0.5</v>
      </c>
      <c r="E166" s="2">
        <v>8333.33</v>
      </c>
      <c r="F166" s="2">
        <v>4166.66</v>
      </c>
    </row>
    <row r="167" spans="1:6" x14ac:dyDescent="0.25">
      <c r="A167" t="s">
        <v>4052</v>
      </c>
      <c r="B167" t="s">
        <v>7568</v>
      </c>
      <c r="C167" t="s">
        <v>287</v>
      </c>
      <c r="D167" s="7">
        <v>0.5</v>
      </c>
      <c r="E167" s="2">
        <v>219739.97</v>
      </c>
      <c r="F167" s="2">
        <v>109869.99</v>
      </c>
    </row>
    <row r="168" spans="1:6" x14ac:dyDescent="0.25">
      <c r="A168" t="s">
        <v>4052</v>
      </c>
      <c r="B168" t="s">
        <v>4053</v>
      </c>
      <c r="C168" t="s">
        <v>4054</v>
      </c>
      <c r="D168" s="7">
        <v>5</v>
      </c>
      <c r="E168" s="2">
        <v>242818.99</v>
      </c>
      <c r="F168" s="2">
        <v>12140.95</v>
      </c>
    </row>
    <row r="169" spans="1:6" x14ac:dyDescent="0.25">
      <c r="A169" t="s">
        <v>4055</v>
      </c>
      <c r="D169" s="7"/>
      <c r="E169" s="2"/>
      <c r="F169" s="2">
        <f>SUBTOTAL(109,A_3_13_13[VALOR PARCIAL])</f>
      </c>
    </row>
    <row r="171" ht="30" customHeight="1" spans="1:6" x14ac:dyDescent="0.25">
      <c r="A171" s="5" t="s">
        <v>7569</v>
      </c>
      <c r="B171" s="5"/>
      <c r="C171" s="5"/>
      <c r="D171" s="5"/>
      <c r="E171" s="5"/>
      <c r="F171" s="5"/>
    </row>
    <row r="172" ht="42" customHeight="1" spans="1:6" x14ac:dyDescent="0.25">
      <c r="A172" s="6" t="s">
        <v>7570</v>
      </c>
      <c r="B172" s="6"/>
      <c r="C172" s="6"/>
      <c r="D172" s="6"/>
      <c r="E172" s="6"/>
      <c r="F172" s="6"/>
    </row>
    <row r="173" spans="1:6" x14ac:dyDescent="0.25">
      <c r="A173" t="s">
        <v>4044</v>
      </c>
      <c r="B173" t="s">
        <v>4045</v>
      </c>
      <c r="C173" t="s">
        <v>5</v>
      </c>
      <c r="D173" t="s">
        <v>4046</v>
      </c>
      <c r="E173" t="s">
        <v>4047</v>
      </c>
      <c r="F173" t="s">
        <v>4048</v>
      </c>
    </row>
    <row r="174" spans="1:6" x14ac:dyDescent="0.25">
      <c r="A174" t="s">
        <v>4062</v>
      </c>
      <c r="B174" t="s">
        <v>6947</v>
      </c>
      <c r="C174" t="s">
        <v>63</v>
      </c>
      <c r="D174" s="7">
        <v>0</v>
      </c>
      <c r="E174" s="2">
        <v>185957</v>
      </c>
      <c r="F174" s="2">
        <v>130.17</v>
      </c>
    </row>
    <row r="175" spans="1:6" x14ac:dyDescent="0.25">
      <c r="A175" t="s">
        <v>4062</v>
      </c>
      <c r="B175" t="s">
        <v>4076</v>
      </c>
      <c r="C175" t="s">
        <v>3963</v>
      </c>
      <c r="D175" s="7">
        <v>5</v>
      </c>
      <c r="E175" s="2">
        <v>21</v>
      </c>
      <c r="F175" s="2">
        <v>105</v>
      </c>
    </row>
    <row r="176" spans="1:6" x14ac:dyDescent="0.25">
      <c r="A176" t="s">
        <v>4049</v>
      </c>
      <c r="B176" t="s">
        <v>4176</v>
      </c>
      <c r="C176" t="s">
        <v>4177</v>
      </c>
      <c r="D176" s="7">
        <v>0.04</v>
      </c>
      <c r="E176" s="2">
        <v>72300.17</v>
      </c>
      <c r="F176" s="2">
        <v>2892.01</v>
      </c>
    </row>
    <row r="177" spans="1:6" x14ac:dyDescent="0.25">
      <c r="A177" t="s">
        <v>4052</v>
      </c>
      <c r="B177" t="s">
        <v>7234</v>
      </c>
      <c r="C177" t="s">
        <v>287</v>
      </c>
      <c r="D177" s="7">
        <v>0.12</v>
      </c>
      <c r="E177" s="2">
        <v>8800</v>
      </c>
      <c r="F177" s="2">
        <v>1088.56</v>
      </c>
    </row>
    <row r="178" spans="1:6" x14ac:dyDescent="0.25">
      <c r="A178" t="s">
        <v>4055</v>
      </c>
      <c r="D178" s="7"/>
      <c r="E178" s="2"/>
      <c r="F178" s="2">
        <f>SUBTOTAL(109,A_3_13_14[VALOR PARCIAL])</f>
      </c>
    </row>
    <row r="180" ht="30" customHeight="1" spans="1:6" x14ac:dyDescent="0.25">
      <c r="A180" s="5" t="s">
        <v>7571</v>
      </c>
      <c r="B180" s="5"/>
      <c r="C180" s="5"/>
      <c r="D180" s="5"/>
      <c r="E180" s="5"/>
      <c r="F180" s="5"/>
    </row>
    <row r="181" ht="42" customHeight="1" spans="1:6" x14ac:dyDescent="0.25">
      <c r="A181" s="6" t="s">
        <v>7572</v>
      </c>
      <c r="B181" s="6"/>
      <c r="C181" s="6"/>
      <c r="D181" s="6"/>
      <c r="E181" s="6"/>
      <c r="F181" s="6"/>
    </row>
    <row r="182" spans="1:6" x14ac:dyDescent="0.25">
      <c r="A182" t="s">
        <v>4044</v>
      </c>
      <c r="B182" t="s">
        <v>4045</v>
      </c>
      <c r="C182" t="s">
        <v>5</v>
      </c>
      <c r="D182" t="s">
        <v>4046</v>
      </c>
      <c r="E182" t="s">
        <v>4047</v>
      </c>
      <c r="F182" t="s">
        <v>4048</v>
      </c>
    </row>
    <row r="183" spans="1:6" x14ac:dyDescent="0.25">
      <c r="A183" t="s">
        <v>4062</v>
      </c>
      <c r="B183" t="s">
        <v>3544</v>
      </c>
      <c r="C183" t="s">
        <v>3545</v>
      </c>
      <c r="D183" s="7">
        <v>1.25</v>
      </c>
      <c r="E183" s="2">
        <v>1325</v>
      </c>
      <c r="F183" s="2">
        <v>1656.25</v>
      </c>
    </row>
    <row r="184" spans="1:6" x14ac:dyDescent="0.25">
      <c r="A184" t="s">
        <v>4049</v>
      </c>
      <c r="B184" t="s">
        <v>4176</v>
      </c>
      <c r="C184" t="s">
        <v>4177</v>
      </c>
      <c r="D184" s="7">
        <v>1.5</v>
      </c>
      <c r="E184" s="2">
        <v>72300.17</v>
      </c>
      <c r="F184" s="2">
        <v>108450.26</v>
      </c>
    </row>
    <row r="185" spans="1:6" x14ac:dyDescent="0.25">
      <c r="A185" t="s">
        <v>4049</v>
      </c>
      <c r="B185" t="s">
        <v>4313</v>
      </c>
      <c r="C185" t="s">
        <v>4177</v>
      </c>
      <c r="D185" s="7">
        <v>0.5</v>
      </c>
      <c r="E185" s="2">
        <v>124137.15</v>
      </c>
      <c r="F185" s="2">
        <v>62068.57</v>
      </c>
    </row>
    <row r="186" spans="1:6" x14ac:dyDescent="0.25">
      <c r="A186" t="s">
        <v>4052</v>
      </c>
      <c r="B186" t="s">
        <v>4123</v>
      </c>
      <c r="C186" t="s">
        <v>287</v>
      </c>
      <c r="D186" s="7">
        <v>3.03</v>
      </c>
      <c r="E186" s="2">
        <v>62400</v>
      </c>
      <c r="F186" s="2">
        <v>189072</v>
      </c>
    </row>
    <row r="187" spans="1:6" x14ac:dyDescent="0.25">
      <c r="A187" t="s">
        <v>4052</v>
      </c>
      <c r="B187" t="s">
        <v>4113</v>
      </c>
      <c r="C187" t="s">
        <v>4106</v>
      </c>
      <c r="D187" s="7">
        <v>0.05</v>
      </c>
      <c r="E187" s="2">
        <v>43805.88</v>
      </c>
      <c r="F187" s="2">
        <v>2190.29</v>
      </c>
    </row>
    <row r="188" spans="1:6" x14ac:dyDescent="0.25">
      <c r="A188" t="s">
        <v>4052</v>
      </c>
      <c r="B188" t="s">
        <v>4118</v>
      </c>
      <c r="C188" t="s">
        <v>287</v>
      </c>
      <c r="D188" s="7">
        <v>0.05</v>
      </c>
      <c r="E188" s="2">
        <v>107433.33</v>
      </c>
      <c r="F188" s="2">
        <v>5371.67</v>
      </c>
    </row>
    <row r="189" spans="1:6" x14ac:dyDescent="0.25">
      <c r="A189" t="s">
        <v>4052</v>
      </c>
      <c r="B189" t="s">
        <v>4053</v>
      </c>
      <c r="C189" t="s">
        <v>4054</v>
      </c>
      <c r="D189" s="7">
        <v>0.03</v>
      </c>
      <c r="E189" s="2">
        <v>170518.83</v>
      </c>
      <c r="F189" s="2">
        <v>51.16</v>
      </c>
    </row>
    <row r="190" spans="1:6" x14ac:dyDescent="0.25">
      <c r="A190" t="s">
        <v>4055</v>
      </c>
      <c r="D190" s="7"/>
      <c r="E190" s="2"/>
      <c r="F190" s="2">
        <f>SUBTOTAL(109,A_3_13_15[VALOR PARCIAL])</f>
      </c>
    </row>
    <row r="192" ht="30" customHeight="1" spans="1:6" x14ac:dyDescent="0.25">
      <c r="A192" s="5" t="s">
        <v>7573</v>
      </c>
      <c r="B192" s="5"/>
      <c r="C192" s="5"/>
      <c r="D192" s="5"/>
      <c r="E192" s="5"/>
      <c r="F192" s="5"/>
    </row>
    <row r="193" ht="42" customHeight="1" spans="1:6" x14ac:dyDescent="0.25">
      <c r="A193" s="6" t="s">
        <v>7574</v>
      </c>
      <c r="B193" s="6"/>
      <c r="C193" s="6"/>
      <c r="D193" s="6"/>
      <c r="E193" s="6"/>
      <c r="F193" s="6"/>
    </row>
    <row r="194" spans="1:6" x14ac:dyDescent="0.25">
      <c r="A194" t="s">
        <v>4044</v>
      </c>
      <c r="B194" t="s">
        <v>4045</v>
      </c>
      <c r="C194" t="s">
        <v>5</v>
      </c>
      <c r="D194" t="s">
        <v>4046</v>
      </c>
      <c r="E194" t="s">
        <v>4047</v>
      </c>
      <c r="F194" t="s">
        <v>4048</v>
      </c>
    </row>
    <row r="195" spans="1:6" x14ac:dyDescent="0.25">
      <c r="A195" t="s">
        <v>4062</v>
      </c>
      <c r="B195" t="s">
        <v>3544</v>
      </c>
      <c r="C195" t="s">
        <v>3545</v>
      </c>
      <c r="D195" s="7">
        <v>5</v>
      </c>
      <c r="E195" s="2">
        <v>1325</v>
      </c>
      <c r="F195" s="2">
        <v>6625</v>
      </c>
    </row>
    <row r="196" spans="1:6" x14ac:dyDescent="0.25">
      <c r="A196" t="s">
        <v>4049</v>
      </c>
      <c r="B196" t="s">
        <v>4176</v>
      </c>
      <c r="C196" t="s">
        <v>4177</v>
      </c>
      <c r="D196" s="7">
        <v>1</v>
      </c>
      <c r="E196" s="2">
        <v>72300.17</v>
      </c>
      <c r="F196" s="2">
        <v>72300.17</v>
      </c>
    </row>
    <row r="197" spans="1:6" x14ac:dyDescent="0.25">
      <c r="A197" t="s">
        <v>4049</v>
      </c>
      <c r="B197" t="s">
        <v>4313</v>
      </c>
      <c r="C197" t="s">
        <v>4177</v>
      </c>
      <c r="D197" s="7">
        <v>0.66</v>
      </c>
      <c r="E197" s="2">
        <v>124137.15</v>
      </c>
      <c r="F197" s="2">
        <v>81930.52</v>
      </c>
    </row>
    <row r="198" spans="1:6" x14ac:dyDescent="0.25">
      <c r="A198" t="s">
        <v>4049</v>
      </c>
      <c r="B198" t="s">
        <v>4050</v>
      </c>
      <c r="C198" t="s">
        <v>4051</v>
      </c>
      <c r="D198" s="7">
        <v>0.24</v>
      </c>
      <c r="E198" s="2">
        <v>9037.33</v>
      </c>
      <c r="F198" s="2">
        <v>2168.96</v>
      </c>
    </row>
    <row r="199" spans="1:6" x14ac:dyDescent="0.25">
      <c r="A199" t="s">
        <v>4052</v>
      </c>
      <c r="B199" t="s">
        <v>4123</v>
      </c>
      <c r="C199" t="s">
        <v>287</v>
      </c>
      <c r="D199" s="7">
        <v>0.66</v>
      </c>
      <c r="E199" s="2">
        <v>62400</v>
      </c>
      <c r="F199" s="2">
        <v>41184</v>
      </c>
    </row>
    <row r="200" spans="1:6" x14ac:dyDescent="0.25">
      <c r="A200" t="s">
        <v>4052</v>
      </c>
      <c r="B200" t="s">
        <v>4118</v>
      </c>
      <c r="C200" t="s">
        <v>287</v>
      </c>
      <c r="D200" s="7">
        <v>0.03</v>
      </c>
      <c r="E200" s="2">
        <v>107433.33</v>
      </c>
      <c r="F200" s="2">
        <v>3223</v>
      </c>
    </row>
    <row r="201" spans="1:6" x14ac:dyDescent="0.25">
      <c r="A201" t="s">
        <v>4052</v>
      </c>
      <c r="B201" t="s">
        <v>4053</v>
      </c>
      <c r="C201" t="s">
        <v>4054</v>
      </c>
      <c r="D201" s="7">
        <v>5</v>
      </c>
      <c r="E201" s="2">
        <v>154230.69</v>
      </c>
      <c r="F201" s="2">
        <v>7711.53</v>
      </c>
    </row>
    <row r="202" spans="1:6" x14ac:dyDescent="0.25">
      <c r="A202" t="s">
        <v>4052</v>
      </c>
      <c r="B202" t="s">
        <v>4092</v>
      </c>
      <c r="C202" t="s">
        <v>287</v>
      </c>
      <c r="D202" s="7">
        <v>0.12</v>
      </c>
      <c r="E202" s="2">
        <v>97476</v>
      </c>
      <c r="F202" s="2">
        <v>11697.12</v>
      </c>
    </row>
    <row r="203" spans="1:6" x14ac:dyDescent="0.25">
      <c r="A203" t="s">
        <v>4052</v>
      </c>
      <c r="B203" t="s">
        <v>4053</v>
      </c>
      <c r="C203" t="s">
        <v>4054</v>
      </c>
      <c r="D203" s="7">
        <v>5</v>
      </c>
      <c r="E203" s="2">
        <v>2168.96</v>
      </c>
      <c r="F203" s="2">
        <v>108.45</v>
      </c>
    </row>
    <row r="204" spans="1:6" x14ac:dyDescent="0.25">
      <c r="A204" t="s">
        <v>4058</v>
      </c>
      <c r="B204" t="s">
        <v>4314</v>
      </c>
      <c r="C204" t="s">
        <v>34</v>
      </c>
      <c r="D204" s="7">
        <v>0.07</v>
      </c>
      <c r="E204" s="2">
        <v>63714</v>
      </c>
      <c r="F204" s="2">
        <v>4249.72</v>
      </c>
    </row>
    <row r="205" spans="1:6" x14ac:dyDescent="0.25">
      <c r="A205" t="s">
        <v>4055</v>
      </c>
      <c r="D205" s="7"/>
      <c r="E205" s="2"/>
      <c r="F205" s="2">
        <f>SUBTOTAL(109,A_3_13_16[VALOR PARCIAL])</f>
      </c>
    </row>
    <row r="207" ht="30" customHeight="1" spans="1:6" x14ac:dyDescent="0.25">
      <c r="A207" s="5" t="s">
        <v>7575</v>
      </c>
      <c r="B207" s="5"/>
      <c r="C207" s="5"/>
      <c r="D207" s="5"/>
      <c r="E207" s="5"/>
      <c r="F207" s="5"/>
    </row>
    <row r="208" ht="42" customHeight="1" spans="1:6" x14ac:dyDescent="0.25">
      <c r="A208" s="6" t="s">
        <v>7576</v>
      </c>
      <c r="B208" s="6"/>
      <c r="C208" s="6"/>
      <c r="D208" s="6"/>
      <c r="E208" s="6"/>
      <c r="F208" s="6"/>
    </row>
    <row r="209" spans="1:6" x14ac:dyDescent="0.25">
      <c r="A209" t="s">
        <v>4044</v>
      </c>
      <c r="B209" t="s">
        <v>4045</v>
      </c>
      <c r="C209" t="s">
        <v>5</v>
      </c>
      <c r="D209" t="s">
        <v>4046</v>
      </c>
      <c r="E209" t="s">
        <v>4047</v>
      </c>
      <c r="F209" t="s">
        <v>4048</v>
      </c>
    </row>
    <row r="210" spans="1:6" x14ac:dyDescent="0.25">
      <c r="A210" t="s">
        <v>4049</v>
      </c>
      <c r="B210" t="s">
        <v>7119</v>
      </c>
      <c r="C210" t="s">
        <v>4177</v>
      </c>
      <c r="D210" s="7">
        <v>0.01</v>
      </c>
      <c r="E210" s="2">
        <v>124137.15</v>
      </c>
      <c r="F210" s="2">
        <v>993.1</v>
      </c>
    </row>
    <row r="211" spans="1:6" x14ac:dyDescent="0.25">
      <c r="A211" t="s">
        <v>4052</v>
      </c>
      <c r="B211" t="s">
        <v>4092</v>
      </c>
      <c r="C211" t="s">
        <v>287</v>
      </c>
      <c r="D211" s="7">
        <v>0.06</v>
      </c>
      <c r="E211" s="2">
        <v>97476</v>
      </c>
      <c r="F211" s="2">
        <v>5848.56</v>
      </c>
    </row>
    <row r="212" spans="1:6" x14ac:dyDescent="0.25">
      <c r="A212" t="s">
        <v>4052</v>
      </c>
      <c r="B212" t="s">
        <v>4053</v>
      </c>
      <c r="C212" t="s">
        <v>4054</v>
      </c>
      <c r="D212" s="7">
        <v>5</v>
      </c>
      <c r="E212" s="2">
        <v>993.1</v>
      </c>
      <c r="F212" s="2">
        <v>49.66</v>
      </c>
    </row>
    <row r="213" spans="1:6" x14ac:dyDescent="0.25">
      <c r="A213" t="s">
        <v>4058</v>
      </c>
      <c r="B213" t="s">
        <v>4314</v>
      </c>
      <c r="C213" t="s">
        <v>34</v>
      </c>
      <c r="D213" s="7">
        <v>0.17</v>
      </c>
      <c r="E213" s="2">
        <v>63714</v>
      </c>
      <c r="F213" s="2">
        <v>10621.12</v>
      </c>
    </row>
    <row r="214" spans="1:6" x14ac:dyDescent="0.25">
      <c r="A214" t="s">
        <v>4055</v>
      </c>
      <c r="D214" s="7"/>
      <c r="E214" s="2"/>
      <c r="F214" s="2">
        <f>SUBTOTAL(109,A_3_13_18[VALOR PARCIAL])</f>
      </c>
    </row>
    <row r="216" ht="30" customHeight="1" spans="1:6" x14ac:dyDescent="0.25">
      <c r="A216" s="5" t="s">
        <v>7577</v>
      </c>
      <c r="B216" s="5"/>
      <c r="C216" s="5"/>
      <c r="D216" s="5"/>
      <c r="E216" s="5"/>
      <c r="F216" s="5"/>
    </row>
    <row r="217" ht="42" customHeight="1" spans="1:6" x14ac:dyDescent="0.25">
      <c r="A217" s="6" t="s">
        <v>7578</v>
      </c>
      <c r="B217" s="6"/>
      <c r="C217" s="6"/>
      <c r="D217" s="6"/>
      <c r="E217" s="6"/>
      <c r="F217" s="6"/>
    </row>
    <row r="218" spans="1:6" x14ac:dyDescent="0.25">
      <c r="A218" t="s">
        <v>4044</v>
      </c>
      <c r="B218" t="s">
        <v>4045</v>
      </c>
      <c r="C218" t="s">
        <v>5</v>
      </c>
      <c r="D218" t="s">
        <v>4046</v>
      </c>
      <c r="E218" t="s">
        <v>4047</v>
      </c>
      <c r="F218" t="s">
        <v>4048</v>
      </c>
    </row>
    <row r="219" spans="1:6" x14ac:dyDescent="0.25">
      <c r="A219" t="s">
        <v>4062</v>
      </c>
      <c r="B219" t="s">
        <v>4001</v>
      </c>
      <c r="C219" t="s">
        <v>34</v>
      </c>
      <c r="D219" s="7">
        <v>0.01</v>
      </c>
      <c r="E219" s="2">
        <v>450245.66</v>
      </c>
      <c r="F219" s="2">
        <v>4502.46</v>
      </c>
    </row>
    <row r="220" spans="1:6" x14ac:dyDescent="0.25">
      <c r="A220" t="s">
        <v>4049</v>
      </c>
      <c r="B220" t="s">
        <v>4176</v>
      </c>
      <c r="C220" t="s">
        <v>4177</v>
      </c>
      <c r="D220" s="7">
        <v>0.25</v>
      </c>
      <c r="E220" s="2">
        <v>72300.17</v>
      </c>
      <c r="F220" s="2">
        <v>18075.04</v>
      </c>
    </row>
    <row r="221" spans="1:6" x14ac:dyDescent="0.25">
      <c r="A221" t="s">
        <v>4049</v>
      </c>
      <c r="B221" t="s">
        <v>4313</v>
      </c>
      <c r="C221" t="s">
        <v>4177</v>
      </c>
      <c r="D221" s="7">
        <v>0.17</v>
      </c>
      <c r="E221" s="2">
        <v>124137.15</v>
      </c>
      <c r="F221" s="2">
        <v>21103.32</v>
      </c>
    </row>
    <row r="222" spans="1:6" x14ac:dyDescent="0.25">
      <c r="A222" t="s">
        <v>4052</v>
      </c>
      <c r="B222" t="s">
        <v>4053</v>
      </c>
      <c r="C222" t="s">
        <v>4054</v>
      </c>
      <c r="D222" s="7">
        <v>7</v>
      </c>
      <c r="E222" s="2">
        <v>39178.36</v>
      </c>
      <c r="F222" s="2">
        <v>2742.49</v>
      </c>
    </row>
    <row r="223" spans="1:6" x14ac:dyDescent="0.25">
      <c r="A223" t="s">
        <v>4055</v>
      </c>
      <c r="D223" s="7"/>
      <c r="E223" s="2"/>
      <c r="F223" s="2">
        <f>SUBTOTAL(109,A_3_13_19[VALOR PARCIAL])</f>
      </c>
    </row>
    <row r="225" ht="30" customHeight="1" spans="1:6" x14ac:dyDescent="0.25">
      <c r="A225" s="5" t="s">
        <v>7579</v>
      </c>
      <c r="B225" s="5"/>
      <c r="C225" s="5"/>
      <c r="D225" s="5"/>
      <c r="E225" s="5"/>
      <c r="F225" s="5"/>
    </row>
    <row r="226" ht="42" customHeight="1" spans="1:6" x14ac:dyDescent="0.25">
      <c r="A226" s="6" t="s">
        <v>7580</v>
      </c>
      <c r="B226" s="6"/>
      <c r="C226" s="6"/>
      <c r="D226" s="6"/>
      <c r="E226" s="6"/>
      <c r="F226" s="6"/>
    </row>
    <row r="227" spans="1:6" x14ac:dyDescent="0.25">
      <c r="A227" t="s">
        <v>4044</v>
      </c>
      <c r="B227" t="s">
        <v>4045</v>
      </c>
      <c r="C227" t="s">
        <v>5</v>
      </c>
      <c r="D227" t="s">
        <v>4046</v>
      </c>
      <c r="E227" t="s">
        <v>4047</v>
      </c>
      <c r="F227" t="s">
        <v>4048</v>
      </c>
    </row>
    <row r="228" spans="1:6" x14ac:dyDescent="0.25">
      <c r="A228" t="s">
        <v>4062</v>
      </c>
      <c r="B228" t="s">
        <v>7059</v>
      </c>
      <c r="C228" t="s">
        <v>34</v>
      </c>
      <c r="D228" s="7">
        <v>0.2</v>
      </c>
      <c r="E228" s="2">
        <v>40100</v>
      </c>
      <c r="F228" s="2">
        <v>8020</v>
      </c>
    </row>
    <row r="229" spans="1:6" x14ac:dyDescent="0.25">
      <c r="A229" t="s">
        <v>4062</v>
      </c>
      <c r="B229" t="s">
        <v>7581</v>
      </c>
      <c r="C229" t="s">
        <v>21</v>
      </c>
      <c r="D229" s="7">
        <v>1.03</v>
      </c>
      <c r="E229" s="2">
        <v>3850</v>
      </c>
      <c r="F229" s="2">
        <v>3965.5</v>
      </c>
    </row>
    <row r="230" spans="1:6" x14ac:dyDescent="0.25">
      <c r="A230" t="s">
        <v>4062</v>
      </c>
      <c r="B230" t="s">
        <v>7582</v>
      </c>
      <c r="C230" t="s">
        <v>63</v>
      </c>
      <c r="D230" s="7">
        <v>0.81</v>
      </c>
      <c r="E230" s="2">
        <v>1150</v>
      </c>
      <c r="F230" s="2">
        <v>925.75</v>
      </c>
    </row>
    <row r="231" spans="1:6" x14ac:dyDescent="0.25">
      <c r="A231" t="s">
        <v>4062</v>
      </c>
      <c r="B231" t="s">
        <v>4076</v>
      </c>
      <c r="C231" t="s">
        <v>3963</v>
      </c>
      <c r="D231" s="7">
        <v>25</v>
      </c>
      <c r="E231" s="2">
        <v>21</v>
      </c>
      <c r="F231" s="2">
        <v>525</v>
      </c>
    </row>
    <row r="232" spans="1:6" x14ac:dyDescent="0.25">
      <c r="A232" t="s">
        <v>4049</v>
      </c>
      <c r="B232" t="s">
        <v>4176</v>
      </c>
      <c r="C232" t="s">
        <v>4177</v>
      </c>
      <c r="D232" s="7">
        <v>0.06</v>
      </c>
      <c r="E232" s="2">
        <v>72300.17</v>
      </c>
      <c r="F232" s="2">
        <v>4106.65</v>
      </c>
    </row>
    <row r="233" spans="1:6" x14ac:dyDescent="0.25">
      <c r="A233" t="s">
        <v>4052</v>
      </c>
      <c r="B233" t="s">
        <v>4053</v>
      </c>
      <c r="C233" t="s">
        <v>4054</v>
      </c>
      <c r="D233" s="7">
        <v>5</v>
      </c>
      <c r="E233" s="2">
        <v>4106.65</v>
      </c>
      <c r="F233" s="2">
        <v>205.33</v>
      </c>
    </row>
    <row r="234" spans="1:6" x14ac:dyDescent="0.25">
      <c r="A234" t="s">
        <v>4055</v>
      </c>
      <c r="D234" s="7"/>
      <c r="E234" s="2"/>
      <c r="F234" s="2">
        <f>SUBTOTAL(109,A_3_13_20[VALOR PARCIAL])</f>
      </c>
    </row>
    <row r="236" ht="30" customHeight="1" spans="1:6" x14ac:dyDescent="0.25">
      <c r="A236" s="5" t="s">
        <v>7583</v>
      </c>
      <c r="B236" s="5"/>
      <c r="C236" s="5"/>
      <c r="D236" s="5"/>
      <c r="E236" s="5"/>
      <c r="F236" s="5"/>
    </row>
    <row r="237" ht="42" customHeight="1" spans="1:6" x14ac:dyDescent="0.25">
      <c r="A237" s="6" t="s">
        <v>7584</v>
      </c>
      <c r="B237" s="6"/>
      <c r="C237" s="6"/>
      <c r="D237" s="6"/>
      <c r="E237" s="6"/>
      <c r="F237" s="6"/>
    </row>
    <row r="238" spans="1:6" x14ac:dyDescent="0.25">
      <c r="A238" t="s">
        <v>4044</v>
      </c>
      <c r="B238" t="s">
        <v>4045</v>
      </c>
      <c r="C238" t="s">
        <v>5</v>
      </c>
      <c r="D238" t="s">
        <v>4046</v>
      </c>
      <c r="E238" t="s">
        <v>4047</v>
      </c>
      <c r="F238" t="s">
        <v>4048</v>
      </c>
    </row>
    <row r="239" spans="1:6" x14ac:dyDescent="0.25">
      <c r="A239" t="s">
        <v>4062</v>
      </c>
      <c r="B239" t="s">
        <v>7059</v>
      </c>
      <c r="C239" t="s">
        <v>34</v>
      </c>
      <c r="D239" s="7">
        <v>0.2</v>
      </c>
      <c r="E239" s="2">
        <v>40100</v>
      </c>
      <c r="F239" s="2">
        <v>8020</v>
      </c>
    </row>
    <row r="240" spans="1:6" x14ac:dyDescent="0.25">
      <c r="A240" t="s">
        <v>4062</v>
      </c>
      <c r="B240" t="s">
        <v>4321</v>
      </c>
      <c r="C240" t="s">
        <v>21</v>
      </c>
      <c r="D240" s="7">
        <v>0.05</v>
      </c>
      <c r="E240" s="2">
        <v>8777.33</v>
      </c>
      <c r="F240" s="2">
        <v>438.87</v>
      </c>
    </row>
    <row r="241" spans="1:6" x14ac:dyDescent="0.25">
      <c r="A241" t="s">
        <v>4062</v>
      </c>
      <c r="B241" t="s">
        <v>4076</v>
      </c>
      <c r="C241" t="s">
        <v>3963</v>
      </c>
      <c r="D241" s="7">
        <v>25</v>
      </c>
      <c r="E241" s="2">
        <v>21</v>
      </c>
      <c r="F241" s="2">
        <v>525</v>
      </c>
    </row>
    <row r="242" spans="1:6" x14ac:dyDescent="0.25">
      <c r="A242" t="s">
        <v>4062</v>
      </c>
      <c r="B242" t="s">
        <v>7585</v>
      </c>
      <c r="C242" t="s">
        <v>63</v>
      </c>
      <c r="D242" s="7">
        <v>2</v>
      </c>
      <c r="E242" s="2">
        <v>1293</v>
      </c>
      <c r="F242" s="2">
        <v>2586</v>
      </c>
    </row>
    <row r="243" spans="1:6" x14ac:dyDescent="0.25">
      <c r="A243" t="s">
        <v>4049</v>
      </c>
      <c r="B243" t="s">
        <v>4176</v>
      </c>
      <c r="C243" t="s">
        <v>4177</v>
      </c>
      <c r="D243" s="7">
        <v>0.27</v>
      </c>
      <c r="E243" s="2">
        <v>72300.17</v>
      </c>
      <c r="F243" s="2">
        <v>19441.52</v>
      </c>
    </row>
    <row r="244" spans="1:6" x14ac:dyDescent="0.25">
      <c r="A244" t="s">
        <v>4052</v>
      </c>
      <c r="B244" t="s">
        <v>4053</v>
      </c>
      <c r="C244" t="s">
        <v>4054</v>
      </c>
      <c r="D244" s="7">
        <v>5</v>
      </c>
      <c r="E244" s="2">
        <v>19441.52</v>
      </c>
      <c r="F244" s="2">
        <v>972.08</v>
      </c>
    </row>
    <row r="245" spans="1:6" x14ac:dyDescent="0.25">
      <c r="A245" t="s">
        <v>4055</v>
      </c>
      <c r="D245" s="7"/>
      <c r="E245" s="2"/>
      <c r="F245" s="2">
        <f>SUBTOTAL(109,A_3_13_21[VALOR PARCIAL])</f>
      </c>
    </row>
    <row r="247" ht="30" customHeight="1" spans="1:6" x14ac:dyDescent="0.25">
      <c r="A247" s="5" t="s">
        <v>7586</v>
      </c>
      <c r="B247" s="5"/>
      <c r="C247" s="5"/>
      <c r="D247" s="5"/>
      <c r="E247" s="5"/>
      <c r="F247" s="5"/>
    </row>
    <row r="248" ht="42" customHeight="1" spans="1:6" x14ac:dyDescent="0.25">
      <c r="A248" s="6" t="s">
        <v>7587</v>
      </c>
      <c r="B248" s="6"/>
      <c r="C248" s="6"/>
      <c r="D248" s="6"/>
      <c r="E248" s="6"/>
      <c r="F248" s="6"/>
    </row>
    <row r="249" spans="1:6" x14ac:dyDescent="0.25">
      <c r="A249" t="s">
        <v>4044</v>
      </c>
      <c r="B249" t="s">
        <v>4045</v>
      </c>
      <c r="C249" t="s">
        <v>5</v>
      </c>
      <c r="D249" t="s">
        <v>4046</v>
      </c>
      <c r="E249" t="s">
        <v>4047</v>
      </c>
      <c r="F249" t="s">
        <v>4048</v>
      </c>
    </row>
    <row r="250" spans="1:6" x14ac:dyDescent="0.25">
      <c r="A250" t="s">
        <v>4062</v>
      </c>
      <c r="B250" t="s">
        <v>5472</v>
      </c>
      <c r="C250" t="s">
        <v>231</v>
      </c>
      <c r="D250" s="7">
        <v>1.05</v>
      </c>
      <c r="E250" s="2">
        <v>3895</v>
      </c>
      <c r="F250" s="2">
        <v>4089.75</v>
      </c>
    </row>
    <row r="251" spans="1:6" x14ac:dyDescent="0.25">
      <c r="A251" t="s">
        <v>4062</v>
      </c>
      <c r="B251" t="s">
        <v>3558</v>
      </c>
      <c r="C251" t="s">
        <v>231</v>
      </c>
      <c r="D251" s="7">
        <v>1</v>
      </c>
      <c r="E251" s="2">
        <v>146.18</v>
      </c>
      <c r="F251" s="2">
        <v>146.18</v>
      </c>
    </row>
    <row r="252" spans="1:6" x14ac:dyDescent="0.25">
      <c r="A252" t="s">
        <v>4062</v>
      </c>
      <c r="B252" t="s">
        <v>7588</v>
      </c>
      <c r="C252" t="s">
        <v>231</v>
      </c>
      <c r="D252" s="7">
        <v>0.01</v>
      </c>
      <c r="E252" s="2">
        <v>162518</v>
      </c>
      <c r="F252" s="2">
        <v>812.59</v>
      </c>
    </row>
    <row r="253" spans="1:6" x14ac:dyDescent="0.25">
      <c r="A253" t="s">
        <v>4062</v>
      </c>
      <c r="B253" t="s">
        <v>7589</v>
      </c>
      <c r="C253" t="s">
        <v>231</v>
      </c>
      <c r="D253" s="7">
        <v>0.01</v>
      </c>
      <c r="E253" s="2">
        <v>11356.51</v>
      </c>
      <c r="F253" s="2">
        <v>56.78</v>
      </c>
    </row>
    <row r="254" spans="1:6" x14ac:dyDescent="0.25">
      <c r="A254" t="s">
        <v>4062</v>
      </c>
      <c r="B254" t="s">
        <v>7590</v>
      </c>
      <c r="C254" t="s">
        <v>231</v>
      </c>
      <c r="D254" s="7">
        <v>0.01</v>
      </c>
      <c r="E254" s="2">
        <v>12620.98</v>
      </c>
      <c r="F254" s="2">
        <v>63.1</v>
      </c>
    </row>
    <row r="255" spans="1:6" x14ac:dyDescent="0.25">
      <c r="A255" t="s">
        <v>4062</v>
      </c>
      <c r="B255" t="s">
        <v>5892</v>
      </c>
      <c r="C255" t="s">
        <v>231</v>
      </c>
      <c r="D255" s="7">
        <v>0.06</v>
      </c>
      <c r="E255" s="2">
        <v>10750</v>
      </c>
      <c r="F255" s="2">
        <v>645</v>
      </c>
    </row>
    <row r="256" spans="1:6" x14ac:dyDescent="0.25">
      <c r="A256" t="s">
        <v>4049</v>
      </c>
      <c r="B256" t="s">
        <v>4176</v>
      </c>
      <c r="C256" t="s">
        <v>4177</v>
      </c>
      <c r="D256" s="7">
        <v>0.02</v>
      </c>
      <c r="E256" s="2">
        <v>72300.17</v>
      </c>
      <c r="F256" s="2">
        <v>1409.85</v>
      </c>
    </row>
    <row r="257" spans="1:6" x14ac:dyDescent="0.25">
      <c r="A257" t="s">
        <v>4049</v>
      </c>
      <c r="B257" t="s">
        <v>7591</v>
      </c>
      <c r="C257" t="s">
        <v>4177</v>
      </c>
      <c r="D257" s="7">
        <v>0.01</v>
      </c>
      <c r="E257" s="2">
        <v>124137.15</v>
      </c>
      <c r="F257" s="2">
        <v>943.44</v>
      </c>
    </row>
    <row r="258" spans="1:6" x14ac:dyDescent="0.25">
      <c r="A258" t="s">
        <v>4049</v>
      </c>
      <c r="B258" t="s">
        <v>4313</v>
      </c>
      <c r="C258" t="s">
        <v>4177</v>
      </c>
      <c r="D258" s="7">
        <v>0.01</v>
      </c>
      <c r="E258" s="2">
        <v>124137.15</v>
      </c>
      <c r="F258" s="2">
        <v>831.72</v>
      </c>
    </row>
    <row r="259" spans="1:6" x14ac:dyDescent="0.25">
      <c r="A259" t="s">
        <v>4049</v>
      </c>
      <c r="B259" t="s">
        <v>5474</v>
      </c>
      <c r="C259" t="s">
        <v>4177</v>
      </c>
      <c r="D259" s="7">
        <v>0.02</v>
      </c>
      <c r="E259" s="2">
        <v>148967.85</v>
      </c>
      <c r="F259" s="2">
        <v>2413.28</v>
      </c>
    </row>
    <row r="260" spans="1:6" x14ac:dyDescent="0.25">
      <c r="A260" t="s">
        <v>4052</v>
      </c>
      <c r="B260" t="s">
        <v>7592</v>
      </c>
      <c r="C260" t="s">
        <v>287</v>
      </c>
      <c r="D260" s="7">
        <v>0.04</v>
      </c>
      <c r="E260" s="2">
        <v>5636.39</v>
      </c>
      <c r="F260" s="2">
        <v>197.27</v>
      </c>
    </row>
    <row r="261" spans="1:6" x14ac:dyDescent="0.25">
      <c r="A261" t="s">
        <v>4052</v>
      </c>
      <c r="B261" t="s">
        <v>7099</v>
      </c>
      <c r="C261" t="s">
        <v>4106</v>
      </c>
      <c r="D261" s="7">
        <v>0.04</v>
      </c>
      <c r="E261" s="2">
        <v>147140</v>
      </c>
      <c r="F261" s="2">
        <v>5149.9</v>
      </c>
    </row>
    <row r="262" spans="1:6" x14ac:dyDescent="0.25">
      <c r="A262" t="s">
        <v>4052</v>
      </c>
      <c r="B262" t="s">
        <v>5725</v>
      </c>
      <c r="C262" t="s">
        <v>287</v>
      </c>
      <c r="D262" s="7">
        <v>0.05</v>
      </c>
      <c r="E262" s="2">
        <v>19084</v>
      </c>
      <c r="F262" s="2">
        <v>896.95</v>
      </c>
    </row>
    <row r="263" spans="1:6" x14ac:dyDescent="0.25">
      <c r="A263" t="s">
        <v>4052</v>
      </c>
      <c r="B263" t="s">
        <v>4053</v>
      </c>
      <c r="C263" t="s">
        <v>4054</v>
      </c>
      <c r="D263" s="7">
        <v>5</v>
      </c>
      <c r="E263" s="2">
        <v>5598.29</v>
      </c>
      <c r="F263" s="2">
        <v>279.91</v>
      </c>
    </row>
    <row r="264" spans="1:6" x14ac:dyDescent="0.25">
      <c r="A264" t="s">
        <v>4055</v>
      </c>
      <c r="D264" s="7"/>
      <c r="E264" s="2"/>
      <c r="F264" s="2">
        <f>SUBTOTAL(109,A_3_13_22[VALOR PARCIAL])</f>
      </c>
    </row>
    <row r="266" ht="30" customHeight="1" spans="1:6" x14ac:dyDescent="0.25">
      <c r="A266" s="5" t="s">
        <v>7593</v>
      </c>
      <c r="B266" s="5"/>
      <c r="C266" s="5"/>
      <c r="D266" s="5"/>
      <c r="E266" s="5"/>
      <c r="F266" s="5"/>
    </row>
    <row r="267" ht="42" customHeight="1" spans="1:6" x14ac:dyDescent="0.25">
      <c r="A267" s="6" t="s">
        <v>7594</v>
      </c>
      <c r="B267" s="6"/>
      <c r="C267" s="6"/>
      <c r="D267" s="6"/>
      <c r="E267" s="6"/>
      <c r="F267" s="6"/>
    </row>
    <row r="268" spans="1:6" x14ac:dyDescent="0.25">
      <c r="A268" t="s">
        <v>4044</v>
      </c>
      <c r="B268" t="s">
        <v>4045</v>
      </c>
      <c r="C268" t="s">
        <v>5</v>
      </c>
      <c r="D268" t="s">
        <v>4046</v>
      </c>
      <c r="E268" t="s">
        <v>4047</v>
      </c>
      <c r="F268" t="s">
        <v>4048</v>
      </c>
    </row>
    <row r="269" spans="1:6" x14ac:dyDescent="0.25">
      <c r="A269" t="s">
        <v>4062</v>
      </c>
      <c r="B269" t="s">
        <v>1056</v>
      </c>
      <c r="C269" t="s">
        <v>231</v>
      </c>
      <c r="D269" s="7">
        <v>0.5</v>
      </c>
      <c r="E269" s="2">
        <v>97911.73</v>
      </c>
      <c r="F269" s="2">
        <v>48955.86</v>
      </c>
    </row>
    <row r="270" spans="1:6" x14ac:dyDescent="0.25">
      <c r="A270" t="s">
        <v>4049</v>
      </c>
      <c r="B270" t="s">
        <v>4050</v>
      </c>
      <c r="C270" t="s">
        <v>4051</v>
      </c>
      <c r="D270" s="7">
        <v>0.8</v>
      </c>
      <c r="E270" s="2">
        <v>9037.33</v>
      </c>
      <c r="F270" s="2">
        <v>7229.86</v>
      </c>
    </row>
    <row r="271" spans="1:6" x14ac:dyDescent="0.25">
      <c r="A271" t="s">
        <v>4052</v>
      </c>
      <c r="B271" t="s">
        <v>4053</v>
      </c>
      <c r="C271" t="s">
        <v>4054</v>
      </c>
      <c r="D271" s="7">
        <v>8.61</v>
      </c>
      <c r="E271" s="2">
        <v>7229.86</v>
      </c>
      <c r="F271" s="2">
        <v>622.49</v>
      </c>
    </row>
    <row r="272" spans="1:6" x14ac:dyDescent="0.25">
      <c r="A272" t="s">
        <v>4055</v>
      </c>
      <c r="D272" s="7"/>
      <c r="E272" s="2"/>
      <c r="F272" s="2">
        <f>SUBTOTAL(109,A_3_13_23[VALOR PARCIAL])</f>
      </c>
    </row>
    <row r="274" ht="30" customHeight="1" spans="1:6" x14ac:dyDescent="0.25">
      <c r="A274" s="5" t="s">
        <v>7595</v>
      </c>
      <c r="B274" s="5"/>
      <c r="C274" s="5"/>
      <c r="D274" s="5"/>
      <c r="E274" s="5"/>
      <c r="F274" s="5"/>
    </row>
    <row r="275" ht="42" customHeight="1" spans="1:6" x14ac:dyDescent="0.25">
      <c r="A275" s="6" t="s">
        <v>7596</v>
      </c>
      <c r="B275" s="6"/>
      <c r="C275" s="6"/>
      <c r="D275" s="6"/>
      <c r="E275" s="6"/>
      <c r="F275" s="6"/>
    </row>
    <row r="276" spans="1:6" x14ac:dyDescent="0.25">
      <c r="A276" t="s">
        <v>4044</v>
      </c>
      <c r="B276" t="s">
        <v>4045</v>
      </c>
      <c r="C276" t="s">
        <v>5</v>
      </c>
      <c r="D276" t="s">
        <v>4046</v>
      </c>
      <c r="E276" t="s">
        <v>4047</v>
      </c>
      <c r="F276" t="s">
        <v>4048</v>
      </c>
    </row>
    <row r="277" spans="1:6" x14ac:dyDescent="0.25">
      <c r="A277" t="s">
        <v>4062</v>
      </c>
      <c r="B277" t="s">
        <v>4390</v>
      </c>
      <c r="C277" t="s">
        <v>231</v>
      </c>
      <c r="D277" s="7">
        <v>0.02</v>
      </c>
      <c r="E277" s="2">
        <v>4155</v>
      </c>
      <c r="F277" s="2">
        <v>83.1</v>
      </c>
    </row>
    <row r="278" spans="1:6" x14ac:dyDescent="0.25">
      <c r="A278" t="s">
        <v>4062</v>
      </c>
      <c r="B278" t="s">
        <v>7597</v>
      </c>
      <c r="C278" t="s">
        <v>231</v>
      </c>
      <c r="D278" s="7">
        <v>1</v>
      </c>
      <c r="E278" s="2">
        <v>3849.41</v>
      </c>
      <c r="F278" s="2">
        <v>3849.41</v>
      </c>
    </row>
    <row r="279" spans="1:6" x14ac:dyDescent="0.25">
      <c r="A279" t="s">
        <v>4049</v>
      </c>
      <c r="B279" t="s">
        <v>4050</v>
      </c>
      <c r="C279" t="s">
        <v>4051</v>
      </c>
      <c r="D279" s="7">
        <v>0.03</v>
      </c>
      <c r="E279" s="2">
        <v>9037.33</v>
      </c>
      <c r="F279" s="2">
        <v>271.12</v>
      </c>
    </row>
    <row r="280" spans="1:6" x14ac:dyDescent="0.25">
      <c r="A280" t="s">
        <v>4049</v>
      </c>
      <c r="B280" t="s">
        <v>4073</v>
      </c>
      <c r="C280" t="s">
        <v>4051</v>
      </c>
      <c r="D280" s="7">
        <v>0.03</v>
      </c>
      <c r="E280" s="2">
        <v>15517.89</v>
      </c>
      <c r="F280" s="2">
        <v>465.54</v>
      </c>
    </row>
    <row r="281" spans="1:6" x14ac:dyDescent="0.25">
      <c r="A281" t="s">
        <v>4052</v>
      </c>
      <c r="B281" t="s">
        <v>4053</v>
      </c>
      <c r="C281" t="s">
        <v>4054</v>
      </c>
      <c r="D281" s="7">
        <v>5</v>
      </c>
      <c r="E281" s="2">
        <v>736.66</v>
      </c>
      <c r="F281" s="2">
        <v>36.83</v>
      </c>
    </row>
    <row r="282" spans="1:6" x14ac:dyDescent="0.25">
      <c r="A282" t="s">
        <v>4055</v>
      </c>
      <c r="D282" s="7"/>
      <c r="E282" s="2"/>
      <c r="F282" s="2">
        <f>SUBTOTAL(109,A_3_13_24[VALOR PARCIAL])</f>
      </c>
    </row>
    <row r="284" ht="30" customHeight="1" spans="1:6" x14ac:dyDescent="0.25">
      <c r="A284" s="5" t="s">
        <v>7598</v>
      </c>
      <c r="B284" s="5"/>
      <c r="C284" s="5"/>
      <c r="D284" s="5"/>
      <c r="E284" s="5"/>
      <c r="F284" s="5"/>
    </row>
    <row r="285" ht="42" customHeight="1" spans="1:6" x14ac:dyDescent="0.25">
      <c r="A285" s="6" t="s">
        <v>7599</v>
      </c>
      <c r="B285" s="6"/>
      <c r="C285" s="6"/>
      <c r="D285" s="6"/>
      <c r="E285" s="6"/>
      <c r="F285" s="6"/>
    </row>
    <row r="286" spans="1:6" x14ac:dyDescent="0.25">
      <c r="A286" t="s">
        <v>4044</v>
      </c>
      <c r="B286" t="s">
        <v>4045</v>
      </c>
      <c r="C286" t="s">
        <v>5</v>
      </c>
      <c r="D286" t="s">
        <v>4046</v>
      </c>
      <c r="E286" t="s">
        <v>4047</v>
      </c>
      <c r="F286" t="s">
        <v>4048</v>
      </c>
    </row>
    <row r="287" spans="1:6" x14ac:dyDescent="0.25">
      <c r="A287" t="s">
        <v>4062</v>
      </c>
      <c r="B287" t="s">
        <v>4390</v>
      </c>
      <c r="C287" t="s">
        <v>231</v>
      </c>
      <c r="D287" s="7">
        <v>0.02</v>
      </c>
      <c r="E287" s="2">
        <v>4155</v>
      </c>
      <c r="F287" s="2">
        <v>83.1</v>
      </c>
    </row>
    <row r="288" spans="1:6" x14ac:dyDescent="0.25">
      <c r="A288" t="s">
        <v>4062</v>
      </c>
      <c r="B288" t="s">
        <v>7600</v>
      </c>
      <c r="C288" t="s">
        <v>231</v>
      </c>
      <c r="D288" s="7">
        <v>1</v>
      </c>
      <c r="E288" s="2">
        <v>3968.78</v>
      </c>
      <c r="F288" s="2">
        <v>3968.78</v>
      </c>
    </row>
    <row r="289" spans="1:6" x14ac:dyDescent="0.25">
      <c r="A289" t="s">
        <v>4049</v>
      </c>
      <c r="B289" t="s">
        <v>4050</v>
      </c>
      <c r="C289" t="s">
        <v>4051</v>
      </c>
      <c r="D289" s="7">
        <v>0.03</v>
      </c>
      <c r="E289" s="2">
        <v>9037.33</v>
      </c>
      <c r="F289" s="2">
        <v>271.12</v>
      </c>
    </row>
    <row r="290" spans="1:6" x14ac:dyDescent="0.25">
      <c r="A290" t="s">
        <v>4049</v>
      </c>
      <c r="B290" t="s">
        <v>4073</v>
      </c>
      <c r="C290" t="s">
        <v>4051</v>
      </c>
      <c r="D290" s="7">
        <v>0.03</v>
      </c>
      <c r="E290" s="2">
        <v>15517.89</v>
      </c>
      <c r="F290" s="2">
        <v>465.54</v>
      </c>
    </row>
    <row r="291" spans="1:6" x14ac:dyDescent="0.25">
      <c r="A291" t="s">
        <v>4052</v>
      </c>
      <c r="B291" t="s">
        <v>4053</v>
      </c>
      <c r="C291" t="s">
        <v>4054</v>
      </c>
      <c r="D291" s="7">
        <v>5</v>
      </c>
      <c r="E291" s="2">
        <v>736.66</v>
      </c>
      <c r="F291" s="2">
        <v>36.83</v>
      </c>
    </row>
    <row r="292" spans="1:6" x14ac:dyDescent="0.25">
      <c r="A292" t="s">
        <v>4055</v>
      </c>
      <c r="D292" s="7"/>
      <c r="E292" s="2"/>
      <c r="F292" s="2">
        <f>SUBTOTAL(109,A_3_13_25[VALOR PARCIAL])</f>
      </c>
    </row>
    <row r="294" ht="30" customHeight="1" spans="1:6" x14ac:dyDescent="0.25">
      <c r="A294" s="5" t="s">
        <v>7601</v>
      </c>
      <c r="B294" s="5"/>
      <c r="C294" s="5"/>
      <c r="D294" s="5"/>
      <c r="E294" s="5"/>
      <c r="F294" s="5"/>
    </row>
    <row r="295" ht="42" customHeight="1" spans="1:6" x14ac:dyDescent="0.25">
      <c r="A295" s="6" t="s">
        <v>7602</v>
      </c>
      <c r="B295" s="6"/>
      <c r="C295" s="6"/>
      <c r="D295" s="6"/>
      <c r="E295" s="6"/>
      <c r="F295" s="6"/>
    </row>
    <row r="296" spans="1:6" x14ac:dyDescent="0.25">
      <c r="A296" t="s">
        <v>4044</v>
      </c>
      <c r="B296" t="s">
        <v>4045</v>
      </c>
      <c r="C296" t="s">
        <v>5</v>
      </c>
      <c r="D296" t="s">
        <v>4046</v>
      </c>
      <c r="E296" t="s">
        <v>4047</v>
      </c>
      <c r="F296" t="s">
        <v>4048</v>
      </c>
    </row>
    <row r="297" spans="1:6" x14ac:dyDescent="0.25">
      <c r="A297" t="s">
        <v>4062</v>
      </c>
      <c r="B297" t="s">
        <v>4390</v>
      </c>
      <c r="C297" t="s">
        <v>231</v>
      </c>
      <c r="D297" s="7">
        <v>0.02</v>
      </c>
      <c r="E297" s="2">
        <v>4155</v>
      </c>
      <c r="F297" s="2">
        <v>83.1</v>
      </c>
    </row>
    <row r="298" spans="1:6" x14ac:dyDescent="0.25">
      <c r="A298" t="s">
        <v>4062</v>
      </c>
      <c r="B298" t="s">
        <v>7603</v>
      </c>
      <c r="C298" t="s">
        <v>231</v>
      </c>
      <c r="D298" s="7">
        <v>1</v>
      </c>
      <c r="E298" s="2">
        <v>3812</v>
      </c>
      <c r="F298" s="2">
        <v>3812</v>
      </c>
    </row>
    <row r="299" spans="1:6" x14ac:dyDescent="0.25">
      <c r="A299" t="s">
        <v>4049</v>
      </c>
      <c r="B299" t="s">
        <v>4050</v>
      </c>
      <c r="C299" t="s">
        <v>4051</v>
      </c>
      <c r="D299" s="7">
        <v>0.03</v>
      </c>
      <c r="E299" s="2">
        <v>9037.33</v>
      </c>
      <c r="F299" s="2">
        <v>271.12</v>
      </c>
    </row>
    <row r="300" spans="1:6" x14ac:dyDescent="0.25">
      <c r="A300" t="s">
        <v>4049</v>
      </c>
      <c r="B300" t="s">
        <v>4073</v>
      </c>
      <c r="C300" t="s">
        <v>4051</v>
      </c>
      <c r="D300" s="7">
        <v>0.03</v>
      </c>
      <c r="E300" s="2">
        <v>15517.89</v>
      </c>
      <c r="F300" s="2">
        <v>465.54</v>
      </c>
    </row>
    <row r="301" spans="1:6" x14ac:dyDescent="0.25">
      <c r="A301" t="s">
        <v>4052</v>
      </c>
      <c r="B301" t="s">
        <v>4053</v>
      </c>
      <c r="C301" t="s">
        <v>4054</v>
      </c>
      <c r="D301" s="7">
        <v>5</v>
      </c>
      <c r="E301" s="2">
        <v>736.66</v>
      </c>
      <c r="F301" s="2">
        <v>36.83</v>
      </c>
    </row>
    <row r="302" spans="1:6" x14ac:dyDescent="0.25">
      <c r="A302" t="s">
        <v>4055</v>
      </c>
      <c r="D302" s="7"/>
      <c r="E302" s="2"/>
      <c r="F302" s="2">
        <f>SUBTOTAL(109,A_3_13_26[VALOR PARCIAL])</f>
      </c>
    </row>
    <row r="304" ht="30" customHeight="1" spans="1:6" x14ac:dyDescent="0.25">
      <c r="A304" s="5" t="s">
        <v>7604</v>
      </c>
      <c r="B304" s="5"/>
      <c r="C304" s="5"/>
      <c r="D304" s="5"/>
      <c r="E304" s="5"/>
      <c r="F304" s="5"/>
    </row>
    <row r="305" ht="42" customHeight="1" spans="1:6" x14ac:dyDescent="0.25">
      <c r="A305" s="6" t="s">
        <v>7605</v>
      </c>
      <c r="B305" s="6"/>
      <c r="C305" s="6"/>
      <c r="D305" s="6"/>
      <c r="E305" s="6"/>
      <c r="F305" s="6"/>
    </row>
    <row r="306" spans="1:6" x14ac:dyDescent="0.25">
      <c r="A306" t="s">
        <v>4044</v>
      </c>
      <c r="B306" t="s">
        <v>4045</v>
      </c>
      <c r="C306" t="s">
        <v>5</v>
      </c>
      <c r="D306" t="s">
        <v>4046</v>
      </c>
      <c r="E306" t="s">
        <v>4047</v>
      </c>
      <c r="F306" t="s">
        <v>4048</v>
      </c>
    </row>
    <row r="307" spans="1:6" x14ac:dyDescent="0.25">
      <c r="A307" t="s">
        <v>4062</v>
      </c>
      <c r="B307" t="s">
        <v>4390</v>
      </c>
      <c r="C307" t="s">
        <v>231</v>
      </c>
      <c r="D307" s="7">
        <v>0.02</v>
      </c>
      <c r="E307" s="2">
        <v>4155</v>
      </c>
      <c r="F307" s="2">
        <v>83.1</v>
      </c>
    </row>
    <row r="308" spans="1:6" x14ac:dyDescent="0.25">
      <c r="A308" t="s">
        <v>4062</v>
      </c>
      <c r="B308" t="s">
        <v>7606</v>
      </c>
      <c r="C308" t="s">
        <v>231</v>
      </c>
      <c r="D308" s="7">
        <v>1</v>
      </c>
      <c r="E308" s="2">
        <v>3815</v>
      </c>
      <c r="F308" s="2">
        <v>3815</v>
      </c>
    </row>
    <row r="309" spans="1:6" x14ac:dyDescent="0.25">
      <c r="A309" t="s">
        <v>4049</v>
      </c>
      <c r="B309" t="s">
        <v>4050</v>
      </c>
      <c r="C309" t="s">
        <v>4051</v>
      </c>
      <c r="D309" s="7">
        <v>0.03</v>
      </c>
      <c r="E309" s="2">
        <v>9037.33</v>
      </c>
      <c r="F309" s="2">
        <v>271.12</v>
      </c>
    </row>
    <row r="310" spans="1:6" x14ac:dyDescent="0.25">
      <c r="A310" t="s">
        <v>4049</v>
      </c>
      <c r="B310" t="s">
        <v>4073</v>
      </c>
      <c r="C310" t="s">
        <v>4051</v>
      </c>
      <c r="D310" s="7">
        <v>0.03</v>
      </c>
      <c r="E310" s="2">
        <v>15517.89</v>
      </c>
      <c r="F310" s="2">
        <v>465.54</v>
      </c>
    </row>
    <row r="311" spans="1:6" x14ac:dyDescent="0.25">
      <c r="A311" t="s">
        <v>4052</v>
      </c>
      <c r="B311" t="s">
        <v>4053</v>
      </c>
      <c r="C311" t="s">
        <v>4054</v>
      </c>
      <c r="D311" s="7">
        <v>5</v>
      </c>
      <c r="E311" s="2">
        <v>736.66</v>
      </c>
      <c r="F311" s="2">
        <v>36.83</v>
      </c>
    </row>
    <row r="312" spans="1:6" x14ac:dyDescent="0.25">
      <c r="A312" t="s">
        <v>4055</v>
      </c>
      <c r="D312" s="7"/>
      <c r="E312" s="2"/>
      <c r="F312" s="2">
        <f>SUBTOTAL(109,A_3_13_27[VALOR PARCIAL])</f>
      </c>
    </row>
    <row r="314" ht="30" customHeight="1" spans="1:6" x14ac:dyDescent="0.25">
      <c r="A314" s="5" t="s">
        <v>7607</v>
      </c>
      <c r="B314" s="5"/>
      <c r="C314" s="5"/>
      <c r="D314" s="5"/>
      <c r="E314" s="5"/>
      <c r="F314" s="5"/>
    </row>
    <row r="315" ht="42" customHeight="1" spans="1:6" x14ac:dyDescent="0.25">
      <c r="A315" s="6" t="s">
        <v>7608</v>
      </c>
      <c r="B315" s="6"/>
      <c r="C315" s="6"/>
      <c r="D315" s="6"/>
      <c r="E315" s="6"/>
      <c r="F315" s="6"/>
    </row>
    <row r="316" spans="1:6" x14ac:dyDescent="0.25">
      <c r="A316" t="s">
        <v>4044</v>
      </c>
      <c r="B316" t="s">
        <v>4045</v>
      </c>
      <c r="C316" t="s">
        <v>5</v>
      </c>
      <c r="D316" t="s">
        <v>4046</v>
      </c>
      <c r="E316" t="s">
        <v>4047</v>
      </c>
      <c r="F316" t="s">
        <v>4048</v>
      </c>
    </row>
    <row r="317" spans="1:6" x14ac:dyDescent="0.25">
      <c r="A317" t="s">
        <v>4062</v>
      </c>
      <c r="B317" t="s">
        <v>4390</v>
      </c>
      <c r="C317" t="s">
        <v>231</v>
      </c>
      <c r="D317" s="7">
        <v>0.02</v>
      </c>
      <c r="E317" s="2">
        <v>4155</v>
      </c>
      <c r="F317" s="2">
        <v>83.1</v>
      </c>
    </row>
    <row r="318" spans="1:6" x14ac:dyDescent="0.25">
      <c r="A318" t="s">
        <v>4062</v>
      </c>
      <c r="B318" t="s">
        <v>7609</v>
      </c>
      <c r="C318" t="s">
        <v>231</v>
      </c>
      <c r="D318" s="7">
        <v>1</v>
      </c>
      <c r="E318" s="2">
        <v>3857.1</v>
      </c>
      <c r="F318" s="2">
        <v>3857.1</v>
      </c>
    </row>
    <row r="319" spans="1:6" x14ac:dyDescent="0.25">
      <c r="A319" t="s">
        <v>4049</v>
      </c>
      <c r="B319" t="s">
        <v>4050</v>
      </c>
      <c r="C319" t="s">
        <v>4051</v>
      </c>
      <c r="D319" s="7">
        <v>0.03</v>
      </c>
      <c r="E319" s="2">
        <v>9037.33</v>
      </c>
      <c r="F319" s="2">
        <v>271.12</v>
      </c>
    </row>
    <row r="320" spans="1:6" x14ac:dyDescent="0.25">
      <c r="A320" t="s">
        <v>4049</v>
      </c>
      <c r="B320" t="s">
        <v>4073</v>
      </c>
      <c r="C320" t="s">
        <v>4051</v>
      </c>
      <c r="D320" s="7">
        <v>0.03</v>
      </c>
      <c r="E320" s="2">
        <v>15517.89</v>
      </c>
      <c r="F320" s="2">
        <v>465.54</v>
      </c>
    </row>
    <row r="321" spans="1:6" x14ac:dyDescent="0.25">
      <c r="A321" t="s">
        <v>4052</v>
      </c>
      <c r="B321" t="s">
        <v>4053</v>
      </c>
      <c r="C321" t="s">
        <v>4054</v>
      </c>
      <c r="D321" s="7">
        <v>5</v>
      </c>
      <c r="E321" s="2">
        <v>736.66</v>
      </c>
      <c r="F321" s="2">
        <v>36.83</v>
      </c>
    </row>
    <row r="322" spans="1:6" x14ac:dyDescent="0.25">
      <c r="A322" t="s">
        <v>4055</v>
      </c>
      <c r="D322" s="7"/>
      <c r="E322" s="2"/>
      <c r="F322" s="2">
        <f>SUBTOTAL(109,A_3_13_28[VALOR PARCIAL])</f>
      </c>
    </row>
    <row r="324" ht="30" customHeight="1" spans="1:6" x14ac:dyDescent="0.25">
      <c r="A324" s="5" t="s">
        <v>7610</v>
      </c>
      <c r="B324" s="5"/>
      <c r="C324" s="5"/>
      <c r="D324" s="5"/>
      <c r="E324" s="5"/>
      <c r="F324" s="5"/>
    </row>
    <row r="325" ht="42" customHeight="1" spans="1:6" x14ac:dyDescent="0.25">
      <c r="A325" s="6" t="s">
        <v>7611</v>
      </c>
      <c r="B325" s="6"/>
      <c r="C325" s="6"/>
      <c r="D325" s="6"/>
      <c r="E325" s="6"/>
      <c r="F325" s="6"/>
    </row>
    <row r="326" spans="1:6" x14ac:dyDescent="0.25">
      <c r="A326" t="s">
        <v>4044</v>
      </c>
      <c r="B326" t="s">
        <v>4045</v>
      </c>
      <c r="C326" t="s">
        <v>5</v>
      </c>
      <c r="D326" t="s">
        <v>4046</v>
      </c>
      <c r="E326" t="s">
        <v>4047</v>
      </c>
      <c r="F326" t="s">
        <v>4048</v>
      </c>
    </row>
    <row r="327" spans="1:6" x14ac:dyDescent="0.25">
      <c r="A327" t="s">
        <v>4062</v>
      </c>
      <c r="B327" t="s">
        <v>4390</v>
      </c>
      <c r="C327" t="s">
        <v>231</v>
      </c>
      <c r="D327" s="7">
        <v>0.03</v>
      </c>
      <c r="E327" s="2">
        <v>4155</v>
      </c>
      <c r="F327" s="2">
        <v>128.81</v>
      </c>
    </row>
    <row r="328" spans="1:6" x14ac:dyDescent="0.25">
      <c r="A328" t="s">
        <v>4062</v>
      </c>
      <c r="B328" t="s">
        <v>7612</v>
      </c>
      <c r="C328" t="s">
        <v>231</v>
      </c>
      <c r="D328" s="7">
        <v>1</v>
      </c>
      <c r="E328" s="2">
        <v>3573</v>
      </c>
      <c r="F328" s="2">
        <v>3573</v>
      </c>
    </row>
    <row r="329" spans="1:6" x14ac:dyDescent="0.25">
      <c r="A329" t="s">
        <v>4049</v>
      </c>
      <c r="B329" t="s">
        <v>4050</v>
      </c>
      <c r="C329" t="s">
        <v>4051</v>
      </c>
      <c r="D329" s="7">
        <v>0.03</v>
      </c>
      <c r="E329" s="2">
        <v>9037.33</v>
      </c>
      <c r="F329" s="2">
        <v>307.27</v>
      </c>
    </row>
    <row r="330" spans="1:6" x14ac:dyDescent="0.25">
      <c r="A330" t="s">
        <v>4049</v>
      </c>
      <c r="B330" t="s">
        <v>4073</v>
      </c>
      <c r="C330" t="s">
        <v>4051</v>
      </c>
      <c r="D330" s="7">
        <v>0.03</v>
      </c>
      <c r="E330" s="2">
        <v>15517.89</v>
      </c>
      <c r="F330" s="2">
        <v>527.61</v>
      </c>
    </row>
    <row r="331" spans="1:6" x14ac:dyDescent="0.25">
      <c r="A331" t="s">
        <v>4052</v>
      </c>
      <c r="B331" t="s">
        <v>4053</v>
      </c>
      <c r="C331" t="s">
        <v>4054</v>
      </c>
      <c r="D331" s="7">
        <v>5</v>
      </c>
      <c r="E331" s="2">
        <v>834.88</v>
      </c>
      <c r="F331" s="2">
        <v>41.74</v>
      </c>
    </row>
    <row r="332" spans="1:6" x14ac:dyDescent="0.25">
      <c r="A332" t="s">
        <v>4055</v>
      </c>
      <c r="D332" s="7"/>
      <c r="E332" s="2"/>
      <c r="F332" s="2">
        <f>SUBTOTAL(109,A_3_13_29[VALOR PARCIAL])</f>
      </c>
    </row>
    <row r="334" ht="30" customHeight="1" spans="1:6" x14ac:dyDescent="0.25">
      <c r="A334" s="5" t="s">
        <v>7613</v>
      </c>
      <c r="B334" s="5"/>
      <c r="C334" s="5"/>
      <c r="D334" s="5"/>
      <c r="E334" s="5"/>
      <c r="F334" s="5"/>
    </row>
    <row r="335" ht="42" customHeight="1" spans="1:6" x14ac:dyDescent="0.25">
      <c r="A335" s="6" t="s">
        <v>7611</v>
      </c>
      <c r="B335" s="6"/>
      <c r="C335" s="6"/>
      <c r="D335" s="6"/>
      <c r="E335" s="6"/>
      <c r="F335" s="6"/>
    </row>
    <row r="336" spans="1:6" x14ac:dyDescent="0.25">
      <c r="A336" t="s">
        <v>4044</v>
      </c>
      <c r="B336" t="s">
        <v>4045</v>
      </c>
      <c r="C336" t="s">
        <v>5</v>
      </c>
      <c r="D336" t="s">
        <v>4046</v>
      </c>
      <c r="E336" t="s">
        <v>4047</v>
      </c>
      <c r="F336" t="s">
        <v>4048</v>
      </c>
    </row>
    <row r="337" spans="1:6" x14ac:dyDescent="0.25">
      <c r="A337" t="s">
        <v>4062</v>
      </c>
      <c r="B337" t="s">
        <v>4390</v>
      </c>
      <c r="C337" t="s">
        <v>231</v>
      </c>
      <c r="D337" s="7">
        <v>0.03</v>
      </c>
      <c r="E337" s="2">
        <v>4155</v>
      </c>
      <c r="F337" s="2">
        <v>128.81</v>
      </c>
    </row>
    <row r="338" spans="1:6" x14ac:dyDescent="0.25">
      <c r="A338" t="s">
        <v>4062</v>
      </c>
      <c r="B338" t="s">
        <v>7612</v>
      </c>
      <c r="C338" t="s">
        <v>231</v>
      </c>
      <c r="D338" s="7">
        <v>1</v>
      </c>
      <c r="E338" s="2">
        <v>3573</v>
      </c>
      <c r="F338" s="2">
        <v>3573</v>
      </c>
    </row>
    <row r="339" spans="1:6" x14ac:dyDescent="0.25">
      <c r="A339" t="s">
        <v>4049</v>
      </c>
      <c r="B339" t="s">
        <v>4050</v>
      </c>
      <c r="C339" t="s">
        <v>4051</v>
      </c>
      <c r="D339" s="7">
        <v>0.03</v>
      </c>
      <c r="E339" s="2">
        <v>9037.33</v>
      </c>
      <c r="F339" s="2">
        <v>307.27</v>
      </c>
    </row>
    <row r="340" spans="1:6" x14ac:dyDescent="0.25">
      <c r="A340" t="s">
        <v>4049</v>
      </c>
      <c r="B340" t="s">
        <v>4073</v>
      </c>
      <c r="C340" t="s">
        <v>4051</v>
      </c>
      <c r="D340" s="7">
        <v>0.03</v>
      </c>
      <c r="E340" s="2">
        <v>15517.89</v>
      </c>
      <c r="F340" s="2">
        <v>527.61</v>
      </c>
    </row>
    <row r="341" spans="1:6" x14ac:dyDescent="0.25">
      <c r="A341" t="s">
        <v>4052</v>
      </c>
      <c r="B341" t="s">
        <v>4053</v>
      </c>
      <c r="C341" t="s">
        <v>4054</v>
      </c>
      <c r="D341" s="7">
        <v>5</v>
      </c>
      <c r="E341" s="2">
        <v>834.88</v>
      </c>
      <c r="F341" s="2">
        <v>41.74</v>
      </c>
    </row>
    <row r="342" spans="1:6" x14ac:dyDescent="0.25">
      <c r="A342" t="s">
        <v>4055</v>
      </c>
      <c r="D342" s="7"/>
      <c r="E342" s="2"/>
      <c r="F342" s="2">
        <f>SUBTOTAL(109,A_3_13_30[VALOR PARCIAL])</f>
      </c>
    </row>
    <row r="344" ht="30" customHeight="1" spans="1:6" x14ac:dyDescent="0.25">
      <c r="A344" s="5" t="s">
        <v>7614</v>
      </c>
      <c r="B344" s="5"/>
      <c r="C344" s="5"/>
      <c r="D344" s="5"/>
      <c r="E344" s="5"/>
      <c r="F344" s="5"/>
    </row>
    <row r="345" ht="42" customHeight="1" spans="1:6" x14ac:dyDescent="0.25">
      <c r="A345" s="6" t="s">
        <v>7615</v>
      </c>
      <c r="B345" s="6"/>
      <c r="C345" s="6"/>
      <c r="D345" s="6"/>
      <c r="E345" s="6"/>
      <c r="F345" s="6"/>
    </row>
    <row r="346" spans="1:6" x14ac:dyDescent="0.25">
      <c r="A346" t="s">
        <v>4044</v>
      </c>
      <c r="B346" t="s">
        <v>4045</v>
      </c>
      <c r="C346" t="s">
        <v>5</v>
      </c>
      <c r="D346" t="s">
        <v>4046</v>
      </c>
      <c r="E346" t="s">
        <v>4047</v>
      </c>
      <c r="F346" t="s">
        <v>4048</v>
      </c>
    </row>
    <row r="347" spans="1:6" x14ac:dyDescent="0.25">
      <c r="A347" t="s">
        <v>4062</v>
      </c>
      <c r="B347" t="s">
        <v>4012</v>
      </c>
      <c r="C347" t="s">
        <v>34</v>
      </c>
      <c r="D347" s="7">
        <v>0.13</v>
      </c>
      <c r="E347" s="2">
        <v>475506.98</v>
      </c>
      <c r="F347" s="2">
        <v>62766.92</v>
      </c>
    </row>
    <row r="348" spans="1:6" x14ac:dyDescent="0.25">
      <c r="A348" t="s">
        <v>4049</v>
      </c>
      <c r="B348" t="s">
        <v>4176</v>
      </c>
      <c r="C348" t="s">
        <v>4177</v>
      </c>
      <c r="D348" s="7">
        <v>0.64</v>
      </c>
      <c r="E348" s="2">
        <v>72300.17</v>
      </c>
      <c r="F348" s="2">
        <v>46272.11</v>
      </c>
    </row>
    <row r="349" spans="1:6" x14ac:dyDescent="0.25">
      <c r="A349" t="s">
        <v>4049</v>
      </c>
      <c r="B349" t="s">
        <v>4313</v>
      </c>
      <c r="C349" t="s">
        <v>4177</v>
      </c>
      <c r="D349" s="7">
        <v>0.32</v>
      </c>
      <c r="E349" s="2">
        <v>124137.15</v>
      </c>
      <c r="F349" s="2">
        <v>39723.89</v>
      </c>
    </row>
    <row r="350" spans="1:6" x14ac:dyDescent="0.25">
      <c r="A350" t="s">
        <v>4052</v>
      </c>
      <c r="B350" t="s">
        <v>7616</v>
      </c>
      <c r="C350" t="s">
        <v>287</v>
      </c>
      <c r="D350" s="7">
        <v>0.4</v>
      </c>
      <c r="E350" s="2">
        <v>391153.29</v>
      </c>
      <c r="F350" s="2">
        <v>156461.32</v>
      </c>
    </row>
    <row r="351" spans="1:6" x14ac:dyDescent="0.25">
      <c r="A351" t="s">
        <v>4052</v>
      </c>
      <c r="B351" t="s">
        <v>4053</v>
      </c>
      <c r="C351" t="s">
        <v>4054</v>
      </c>
      <c r="D351" s="7">
        <v>5</v>
      </c>
      <c r="E351" s="2">
        <v>85996</v>
      </c>
      <c r="F351" s="2">
        <v>4299.8</v>
      </c>
    </row>
    <row r="352" spans="1:6" x14ac:dyDescent="0.25">
      <c r="A352" t="s">
        <v>4058</v>
      </c>
      <c r="B352" t="s">
        <v>7617</v>
      </c>
      <c r="C352" t="s">
        <v>42</v>
      </c>
      <c r="D352" s="7">
        <v>1</v>
      </c>
      <c r="E352" s="2">
        <v>5847.06</v>
      </c>
      <c r="F352" s="2">
        <v>5847.06</v>
      </c>
    </row>
    <row r="353" spans="1:6" x14ac:dyDescent="0.25">
      <c r="A353" t="s">
        <v>4058</v>
      </c>
      <c r="B353" t="s">
        <v>4059</v>
      </c>
      <c r="C353" t="s">
        <v>3545</v>
      </c>
      <c r="D353" s="7">
        <v>1.25</v>
      </c>
      <c r="E353" s="2">
        <v>1325</v>
      </c>
      <c r="F353" s="2">
        <v>1656.25</v>
      </c>
    </row>
    <row r="354" spans="1:6" x14ac:dyDescent="0.25">
      <c r="A354" t="s">
        <v>4055</v>
      </c>
      <c r="D354" s="7"/>
      <c r="E354" s="2"/>
      <c r="F354" s="2">
        <f>SUBTOTAL(109,A_3_13_31[VALOR PARCIAL])</f>
      </c>
    </row>
    <row r="356" ht="30" customHeight="1" spans="1:6" x14ac:dyDescent="0.25">
      <c r="A356" s="5" t="s">
        <v>7618</v>
      </c>
      <c r="B356" s="5"/>
      <c r="C356" s="5"/>
      <c r="D356" s="5"/>
      <c r="E356" s="5"/>
      <c r="F356" s="5"/>
    </row>
    <row r="357" ht="42" customHeight="1" spans="1:6" x14ac:dyDescent="0.25">
      <c r="A357" s="6" t="s">
        <v>7619</v>
      </c>
      <c r="B357" s="6"/>
      <c r="C357" s="6"/>
      <c r="D357" s="6"/>
      <c r="E357" s="6"/>
      <c r="F357" s="6"/>
    </row>
    <row r="358" spans="1:6" x14ac:dyDescent="0.25">
      <c r="A358" t="s">
        <v>4044</v>
      </c>
      <c r="B358" t="s">
        <v>4045</v>
      </c>
      <c r="C358" t="s">
        <v>5</v>
      </c>
      <c r="D358" t="s">
        <v>4046</v>
      </c>
      <c r="E358" t="s">
        <v>4047</v>
      </c>
      <c r="F358" t="s">
        <v>4048</v>
      </c>
    </row>
    <row r="359" spans="1:6" x14ac:dyDescent="0.25">
      <c r="A359" t="s">
        <v>4062</v>
      </c>
      <c r="B359" t="s">
        <v>4012</v>
      </c>
      <c r="C359" t="s">
        <v>34</v>
      </c>
      <c r="D359" s="7">
        <v>0.21</v>
      </c>
      <c r="E359" s="2">
        <v>475506.98</v>
      </c>
      <c r="F359" s="2">
        <v>98049.54</v>
      </c>
    </row>
    <row r="360" spans="1:6" x14ac:dyDescent="0.25">
      <c r="A360" t="s">
        <v>4049</v>
      </c>
      <c r="B360" t="s">
        <v>4176</v>
      </c>
      <c r="C360" t="s">
        <v>4177</v>
      </c>
      <c r="D360" s="7">
        <v>0.67</v>
      </c>
      <c r="E360" s="2">
        <v>72300.17</v>
      </c>
      <c r="F360" s="2">
        <v>48441.11</v>
      </c>
    </row>
    <row r="361" spans="1:6" x14ac:dyDescent="0.25">
      <c r="A361" t="s">
        <v>4049</v>
      </c>
      <c r="B361" t="s">
        <v>4313</v>
      </c>
      <c r="C361" t="s">
        <v>4177</v>
      </c>
      <c r="D361" s="7">
        <v>0.35</v>
      </c>
      <c r="E361" s="2">
        <v>124137.15</v>
      </c>
      <c r="F361" s="2">
        <v>43448</v>
      </c>
    </row>
    <row r="362" spans="1:6" x14ac:dyDescent="0.25">
      <c r="A362" t="s">
        <v>4052</v>
      </c>
      <c r="B362" t="s">
        <v>7616</v>
      </c>
      <c r="C362" t="s">
        <v>287</v>
      </c>
      <c r="D362" s="7">
        <v>0.44</v>
      </c>
      <c r="E362" s="2">
        <v>391153.29</v>
      </c>
      <c r="F362" s="2">
        <v>173828.52</v>
      </c>
    </row>
    <row r="363" spans="1:6" x14ac:dyDescent="0.25">
      <c r="A363" t="s">
        <v>4052</v>
      </c>
      <c r="B363" t="s">
        <v>4053</v>
      </c>
      <c r="C363" t="s">
        <v>4054</v>
      </c>
      <c r="D363" s="7">
        <v>5</v>
      </c>
      <c r="E363" s="2">
        <v>91889.11</v>
      </c>
      <c r="F363" s="2">
        <v>4594.46</v>
      </c>
    </row>
    <row r="364" spans="1:6" x14ac:dyDescent="0.25">
      <c r="A364" t="s">
        <v>4058</v>
      </c>
      <c r="B364" t="s">
        <v>7617</v>
      </c>
      <c r="C364" t="s">
        <v>42</v>
      </c>
      <c r="D364" s="7">
        <v>1</v>
      </c>
      <c r="E364" s="2">
        <v>5847.06</v>
      </c>
      <c r="F364" s="2">
        <v>5847.06</v>
      </c>
    </row>
    <row r="365" spans="1:6" x14ac:dyDescent="0.25">
      <c r="A365" t="s">
        <v>4058</v>
      </c>
      <c r="B365" t="s">
        <v>4059</v>
      </c>
      <c r="C365" t="s">
        <v>3545</v>
      </c>
      <c r="D365" s="7">
        <v>1.28</v>
      </c>
      <c r="E365" s="2">
        <v>1325</v>
      </c>
      <c r="F365" s="2">
        <v>1696</v>
      </c>
    </row>
    <row r="366" spans="1:6" x14ac:dyDescent="0.25">
      <c r="A366" t="s">
        <v>4055</v>
      </c>
      <c r="D366" s="7"/>
      <c r="E366" s="2"/>
      <c r="F366" s="2">
        <f>SUBTOTAL(109,A_3_13_32[VALOR PARCIAL])</f>
      </c>
    </row>
    <row r="368" ht="30" customHeight="1" spans="1:6" x14ac:dyDescent="0.25">
      <c r="A368" s="5" t="s">
        <v>7620</v>
      </c>
      <c r="B368" s="5"/>
      <c r="C368" s="5"/>
      <c r="D368" s="5"/>
      <c r="E368" s="5"/>
      <c r="F368" s="5"/>
    </row>
    <row r="369" ht="42" customHeight="1" spans="1:6" x14ac:dyDescent="0.25">
      <c r="A369" s="6" t="s">
        <v>7621</v>
      </c>
      <c r="B369" s="6"/>
      <c r="C369" s="6"/>
      <c r="D369" s="6"/>
      <c r="E369" s="6"/>
      <c r="F369" s="6"/>
    </row>
    <row r="370" spans="1:6" x14ac:dyDescent="0.25">
      <c r="A370" t="s">
        <v>4044</v>
      </c>
      <c r="B370" t="s">
        <v>4045</v>
      </c>
      <c r="C370" t="s">
        <v>5</v>
      </c>
      <c r="D370" t="s">
        <v>4046</v>
      </c>
      <c r="E370" t="s">
        <v>4047</v>
      </c>
      <c r="F370" t="s">
        <v>4048</v>
      </c>
    </row>
    <row r="371" spans="1:6" x14ac:dyDescent="0.25">
      <c r="A371" t="s">
        <v>4062</v>
      </c>
      <c r="B371" t="s">
        <v>4012</v>
      </c>
      <c r="C371" t="s">
        <v>34</v>
      </c>
      <c r="D371" s="7">
        <v>0.3</v>
      </c>
      <c r="E371" s="2">
        <v>475506.98</v>
      </c>
      <c r="F371" s="2">
        <v>141178.02</v>
      </c>
    </row>
    <row r="372" spans="1:6" x14ac:dyDescent="0.25">
      <c r="A372" t="s">
        <v>4049</v>
      </c>
      <c r="B372" t="s">
        <v>4176</v>
      </c>
      <c r="C372" t="s">
        <v>4177</v>
      </c>
      <c r="D372" s="7">
        <v>0.84</v>
      </c>
      <c r="E372" s="2">
        <v>72300.17</v>
      </c>
      <c r="F372" s="2">
        <v>60732.14</v>
      </c>
    </row>
    <row r="373" spans="1:6" x14ac:dyDescent="0.25">
      <c r="A373" t="s">
        <v>4049</v>
      </c>
      <c r="B373" t="s">
        <v>4313</v>
      </c>
      <c r="C373" t="s">
        <v>4177</v>
      </c>
      <c r="D373" s="7">
        <v>0.42</v>
      </c>
      <c r="E373" s="2">
        <v>124137.15</v>
      </c>
      <c r="F373" s="2">
        <v>52137.6</v>
      </c>
    </row>
    <row r="374" spans="1:6" x14ac:dyDescent="0.25">
      <c r="A374" t="s">
        <v>4052</v>
      </c>
      <c r="B374" t="s">
        <v>7616</v>
      </c>
      <c r="C374" t="s">
        <v>287</v>
      </c>
      <c r="D374" s="7">
        <v>0.5</v>
      </c>
      <c r="E374" s="2">
        <v>391153.29</v>
      </c>
      <c r="F374" s="2">
        <v>195576.64</v>
      </c>
    </row>
    <row r="375" spans="1:6" x14ac:dyDescent="0.25">
      <c r="A375" t="s">
        <v>4052</v>
      </c>
      <c r="B375" t="s">
        <v>4053</v>
      </c>
      <c r="C375" t="s">
        <v>4054</v>
      </c>
      <c r="D375" s="7">
        <v>5</v>
      </c>
      <c r="E375" s="2">
        <v>112869.74</v>
      </c>
      <c r="F375" s="2">
        <v>5643.49</v>
      </c>
    </row>
    <row r="376" spans="1:6" x14ac:dyDescent="0.25">
      <c r="A376" t="s">
        <v>4058</v>
      </c>
      <c r="B376" t="s">
        <v>7617</v>
      </c>
      <c r="C376" t="s">
        <v>42</v>
      </c>
      <c r="D376" s="7">
        <v>1</v>
      </c>
      <c r="E376" s="2">
        <v>5847.06</v>
      </c>
      <c r="F376" s="2">
        <v>5847.06</v>
      </c>
    </row>
    <row r="377" spans="1:6" x14ac:dyDescent="0.25">
      <c r="A377" t="s">
        <v>4058</v>
      </c>
      <c r="B377" t="s">
        <v>4059</v>
      </c>
      <c r="C377" t="s">
        <v>3545</v>
      </c>
      <c r="D377" s="7">
        <v>1.85</v>
      </c>
      <c r="E377" s="2">
        <v>1325</v>
      </c>
      <c r="F377" s="2">
        <v>2451.25</v>
      </c>
    </row>
    <row r="378" spans="1:6" x14ac:dyDescent="0.25">
      <c r="A378" t="s">
        <v>4055</v>
      </c>
      <c r="D378" s="7"/>
      <c r="E378" s="2"/>
      <c r="F378" s="2">
        <f>SUBTOTAL(109,A_3_13_33[VALOR PARCIAL])</f>
      </c>
    </row>
    <row r="380" ht="30" customHeight="1" spans="1:6" x14ac:dyDescent="0.25">
      <c r="A380" s="5" t="s">
        <v>7622</v>
      </c>
      <c r="B380" s="5"/>
      <c r="C380" s="5"/>
      <c r="D380" s="5"/>
      <c r="E380" s="5"/>
      <c r="F380" s="5"/>
    </row>
    <row r="381" ht="42" customHeight="1" spans="1:6" x14ac:dyDescent="0.25">
      <c r="A381" s="6" t="s">
        <v>7623</v>
      </c>
      <c r="B381" s="6"/>
      <c r="C381" s="6"/>
      <c r="D381" s="6"/>
      <c r="E381" s="6"/>
      <c r="F381" s="6"/>
    </row>
    <row r="382" spans="1:6" x14ac:dyDescent="0.25">
      <c r="A382" t="s">
        <v>4044</v>
      </c>
      <c r="B382" t="s">
        <v>4045</v>
      </c>
      <c r="C382" t="s">
        <v>5</v>
      </c>
      <c r="D382" t="s">
        <v>4046</v>
      </c>
      <c r="E382" t="s">
        <v>4047</v>
      </c>
      <c r="F382" t="s">
        <v>4048</v>
      </c>
    </row>
    <row r="383" spans="1:6" x14ac:dyDescent="0.25">
      <c r="A383" t="s">
        <v>4062</v>
      </c>
      <c r="B383" t="s">
        <v>7624</v>
      </c>
      <c r="C383" t="s">
        <v>4377</v>
      </c>
      <c r="D383" s="7">
        <v>0</v>
      </c>
      <c r="E383" s="2">
        <v>33563</v>
      </c>
      <c r="F383" s="2">
        <v>134.25</v>
      </c>
    </row>
    <row r="384" spans="1:6" x14ac:dyDescent="0.25">
      <c r="A384" t="s">
        <v>4062</v>
      </c>
      <c r="B384" t="s">
        <v>5074</v>
      </c>
      <c r="C384" t="s">
        <v>4377</v>
      </c>
      <c r="D384" s="7">
        <v>0.01</v>
      </c>
      <c r="E384" s="2">
        <v>46450</v>
      </c>
      <c r="F384" s="2">
        <v>232.25</v>
      </c>
    </row>
    <row r="385" spans="1:6" x14ac:dyDescent="0.25">
      <c r="A385" t="s">
        <v>4049</v>
      </c>
      <c r="B385" t="s">
        <v>5067</v>
      </c>
      <c r="C385" t="s">
        <v>4051</v>
      </c>
      <c r="D385" s="7">
        <v>0.02</v>
      </c>
      <c r="E385" s="2">
        <v>10392.41</v>
      </c>
      <c r="F385" s="2">
        <v>207.85</v>
      </c>
    </row>
    <row r="386" spans="1:6" x14ac:dyDescent="0.25">
      <c r="A386" t="s">
        <v>4049</v>
      </c>
      <c r="B386" t="s">
        <v>5068</v>
      </c>
      <c r="C386" t="s">
        <v>4051</v>
      </c>
      <c r="D386" s="7">
        <v>0.02</v>
      </c>
      <c r="E386" s="2">
        <v>17845.35</v>
      </c>
      <c r="F386" s="2">
        <v>281.96</v>
      </c>
    </row>
    <row r="387" spans="1:6" x14ac:dyDescent="0.25">
      <c r="A387" t="s">
        <v>4052</v>
      </c>
      <c r="B387" t="s">
        <v>7467</v>
      </c>
      <c r="C387" t="s">
        <v>4106</v>
      </c>
      <c r="D387" s="7">
        <v>0</v>
      </c>
      <c r="E387" s="2">
        <v>99264</v>
      </c>
      <c r="F387" s="2">
        <v>99.26</v>
      </c>
    </row>
    <row r="388" spans="1:6" x14ac:dyDescent="0.25">
      <c r="A388" t="s">
        <v>4052</v>
      </c>
      <c r="B388" t="s">
        <v>4105</v>
      </c>
      <c r="C388" t="s">
        <v>4106</v>
      </c>
      <c r="D388" s="7">
        <v>0.08</v>
      </c>
      <c r="E388" s="2">
        <v>25125</v>
      </c>
      <c r="F388" s="2">
        <v>2010</v>
      </c>
    </row>
    <row r="389" spans="1:6" x14ac:dyDescent="0.25">
      <c r="A389" t="s">
        <v>4052</v>
      </c>
      <c r="B389" t="s">
        <v>4053</v>
      </c>
      <c r="C389" t="s">
        <v>4054</v>
      </c>
      <c r="D389" s="7">
        <v>3.3</v>
      </c>
      <c r="E389" s="2">
        <v>489.81</v>
      </c>
      <c r="F389" s="2">
        <v>16.16</v>
      </c>
    </row>
    <row r="390" spans="1:6" x14ac:dyDescent="0.25">
      <c r="A390" t="s">
        <v>4055</v>
      </c>
      <c r="D390" s="7"/>
      <c r="E390" s="2"/>
      <c r="F390" s="2">
        <f>SUBTOTAL(109,A_3_13_34[VALOR PARCIAL])</f>
      </c>
    </row>
    <row r="392" ht="30" customHeight="1" spans="1:6" x14ac:dyDescent="0.25">
      <c r="A392" s="5" t="s">
        <v>7625</v>
      </c>
      <c r="B392" s="5"/>
      <c r="C392" s="5"/>
      <c r="D392" s="5"/>
      <c r="E392" s="5"/>
      <c r="F392" s="5"/>
    </row>
    <row r="393" ht="42" customHeight="1" spans="1:6" x14ac:dyDescent="0.25">
      <c r="A393" s="6" t="s">
        <v>7626</v>
      </c>
      <c r="B393" s="6"/>
      <c r="C393" s="6"/>
      <c r="D393" s="6"/>
      <c r="E393" s="6"/>
      <c r="F393" s="6"/>
    </row>
    <row r="394" spans="1:6" x14ac:dyDescent="0.25">
      <c r="A394" t="s">
        <v>4044</v>
      </c>
      <c r="B394" t="s">
        <v>4045</v>
      </c>
      <c r="C394" t="s">
        <v>5</v>
      </c>
      <c r="D394" t="s">
        <v>4046</v>
      </c>
      <c r="E394" t="s">
        <v>4047</v>
      </c>
      <c r="F394" t="s">
        <v>4048</v>
      </c>
    </row>
    <row r="395" spans="1:6" x14ac:dyDescent="0.25">
      <c r="A395" t="s">
        <v>4062</v>
      </c>
      <c r="B395" t="s">
        <v>7627</v>
      </c>
      <c r="C395" t="s">
        <v>231</v>
      </c>
      <c r="D395" s="7">
        <v>0.43</v>
      </c>
      <c r="E395" s="2">
        <v>2930</v>
      </c>
      <c r="F395" s="2">
        <v>1261.07</v>
      </c>
    </row>
    <row r="396" spans="1:6" x14ac:dyDescent="0.25">
      <c r="A396" t="s">
        <v>4062</v>
      </c>
      <c r="B396" t="s">
        <v>7059</v>
      </c>
      <c r="C396" t="s">
        <v>34</v>
      </c>
      <c r="D396" s="7">
        <v>0.1</v>
      </c>
      <c r="E396" s="2">
        <v>40100</v>
      </c>
      <c r="F396" s="2">
        <v>4010</v>
      </c>
    </row>
    <row r="397" spans="1:6" x14ac:dyDescent="0.25">
      <c r="A397" t="s">
        <v>4062</v>
      </c>
      <c r="B397" t="s">
        <v>7628</v>
      </c>
      <c r="C397" t="s">
        <v>63</v>
      </c>
      <c r="D397" s="7">
        <v>1</v>
      </c>
      <c r="E397" s="2">
        <v>14000</v>
      </c>
      <c r="F397" s="2">
        <v>14000</v>
      </c>
    </row>
    <row r="398" spans="1:6" x14ac:dyDescent="0.25">
      <c r="A398" t="s">
        <v>4062</v>
      </c>
      <c r="B398" t="s">
        <v>4076</v>
      </c>
      <c r="C398" t="s">
        <v>3963</v>
      </c>
      <c r="D398" s="7">
        <v>100</v>
      </c>
      <c r="E398" s="2">
        <v>21</v>
      </c>
      <c r="F398" s="2">
        <v>2100</v>
      </c>
    </row>
    <row r="399" spans="1:6" x14ac:dyDescent="0.25">
      <c r="A399" t="s">
        <v>4049</v>
      </c>
      <c r="B399" t="s">
        <v>4176</v>
      </c>
      <c r="C399" t="s">
        <v>4177</v>
      </c>
      <c r="D399" s="7">
        <v>0.28</v>
      </c>
      <c r="E399" s="2">
        <v>72300.17</v>
      </c>
      <c r="F399" s="2">
        <v>20244.05</v>
      </c>
    </row>
    <row r="400" spans="1:6" x14ac:dyDescent="0.25">
      <c r="A400" t="s">
        <v>4052</v>
      </c>
      <c r="B400" t="s">
        <v>4053</v>
      </c>
      <c r="C400" t="s">
        <v>4054</v>
      </c>
      <c r="D400" s="7">
        <v>6.02</v>
      </c>
      <c r="E400" s="2">
        <v>20244.05</v>
      </c>
      <c r="F400" s="2">
        <v>1218.69</v>
      </c>
    </row>
    <row r="401" spans="1:6" x14ac:dyDescent="0.25">
      <c r="A401" t="s">
        <v>4055</v>
      </c>
      <c r="D401" s="7"/>
      <c r="E401" s="2"/>
      <c r="F401" s="2">
        <f>SUBTOTAL(109,A_3_13_35[VALOR PARCIAL])</f>
      </c>
    </row>
    <row r="403" ht="30" customHeight="1" spans="1:6" x14ac:dyDescent="0.25">
      <c r="A403" s="5" t="s">
        <v>7629</v>
      </c>
      <c r="B403" s="5"/>
      <c r="C403" s="5"/>
      <c r="D403" s="5"/>
      <c r="E403" s="5"/>
      <c r="F403" s="5"/>
    </row>
    <row r="404" ht="42" customHeight="1" spans="1:6" x14ac:dyDescent="0.25">
      <c r="A404" s="6" t="s">
        <v>7630</v>
      </c>
      <c r="B404" s="6"/>
      <c r="C404" s="6"/>
      <c r="D404" s="6"/>
      <c r="E404" s="6"/>
      <c r="F404" s="6"/>
    </row>
    <row r="405" spans="1:6" x14ac:dyDescent="0.25">
      <c r="A405" t="s">
        <v>4044</v>
      </c>
      <c r="B405" t="s">
        <v>4045</v>
      </c>
      <c r="C405" t="s">
        <v>5</v>
      </c>
      <c r="D405" t="s">
        <v>4046</v>
      </c>
      <c r="E405" t="s">
        <v>4047</v>
      </c>
      <c r="F405" t="s">
        <v>4048</v>
      </c>
    </row>
    <row r="406" spans="1:6" x14ac:dyDescent="0.25">
      <c r="A406" t="s">
        <v>4062</v>
      </c>
      <c r="B406" t="s">
        <v>4492</v>
      </c>
      <c r="C406" t="s">
        <v>34</v>
      </c>
      <c r="D406" s="7">
        <v>1.3</v>
      </c>
      <c r="E406" s="2">
        <v>68425</v>
      </c>
      <c r="F406" s="2">
        <v>88952.5</v>
      </c>
    </row>
    <row r="407" spans="1:6" x14ac:dyDescent="0.25">
      <c r="A407" t="s">
        <v>4049</v>
      </c>
      <c r="B407" t="s">
        <v>4050</v>
      </c>
      <c r="C407" t="s">
        <v>4051</v>
      </c>
      <c r="D407" s="7">
        <v>0.8</v>
      </c>
      <c r="E407" s="2">
        <v>9037.33</v>
      </c>
      <c r="F407" s="2">
        <v>7229.86</v>
      </c>
    </row>
    <row r="408" spans="1:6" x14ac:dyDescent="0.25">
      <c r="A408" t="s">
        <v>4049</v>
      </c>
      <c r="B408" t="s">
        <v>4073</v>
      </c>
      <c r="C408" t="s">
        <v>4051</v>
      </c>
      <c r="D408" s="7">
        <v>0.4</v>
      </c>
      <c r="E408" s="2">
        <v>15517.89</v>
      </c>
      <c r="F408" s="2">
        <v>6207.16</v>
      </c>
    </row>
    <row r="409" spans="1:6" x14ac:dyDescent="0.25">
      <c r="A409" t="s">
        <v>4052</v>
      </c>
      <c r="B409" t="s">
        <v>4342</v>
      </c>
      <c r="C409" t="s">
        <v>287</v>
      </c>
      <c r="D409" s="7">
        <v>0.33</v>
      </c>
      <c r="E409" s="2">
        <v>8333.33</v>
      </c>
      <c r="F409" s="2">
        <v>2750</v>
      </c>
    </row>
    <row r="410" spans="1:6" x14ac:dyDescent="0.25">
      <c r="A410" t="s">
        <v>4052</v>
      </c>
      <c r="B410" t="s">
        <v>4053</v>
      </c>
      <c r="C410" t="s">
        <v>4054</v>
      </c>
      <c r="D410" s="7">
        <v>5</v>
      </c>
      <c r="E410" s="2">
        <v>13437.02</v>
      </c>
      <c r="F410" s="2">
        <v>671.85</v>
      </c>
    </row>
    <row r="411" spans="1:6" x14ac:dyDescent="0.25">
      <c r="A411" t="s">
        <v>4055</v>
      </c>
      <c r="D411" s="7"/>
      <c r="E411" s="2"/>
      <c r="F411" s="2">
        <f>SUBTOTAL(109,A_3_13_36[VALOR PARCIAL])</f>
      </c>
    </row>
    <row r="413" ht="30" customHeight="1" spans="1:6" x14ac:dyDescent="0.25">
      <c r="A413" s="5" t="s">
        <v>7631</v>
      </c>
      <c r="B413" s="5"/>
      <c r="C413" s="5"/>
      <c r="D413" s="5"/>
      <c r="E413" s="5"/>
      <c r="F413" s="5"/>
    </row>
    <row r="414" ht="42" customHeight="1" spans="1:6" x14ac:dyDescent="0.25">
      <c r="A414" s="6" t="s">
        <v>7632</v>
      </c>
      <c r="B414" s="6"/>
      <c r="C414" s="6"/>
      <c r="D414" s="6"/>
      <c r="E414" s="6"/>
      <c r="F414" s="6"/>
    </row>
    <row r="415" spans="1:6" x14ac:dyDescent="0.25">
      <c r="A415" t="s">
        <v>4044</v>
      </c>
      <c r="B415" t="s">
        <v>4045</v>
      </c>
      <c r="C415" t="s">
        <v>5</v>
      </c>
      <c r="D415" t="s">
        <v>4046</v>
      </c>
      <c r="E415" t="s">
        <v>4047</v>
      </c>
      <c r="F415" t="s">
        <v>4048</v>
      </c>
    </row>
    <row r="416" spans="1:6" x14ac:dyDescent="0.25">
      <c r="A416" t="s">
        <v>4062</v>
      </c>
      <c r="B416" t="s">
        <v>4369</v>
      </c>
      <c r="C416" t="s">
        <v>34</v>
      </c>
      <c r="D416" s="7">
        <v>1.05</v>
      </c>
      <c r="E416" s="2">
        <v>89250</v>
      </c>
      <c r="F416" s="2">
        <v>93712.5</v>
      </c>
    </row>
    <row r="417" spans="1:6" x14ac:dyDescent="0.25">
      <c r="A417" t="s">
        <v>4049</v>
      </c>
      <c r="B417" t="s">
        <v>4050</v>
      </c>
      <c r="C417" t="s">
        <v>4051</v>
      </c>
      <c r="D417" s="7">
        <v>0.4</v>
      </c>
      <c r="E417" s="2">
        <v>9037.33</v>
      </c>
      <c r="F417" s="2">
        <v>3614.93</v>
      </c>
    </row>
    <row r="418" spans="1:6" x14ac:dyDescent="0.25">
      <c r="A418" t="s">
        <v>4049</v>
      </c>
      <c r="B418" t="s">
        <v>4073</v>
      </c>
      <c r="C418" t="s">
        <v>4051</v>
      </c>
      <c r="D418" s="7">
        <v>0.3</v>
      </c>
      <c r="E418" s="2">
        <v>15517.89</v>
      </c>
      <c r="F418" s="2">
        <v>4655.37</v>
      </c>
    </row>
    <row r="419" spans="1:6" x14ac:dyDescent="0.25">
      <c r="A419" t="s">
        <v>4052</v>
      </c>
      <c r="B419" t="s">
        <v>4053</v>
      </c>
      <c r="C419" t="s">
        <v>4054</v>
      </c>
      <c r="D419" s="7">
        <v>5</v>
      </c>
      <c r="E419" s="2">
        <v>8270.3</v>
      </c>
      <c r="F419" s="2">
        <v>413.51</v>
      </c>
    </row>
    <row r="420" spans="1:6" x14ac:dyDescent="0.25">
      <c r="A420" t="s">
        <v>4055</v>
      </c>
      <c r="D420" s="7"/>
      <c r="E420" s="2"/>
      <c r="F420" s="2">
        <f>SUBTOTAL(109,A_3_13_37[VALOR PARCIAL])</f>
      </c>
    </row>
    <row r="422" ht="30" customHeight="1" spans="1:6" x14ac:dyDescent="0.25">
      <c r="A422" s="5" t="s">
        <v>7633</v>
      </c>
      <c r="B422" s="5"/>
      <c r="C422" s="5"/>
      <c r="D422" s="5"/>
      <c r="E422" s="5"/>
      <c r="F422" s="5"/>
    </row>
    <row r="423" ht="42" customHeight="1" spans="1:6" x14ac:dyDescent="0.25">
      <c r="A423" s="6" t="s">
        <v>7634</v>
      </c>
      <c r="B423" s="6"/>
      <c r="C423" s="6"/>
      <c r="D423" s="6"/>
      <c r="E423" s="6"/>
      <c r="F423" s="6"/>
    </row>
    <row r="424" spans="1:6" x14ac:dyDescent="0.25">
      <c r="A424" t="s">
        <v>4044</v>
      </c>
      <c r="B424" t="s">
        <v>4045</v>
      </c>
      <c r="C424" t="s">
        <v>5</v>
      </c>
      <c r="D424" t="s">
        <v>4046</v>
      </c>
      <c r="E424" t="s">
        <v>4047</v>
      </c>
      <c r="F424" t="s">
        <v>4048</v>
      </c>
    </row>
    <row r="425" spans="1:6" x14ac:dyDescent="0.25">
      <c r="A425" t="s">
        <v>4062</v>
      </c>
      <c r="B425" t="s">
        <v>5073</v>
      </c>
      <c r="C425" t="s">
        <v>4377</v>
      </c>
      <c r="D425" s="7">
        <v>0.01</v>
      </c>
      <c r="E425" s="2">
        <v>20966.67</v>
      </c>
      <c r="F425" s="2">
        <v>106.93</v>
      </c>
    </row>
    <row r="426" spans="1:6" x14ac:dyDescent="0.25">
      <c r="A426" t="s">
        <v>4062</v>
      </c>
      <c r="B426" t="s">
        <v>5673</v>
      </c>
      <c r="C426" t="s">
        <v>4377</v>
      </c>
      <c r="D426" s="7">
        <v>0</v>
      </c>
      <c r="E426" s="2">
        <v>38633</v>
      </c>
      <c r="F426" s="2">
        <v>96.58</v>
      </c>
    </row>
    <row r="427" spans="1:6" x14ac:dyDescent="0.25">
      <c r="A427" t="s">
        <v>4062</v>
      </c>
      <c r="B427" t="s">
        <v>5074</v>
      </c>
      <c r="C427" t="s">
        <v>4377</v>
      </c>
      <c r="D427" s="7">
        <v>0.01</v>
      </c>
      <c r="E427" s="2">
        <v>46450</v>
      </c>
      <c r="F427" s="2">
        <v>246.19</v>
      </c>
    </row>
    <row r="428" spans="1:6" x14ac:dyDescent="0.25">
      <c r="A428" t="s">
        <v>4049</v>
      </c>
      <c r="B428" t="s">
        <v>5068</v>
      </c>
      <c r="C428" t="s">
        <v>4051</v>
      </c>
      <c r="D428" s="7">
        <v>0.04</v>
      </c>
      <c r="E428" s="2">
        <v>17845.35</v>
      </c>
      <c r="F428" s="2">
        <v>745.94</v>
      </c>
    </row>
    <row r="429" spans="1:6" x14ac:dyDescent="0.25">
      <c r="A429" t="s">
        <v>4052</v>
      </c>
      <c r="B429" t="s">
        <v>7467</v>
      </c>
      <c r="C429" t="s">
        <v>4106</v>
      </c>
      <c r="D429" s="7">
        <v>0</v>
      </c>
      <c r="E429" s="2">
        <v>99264</v>
      </c>
      <c r="F429" s="2">
        <v>148.9</v>
      </c>
    </row>
    <row r="430" spans="1:6" x14ac:dyDescent="0.25">
      <c r="A430" t="s">
        <v>4052</v>
      </c>
      <c r="B430" t="s">
        <v>7635</v>
      </c>
      <c r="C430" t="s">
        <v>4236</v>
      </c>
      <c r="D430" s="7">
        <v>0</v>
      </c>
      <c r="E430" s="2">
        <v>44497.67</v>
      </c>
      <c r="F430" s="2">
        <v>71.2</v>
      </c>
    </row>
    <row r="431" spans="1:6" x14ac:dyDescent="0.25">
      <c r="A431" t="s">
        <v>4055</v>
      </c>
      <c r="D431" s="7"/>
      <c r="E431" s="2"/>
      <c r="F431" s="2">
        <f>SUBTOTAL(109,A_3_13_38[VALOR PARCIAL])</f>
      </c>
    </row>
    <row r="433" ht="30" customHeight="1" spans="1:6" x14ac:dyDescent="0.25">
      <c r="A433" s="5" t="s">
        <v>7636</v>
      </c>
      <c r="B433" s="5"/>
      <c r="C433" s="5"/>
      <c r="D433" s="5"/>
      <c r="E433" s="5"/>
      <c r="F433" s="5"/>
    </row>
    <row r="434" ht="42" customHeight="1" spans="1:6" x14ac:dyDescent="0.25">
      <c r="A434" s="6" t="s">
        <v>7637</v>
      </c>
      <c r="B434" s="6"/>
      <c r="C434" s="6"/>
      <c r="D434" s="6"/>
      <c r="E434" s="6"/>
      <c r="F434" s="6"/>
    </row>
    <row r="435" spans="1:6" x14ac:dyDescent="0.25">
      <c r="A435" t="s">
        <v>4044</v>
      </c>
      <c r="B435" t="s">
        <v>4045</v>
      </c>
      <c r="C435" t="s">
        <v>5</v>
      </c>
      <c r="D435" t="s">
        <v>4046</v>
      </c>
      <c r="E435" t="s">
        <v>4047</v>
      </c>
      <c r="F435" t="s">
        <v>4048</v>
      </c>
    </row>
    <row r="436" spans="1:6" x14ac:dyDescent="0.25">
      <c r="A436" t="s">
        <v>4062</v>
      </c>
      <c r="B436" t="s">
        <v>7463</v>
      </c>
      <c r="C436" t="s">
        <v>63</v>
      </c>
      <c r="D436" s="7">
        <v>0.02</v>
      </c>
      <c r="E436" s="2">
        <v>44079</v>
      </c>
      <c r="F436" s="2">
        <v>661.18</v>
      </c>
    </row>
    <row r="437" spans="1:6" x14ac:dyDescent="0.25">
      <c r="A437" t="s">
        <v>4049</v>
      </c>
      <c r="B437" t="s">
        <v>4050</v>
      </c>
      <c r="C437" t="s">
        <v>4051</v>
      </c>
      <c r="D437" s="7">
        <v>0.41</v>
      </c>
      <c r="E437" s="2">
        <v>9037.33</v>
      </c>
      <c r="F437" s="2">
        <v>3705.31</v>
      </c>
    </row>
    <row r="438" spans="1:6" x14ac:dyDescent="0.25">
      <c r="A438" t="s">
        <v>4049</v>
      </c>
      <c r="B438" t="s">
        <v>4073</v>
      </c>
      <c r="C438" t="s">
        <v>4051</v>
      </c>
      <c r="D438" s="7">
        <v>0.41</v>
      </c>
      <c r="E438" s="2">
        <v>15517.89</v>
      </c>
      <c r="F438" s="2">
        <v>6362.33</v>
      </c>
    </row>
    <row r="439" spans="1:6" x14ac:dyDescent="0.25">
      <c r="A439" t="s">
        <v>4052</v>
      </c>
      <c r="B439" t="s">
        <v>4053</v>
      </c>
      <c r="C439" t="s">
        <v>4054</v>
      </c>
      <c r="D439" s="7">
        <v>0.7</v>
      </c>
      <c r="E439" s="2">
        <v>10067.64</v>
      </c>
      <c r="F439" s="2">
        <v>70.47</v>
      </c>
    </row>
    <row r="440" spans="1:6" x14ac:dyDescent="0.25">
      <c r="A440" t="s">
        <v>4055</v>
      </c>
      <c r="D440" s="7"/>
      <c r="E440" s="2"/>
      <c r="F440" s="2">
        <f>SUBTOTAL(109,A_3_13_39[VALOR PARCIAL])</f>
      </c>
    </row>
    <row r="442" ht="30" customHeight="1" spans="1:6" x14ac:dyDescent="0.25">
      <c r="A442" s="5" t="s">
        <v>7638</v>
      </c>
      <c r="B442" s="5"/>
      <c r="C442" s="5"/>
      <c r="D442" s="5"/>
      <c r="E442" s="5"/>
      <c r="F442" s="5"/>
    </row>
    <row r="443" ht="42" customHeight="1" spans="1:6" x14ac:dyDescent="0.25">
      <c r="A443" s="6" t="s">
        <v>7639</v>
      </c>
      <c r="B443" s="6"/>
      <c r="C443" s="6"/>
      <c r="D443" s="6"/>
      <c r="E443" s="6"/>
      <c r="F443" s="6"/>
    </row>
    <row r="444" spans="1:6" x14ac:dyDescent="0.25">
      <c r="A444" t="s">
        <v>4044</v>
      </c>
      <c r="B444" t="s">
        <v>4045</v>
      </c>
      <c r="C444" t="s">
        <v>5</v>
      </c>
      <c r="D444" t="s">
        <v>4046</v>
      </c>
      <c r="E444" t="s">
        <v>4047</v>
      </c>
      <c r="F444" t="s">
        <v>4048</v>
      </c>
    </row>
    <row r="445" spans="1:6" x14ac:dyDescent="0.25">
      <c r="A445" t="s">
        <v>4062</v>
      </c>
      <c r="B445" t="s">
        <v>7557</v>
      </c>
      <c r="C445" t="s">
        <v>42</v>
      </c>
      <c r="D445" s="7">
        <v>1</v>
      </c>
      <c r="E445" s="2">
        <v>34354.07</v>
      </c>
      <c r="F445" s="2">
        <v>34354.07</v>
      </c>
    </row>
    <row r="446" spans="1:6" x14ac:dyDescent="0.25">
      <c r="A446" t="s">
        <v>4049</v>
      </c>
      <c r="B446" t="s">
        <v>4176</v>
      </c>
      <c r="C446" t="s">
        <v>4177</v>
      </c>
      <c r="D446" s="7">
        <v>0.02</v>
      </c>
      <c r="E446" s="2">
        <v>72300.17</v>
      </c>
      <c r="F446" s="2">
        <v>1446</v>
      </c>
    </row>
    <row r="447" spans="1:6" x14ac:dyDescent="0.25">
      <c r="A447" t="s">
        <v>4052</v>
      </c>
      <c r="B447" t="s">
        <v>4053</v>
      </c>
      <c r="C447" t="s">
        <v>4054</v>
      </c>
      <c r="D447" s="7">
        <v>3.3</v>
      </c>
      <c r="E447" s="2">
        <v>1446</v>
      </c>
      <c r="F447" s="2">
        <v>47.72</v>
      </c>
    </row>
    <row r="448" spans="1:6" x14ac:dyDescent="0.25">
      <c r="A448" t="s">
        <v>4055</v>
      </c>
      <c r="D448" s="7"/>
      <c r="E448" s="2"/>
      <c r="F448" s="2">
        <f>SUBTOTAL(109,A_3_13_40[VALOR PARCIAL])</f>
      </c>
    </row>
    <row r="450" ht="30" customHeight="1" spans="1:6" x14ac:dyDescent="0.25">
      <c r="A450" s="5" t="s">
        <v>7640</v>
      </c>
      <c r="B450" s="5"/>
      <c r="C450" s="5"/>
      <c r="D450" s="5"/>
      <c r="E450" s="5"/>
      <c r="F450" s="5"/>
    </row>
    <row r="451" ht="42" customHeight="1" spans="1:6" x14ac:dyDescent="0.25">
      <c r="A451" s="6" t="s">
        <v>7641</v>
      </c>
      <c r="B451" s="6"/>
      <c r="C451" s="6"/>
      <c r="D451" s="6"/>
      <c r="E451" s="6"/>
      <c r="F451" s="6"/>
    </row>
    <row r="452" spans="1:6" x14ac:dyDescent="0.25">
      <c r="A452" t="s">
        <v>4044</v>
      </c>
      <c r="B452" t="s">
        <v>4045</v>
      </c>
      <c r="C452" t="s">
        <v>5</v>
      </c>
      <c r="D452" t="s">
        <v>4046</v>
      </c>
      <c r="E452" t="s">
        <v>4047</v>
      </c>
      <c r="F452" t="s">
        <v>4048</v>
      </c>
    </row>
    <row r="453" spans="1:6" x14ac:dyDescent="0.25">
      <c r="A453" t="s">
        <v>4062</v>
      </c>
      <c r="B453" t="s">
        <v>7642</v>
      </c>
      <c r="C453" t="s">
        <v>63</v>
      </c>
      <c r="D453" s="7">
        <v>0.68</v>
      </c>
      <c r="E453" s="2">
        <v>342216.58</v>
      </c>
      <c r="F453" s="2">
        <v>230996.19</v>
      </c>
    </row>
    <row r="454" spans="1:6" x14ac:dyDescent="0.25">
      <c r="A454" t="s">
        <v>4049</v>
      </c>
      <c r="B454" t="s">
        <v>4050</v>
      </c>
      <c r="C454" t="s">
        <v>4051</v>
      </c>
      <c r="D454" s="7">
        <v>0.8</v>
      </c>
      <c r="E454" s="2">
        <v>9037.33</v>
      </c>
      <c r="F454" s="2">
        <v>7229.86</v>
      </c>
    </row>
    <row r="455" spans="1:6" x14ac:dyDescent="0.25">
      <c r="A455" t="s">
        <v>4049</v>
      </c>
      <c r="B455" t="s">
        <v>4073</v>
      </c>
      <c r="C455" t="s">
        <v>4051</v>
      </c>
      <c r="D455" s="7">
        <v>0.4</v>
      </c>
      <c r="E455" s="2">
        <v>15517.89</v>
      </c>
      <c r="F455" s="2">
        <v>6207.16</v>
      </c>
    </row>
    <row r="456" spans="1:6" x14ac:dyDescent="0.25">
      <c r="A456" t="s">
        <v>4052</v>
      </c>
      <c r="B456" t="s">
        <v>4084</v>
      </c>
      <c r="C456" t="s">
        <v>287</v>
      </c>
      <c r="D456" s="7">
        <v>0.4</v>
      </c>
      <c r="E456" s="2">
        <v>145366.67</v>
      </c>
      <c r="F456" s="2">
        <v>58146.67</v>
      </c>
    </row>
    <row r="457" spans="1:6" x14ac:dyDescent="0.25">
      <c r="A457" t="s">
        <v>4052</v>
      </c>
      <c r="B457" t="s">
        <v>4053</v>
      </c>
      <c r="C457" t="s">
        <v>4054</v>
      </c>
      <c r="D457" s="7">
        <v>5</v>
      </c>
      <c r="E457" s="2">
        <v>13437.02</v>
      </c>
      <c r="F457" s="2">
        <v>671.85</v>
      </c>
    </row>
    <row r="458" spans="1:6" x14ac:dyDescent="0.25">
      <c r="A458" t="s">
        <v>4055</v>
      </c>
      <c r="D458" s="7"/>
      <c r="E458" s="2"/>
      <c r="F458" s="2">
        <f>SUBTOTAL(109,A_3_13_41[VALOR PARCIAL])</f>
      </c>
    </row>
    <row r="460" ht="30" customHeight="1" spans="1:6" x14ac:dyDescent="0.25">
      <c r="A460" s="5" t="s">
        <v>7643</v>
      </c>
      <c r="B460" s="5"/>
      <c r="C460" s="5"/>
      <c r="D460" s="5"/>
      <c r="E460" s="5"/>
      <c r="F460" s="5"/>
    </row>
    <row r="461" ht="42" customHeight="1" spans="1:6" x14ac:dyDescent="0.25">
      <c r="A461" s="6" t="s">
        <v>7644</v>
      </c>
      <c r="B461" s="6"/>
      <c r="C461" s="6"/>
      <c r="D461" s="6"/>
      <c r="E461" s="6"/>
      <c r="F461" s="6"/>
    </row>
    <row r="462" spans="1:6" x14ac:dyDescent="0.25">
      <c r="A462" t="s">
        <v>4044</v>
      </c>
      <c r="B462" t="s">
        <v>4045</v>
      </c>
      <c r="C462" t="s">
        <v>5</v>
      </c>
      <c r="D462" t="s">
        <v>4046</v>
      </c>
      <c r="E462" t="s">
        <v>4047</v>
      </c>
      <c r="F462" t="s">
        <v>4048</v>
      </c>
    </row>
    <row r="463" spans="1:6" x14ac:dyDescent="0.25">
      <c r="A463" t="s">
        <v>4062</v>
      </c>
      <c r="B463" t="s">
        <v>7645</v>
      </c>
      <c r="C463" t="s">
        <v>63</v>
      </c>
      <c r="D463" s="7">
        <v>1</v>
      </c>
      <c r="E463" s="2">
        <v>180000</v>
      </c>
      <c r="F463" s="2">
        <v>180000</v>
      </c>
    </row>
    <row r="464" spans="1:6" x14ac:dyDescent="0.25">
      <c r="A464" t="s">
        <v>4049</v>
      </c>
      <c r="B464" t="s">
        <v>4050</v>
      </c>
      <c r="C464" t="s">
        <v>4051</v>
      </c>
      <c r="D464" s="7">
        <v>0.4</v>
      </c>
      <c r="E464" s="2">
        <v>9037.33</v>
      </c>
      <c r="F464" s="2">
        <v>3614.93</v>
      </c>
    </row>
    <row r="465" spans="1:6" x14ac:dyDescent="0.25">
      <c r="A465" t="s">
        <v>4049</v>
      </c>
      <c r="B465" t="s">
        <v>4073</v>
      </c>
      <c r="C465" t="s">
        <v>4051</v>
      </c>
      <c r="D465" s="7">
        <v>0.4</v>
      </c>
      <c r="E465" s="2">
        <v>15517.89</v>
      </c>
      <c r="F465" s="2">
        <v>6207.16</v>
      </c>
    </row>
    <row r="466" spans="1:6" x14ac:dyDescent="0.25">
      <c r="A466" t="s">
        <v>4052</v>
      </c>
      <c r="B466" t="s">
        <v>4084</v>
      </c>
      <c r="C466" t="s">
        <v>287</v>
      </c>
      <c r="D466" s="7">
        <v>0.4</v>
      </c>
      <c r="E466" s="2">
        <v>145366.67</v>
      </c>
      <c r="F466" s="2">
        <v>58146.67</v>
      </c>
    </row>
    <row r="467" spans="1:6" x14ac:dyDescent="0.25">
      <c r="A467" t="s">
        <v>4052</v>
      </c>
      <c r="B467" t="s">
        <v>4053</v>
      </c>
      <c r="C467" t="s">
        <v>4054</v>
      </c>
      <c r="D467" s="7">
        <v>5</v>
      </c>
      <c r="E467" s="2">
        <v>9822.09</v>
      </c>
      <c r="F467" s="2">
        <v>491.1</v>
      </c>
    </row>
    <row r="468" spans="1:6" x14ac:dyDescent="0.25">
      <c r="A468" t="s">
        <v>4055</v>
      </c>
      <c r="D468" s="7"/>
      <c r="E468" s="2"/>
      <c r="F468" s="2">
        <f>SUBTOTAL(109,A_3_13_42[VALOR PARCIAL])</f>
      </c>
    </row>
    <row r="470" ht="30" customHeight="1" spans="1:6" x14ac:dyDescent="0.25">
      <c r="A470" s="5" t="s">
        <v>7646</v>
      </c>
      <c r="B470" s="5"/>
      <c r="C470" s="5"/>
      <c r="D470" s="5"/>
      <c r="E470" s="5"/>
      <c r="F470" s="5"/>
    </row>
    <row r="471" ht="42" customHeight="1" spans="1:6" x14ac:dyDescent="0.25">
      <c r="A471" s="6" t="s">
        <v>7647</v>
      </c>
      <c r="B471" s="6"/>
      <c r="C471" s="6"/>
      <c r="D471" s="6"/>
      <c r="E471" s="6"/>
      <c r="F471" s="6"/>
    </row>
    <row r="472" spans="1:6" x14ac:dyDescent="0.25">
      <c r="A472" t="s">
        <v>4044</v>
      </c>
      <c r="B472" t="s">
        <v>4045</v>
      </c>
      <c r="C472" t="s">
        <v>5</v>
      </c>
      <c r="D472" t="s">
        <v>4046</v>
      </c>
      <c r="E472" t="s">
        <v>4047</v>
      </c>
      <c r="F472" t="s">
        <v>4048</v>
      </c>
    </row>
    <row r="473" spans="1:6" x14ac:dyDescent="0.25">
      <c r="A473" t="s">
        <v>4062</v>
      </c>
      <c r="B473" t="s">
        <v>7648</v>
      </c>
      <c r="C473" t="s">
        <v>63</v>
      </c>
      <c r="D473" s="7">
        <v>1</v>
      </c>
      <c r="E473" s="2">
        <v>457455.11</v>
      </c>
      <c r="F473" s="2">
        <v>457455.11</v>
      </c>
    </row>
    <row r="474" spans="1:6" x14ac:dyDescent="0.25">
      <c r="A474" t="s">
        <v>4049</v>
      </c>
      <c r="B474" t="s">
        <v>4176</v>
      </c>
      <c r="C474" t="s">
        <v>4177</v>
      </c>
      <c r="D474" s="7">
        <v>0.03</v>
      </c>
      <c r="E474" s="2">
        <v>72300.17</v>
      </c>
      <c r="F474" s="2">
        <v>2263</v>
      </c>
    </row>
    <row r="475" spans="1:6" x14ac:dyDescent="0.25">
      <c r="A475" t="s">
        <v>4055</v>
      </c>
      <c r="D475" s="7"/>
      <c r="E475" s="2"/>
      <c r="F475" s="2">
        <f>SUBTOTAL(109,A_3_13_43[VALOR PARCIAL])</f>
      </c>
    </row>
    <row r="477" ht="30" customHeight="1" spans="1:6" x14ac:dyDescent="0.25">
      <c r="A477" s="5" t="s">
        <v>7649</v>
      </c>
      <c r="B477" s="5"/>
      <c r="C477" s="5"/>
      <c r="D477" s="5"/>
      <c r="E477" s="5"/>
      <c r="F477" s="5"/>
    </row>
    <row r="478" ht="42" customHeight="1" spans="1:6" x14ac:dyDescent="0.25">
      <c r="A478" s="6" t="s">
        <v>7650</v>
      </c>
      <c r="B478" s="6"/>
      <c r="C478" s="6"/>
      <c r="D478" s="6"/>
      <c r="E478" s="6"/>
      <c r="F478" s="6"/>
    </row>
    <row r="479" spans="1:6" x14ac:dyDescent="0.25">
      <c r="A479" t="s">
        <v>4044</v>
      </c>
      <c r="B479" t="s">
        <v>4045</v>
      </c>
      <c r="C479" t="s">
        <v>5</v>
      </c>
      <c r="D479" t="s">
        <v>4046</v>
      </c>
      <c r="E479" t="s">
        <v>4047</v>
      </c>
      <c r="F479" t="s">
        <v>4048</v>
      </c>
    </row>
    <row r="480" spans="1:6" x14ac:dyDescent="0.25">
      <c r="A480" t="s">
        <v>4062</v>
      </c>
      <c r="B480" t="s">
        <v>7651</v>
      </c>
      <c r="C480" t="s">
        <v>21</v>
      </c>
      <c r="D480" s="7">
        <v>1.05</v>
      </c>
      <c r="E480" s="2">
        <v>17663.92</v>
      </c>
      <c r="F480" s="2">
        <v>18547.12</v>
      </c>
    </row>
    <row r="481" spans="1:6" x14ac:dyDescent="0.25">
      <c r="A481" t="s">
        <v>4049</v>
      </c>
      <c r="B481" t="s">
        <v>4241</v>
      </c>
      <c r="C481" t="s">
        <v>4051</v>
      </c>
      <c r="D481" s="7">
        <v>0.1</v>
      </c>
      <c r="E481" s="2">
        <v>9941.22</v>
      </c>
      <c r="F481" s="2">
        <v>994.12</v>
      </c>
    </row>
    <row r="482" spans="1:6" x14ac:dyDescent="0.25">
      <c r="A482" t="s">
        <v>4049</v>
      </c>
      <c r="B482" t="s">
        <v>4242</v>
      </c>
      <c r="C482" t="s">
        <v>4051</v>
      </c>
      <c r="D482" s="7">
        <v>0.1</v>
      </c>
      <c r="E482" s="2">
        <v>17069.53</v>
      </c>
      <c r="F482" s="2">
        <v>1706.95</v>
      </c>
    </row>
    <row r="483" spans="1:6" x14ac:dyDescent="0.25">
      <c r="A483" t="s">
        <v>4055</v>
      </c>
      <c r="D483" s="7"/>
      <c r="E483" s="2"/>
      <c r="F483" s="2">
        <f>SUBTOTAL(109,A_3_13_44[VALOR PARCIAL])</f>
      </c>
    </row>
    <row r="485" ht="30" customHeight="1" spans="1:6" x14ac:dyDescent="0.25">
      <c r="A485" s="5" t="s">
        <v>7652</v>
      </c>
      <c r="B485" s="5"/>
      <c r="C485" s="5"/>
      <c r="D485" s="5"/>
      <c r="E485" s="5"/>
      <c r="F485" s="5"/>
    </row>
    <row r="486" ht="42" customHeight="1" spans="1:6" x14ac:dyDescent="0.25">
      <c r="A486" s="6" t="s">
        <v>7653</v>
      </c>
      <c r="B486" s="6"/>
      <c r="C486" s="6"/>
      <c r="D486" s="6"/>
      <c r="E486" s="6"/>
      <c r="F486" s="6"/>
    </row>
    <row r="487" spans="1:6" x14ac:dyDescent="0.25">
      <c r="A487" t="s">
        <v>4044</v>
      </c>
      <c r="B487" t="s">
        <v>4045</v>
      </c>
      <c r="C487" t="s">
        <v>5</v>
      </c>
      <c r="D487" t="s">
        <v>4046</v>
      </c>
      <c r="E487" t="s">
        <v>4047</v>
      </c>
      <c r="F487" t="s">
        <v>4048</v>
      </c>
    </row>
    <row r="488" spans="1:6" x14ac:dyDescent="0.25">
      <c r="A488" t="s">
        <v>4062</v>
      </c>
      <c r="B488" t="s">
        <v>7654</v>
      </c>
      <c r="C488" t="s">
        <v>21</v>
      </c>
      <c r="D488" s="7">
        <v>1.05</v>
      </c>
      <c r="E488" s="2">
        <v>25341.83</v>
      </c>
      <c r="F488" s="2">
        <v>26608.92</v>
      </c>
    </row>
    <row r="489" spans="1:6" x14ac:dyDescent="0.25">
      <c r="A489" t="s">
        <v>4049</v>
      </c>
      <c r="B489" t="s">
        <v>4241</v>
      </c>
      <c r="C489" t="s">
        <v>4051</v>
      </c>
      <c r="D489" s="7">
        <v>0.1</v>
      </c>
      <c r="E489" s="2">
        <v>9941.22</v>
      </c>
      <c r="F489" s="2">
        <v>994.12</v>
      </c>
    </row>
    <row r="490" spans="1:6" x14ac:dyDescent="0.25">
      <c r="A490" t="s">
        <v>4049</v>
      </c>
      <c r="B490" t="s">
        <v>4242</v>
      </c>
      <c r="C490" t="s">
        <v>4051</v>
      </c>
      <c r="D490" s="7">
        <v>0.1</v>
      </c>
      <c r="E490" s="2">
        <v>17069.53</v>
      </c>
      <c r="F490" s="2">
        <v>1706.95</v>
      </c>
    </row>
    <row r="491" spans="1:6" x14ac:dyDescent="0.25">
      <c r="A491" t="s">
        <v>4055</v>
      </c>
      <c r="D491" s="7"/>
      <c r="E491" s="2"/>
      <c r="F491" s="2">
        <f>SUBTOTAL(109,A_3_13_45[VALOR PARCIAL])</f>
      </c>
    </row>
    <row r="493" ht="30" customHeight="1" spans="1:6" x14ac:dyDescent="0.25">
      <c r="A493" s="5" t="s">
        <v>7655</v>
      </c>
      <c r="B493" s="5"/>
      <c r="C493" s="5"/>
      <c r="D493" s="5"/>
      <c r="E493" s="5"/>
      <c r="F493" s="5"/>
    </row>
    <row r="494" ht="42" customHeight="1" spans="1:6" x14ac:dyDescent="0.25">
      <c r="A494" s="6" t="s">
        <v>7656</v>
      </c>
      <c r="B494" s="6"/>
      <c r="C494" s="6"/>
      <c r="D494" s="6"/>
      <c r="E494" s="6"/>
      <c r="F494" s="6"/>
    </row>
    <row r="495" spans="1:6" x14ac:dyDescent="0.25">
      <c r="A495" t="s">
        <v>4044</v>
      </c>
      <c r="B495" t="s">
        <v>4045</v>
      </c>
      <c r="C495" t="s">
        <v>5</v>
      </c>
      <c r="D495" t="s">
        <v>4046</v>
      </c>
      <c r="E495" t="s">
        <v>4047</v>
      </c>
      <c r="F495" t="s">
        <v>4048</v>
      </c>
    </row>
    <row r="496" spans="1:6" x14ac:dyDescent="0.25">
      <c r="A496" t="s">
        <v>4062</v>
      </c>
      <c r="B496" t="s">
        <v>7657</v>
      </c>
      <c r="C496" t="s">
        <v>21</v>
      </c>
      <c r="D496" s="7">
        <v>1.05</v>
      </c>
      <c r="E496" s="2">
        <v>8614</v>
      </c>
      <c r="F496" s="2">
        <v>9044.7</v>
      </c>
    </row>
    <row r="497" spans="1:6" x14ac:dyDescent="0.25">
      <c r="A497" t="s">
        <v>4049</v>
      </c>
      <c r="B497" t="s">
        <v>4241</v>
      </c>
      <c r="C497" t="s">
        <v>4051</v>
      </c>
      <c r="D497" s="7">
        <v>0.1</v>
      </c>
      <c r="E497" s="2">
        <v>9941.22</v>
      </c>
      <c r="F497" s="2">
        <v>994.12</v>
      </c>
    </row>
    <row r="498" spans="1:6" x14ac:dyDescent="0.25">
      <c r="A498" t="s">
        <v>4049</v>
      </c>
      <c r="B498" t="s">
        <v>4242</v>
      </c>
      <c r="C498" t="s">
        <v>4051</v>
      </c>
      <c r="D498" s="7">
        <v>0.1</v>
      </c>
      <c r="E498" s="2">
        <v>17069.53</v>
      </c>
      <c r="F498" s="2">
        <v>1706.95</v>
      </c>
    </row>
    <row r="499" spans="1:6" x14ac:dyDescent="0.25">
      <c r="A499" t="s">
        <v>4055</v>
      </c>
      <c r="D499" s="7"/>
      <c r="E499" s="2"/>
      <c r="F499" s="2">
        <f>SUBTOTAL(109,A_3_13_46[VALOR PARCIAL])</f>
      </c>
    </row>
    <row r="501" ht="30" customHeight="1" spans="1:6" x14ac:dyDescent="0.25">
      <c r="A501" s="5" t="s">
        <v>7658</v>
      </c>
      <c r="B501" s="5"/>
      <c r="C501" s="5"/>
      <c r="D501" s="5"/>
      <c r="E501" s="5"/>
      <c r="F501" s="5"/>
    </row>
    <row r="502" ht="42" customHeight="1" spans="1:6" x14ac:dyDescent="0.25">
      <c r="A502" s="6" t="s">
        <v>7659</v>
      </c>
      <c r="B502" s="6"/>
      <c r="C502" s="6"/>
      <c r="D502" s="6"/>
      <c r="E502" s="6"/>
      <c r="F502" s="6"/>
    </row>
    <row r="503" spans="1:6" x14ac:dyDescent="0.25">
      <c r="A503" t="s">
        <v>4044</v>
      </c>
      <c r="B503" t="s">
        <v>4045</v>
      </c>
      <c r="C503" t="s">
        <v>5</v>
      </c>
      <c r="D503" t="s">
        <v>4046</v>
      </c>
      <c r="E503" t="s">
        <v>4047</v>
      </c>
      <c r="F503" t="s">
        <v>4048</v>
      </c>
    </row>
    <row r="504" spans="1:6" x14ac:dyDescent="0.25">
      <c r="A504" t="s">
        <v>4062</v>
      </c>
      <c r="B504" t="s">
        <v>7660</v>
      </c>
      <c r="C504" t="s">
        <v>21</v>
      </c>
      <c r="D504" s="7">
        <v>1.05</v>
      </c>
      <c r="E504" s="2">
        <v>5028</v>
      </c>
      <c r="F504" s="2">
        <v>5279.4</v>
      </c>
    </row>
    <row r="505" spans="1:6" x14ac:dyDescent="0.25">
      <c r="A505" t="s">
        <v>4049</v>
      </c>
      <c r="B505" t="s">
        <v>4241</v>
      </c>
      <c r="C505" t="s">
        <v>4051</v>
      </c>
      <c r="D505" s="7">
        <v>0.05</v>
      </c>
      <c r="E505" s="2">
        <v>9941.22</v>
      </c>
      <c r="F505" s="2">
        <v>447.35</v>
      </c>
    </row>
    <row r="506" spans="1:6" x14ac:dyDescent="0.25">
      <c r="A506" t="s">
        <v>4049</v>
      </c>
      <c r="B506" t="s">
        <v>4242</v>
      </c>
      <c r="C506" t="s">
        <v>4051</v>
      </c>
      <c r="D506" s="7">
        <v>0.05</v>
      </c>
      <c r="E506" s="2">
        <v>17069.53</v>
      </c>
      <c r="F506" s="2">
        <v>768.13</v>
      </c>
    </row>
    <row r="507" spans="1:6" x14ac:dyDescent="0.25">
      <c r="A507" t="s">
        <v>4055</v>
      </c>
      <c r="D507" s="7"/>
      <c r="E507" s="2"/>
      <c r="F507" s="2">
        <f>SUBTOTAL(109,A_3_13_47[VALOR PARCIAL])</f>
      </c>
    </row>
    <row r="509" ht="30" customHeight="1" spans="1:6" x14ac:dyDescent="0.25">
      <c r="A509" s="5" t="s">
        <v>7661</v>
      </c>
      <c r="B509" s="5"/>
      <c r="C509" s="5"/>
      <c r="D509" s="5"/>
      <c r="E509" s="5"/>
      <c r="F509" s="5"/>
    </row>
    <row r="510" ht="42" customHeight="1" spans="1:6" x14ac:dyDescent="0.25">
      <c r="A510" s="6" t="s">
        <v>7662</v>
      </c>
      <c r="B510" s="6"/>
      <c r="C510" s="6"/>
      <c r="D510" s="6"/>
      <c r="E510" s="6"/>
      <c r="F510" s="6"/>
    </row>
    <row r="511" spans="1:6" x14ac:dyDescent="0.25">
      <c r="A511" t="s">
        <v>4044</v>
      </c>
      <c r="B511" t="s">
        <v>4045</v>
      </c>
      <c r="C511" t="s">
        <v>5</v>
      </c>
      <c r="D511" t="s">
        <v>4046</v>
      </c>
      <c r="E511" t="s">
        <v>4047</v>
      </c>
      <c r="F511" t="s">
        <v>4048</v>
      </c>
    </row>
    <row r="512" spans="1:6" x14ac:dyDescent="0.25">
      <c r="A512" t="s">
        <v>4062</v>
      </c>
      <c r="B512" t="s">
        <v>7663</v>
      </c>
      <c r="C512" t="s">
        <v>21</v>
      </c>
      <c r="D512" s="7">
        <v>1.05</v>
      </c>
      <c r="E512" s="2">
        <v>4550</v>
      </c>
      <c r="F512" s="2">
        <v>4777.5</v>
      </c>
    </row>
    <row r="513" spans="1:6" x14ac:dyDescent="0.25">
      <c r="A513" t="s">
        <v>4049</v>
      </c>
      <c r="B513" t="s">
        <v>4241</v>
      </c>
      <c r="C513" t="s">
        <v>4051</v>
      </c>
      <c r="D513" s="7">
        <v>0.05</v>
      </c>
      <c r="E513" s="2">
        <v>9941.22</v>
      </c>
      <c r="F513" s="2">
        <v>447.35</v>
      </c>
    </row>
    <row r="514" spans="1:6" x14ac:dyDescent="0.25">
      <c r="A514" t="s">
        <v>4049</v>
      </c>
      <c r="B514" t="s">
        <v>4242</v>
      </c>
      <c r="C514" t="s">
        <v>4051</v>
      </c>
      <c r="D514" s="7">
        <v>0.05</v>
      </c>
      <c r="E514" s="2">
        <v>17069.53</v>
      </c>
      <c r="F514" s="2">
        <v>768.13</v>
      </c>
    </row>
    <row r="515" spans="1:6" x14ac:dyDescent="0.25">
      <c r="A515" t="s">
        <v>4055</v>
      </c>
      <c r="D515" s="7"/>
      <c r="E515" s="2"/>
      <c r="F515" s="2">
        <f>SUBTOTAL(109,A_3_13_48[VALOR PARCIAL])</f>
      </c>
    </row>
    <row r="517" ht="30" customHeight="1" spans="1:6" x14ac:dyDescent="0.25">
      <c r="A517" s="5" t="s">
        <v>7664</v>
      </c>
      <c r="B517" s="5"/>
      <c r="C517" s="5"/>
      <c r="D517" s="5"/>
      <c r="E517" s="5"/>
      <c r="F517" s="5"/>
    </row>
    <row r="518" ht="42" customHeight="1" spans="1:6" x14ac:dyDescent="0.25">
      <c r="A518" s="6" t="s">
        <v>7665</v>
      </c>
      <c r="B518" s="6"/>
      <c r="C518" s="6"/>
      <c r="D518" s="6"/>
      <c r="E518" s="6"/>
      <c r="F518" s="6"/>
    </row>
    <row r="519" spans="1:6" x14ac:dyDescent="0.25">
      <c r="A519" t="s">
        <v>4044</v>
      </c>
      <c r="B519" t="s">
        <v>4045</v>
      </c>
      <c r="C519" t="s">
        <v>5</v>
      </c>
      <c r="D519" t="s">
        <v>4046</v>
      </c>
      <c r="E519" t="s">
        <v>4047</v>
      </c>
      <c r="F519" t="s">
        <v>4048</v>
      </c>
    </row>
    <row r="520" spans="1:6" x14ac:dyDescent="0.25">
      <c r="A520" t="s">
        <v>4062</v>
      </c>
      <c r="B520" t="s">
        <v>7666</v>
      </c>
      <c r="C520" t="s">
        <v>21</v>
      </c>
      <c r="D520" s="7">
        <v>1.05</v>
      </c>
      <c r="E520" s="2">
        <v>3195</v>
      </c>
      <c r="F520" s="2">
        <v>3354.75</v>
      </c>
    </row>
    <row r="521" spans="1:6" x14ac:dyDescent="0.25">
      <c r="A521" t="s">
        <v>4049</v>
      </c>
      <c r="B521" t="s">
        <v>4241</v>
      </c>
      <c r="C521" t="s">
        <v>4051</v>
      </c>
      <c r="D521" s="7">
        <v>0.05</v>
      </c>
      <c r="E521" s="2">
        <v>9941.22</v>
      </c>
      <c r="F521" s="2">
        <v>447.35</v>
      </c>
    </row>
    <row r="522" spans="1:6" x14ac:dyDescent="0.25">
      <c r="A522" t="s">
        <v>4049</v>
      </c>
      <c r="B522" t="s">
        <v>4242</v>
      </c>
      <c r="C522" t="s">
        <v>4051</v>
      </c>
      <c r="D522" s="7">
        <v>0.05</v>
      </c>
      <c r="E522" s="2">
        <v>17069.53</v>
      </c>
      <c r="F522" s="2">
        <v>768.13</v>
      </c>
    </row>
    <row r="523" spans="1:6" x14ac:dyDescent="0.25">
      <c r="A523" t="s">
        <v>4055</v>
      </c>
      <c r="D523" s="7"/>
      <c r="E523" s="2"/>
      <c r="F523" s="2">
        <f>SUBTOTAL(109,A_3_13_49[VALOR PARCIAL])</f>
      </c>
    </row>
    <row r="525" ht="30" customHeight="1" spans="1:6" x14ac:dyDescent="0.25">
      <c r="A525" s="5" t="s">
        <v>7667</v>
      </c>
      <c r="B525" s="5"/>
      <c r="C525" s="5"/>
      <c r="D525" s="5"/>
      <c r="E525" s="5"/>
      <c r="F525" s="5"/>
    </row>
    <row r="526" ht="42" customHeight="1" spans="1:6" x14ac:dyDescent="0.25">
      <c r="A526" s="6" t="s">
        <v>7668</v>
      </c>
      <c r="B526" s="6"/>
      <c r="C526" s="6"/>
      <c r="D526" s="6"/>
      <c r="E526" s="6"/>
      <c r="F526" s="6"/>
    </row>
    <row r="527" spans="1:6" x14ac:dyDescent="0.25">
      <c r="A527" t="s">
        <v>4044</v>
      </c>
      <c r="B527" t="s">
        <v>4045</v>
      </c>
      <c r="C527" t="s">
        <v>5</v>
      </c>
      <c r="D527" t="s">
        <v>4046</v>
      </c>
      <c r="E527" t="s">
        <v>4047</v>
      </c>
      <c r="F527" t="s">
        <v>4048</v>
      </c>
    </row>
    <row r="528" spans="1:6" x14ac:dyDescent="0.25">
      <c r="A528" t="s">
        <v>4062</v>
      </c>
      <c r="B528" t="s">
        <v>7669</v>
      </c>
      <c r="C528" t="s">
        <v>21</v>
      </c>
      <c r="D528" s="7">
        <v>1.05</v>
      </c>
      <c r="E528" s="2">
        <v>5014</v>
      </c>
      <c r="F528" s="2">
        <v>5264.7</v>
      </c>
    </row>
    <row r="529" spans="1:6" x14ac:dyDescent="0.25">
      <c r="A529" t="s">
        <v>4049</v>
      </c>
      <c r="B529" t="s">
        <v>4241</v>
      </c>
      <c r="C529" t="s">
        <v>4051</v>
      </c>
      <c r="D529" s="7">
        <v>0.05</v>
      </c>
      <c r="E529" s="2">
        <v>9941.22</v>
      </c>
      <c r="F529" s="2">
        <v>447.35</v>
      </c>
    </row>
    <row r="530" spans="1:6" x14ac:dyDescent="0.25">
      <c r="A530" t="s">
        <v>4049</v>
      </c>
      <c r="B530" t="s">
        <v>4242</v>
      </c>
      <c r="C530" t="s">
        <v>4051</v>
      </c>
      <c r="D530" s="7">
        <v>0.05</v>
      </c>
      <c r="E530" s="2">
        <v>17069.53</v>
      </c>
      <c r="F530" s="2">
        <v>768.13</v>
      </c>
    </row>
    <row r="531" spans="1:6" x14ac:dyDescent="0.25">
      <c r="A531" t="s">
        <v>4055</v>
      </c>
      <c r="D531" s="7"/>
      <c r="E531" s="2"/>
      <c r="F531" s="2">
        <f>SUBTOTAL(109,A_3_13_50[VALOR PARCIAL])</f>
      </c>
    </row>
    <row r="533" ht="30" customHeight="1" spans="1:6" x14ac:dyDescent="0.25">
      <c r="A533" s="5" t="s">
        <v>7670</v>
      </c>
      <c r="B533" s="5"/>
      <c r="C533" s="5"/>
      <c r="D533" s="5"/>
      <c r="E533" s="5"/>
      <c r="F533" s="5"/>
    </row>
    <row r="534" ht="42" customHeight="1" spans="1:6" x14ac:dyDescent="0.25">
      <c r="A534" s="6" t="s">
        <v>7671</v>
      </c>
      <c r="B534" s="6"/>
      <c r="C534" s="6"/>
      <c r="D534" s="6"/>
      <c r="E534" s="6"/>
      <c r="F534" s="6"/>
    </row>
    <row r="535" spans="1:6" x14ac:dyDescent="0.25">
      <c r="A535" t="s">
        <v>4044</v>
      </c>
      <c r="B535" t="s">
        <v>4045</v>
      </c>
      <c r="C535" t="s">
        <v>5</v>
      </c>
      <c r="D535" t="s">
        <v>4046</v>
      </c>
      <c r="E535" t="s">
        <v>4047</v>
      </c>
      <c r="F535" t="s">
        <v>4048</v>
      </c>
    </row>
    <row r="536" spans="1:6" x14ac:dyDescent="0.25">
      <c r="A536" t="s">
        <v>4062</v>
      </c>
      <c r="B536" t="s">
        <v>7146</v>
      </c>
      <c r="C536" t="s">
        <v>21</v>
      </c>
      <c r="D536" s="7">
        <v>1.05</v>
      </c>
      <c r="E536" s="2">
        <v>5694.67</v>
      </c>
      <c r="F536" s="2">
        <v>5979.4</v>
      </c>
    </row>
    <row r="537" spans="1:6" x14ac:dyDescent="0.25">
      <c r="A537" t="s">
        <v>4049</v>
      </c>
      <c r="B537" t="s">
        <v>4241</v>
      </c>
      <c r="C537" t="s">
        <v>4051</v>
      </c>
      <c r="D537" s="7">
        <v>0.05</v>
      </c>
      <c r="E537" s="2">
        <v>9941.22</v>
      </c>
      <c r="F537" s="2">
        <v>447.35</v>
      </c>
    </row>
    <row r="538" spans="1:6" x14ac:dyDescent="0.25">
      <c r="A538" t="s">
        <v>4049</v>
      </c>
      <c r="B538" t="s">
        <v>4242</v>
      </c>
      <c r="C538" t="s">
        <v>4051</v>
      </c>
      <c r="D538" s="7">
        <v>0.05</v>
      </c>
      <c r="E538" s="2">
        <v>17069.53</v>
      </c>
      <c r="F538" s="2">
        <v>768.13</v>
      </c>
    </row>
    <row r="539" spans="1:6" x14ac:dyDescent="0.25">
      <c r="A539" t="s">
        <v>4055</v>
      </c>
      <c r="D539" s="7"/>
      <c r="E539" s="2"/>
      <c r="F539" s="2">
        <f>SUBTOTAL(109,A_3_13_51[VALOR PARCIAL])</f>
      </c>
    </row>
    <row r="541" ht="30" customHeight="1" spans="1:6" x14ac:dyDescent="0.25">
      <c r="A541" s="5" t="s">
        <v>7672</v>
      </c>
      <c r="B541" s="5"/>
      <c r="C541" s="5"/>
      <c r="D541" s="5"/>
      <c r="E541" s="5"/>
      <c r="F541" s="5"/>
    </row>
    <row r="542" ht="42" customHeight="1" spans="1:6" x14ac:dyDescent="0.25">
      <c r="A542" s="6" t="s">
        <v>7673</v>
      </c>
      <c r="B542" s="6"/>
      <c r="C542" s="6"/>
      <c r="D542" s="6"/>
      <c r="E542" s="6"/>
      <c r="F542" s="6"/>
    </row>
    <row r="543" spans="1:6" x14ac:dyDescent="0.25">
      <c r="A543" t="s">
        <v>4044</v>
      </c>
      <c r="B543" t="s">
        <v>4045</v>
      </c>
      <c r="C543" t="s">
        <v>5</v>
      </c>
      <c r="D543" t="s">
        <v>4046</v>
      </c>
      <c r="E543" t="s">
        <v>4047</v>
      </c>
      <c r="F543" t="s">
        <v>4048</v>
      </c>
    </row>
    <row r="544" spans="1:6" x14ac:dyDescent="0.25">
      <c r="A544" t="s">
        <v>4062</v>
      </c>
      <c r="B544" t="s">
        <v>7674</v>
      </c>
      <c r="C544" t="s">
        <v>21</v>
      </c>
      <c r="D544" s="7">
        <v>1.05</v>
      </c>
      <c r="E544" s="2">
        <v>5808.43</v>
      </c>
      <c r="F544" s="2">
        <v>6098.85</v>
      </c>
    </row>
    <row r="545" spans="1:6" x14ac:dyDescent="0.25">
      <c r="A545" t="s">
        <v>4049</v>
      </c>
      <c r="B545" t="s">
        <v>4241</v>
      </c>
      <c r="C545" t="s">
        <v>4051</v>
      </c>
      <c r="D545" s="7">
        <v>0.05</v>
      </c>
      <c r="E545" s="2">
        <v>9941.22</v>
      </c>
      <c r="F545" s="2">
        <v>447.35</v>
      </c>
    </row>
    <row r="546" spans="1:6" x14ac:dyDescent="0.25">
      <c r="A546" t="s">
        <v>4049</v>
      </c>
      <c r="B546" t="s">
        <v>4242</v>
      </c>
      <c r="C546" t="s">
        <v>4051</v>
      </c>
      <c r="D546" s="7">
        <v>0.05</v>
      </c>
      <c r="E546" s="2">
        <v>17069.53</v>
      </c>
      <c r="F546" s="2">
        <v>768.13</v>
      </c>
    </row>
    <row r="547" spans="1:6" x14ac:dyDescent="0.25">
      <c r="A547" t="s">
        <v>4055</v>
      </c>
      <c r="D547" s="7"/>
      <c r="E547" s="2"/>
      <c r="F547" s="2">
        <f>SUBTOTAL(109,A_3_13_52[VALOR PARCIAL])</f>
      </c>
    </row>
    <row r="549" ht="30" customHeight="1" spans="1:6" x14ac:dyDescent="0.25">
      <c r="A549" s="5" t="s">
        <v>7675</v>
      </c>
      <c r="B549" s="5"/>
      <c r="C549" s="5"/>
      <c r="D549" s="5"/>
      <c r="E549" s="5"/>
      <c r="F549" s="5"/>
    </row>
    <row r="550" ht="42" customHeight="1" spans="1:6" x14ac:dyDescent="0.25">
      <c r="A550" s="6" t="s">
        <v>7676</v>
      </c>
      <c r="B550" s="6"/>
      <c r="C550" s="6"/>
      <c r="D550" s="6"/>
      <c r="E550" s="6"/>
      <c r="F550" s="6"/>
    </row>
    <row r="551" spans="1:6" x14ac:dyDescent="0.25">
      <c r="A551" t="s">
        <v>4044</v>
      </c>
      <c r="B551" t="s">
        <v>4045</v>
      </c>
      <c r="C551" t="s">
        <v>5</v>
      </c>
      <c r="D551" t="s">
        <v>4046</v>
      </c>
      <c r="E551" t="s">
        <v>4047</v>
      </c>
      <c r="F551" t="s">
        <v>4048</v>
      </c>
    </row>
    <row r="552" spans="1:6" x14ac:dyDescent="0.25">
      <c r="A552" t="s">
        <v>4062</v>
      </c>
      <c r="B552" t="s">
        <v>7677</v>
      </c>
      <c r="C552" t="s">
        <v>21</v>
      </c>
      <c r="D552" s="7">
        <v>1.05</v>
      </c>
      <c r="E552" s="2">
        <v>7140.27</v>
      </c>
      <c r="F552" s="2">
        <v>7497.28</v>
      </c>
    </row>
    <row r="553" spans="1:6" x14ac:dyDescent="0.25">
      <c r="A553" t="s">
        <v>4049</v>
      </c>
      <c r="B553" t="s">
        <v>4241</v>
      </c>
      <c r="C553" t="s">
        <v>4051</v>
      </c>
      <c r="D553" s="7">
        <v>0.05</v>
      </c>
      <c r="E553" s="2">
        <v>9941.22</v>
      </c>
      <c r="F553" s="2">
        <v>447.35</v>
      </c>
    </row>
    <row r="554" spans="1:6" x14ac:dyDescent="0.25">
      <c r="A554" t="s">
        <v>4049</v>
      </c>
      <c r="B554" t="s">
        <v>4242</v>
      </c>
      <c r="C554" t="s">
        <v>4051</v>
      </c>
      <c r="D554" s="7">
        <v>0.05</v>
      </c>
      <c r="E554" s="2">
        <v>17069.53</v>
      </c>
      <c r="F554" s="2">
        <v>768.13</v>
      </c>
    </row>
    <row r="555" spans="1:6" x14ac:dyDescent="0.25">
      <c r="A555" t="s">
        <v>4055</v>
      </c>
      <c r="D555" s="7"/>
      <c r="E555" s="2"/>
      <c r="F555" s="2">
        <f>SUBTOTAL(109,A_3_13_53[VALOR PARCIAL])</f>
      </c>
    </row>
    <row r="557" ht="30" customHeight="1" spans="1:6" x14ac:dyDescent="0.25">
      <c r="A557" s="5" t="s">
        <v>7678</v>
      </c>
      <c r="B557" s="5"/>
      <c r="C557" s="5"/>
      <c r="D557" s="5"/>
      <c r="E557" s="5"/>
      <c r="F557" s="5"/>
    </row>
    <row r="558" ht="42" customHeight="1" spans="1:6" x14ac:dyDescent="0.25">
      <c r="A558" s="6" t="s">
        <v>7679</v>
      </c>
      <c r="B558" s="6"/>
      <c r="C558" s="6"/>
      <c r="D558" s="6"/>
      <c r="E558" s="6"/>
      <c r="F558" s="6"/>
    </row>
    <row r="559" spans="1:6" x14ac:dyDescent="0.25">
      <c r="A559" t="s">
        <v>4044</v>
      </c>
      <c r="B559" t="s">
        <v>4045</v>
      </c>
      <c r="C559" t="s">
        <v>5</v>
      </c>
      <c r="D559" t="s">
        <v>4046</v>
      </c>
      <c r="E559" t="s">
        <v>4047</v>
      </c>
      <c r="F559" t="s">
        <v>4048</v>
      </c>
    </row>
    <row r="560" spans="1:6" x14ac:dyDescent="0.25">
      <c r="A560" t="s">
        <v>4062</v>
      </c>
      <c r="B560" t="s">
        <v>7680</v>
      </c>
      <c r="C560" t="s">
        <v>21</v>
      </c>
      <c r="D560" s="7">
        <v>1.05</v>
      </c>
      <c r="E560" s="2">
        <v>8594.95</v>
      </c>
      <c r="F560" s="2">
        <v>9024.7</v>
      </c>
    </row>
    <row r="561" spans="1:6" x14ac:dyDescent="0.25">
      <c r="A561" t="s">
        <v>4049</v>
      </c>
      <c r="B561" t="s">
        <v>4241</v>
      </c>
      <c r="C561" t="s">
        <v>4051</v>
      </c>
      <c r="D561" s="7">
        <v>0.05</v>
      </c>
      <c r="E561" s="2">
        <v>9941.22</v>
      </c>
      <c r="F561" s="2">
        <v>447.35</v>
      </c>
    </row>
    <row r="562" spans="1:6" x14ac:dyDescent="0.25">
      <c r="A562" t="s">
        <v>4049</v>
      </c>
      <c r="B562" t="s">
        <v>4242</v>
      </c>
      <c r="C562" t="s">
        <v>4051</v>
      </c>
      <c r="D562" s="7">
        <v>0.05</v>
      </c>
      <c r="E562" s="2">
        <v>17069.53</v>
      </c>
      <c r="F562" s="2">
        <v>768.13</v>
      </c>
    </row>
    <row r="563" spans="1:6" x14ac:dyDescent="0.25">
      <c r="A563" t="s">
        <v>4055</v>
      </c>
      <c r="D563" s="7"/>
      <c r="E563" s="2"/>
      <c r="F563" s="2">
        <f>SUBTOTAL(109,A_3_13_54[VALOR PARCIAL])</f>
      </c>
    </row>
    <row r="565" ht="30" customHeight="1" spans="1:6" x14ac:dyDescent="0.25">
      <c r="A565" s="5" t="s">
        <v>7681</v>
      </c>
      <c r="B565" s="5"/>
      <c r="C565" s="5"/>
      <c r="D565" s="5"/>
      <c r="E565" s="5"/>
      <c r="F565" s="5"/>
    </row>
    <row r="566" ht="42" customHeight="1" spans="1:6" x14ac:dyDescent="0.25">
      <c r="A566" s="6" t="s">
        <v>7682</v>
      </c>
      <c r="B566" s="6"/>
      <c r="C566" s="6"/>
      <c r="D566" s="6"/>
      <c r="E566" s="6"/>
      <c r="F566" s="6"/>
    </row>
    <row r="567" spans="1:6" x14ac:dyDescent="0.25">
      <c r="A567" t="s">
        <v>4044</v>
      </c>
      <c r="B567" t="s">
        <v>4045</v>
      </c>
      <c r="C567" t="s">
        <v>5</v>
      </c>
      <c r="D567" t="s">
        <v>4046</v>
      </c>
      <c r="E567" t="s">
        <v>4047</v>
      </c>
      <c r="F567" t="s">
        <v>4048</v>
      </c>
    </row>
    <row r="568" spans="1:6" x14ac:dyDescent="0.25">
      <c r="A568" t="s">
        <v>4062</v>
      </c>
      <c r="B568" t="s">
        <v>7683</v>
      </c>
      <c r="C568" t="s">
        <v>21</v>
      </c>
      <c r="D568" s="7">
        <v>1.05</v>
      </c>
      <c r="E568" s="2">
        <v>12594</v>
      </c>
      <c r="F568" s="2">
        <v>13223.7</v>
      </c>
    </row>
    <row r="569" spans="1:6" x14ac:dyDescent="0.25">
      <c r="A569" t="s">
        <v>4049</v>
      </c>
      <c r="B569" t="s">
        <v>4241</v>
      </c>
      <c r="C569" t="s">
        <v>4051</v>
      </c>
      <c r="D569" s="7">
        <v>0.05</v>
      </c>
      <c r="E569" s="2">
        <v>9941.22</v>
      </c>
      <c r="F569" s="2">
        <v>447.35</v>
      </c>
    </row>
    <row r="570" spans="1:6" x14ac:dyDescent="0.25">
      <c r="A570" t="s">
        <v>4049</v>
      </c>
      <c r="B570" t="s">
        <v>4242</v>
      </c>
      <c r="C570" t="s">
        <v>4051</v>
      </c>
      <c r="D570" s="7">
        <v>0.05</v>
      </c>
      <c r="E570" s="2">
        <v>17069.53</v>
      </c>
      <c r="F570" s="2">
        <v>768.13</v>
      </c>
    </row>
    <row r="571" spans="1:6" x14ac:dyDescent="0.25">
      <c r="A571" t="s">
        <v>4055</v>
      </c>
      <c r="D571" s="7"/>
      <c r="E571" s="2"/>
      <c r="F571" s="2">
        <f>SUBTOTAL(109,A_3_13_55[VALOR PARCIAL])</f>
      </c>
    </row>
    <row r="573" ht="30" customHeight="1" spans="1:6" x14ac:dyDescent="0.25">
      <c r="A573" s="5" t="s">
        <v>7684</v>
      </c>
      <c r="B573" s="5"/>
      <c r="C573" s="5"/>
      <c r="D573" s="5"/>
      <c r="E573" s="5"/>
      <c r="F573" s="5"/>
    </row>
    <row r="574" ht="42" customHeight="1" spans="1:6" x14ac:dyDescent="0.25">
      <c r="A574" s="6" t="s">
        <v>7685</v>
      </c>
      <c r="B574" s="6"/>
      <c r="C574" s="6"/>
      <c r="D574" s="6"/>
      <c r="E574" s="6"/>
      <c r="F574" s="6"/>
    </row>
    <row r="575" spans="1:6" x14ac:dyDescent="0.25">
      <c r="A575" t="s">
        <v>4044</v>
      </c>
      <c r="B575" t="s">
        <v>4045</v>
      </c>
      <c r="C575" t="s">
        <v>5</v>
      </c>
      <c r="D575" t="s">
        <v>4046</v>
      </c>
      <c r="E575" t="s">
        <v>4047</v>
      </c>
      <c r="F575" t="s">
        <v>4048</v>
      </c>
    </row>
    <row r="576" spans="1:6" x14ac:dyDescent="0.25">
      <c r="A576" t="s">
        <v>4062</v>
      </c>
      <c r="B576" t="s">
        <v>7686</v>
      </c>
      <c r="C576" t="s">
        <v>21</v>
      </c>
      <c r="D576" s="7">
        <v>1.05</v>
      </c>
      <c r="E576" s="2">
        <v>14403</v>
      </c>
      <c r="F576" s="2">
        <v>15123.15</v>
      </c>
    </row>
    <row r="577" spans="1:6" x14ac:dyDescent="0.25">
      <c r="A577" t="s">
        <v>4049</v>
      </c>
      <c r="B577" t="s">
        <v>4241</v>
      </c>
      <c r="C577" t="s">
        <v>4051</v>
      </c>
      <c r="D577" s="7">
        <v>0.05</v>
      </c>
      <c r="E577" s="2">
        <v>9941.22</v>
      </c>
      <c r="F577" s="2">
        <v>447.35</v>
      </c>
    </row>
    <row r="578" spans="1:6" x14ac:dyDescent="0.25">
      <c r="A578" t="s">
        <v>4049</v>
      </c>
      <c r="B578" t="s">
        <v>4242</v>
      </c>
      <c r="C578" t="s">
        <v>4051</v>
      </c>
      <c r="D578" s="7">
        <v>0.05</v>
      </c>
      <c r="E578" s="2">
        <v>17069.53</v>
      </c>
      <c r="F578" s="2">
        <v>768.13</v>
      </c>
    </row>
    <row r="579" spans="1:6" x14ac:dyDescent="0.25">
      <c r="A579" t="s">
        <v>4055</v>
      </c>
      <c r="D579" s="7"/>
      <c r="E579" s="2"/>
      <c r="F579" s="2">
        <f>SUBTOTAL(109,A_3_13_56[VALOR PARCIAL])</f>
      </c>
    </row>
    <row r="581" ht="30" customHeight="1" spans="1:6" x14ac:dyDescent="0.25">
      <c r="A581" s="5" t="s">
        <v>7687</v>
      </c>
      <c r="B581" s="5"/>
      <c r="C581" s="5"/>
      <c r="D581" s="5"/>
      <c r="E581" s="5"/>
      <c r="F581" s="5"/>
    </row>
    <row r="582" ht="42" customHeight="1" spans="1:6" x14ac:dyDescent="0.25">
      <c r="A582" s="6" t="s">
        <v>7688</v>
      </c>
      <c r="B582" s="6"/>
      <c r="C582" s="6"/>
      <c r="D582" s="6"/>
      <c r="E582" s="6"/>
      <c r="F582" s="6"/>
    </row>
    <row r="583" spans="1:6" x14ac:dyDescent="0.25">
      <c r="A583" t="s">
        <v>4044</v>
      </c>
      <c r="B583" t="s">
        <v>4045</v>
      </c>
      <c r="C583" t="s">
        <v>5</v>
      </c>
      <c r="D583" t="s">
        <v>4046</v>
      </c>
      <c r="E583" t="s">
        <v>4047</v>
      </c>
      <c r="F583" t="s">
        <v>4048</v>
      </c>
    </row>
    <row r="584" spans="1:6" x14ac:dyDescent="0.25">
      <c r="A584" t="s">
        <v>4062</v>
      </c>
      <c r="B584" t="s">
        <v>7689</v>
      </c>
      <c r="C584" t="s">
        <v>21</v>
      </c>
      <c r="D584" s="7">
        <v>1.05</v>
      </c>
      <c r="E584" s="2">
        <v>18053</v>
      </c>
      <c r="F584" s="2">
        <v>18955.65</v>
      </c>
    </row>
    <row r="585" spans="1:6" x14ac:dyDescent="0.25">
      <c r="A585" t="s">
        <v>4049</v>
      </c>
      <c r="B585" t="s">
        <v>4241</v>
      </c>
      <c r="C585" t="s">
        <v>4051</v>
      </c>
      <c r="D585" s="7">
        <v>0.05</v>
      </c>
      <c r="E585" s="2">
        <v>9941.22</v>
      </c>
      <c r="F585" s="2">
        <v>447.35</v>
      </c>
    </row>
    <row r="586" spans="1:6" x14ac:dyDescent="0.25">
      <c r="A586" t="s">
        <v>4049</v>
      </c>
      <c r="B586" t="s">
        <v>4242</v>
      </c>
      <c r="C586" t="s">
        <v>4051</v>
      </c>
      <c r="D586" s="7">
        <v>0.05</v>
      </c>
      <c r="E586" s="2">
        <v>17069.53</v>
      </c>
      <c r="F586" s="2">
        <v>768.13</v>
      </c>
    </row>
    <row r="587" spans="1:6" x14ac:dyDescent="0.25">
      <c r="A587" t="s">
        <v>4055</v>
      </c>
      <c r="D587" s="7"/>
      <c r="E587" s="2"/>
      <c r="F587" s="2">
        <f>SUBTOTAL(109,A_3_13_57[VALOR PARCIAL])</f>
      </c>
    </row>
    <row r="589" ht="30" customHeight="1" spans="1:6" x14ac:dyDescent="0.25">
      <c r="A589" s="5" t="s">
        <v>7690</v>
      </c>
      <c r="B589" s="5"/>
      <c r="C589" s="5"/>
      <c r="D589" s="5"/>
      <c r="E589" s="5"/>
      <c r="F589" s="5"/>
    </row>
    <row r="590" ht="42" customHeight="1" spans="1:6" x14ac:dyDescent="0.25">
      <c r="A590" s="6" t="s">
        <v>7691</v>
      </c>
      <c r="B590" s="6"/>
      <c r="C590" s="6"/>
      <c r="D590" s="6"/>
      <c r="E590" s="6"/>
      <c r="F590" s="6"/>
    </row>
    <row r="591" spans="1:6" x14ac:dyDescent="0.25">
      <c r="A591" t="s">
        <v>4044</v>
      </c>
      <c r="B591" t="s">
        <v>4045</v>
      </c>
      <c r="C591" t="s">
        <v>5</v>
      </c>
      <c r="D591" t="s">
        <v>4046</v>
      </c>
      <c r="E591" t="s">
        <v>4047</v>
      </c>
      <c r="F591" t="s">
        <v>4048</v>
      </c>
    </row>
    <row r="592" spans="1:6" x14ac:dyDescent="0.25">
      <c r="A592" t="s">
        <v>4062</v>
      </c>
      <c r="B592" t="s">
        <v>7692</v>
      </c>
      <c r="C592" t="s">
        <v>21</v>
      </c>
      <c r="D592" s="7">
        <v>1.05</v>
      </c>
      <c r="E592" s="2">
        <v>14827.02</v>
      </c>
      <c r="F592" s="2">
        <v>15568.37</v>
      </c>
    </row>
    <row r="593" spans="1:6" x14ac:dyDescent="0.25">
      <c r="A593" t="s">
        <v>4049</v>
      </c>
      <c r="B593" t="s">
        <v>4241</v>
      </c>
      <c r="C593" t="s">
        <v>4051</v>
      </c>
      <c r="D593" s="7">
        <v>0.05</v>
      </c>
      <c r="E593" s="2">
        <v>9941.22</v>
      </c>
      <c r="F593" s="2">
        <v>447.35</v>
      </c>
    </row>
    <row r="594" spans="1:6" x14ac:dyDescent="0.25">
      <c r="A594" t="s">
        <v>4049</v>
      </c>
      <c r="B594" t="s">
        <v>4242</v>
      </c>
      <c r="C594" t="s">
        <v>4051</v>
      </c>
      <c r="D594" s="7">
        <v>0.05</v>
      </c>
      <c r="E594" s="2">
        <v>17069.53</v>
      </c>
      <c r="F594" s="2">
        <v>768.13</v>
      </c>
    </row>
    <row r="595" spans="1:6" x14ac:dyDescent="0.25">
      <c r="A595" t="s">
        <v>4055</v>
      </c>
      <c r="D595" s="7"/>
      <c r="E595" s="2"/>
      <c r="F595" s="2">
        <f>SUBTOTAL(109,A_3_13_58[VALOR PARCIAL])</f>
      </c>
    </row>
    <row r="597" ht="30" customHeight="1" spans="1:6" x14ac:dyDescent="0.25">
      <c r="A597" s="5" t="s">
        <v>7693</v>
      </c>
      <c r="B597" s="5"/>
      <c r="C597" s="5"/>
      <c r="D597" s="5"/>
      <c r="E597" s="5"/>
      <c r="F597" s="5"/>
    </row>
    <row r="598" ht="42" customHeight="1" spans="1:6" x14ac:dyDescent="0.25">
      <c r="A598" s="6" t="s">
        <v>7694</v>
      </c>
      <c r="B598" s="6"/>
      <c r="C598" s="6"/>
      <c r="D598" s="6"/>
      <c r="E598" s="6"/>
      <c r="F598" s="6"/>
    </row>
    <row r="599" spans="1:6" x14ac:dyDescent="0.25">
      <c r="A599" t="s">
        <v>4044</v>
      </c>
      <c r="B599" t="s">
        <v>4045</v>
      </c>
      <c r="C599" t="s">
        <v>5</v>
      </c>
      <c r="D599" t="s">
        <v>4046</v>
      </c>
      <c r="E599" t="s">
        <v>4047</v>
      </c>
      <c r="F599" t="s">
        <v>4048</v>
      </c>
    </row>
    <row r="600" spans="1:6" x14ac:dyDescent="0.25">
      <c r="A600" t="s">
        <v>4062</v>
      </c>
      <c r="B600" t="s">
        <v>7175</v>
      </c>
      <c r="C600" t="s">
        <v>21</v>
      </c>
      <c r="D600" s="7">
        <v>1.05</v>
      </c>
      <c r="E600" s="2">
        <v>6756.91</v>
      </c>
      <c r="F600" s="2">
        <v>7094.76</v>
      </c>
    </row>
    <row r="601" spans="1:6" x14ac:dyDescent="0.25">
      <c r="A601" t="s">
        <v>4049</v>
      </c>
      <c r="B601" t="s">
        <v>4241</v>
      </c>
      <c r="C601" t="s">
        <v>4051</v>
      </c>
      <c r="D601" s="7">
        <v>0.05</v>
      </c>
      <c r="E601" s="2">
        <v>9941.22</v>
      </c>
      <c r="F601" s="2">
        <v>447.35</v>
      </c>
    </row>
    <row r="602" spans="1:6" x14ac:dyDescent="0.25">
      <c r="A602" t="s">
        <v>4049</v>
      </c>
      <c r="B602" t="s">
        <v>4242</v>
      </c>
      <c r="C602" t="s">
        <v>4051</v>
      </c>
      <c r="D602" s="7">
        <v>0.05</v>
      </c>
      <c r="E602" s="2">
        <v>17069.53</v>
      </c>
      <c r="F602" s="2">
        <v>768.13</v>
      </c>
    </row>
    <row r="603" spans="1:6" x14ac:dyDescent="0.25">
      <c r="A603" t="s">
        <v>4055</v>
      </c>
      <c r="D603" s="7"/>
      <c r="E603" s="2"/>
      <c r="F603" s="2">
        <f>SUBTOTAL(109,A_3_13_59[VALOR PARCIAL])</f>
      </c>
    </row>
    <row r="605" ht="30" customHeight="1" spans="1:6" x14ac:dyDescent="0.25">
      <c r="A605" s="5" t="s">
        <v>7695</v>
      </c>
      <c r="B605" s="5"/>
      <c r="C605" s="5"/>
      <c r="D605" s="5"/>
      <c r="E605" s="5"/>
      <c r="F605" s="5"/>
    </row>
    <row r="606" ht="42" customHeight="1" spans="1:6" x14ac:dyDescent="0.25">
      <c r="A606" s="6" t="s">
        <v>7696</v>
      </c>
      <c r="B606" s="6"/>
      <c r="C606" s="6"/>
      <c r="D606" s="6"/>
      <c r="E606" s="6"/>
      <c r="F606" s="6"/>
    </row>
    <row r="607" spans="1:6" x14ac:dyDescent="0.25">
      <c r="A607" t="s">
        <v>4044</v>
      </c>
      <c r="B607" t="s">
        <v>4045</v>
      </c>
      <c r="C607" t="s">
        <v>5</v>
      </c>
      <c r="D607" t="s">
        <v>4046</v>
      </c>
      <c r="E607" t="s">
        <v>4047</v>
      </c>
      <c r="F607" t="s">
        <v>4048</v>
      </c>
    </row>
    <row r="608" spans="1:6" x14ac:dyDescent="0.25">
      <c r="A608" t="s">
        <v>4062</v>
      </c>
      <c r="B608" t="s">
        <v>7697</v>
      </c>
      <c r="C608" t="s">
        <v>21</v>
      </c>
      <c r="D608" s="7">
        <v>1.05</v>
      </c>
      <c r="E608" s="2">
        <v>10460.93</v>
      </c>
      <c r="F608" s="2">
        <v>10983.98</v>
      </c>
    </row>
    <row r="609" spans="1:6" x14ac:dyDescent="0.25">
      <c r="A609" t="s">
        <v>4049</v>
      </c>
      <c r="B609" t="s">
        <v>4241</v>
      </c>
      <c r="C609" t="s">
        <v>4051</v>
      </c>
      <c r="D609" s="7">
        <v>0.05</v>
      </c>
      <c r="E609" s="2">
        <v>9941.22</v>
      </c>
      <c r="F609" s="2">
        <v>447.35</v>
      </c>
    </row>
    <row r="610" spans="1:6" x14ac:dyDescent="0.25">
      <c r="A610" t="s">
        <v>4049</v>
      </c>
      <c r="B610" t="s">
        <v>4242</v>
      </c>
      <c r="C610" t="s">
        <v>4051</v>
      </c>
      <c r="D610" s="7">
        <v>0.05</v>
      </c>
      <c r="E610" s="2">
        <v>17069.53</v>
      </c>
      <c r="F610" s="2">
        <v>768.13</v>
      </c>
    </row>
    <row r="611" spans="1:6" x14ac:dyDescent="0.25">
      <c r="A611" t="s">
        <v>4055</v>
      </c>
      <c r="D611" s="7"/>
      <c r="E611" s="2"/>
      <c r="F611" s="2">
        <f>SUBTOTAL(109,A_3_13_60[VALOR PARCIAL])</f>
      </c>
    </row>
    <row r="613" ht="30" customHeight="1" spans="1:6" x14ac:dyDescent="0.25">
      <c r="A613" s="5" t="s">
        <v>7698</v>
      </c>
      <c r="B613" s="5"/>
      <c r="C613" s="5"/>
      <c r="D613" s="5"/>
      <c r="E613" s="5"/>
      <c r="F613" s="5"/>
    </row>
    <row r="614" ht="42" customHeight="1" spans="1:6" x14ac:dyDescent="0.25">
      <c r="A614" s="6" t="s">
        <v>7699</v>
      </c>
      <c r="B614" s="6"/>
      <c r="C614" s="6"/>
      <c r="D614" s="6"/>
      <c r="E614" s="6"/>
      <c r="F614" s="6"/>
    </row>
    <row r="615" spans="1:6" x14ac:dyDescent="0.25">
      <c r="A615" t="s">
        <v>4044</v>
      </c>
      <c r="B615" t="s">
        <v>4045</v>
      </c>
      <c r="C615" t="s">
        <v>5</v>
      </c>
      <c r="D615" t="s">
        <v>4046</v>
      </c>
      <c r="E615" t="s">
        <v>4047</v>
      </c>
      <c r="F615" t="s">
        <v>4048</v>
      </c>
    </row>
    <row r="616" spans="1:6" x14ac:dyDescent="0.25">
      <c r="A616" t="s">
        <v>4062</v>
      </c>
      <c r="B616" t="s">
        <v>7700</v>
      </c>
      <c r="C616" t="s">
        <v>21</v>
      </c>
      <c r="D616" s="7">
        <v>1.05</v>
      </c>
      <c r="E616" s="2">
        <v>5832.55</v>
      </c>
      <c r="F616" s="2">
        <v>6124.18</v>
      </c>
    </row>
    <row r="617" spans="1:6" x14ac:dyDescent="0.25">
      <c r="A617" t="s">
        <v>4049</v>
      </c>
      <c r="B617" t="s">
        <v>4241</v>
      </c>
      <c r="C617" t="s">
        <v>4051</v>
      </c>
      <c r="D617" s="7">
        <v>0.05</v>
      </c>
      <c r="E617" s="2">
        <v>9941.22</v>
      </c>
      <c r="F617" s="2">
        <v>447.35</v>
      </c>
    </row>
    <row r="618" spans="1:6" x14ac:dyDescent="0.25">
      <c r="A618" t="s">
        <v>4049</v>
      </c>
      <c r="B618" t="s">
        <v>4242</v>
      </c>
      <c r="C618" t="s">
        <v>4051</v>
      </c>
      <c r="D618" s="7">
        <v>0.05</v>
      </c>
      <c r="E618" s="2">
        <v>17069.53</v>
      </c>
      <c r="F618" s="2">
        <v>768.13</v>
      </c>
    </row>
    <row r="619" spans="1:6" x14ac:dyDescent="0.25">
      <c r="A619" t="s">
        <v>4055</v>
      </c>
      <c r="D619" s="7"/>
      <c r="E619" s="2"/>
      <c r="F619" s="2">
        <f>SUBTOTAL(109,A_3_13_61[VALOR PARCIAL])</f>
      </c>
    </row>
  </sheetData>
  <mergeCells count="120">
    <mergeCell ref="A4:F4"/>
    <mergeCell ref="A5:F5"/>
    <mergeCell ref="A21:F21"/>
    <mergeCell ref="A22:F22"/>
    <mergeCell ref="A45:F45"/>
    <mergeCell ref="A46:F46"/>
    <mergeCell ref="A60:F60"/>
    <mergeCell ref="A61:F61"/>
    <mergeCell ref="A69:F69"/>
    <mergeCell ref="A70:F70"/>
    <mergeCell ref="A79:F79"/>
    <mergeCell ref="A80:F80"/>
    <mergeCell ref="A91:F91"/>
    <mergeCell ref="A92:F92"/>
    <mergeCell ref="A102:F102"/>
    <mergeCell ref="A103:F103"/>
    <mergeCell ref="A112:F112"/>
    <mergeCell ref="A113:F113"/>
    <mergeCell ref="A124:F124"/>
    <mergeCell ref="A125:F125"/>
    <mergeCell ref="A133:F133"/>
    <mergeCell ref="A134:F134"/>
    <mergeCell ref="A142:F142"/>
    <mergeCell ref="A143:F143"/>
    <mergeCell ref="A151:F151"/>
    <mergeCell ref="A152:F152"/>
    <mergeCell ref="A171:F171"/>
    <mergeCell ref="A172:F172"/>
    <mergeCell ref="A180:F180"/>
    <mergeCell ref="A181:F181"/>
    <mergeCell ref="A192:F192"/>
    <mergeCell ref="A193:F193"/>
    <mergeCell ref="A207:F207"/>
    <mergeCell ref="A208:F208"/>
    <mergeCell ref="A216:F216"/>
    <mergeCell ref="A217:F217"/>
    <mergeCell ref="A225:F225"/>
    <mergeCell ref="A226:F226"/>
    <mergeCell ref="A236:F236"/>
    <mergeCell ref="A237:F237"/>
    <mergeCell ref="A247:F247"/>
    <mergeCell ref="A248:F248"/>
    <mergeCell ref="A266:F266"/>
    <mergeCell ref="A267:F267"/>
    <mergeCell ref="A274:F274"/>
    <mergeCell ref="A275:F275"/>
    <mergeCell ref="A284:F284"/>
    <mergeCell ref="A285:F285"/>
    <mergeCell ref="A294:F294"/>
    <mergeCell ref="A295:F295"/>
    <mergeCell ref="A304:F304"/>
    <mergeCell ref="A305:F305"/>
    <mergeCell ref="A314:F314"/>
    <mergeCell ref="A315:F315"/>
    <mergeCell ref="A324:F324"/>
    <mergeCell ref="A325:F325"/>
    <mergeCell ref="A334:F334"/>
    <mergeCell ref="A335:F335"/>
    <mergeCell ref="A344:F344"/>
    <mergeCell ref="A345:F345"/>
    <mergeCell ref="A356:F356"/>
    <mergeCell ref="A357:F357"/>
    <mergeCell ref="A368:F368"/>
    <mergeCell ref="A369:F369"/>
    <mergeCell ref="A380:F380"/>
    <mergeCell ref="A381:F381"/>
    <mergeCell ref="A392:F392"/>
    <mergeCell ref="A393:F393"/>
    <mergeCell ref="A403:F403"/>
    <mergeCell ref="A404:F404"/>
    <mergeCell ref="A413:F413"/>
    <mergeCell ref="A414:F414"/>
    <mergeCell ref="A422:F422"/>
    <mergeCell ref="A423:F423"/>
    <mergeCell ref="A433:F433"/>
    <mergeCell ref="A434:F434"/>
    <mergeCell ref="A442:F442"/>
    <mergeCell ref="A443:F443"/>
    <mergeCell ref="A450:F450"/>
    <mergeCell ref="A451:F451"/>
    <mergeCell ref="A460:F460"/>
    <mergeCell ref="A461:F461"/>
    <mergeCell ref="A470:F470"/>
    <mergeCell ref="A471:F471"/>
    <mergeCell ref="A477:F477"/>
    <mergeCell ref="A478:F478"/>
    <mergeCell ref="A485:F485"/>
    <mergeCell ref="A486:F486"/>
    <mergeCell ref="A493:F493"/>
    <mergeCell ref="A494:F494"/>
    <mergeCell ref="A501:F501"/>
    <mergeCell ref="A502:F502"/>
    <mergeCell ref="A509:F509"/>
    <mergeCell ref="A510:F510"/>
    <mergeCell ref="A517:F517"/>
    <mergeCell ref="A518:F518"/>
    <mergeCell ref="A525:F525"/>
    <mergeCell ref="A526:F526"/>
    <mergeCell ref="A533:F533"/>
    <mergeCell ref="A534:F534"/>
    <mergeCell ref="A541:F541"/>
    <mergeCell ref="A542:F542"/>
    <mergeCell ref="A549:F549"/>
    <mergeCell ref="A550:F550"/>
    <mergeCell ref="A557:F557"/>
    <mergeCell ref="A558:F558"/>
    <mergeCell ref="A565:F565"/>
    <mergeCell ref="A566:F566"/>
    <mergeCell ref="A573:F573"/>
    <mergeCell ref="A574:F574"/>
    <mergeCell ref="A581:F581"/>
    <mergeCell ref="A582:F582"/>
    <mergeCell ref="A589:F589"/>
    <mergeCell ref="A590:F590"/>
    <mergeCell ref="A597:F597"/>
    <mergeCell ref="A598:F598"/>
    <mergeCell ref="A605:F605"/>
    <mergeCell ref="A606:F606"/>
    <mergeCell ref="A613:F613"/>
    <mergeCell ref="A614:F614"/>
  </mergeCells>
  <pageMargins left="0.7" right="0.7" top="0.75" bottom="0.75" header="0.3" footer="0.3"/>
  <pageSetup orientation="portrait" horizontalDpi="4294967295" verticalDpi="4294967295" scale="100" fitToWidth="1" fitToHeight="1"/>
  <tableParts count="6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7701</v>
      </c>
    </row>
    <row r="2" spans="1:1" x14ac:dyDescent="0.25">
      <c r="A2" s="4" t="s">
        <v>7702</v>
      </c>
    </row>
    <row r="4" ht="30" customHeight="1" spans="1:6" x14ac:dyDescent="0.25">
      <c r="A4" s="5" t="s">
        <v>7703</v>
      </c>
      <c r="B4" s="5"/>
      <c r="C4" s="5"/>
      <c r="D4" s="5"/>
      <c r="E4" s="5"/>
      <c r="F4" s="5"/>
    </row>
    <row r="5" ht="42" customHeight="1" spans="1:6" x14ac:dyDescent="0.25">
      <c r="A5" s="6" t="s">
        <v>7704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7705</v>
      </c>
      <c r="C7" t="s">
        <v>63</v>
      </c>
      <c r="D7" s="7">
        <v>1</v>
      </c>
      <c r="E7" s="2">
        <v>18066.67</v>
      </c>
      <c r="F7" s="2">
        <v>18066.67</v>
      </c>
    </row>
    <row r="8" spans="1:6" x14ac:dyDescent="0.25">
      <c r="A8" t="s">
        <v>4062</v>
      </c>
      <c r="B8" t="s">
        <v>7706</v>
      </c>
      <c r="C8" t="s">
        <v>42</v>
      </c>
      <c r="D8" s="7">
        <v>1</v>
      </c>
      <c r="E8" s="2">
        <v>32700</v>
      </c>
      <c r="F8" s="2">
        <v>32700</v>
      </c>
    </row>
    <row r="9" spans="1:6" x14ac:dyDescent="0.25">
      <c r="A9" t="s">
        <v>4062</v>
      </c>
      <c r="B9" t="s">
        <v>7707</v>
      </c>
      <c r="C9" t="s">
        <v>42</v>
      </c>
      <c r="D9" s="7">
        <v>1</v>
      </c>
      <c r="E9" s="2">
        <v>9159</v>
      </c>
      <c r="F9" s="2">
        <v>9159</v>
      </c>
    </row>
    <row r="10" spans="1:6" x14ac:dyDescent="0.25">
      <c r="A10" t="s">
        <v>4062</v>
      </c>
      <c r="B10" t="s">
        <v>7708</v>
      </c>
      <c r="C10" t="s">
        <v>63</v>
      </c>
      <c r="D10" s="7">
        <v>1</v>
      </c>
      <c r="E10" s="2">
        <v>5350.9</v>
      </c>
      <c r="F10" s="2">
        <v>5350.9</v>
      </c>
    </row>
    <row r="11" spans="1:6" x14ac:dyDescent="0.25">
      <c r="A11" t="s">
        <v>4062</v>
      </c>
      <c r="B11" t="s">
        <v>7709</v>
      </c>
      <c r="C11" t="s">
        <v>63</v>
      </c>
      <c r="D11" s="7">
        <v>1</v>
      </c>
      <c r="E11" s="2">
        <v>10000</v>
      </c>
      <c r="F11" s="2">
        <v>10000</v>
      </c>
    </row>
    <row r="12" spans="1:6" x14ac:dyDescent="0.25">
      <c r="A12" t="s">
        <v>4062</v>
      </c>
      <c r="B12" t="s">
        <v>7710</v>
      </c>
      <c r="C12" t="s">
        <v>63</v>
      </c>
      <c r="D12" s="7">
        <v>1</v>
      </c>
      <c r="E12" s="2">
        <v>1254</v>
      </c>
      <c r="F12" s="2">
        <v>1254</v>
      </c>
    </row>
    <row r="13" spans="1:6" x14ac:dyDescent="0.25">
      <c r="A13" t="s">
        <v>4062</v>
      </c>
      <c r="B13" t="s">
        <v>7711</v>
      </c>
      <c r="C13" t="s">
        <v>63</v>
      </c>
      <c r="D13" s="7">
        <v>1</v>
      </c>
      <c r="E13" s="2">
        <v>25957.4</v>
      </c>
      <c r="F13" s="2">
        <v>25957.4</v>
      </c>
    </row>
    <row r="14" spans="1:6" x14ac:dyDescent="0.25">
      <c r="A14" t="s">
        <v>4062</v>
      </c>
      <c r="B14" t="s">
        <v>7712</v>
      </c>
      <c r="C14" t="s">
        <v>63</v>
      </c>
      <c r="D14" s="7">
        <v>1</v>
      </c>
      <c r="E14" s="2">
        <v>149500</v>
      </c>
      <c r="F14" s="2">
        <v>149500</v>
      </c>
    </row>
    <row r="15" spans="1:6" x14ac:dyDescent="0.25">
      <c r="A15" t="s">
        <v>4062</v>
      </c>
      <c r="B15" t="s">
        <v>7713</v>
      </c>
      <c r="C15" t="s">
        <v>63</v>
      </c>
      <c r="D15" s="7">
        <v>1</v>
      </c>
      <c r="E15" s="2">
        <v>34500</v>
      </c>
      <c r="F15" s="2">
        <v>34500</v>
      </c>
    </row>
    <row r="16" spans="1:6" x14ac:dyDescent="0.25">
      <c r="A16" t="s">
        <v>4062</v>
      </c>
      <c r="B16" t="s">
        <v>5035</v>
      </c>
      <c r="C16" t="s">
        <v>4066</v>
      </c>
      <c r="D16" s="7">
        <v>0.06</v>
      </c>
      <c r="E16" s="2">
        <v>133730.14</v>
      </c>
      <c r="F16" s="2">
        <v>8023.81</v>
      </c>
    </row>
    <row r="17" spans="1:6" x14ac:dyDescent="0.25">
      <c r="A17" t="s">
        <v>4049</v>
      </c>
      <c r="B17" t="s">
        <v>4241</v>
      </c>
      <c r="C17" t="s">
        <v>4051</v>
      </c>
      <c r="D17" s="7">
        <v>2.5</v>
      </c>
      <c r="E17" s="2">
        <v>9941.22</v>
      </c>
      <c r="F17" s="2">
        <v>24853.05</v>
      </c>
    </row>
    <row r="18" spans="1:6" x14ac:dyDescent="0.25">
      <c r="A18" t="s">
        <v>4049</v>
      </c>
      <c r="B18" t="s">
        <v>4242</v>
      </c>
      <c r="C18" t="s">
        <v>4051</v>
      </c>
      <c r="D18" s="7">
        <v>1</v>
      </c>
      <c r="E18" s="2">
        <v>17069.53</v>
      </c>
      <c r="F18" s="2">
        <v>17069.53</v>
      </c>
    </row>
    <row r="19" spans="1:6" x14ac:dyDescent="0.25">
      <c r="A19" t="s">
        <v>4055</v>
      </c>
      <c r="D19" s="7"/>
      <c r="E19" s="2"/>
      <c r="F19" s="2">
        <f>SUBTOTAL(109,A_4_01_01[VALOR PARCIAL])</f>
      </c>
    </row>
    <row r="21" ht="30" customHeight="1" spans="1:6" x14ac:dyDescent="0.25">
      <c r="A21" s="5" t="s">
        <v>7714</v>
      </c>
      <c r="B21" s="5"/>
      <c r="C21" s="5"/>
      <c r="D21" s="5"/>
      <c r="E21" s="5"/>
      <c r="F21" s="5"/>
    </row>
    <row r="22" ht="42" customHeight="1" spans="1:6" x14ac:dyDescent="0.25">
      <c r="A22" s="6" t="s">
        <v>7715</v>
      </c>
      <c r="B22" s="6"/>
      <c r="C22" s="6"/>
      <c r="D22" s="6"/>
      <c r="E22" s="6"/>
      <c r="F22" s="6"/>
    </row>
    <row r="23" spans="1:6" x14ac:dyDescent="0.25">
      <c r="A23" t="s">
        <v>4044</v>
      </c>
      <c r="B23" t="s">
        <v>4045</v>
      </c>
      <c r="C23" t="s">
        <v>5</v>
      </c>
      <c r="D23" t="s">
        <v>4046</v>
      </c>
      <c r="E23" t="s">
        <v>4047</v>
      </c>
      <c r="F23" t="s">
        <v>4048</v>
      </c>
    </row>
    <row r="24" spans="1:6" x14ac:dyDescent="0.25">
      <c r="A24" t="s">
        <v>4062</v>
      </c>
      <c r="B24" t="s">
        <v>7716</v>
      </c>
      <c r="C24" t="s">
        <v>42</v>
      </c>
      <c r="D24" s="7">
        <v>1</v>
      </c>
      <c r="E24" s="2">
        <v>2838.22</v>
      </c>
      <c r="F24" s="2">
        <v>2838.22</v>
      </c>
    </row>
    <row r="25" spans="1:6" x14ac:dyDescent="0.25">
      <c r="A25" t="s">
        <v>4062</v>
      </c>
      <c r="B25" t="s">
        <v>5816</v>
      </c>
      <c r="C25" t="s">
        <v>34</v>
      </c>
      <c r="D25" s="7">
        <v>0.02</v>
      </c>
      <c r="E25" s="2">
        <v>93966.67</v>
      </c>
      <c r="F25" s="2">
        <v>1879.33</v>
      </c>
    </row>
    <row r="26" spans="1:6" x14ac:dyDescent="0.25">
      <c r="A26" t="s">
        <v>4062</v>
      </c>
      <c r="B26" t="s">
        <v>7717</v>
      </c>
      <c r="C26" t="s">
        <v>42</v>
      </c>
      <c r="D26" s="7">
        <v>1</v>
      </c>
      <c r="E26" s="2">
        <v>46</v>
      </c>
      <c r="F26" s="2">
        <v>46</v>
      </c>
    </row>
    <row r="27" spans="1:6" x14ac:dyDescent="0.25">
      <c r="A27" t="s">
        <v>4062</v>
      </c>
      <c r="B27" t="s">
        <v>3261</v>
      </c>
      <c r="C27" t="s">
        <v>34</v>
      </c>
      <c r="D27" s="7">
        <v>0.12</v>
      </c>
      <c r="E27" s="2">
        <v>90100.77</v>
      </c>
      <c r="F27" s="2">
        <v>10812.09</v>
      </c>
    </row>
    <row r="28" spans="1:6" x14ac:dyDescent="0.25">
      <c r="A28" t="s">
        <v>4062</v>
      </c>
      <c r="B28" t="s">
        <v>7718</v>
      </c>
      <c r="C28" t="s">
        <v>21</v>
      </c>
      <c r="D28" s="7">
        <v>0.4</v>
      </c>
      <c r="E28" s="2">
        <v>35458.33</v>
      </c>
      <c r="F28" s="2">
        <v>14183.33</v>
      </c>
    </row>
    <row r="29" spans="1:6" x14ac:dyDescent="0.25">
      <c r="A29" t="s">
        <v>4062</v>
      </c>
      <c r="B29" t="s">
        <v>4076</v>
      </c>
      <c r="C29" t="s">
        <v>3963</v>
      </c>
      <c r="D29" s="7">
        <v>2.85</v>
      </c>
      <c r="E29" s="2">
        <v>21</v>
      </c>
      <c r="F29" s="2">
        <v>59.85</v>
      </c>
    </row>
    <row r="30" spans="1:6" x14ac:dyDescent="0.25">
      <c r="A30" t="s">
        <v>4049</v>
      </c>
      <c r="B30" t="s">
        <v>4050</v>
      </c>
      <c r="C30" t="s">
        <v>4051</v>
      </c>
      <c r="D30" s="7">
        <v>1.05</v>
      </c>
      <c r="E30" s="2">
        <v>9037.33</v>
      </c>
      <c r="F30" s="2">
        <v>9489.2</v>
      </c>
    </row>
    <row r="31" spans="1:6" x14ac:dyDescent="0.25">
      <c r="A31" t="s">
        <v>4049</v>
      </c>
      <c r="B31" t="s">
        <v>4241</v>
      </c>
      <c r="C31" t="s">
        <v>4051</v>
      </c>
      <c r="D31" s="7">
        <v>0.18</v>
      </c>
      <c r="E31" s="2">
        <v>9941.22</v>
      </c>
      <c r="F31" s="2">
        <v>1739.71</v>
      </c>
    </row>
    <row r="32" spans="1:6" x14ac:dyDescent="0.25">
      <c r="A32" t="s">
        <v>4049</v>
      </c>
      <c r="B32" t="s">
        <v>4073</v>
      </c>
      <c r="C32" t="s">
        <v>4051</v>
      </c>
      <c r="D32" s="7">
        <v>1.05</v>
      </c>
      <c r="E32" s="2">
        <v>15517.89</v>
      </c>
      <c r="F32" s="2">
        <v>16293.78</v>
      </c>
    </row>
    <row r="33" spans="1:6" x14ac:dyDescent="0.25">
      <c r="A33" t="s">
        <v>4049</v>
      </c>
      <c r="B33" t="s">
        <v>4242</v>
      </c>
      <c r="C33" t="s">
        <v>4051</v>
      </c>
      <c r="D33" s="7">
        <v>0.18</v>
      </c>
      <c r="E33" s="2">
        <v>17069.53</v>
      </c>
      <c r="F33" s="2">
        <v>2987.17</v>
      </c>
    </row>
    <row r="34" spans="1:6" x14ac:dyDescent="0.25">
      <c r="A34" t="s">
        <v>4052</v>
      </c>
      <c r="B34" t="s">
        <v>6294</v>
      </c>
      <c r="C34" t="s">
        <v>4106</v>
      </c>
      <c r="D34" s="7">
        <v>0</v>
      </c>
      <c r="E34" s="2">
        <v>236228.11</v>
      </c>
      <c r="F34" s="2">
        <v>944.91</v>
      </c>
    </row>
    <row r="35" spans="1:6" x14ac:dyDescent="0.25">
      <c r="A35" t="s">
        <v>4052</v>
      </c>
      <c r="B35" t="s">
        <v>4342</v>
      </c>
      <c r="C35" t="s">
        <v>4106</v>
      </c>
      <c r="D35" s="7">
        <v>0.02</v>
      </c>
      <c r="E35" s="2">
        <v>66666.67</v>
      </c>
      <c r="F35" s="2">
        <v>1333.33</v>
      </c>
    </row>
    <row r="36" spans="1:6" x14ac:dyDescent="0.25">
      <c r="A36" t="s">
        <v>4052</v>
      </c>
      <c r="B36" t="s">
        <v>4053</v>
      </c>
      <c r="C36" t="s">
        <v>4054</v>
      </c>
      <c r="D36" s="7">
        <v>2.4</v>
      </c>
      <c r="E36" s="2">
        <v>30509.86</v>
      </c>
      <c r="F36" s="2">
        <v>732.24</v>
      </c>
    </row>
    <row r="37" spans="1:6" x14ac:dyDescent="0.25">
      <c r="A37" t="s">
        <v>4055</v>
      </c>
      <c r="D37" s="7"/>
      <c r="E37" s="2"/>
      <c r="F37" s="2">
        <f>SUBTOTAL(109,A_4_01_02[VALOR PARCIAL])</f>
      </c>
    </row>
    <row r="39" ht="30" customHeight="1" spans="1:6" x14ac:dyDescent="0.25">
      <c r="A39" s="5" t="s">
        <v>7719</v>
      </c>
      <c r="B39" s="5"/>
      <c r="C39" s="5"/>
      <c r="D39" s="5"/>
      <c r="E39" s="5"/>
      <c r="F39" s="5"/>
    </row>
    <row r="40" ht="42" customHeight="1" spans="1:6" x14ac:dyDescent="0.25">
      <c r="A40" s="6" t="s">
        <v>7720</v>
      </c>
      <c r="B40" s="6"/>
      <c r="C40" s="6"/>
      <c r="D40" s="6"/>
      <c r="E40" s="6"/>
      <c r="F40" s="6"/>
    </row>
    <row r="41" spans="1:6" x14ac:dyDescent="0.25">
      <c r="A41" t="s">
        <v>4044</v>
      </c>
      <c r="B41" t="s">
        <v>4045</v>
      </c>
      <c r="C41" t="s">
        <v>5</v>
      </c>
      <c r="D41" t="s">
        <v>4046</v>
      </c>
      <c r="E41" t="s">
        <v>4047</v>
      </c>
      <c r="F41" t="s">
        <v>4048</v>
      </c>
    </row>
    <row r="42" spans="1:6" x14ac:dyDescent="0.25">
      <c r="A42" t="s">
        <v>4062</v>
      </c>
      <c r="B42" t="s">
        <v>7716</v>
      </c>
      <c r="C42" t="s">
        <v>42</v>
      </c>
      <c r="D42" s="7">
        <v>1</v>
      </c>
      <c r="E42" s="2">
        <v>2838.22</v>
      </c>
      <c r="F42" s="2">
        <v>2838.22</v>
      </c>
    </row>
    <row r="43" spans="1:6" x14ac:dyDescent="0.25">
      <c r="A43" t="s">
        <v>4062</v>
      </c>
      <c r="B43" t="s">
        <v>7717</v>
      </c>
      <c r="C43" t="s">
        <v>42</v>
      </c>
      <c r="D43" s="7">
        <v>1</v>
      </c>
      <c r="E43" s="2">
        <v>46</v>
      </c>
      <c r="F43" s="2">
        <v>46</v>
      </c>
    </row>
    <row r="44" spans="1:6" x14ac:dyDescent="0.25">
      <c r="A44" t="s">
        <v>4062</v>
      </c>
      <c r="B44" t="s">
        <v>7721</v>
      </c>
      <c r="C44" t="s">
        <v>63</v>
      </c>
      <c r="D44" s="7">
        <v>0.01</v>
      </c>
      <c r="E44" s="2">
        <v>185957</v>
      </c>
      <c r="F44" s="2">
        <v>1859.57</v>
      </c>
    </row>
    <row r="45" spans="1:6" x14ac:dyDescent="0.25">
      <c r="A45" t="s">
        <v>4062</v>
      </c>
      <c r="B45" t="s">
        <v>7722</v>
      </c>
      <c r="C45" t="s">
        <v>34</v>
      </c>
      <c r="D45" s="7">
        <v>0.12</v>
      </c>
      <c r="E45" s="2">
        <v>90100.77</v>
      </c>
      <c r="F45" s="2">
        <v>10812.09</v>
      </c>
    </row>
    <row r="46" spans="1:6" x14ac:dyDescent="0.25">
      <c r="A46" t="s">
        <v>4062</v>
      </c>
      <c r="B46" t="s">
        <v>7723</v>
      </c>
      <c r="C46" t="s">
        <v>34</v>
      </c>
      <c r="D46" s="7">
        <v>0.06</v>
      </c>
      <c r="E46" s="2">
        <v>111672.11</v>
      </c>
      <c r="F46" s="2">
        <v>6700.33</v>
      </c>
    </row>
    <row r="47" spans="1:6" x14ac:dyDescent="0.25">
      <c r="A47" t="s">
        <v>4062</v>
      </c>
      <c r="B47" t="s">
        <v>7724</v>
      </c>
      <c r="C47" t="s">
        <v>21</v>
      </c>
      <c r="D47" s="7">
        <v>0.8</v>
      </c>
      <c r="E47" s="2">
        <v>3399.59</v>
      </c>
      <c r="F47" s="2">
        <v>2719.67</v>
      </c>
    </row>
    <row r="48" spans="1:6" x14ac:dyDescent="0.25">
      <c r="A48" t="s">
        <v>4062</v>
      </c>
      <c r="B48" t="s">
        <v>7725</v>
      </c>
      <c r="C48" t="s">
        <v>34</v>
      </c>
      <c r="D48" s="7">
        <v>0.06</v>
      </c>
      <c r="E48" s="2">
        <v>582852.45</v>
      </c>
      <c r="F48" s="2">
        <v>34971.15</v>
      </c>
    </row>
    <row r="49" spans="1:6" x14ac:dyDescent="0.25">
      <c r="A49" t="s">
        <v>4049</v>
      </c>
      <c r="B49" t="s">
        <v>4241</v>
      </c>
      <c r="C49" t="s">
        <v>4051</v>
      </c>
      <c r="D49" s="7">
        <v>0.18</v>
      </c>
      <c r="E49" s="2">
        <v>9941.22</v>
      </c>
      <c r="F49" s="2">
        <v>1739.71</v>
      </c>
    </row>
    <row r="50" spans="1:6" x14ac:dyDescent="0.25">
      <c r="A50" t="s">
        <v>4049</v>
      </c>
      <c r="B50" t="s">
        <v>4242</v>
      </c>
      <c r="C50" t="s">
        <v>4051</v>
      </c>
      <c r="D50" s="7">
        <v>0.18</v>
      </c>
      <c r="E50" s="2">
        <v>17069.53</v>
      </c>
      <c r="F50" s="2">
        <v>2987.17</v>
      </c>
    </row>
    <row r="51" spans="1:6" x14ac:dyDescent="0.25">
      <c r="A51" t="s">
        <v>4052</v>
      </c>
      <c r="B51" t="s">
        <v>4092</v>
      </c>
      <c r="C51" t="s">
        <v>287</v>
      </c>
      <c r="D51" s="7">
        <v>0.17</v>
      </c>
      <c r="E51" s="2">
        <v>97476</v>
      </c>
      <c r="F51" s="2">
        <v>16570.92</v>
      </c>
    </row>
    <row r="52" spans="1:6" x14ac:dyDescent="0.25">
      <c r="A52" t="s">
        <v>4052</v>
      </c>
      <c r="B52" t="s">
        <v>7234</v>
      </c>
      <c r="C52" t="s">
        <v>287</v>
      </c>
      <c r="D52" s="7">
        <v>0.09</v>
      </c>
      <c r="E52" s="2">
        <v>8800</v>
      </c>
      <c r="F52" s="2">
        <v>748</v>
      </c>
    </row>
    <row r="53" spans="1:6" x14ac:dyDescent="0.25">
      <c r="A53" t="s">
        <v>4052</v>
      </c>
      <c r="B53" t="s">
        <v>6294</v>
      </c>
      <c r="C53" t="s">
        <v>4106</v>
      </c>
      <c r="D53" s="7">
        <v>0</v>
      </c>
      <c r="E53" s="2">
        <v>236228.11</v>
      </c>
      <c r="F53" s="2">
        <v>944.91</v>
      </c>
    </row>
    <row r="54" spans="1:6" x14ac:dyDescent="0.25">
      <c r="A54" t="s">
        <v>4052</v>
      </c>
      <c r="B54" t="s">
        <v>4053</v>
      </c>
      <c r="C54" t="s">
        <v>4054</v>
      </c>
      <c r="D54" s="7">
        <v>5</v>
      </c>
      <c r="E54" s="2">
        <v>4726.88</v>
      </c>
      <c r="F54" s="2">
        <v>236.34</v>
      </c>
    </row>
    <row r="55" spans="1:6" x14ac:dyDescent="0.25">
      <c r="A55" t="s">
        <v>4055</v>
      </c>
      <c r="D55" s="7"/>
      <c r="E55" s="2"/>
      <c r="F55" s="2">
        <f>SUBTOTAL(109,A_4_01_03[VALOR PARCIAL])</f>
      </c>
    </row>
    <row r="57" ht="30" customHeight="1" spans="1:6" x14ac:dyDescent="0.25">
      <c r="A57" s="5" t="s">
        <v>7726</v>
      </c>
      <c r="B57" s="5"/>
      <c r="C57" s="5"/>
      <c r="D57" s="5"/>
      <c r="E57" s="5"/>
      <c r="F57" s="5"/>
    </row>
    <row r="58" ht="42" customHeight="1" spans="1:6" x14ac:dyDescent="0.25">
      <c r="A58" s="6" t="s">
        <v>7727</v>
      </c>
      <c r="B58" s="6"/>
      <c r="C58" s="6"/>
      <c r="D58" s="6"/>
      <c r="E58" s="6"/>
      <c r="F58" s="6"/>
    </row>
    <row r="59" spans="1:6" x14ac:dyDescent="0.25">
      <c r="A59" t="s">
        <v>4044</v>
      </c>
      <c r="B59" t="s">
        <v>4045</v>
      </c>
      <c r="C59" t="s">
        <v>5</v>
      </c>
      <c r="D59" t="s">
        <v>4046</v>
      </c>
      <c r="E59" t="s">
        <v>4047</v>
      </c>
      <c r="F59" t="s">
        <v>4048</v>
      </c>
    </row>
    <row r="60" spans="1:6" x14ac:dyDescent="0.25">
      <c r="A60" t="s">
        <v>4062</v>
      </c>
      <c r="B60" t="s">
        <v>7716</v>
      </c>
      <c r="C60" t="s">
        <v>42</v>
      </c>
      <c r="D60" s="7">
        <v>1</v>
      </c>
      <c r="E60" s="2">
        <v>2838.22</v>
      </c>
      <c r="F60" s="2">
        <v>2838.22</v>
      </c>
    </row>
    <row r="61" spans="1:6" x14ac:dyDescent="0.25">
      <c r="A61" t="s">
        <v>4062</v>
      </c>
      <c r="B61" t="s">
        <v>3265</v>
      </c>
      <c r="C61" t="s">
        <v>34</v>
      </c>
      <c r="D61" s="7">
        <v>0.06</v>
      </c>
      <c r="E61" s="2">
        <v>706218.57</v>
      </c>
      <c r="F61" s="2">
        <v>42373.11</v>
      </c>
    </row>
    <row r="62" spans="1:6" x14ac:dyDescent="0.25">
      <c r="A62" t="s">
        <v>4062</v>
      </c>
      <c r="B62" t="s">
        <v>7717</v>
      </c>
      <c r="C62" t="s">
        <v>42</v>
      </c>
      <c r="D62" s="7">
        <v>1</v>
      </c>
      <c r="E62" s="2">
        <v>46</v>
      </c>
      <c r="F62" s="2">
        <v>46</v>
      </c>
    </row>
    <row r="63" spans="1:6" x14ac:dyDescent="0.25">
      <c r="A63" t="s">
        <v>4062</v>
      </c>
      <c r="B63" t="s">
        <v>7721</v>
      </c>
      <c r="C63" t="s">
        <v>63</v>
      </c>
      <c r="D63" s="7">
        <v>0.01</v>
      </c>
      <c r="E63" s="2">
        <v>185957</v>
      </c>
      <c r="F63" s="2">
        <v>1859.57</v>
      </c>
    </row>
    <row r="64" spans="1:6" x14ac:dyDescent="0.25">
      <c r="A64" t="s">
        <v>4062</v>
      </c>
      <c r="B64" t="s">
        <v>7728</v>
      </c>
      <c r="C64" t="s">
        <v>34</v>
      </c>
      <c r="D64" s="7">
        <v>0.18</v>
      </c>
      <c r="E64" s="2">
        <v>111672.11</v>
      </c>
      <c r="F64" s="2">
        <v>20100.98</v>
      </c>
    </row>
    <row r="65" spans="1:6" x14ac:dyDescent="0.25">
      <c r="A65" t="s">
        <v>4049</v>
      </c>
      <c r="B65" t="s">
        <v>4241</v>
      </c>
      <c r="C65" t="s">
        <v>4051</v>
      </c>
      <c r="D65" s="7">
        <v>0.18</v>
      </c>
      <c r="E65" s="2">
        <v>9941.22</v>
      </c>
      <c r="F65" s="2">
        <v>1739.71</v>
      </c>
    </row>
    <row r="66" spans="1:6" x14ac:dyDescent="0.25">
      <c r="A66" t="s">
        <v>4049</v>
      </c>
      <c r="B66" t="s">
        <v>4242</v>
      </c>
      <c r="C66" t="s">
        <v>4051</v>
      </c>
      <c r="D66" s="7">
        <v>0.18</v>
      </c>
      <c r="E66" s="2">
        <v>17069.53</v>
      </c>
      <c r="F66" s="2">
        <v>2987.17</v>
      </c>
    </row>
    <row r="67" spans="1:6" x14ac:dyDescent="0.25">
      <c r="A67" t="s">
        <v>4052</v>
      </c>
      <c r="B67" t="s">
        <v>4092</v>
      </c>
      <c r="C67" t="s">
        <v>287</v>
      </c>
      <c r="D67" s="7">
        <v>0.15</v>
      </c>
      <c r="E67" s="2">
        <v>97476</v>
      </c>
      <c r="F67" s="2">
        <v>14621.4</v>
      </c>
    </row>
    <row r="68" spans="1:6" x14ac:dyDescent="0.25">
      <c r="A68" t="s">
        <v>4052</v>
      </c>
      <c r="B68" t="s">
        <v>7234</v>
      </c>
      <c r="C68" t="s">
        <v>287</v>
      </c>
      <c r="D68" s="7">
        <v>0.09</v>
      </c>
      <c r="E68" s="2">
        <v>8800</v>
      </c>
      <c r="F68" s="2">
        <v>748</v>
      </c>
    </row>
    <row r="69" spans="1:6" x14ac:dyDescent="0.25">
      <c r="A69" t="s">
        <v>4052</v>
      </c>
      <c r="B69" t="s">
        <v>6294</v>
      </c>
      <c r="C69" t="s">
        <v>4106</v>
      </c>
      <c r="D69" s="7">
        <v>0</v>
      </c>
      <c r="E69" s="2">
        <v>236228.11</v>
      </c>
      <c r="F69" s="2">
        <v>944.91</v>
      </c>
    </row>
    <row r="70" spans="1:6" x14ac:dyDescent="0.25">
      <c r="A70" t="s">
        <v>4052</v>
      </c>
      <c r="B70" t="s">
        <v>4053</v>
      </c>
      <c r="C70" t="s">
        <v>4054</v>
      </c>
      <c r="D70" s="7">
        <v>5</v>
      </c>
      <c r="E70" s="2">
        <v>4726.88</v>
      </c>
      <c r="F70" s="2">
        <v>236.34</v>
      </c>
    </row>
    <row r="71" spans="1:6" x14ac:dyDescent="0.25">
      <c r="A71" t="s">
        <v>4055</v>
      </c>
      <c r="D71" s="7"/>
      <c r="E71" s="2"/>
      <c r="F71" s="2">
        <f>SUBTOTAL(109,A_4_01_04[VALOR PARCIAL])</f>
      </c>
    </row>
    <row r="73" ht="30" customHeight="1" spans="1:6" x14ac:dyDescent="0.25">
      <c r="A73" s="5" t="s">
        <v>7729</v>
      </c>
      <c r="B73" s="5"/>
      <c r="C73" s="5"/>
      <c r="D73" s="5"/>
      <c r="E73" s="5"/>
      <c r="F73" s="5"/>
    </row>
    <row r="74" ht="42" customHeight="1" spans="1:6" x14ac:dyDescent="0.25">
      <c r="A74" s="6" t="s">
        <v>7730</v>
      </c>
      <c r="B74" s="6"/>
      <c r="C74" s="6"/>
      <c r="D74" s="6"/>
      <c r="E74" s="6"/>
      <c r="F74" s="6"/>
    </row>
    <row r="75" spans="1:6" x14ac:dyDescent="0.25">
      <c r="A75" t="s">
        <v>4044</v>
      </c>
      <c r="B75" t="s">
        <v>4045</v>
      </c>
      <c r="C75" t="s">
        <v>5</v>
      </c>
      <c r="D75" t="s">
        <v>4046</v>
      </c>
      <c r="E75" t="s">
        <v>4047</v>
      </c>
      <c r="F75" t="s">
        <v>4048</v>
      </c>
    </row>
    <row r="76" spans="1:6" x14ac:dyDescent="0.25">
      <c r="A76" t="s">
        <v>4062</v>
      </c>
      <c r="B76" t="s">
        <v>4547</v>
      </c>
      <c r="C76" t="s">
        <v>34</v>
      </c>
      <c r="D76" s="7">
        <v>0.24</v>
      </c>
      <c r="E76" s="2">
        <v>57129.33</v>
      </c>
      <c r="F76" s="2">
        <v>13711.04</v>
      </c>
    </row>
    <row r="77" spans="1:6" x14ac:dyDescent="0.25">
      <c r="A77" t="s">
        <v>4062</v>
      </c>
      <c r="B77" t="s">
        <v>7716</v>
      </c>
      <c r="C77" t="s">
        <v>42</v>
      </c>
      <c r="D77" s="7">
        <v>1</v>
      </c>
      <c r="E77" s="2">
        <v>2838.22</v>
      </c>
      <c r="F77" s="2">
        <v>2838.22</v>
      </c>
    </row>
    <row r="78" spans="1:6" x14ac:dyDescent="0.25">
      <c r="A78" t="s">
        <v>4062</v>
      </c>
      <c r="B78" t="s">
        <v>7581</v>
      </c>
      <c r="C78" t="s">
        <v>21</v>
      </c>
      <c r="D78" s="7">
        <v>0.4</v>
      </c>
      <c r="E78" s="2">
        <v>3850</v>
      </c>
      <c r="F78" s="2">
        <v>1540</v>
      </c>
    </row>
    <row r="79" spans="1:6" x14ac:dyDescent="0.25">
      <c r="A79" t="s">
        <v>4062</v>
      </c>
      <c r="B79" t="s">
        <v>7717</v>
      </c>
      <c r="C79" t="s">
        <v>42</v>
      </c>
      <c r="D79" s="7">
        <v>1</v>
      </c>
      <c r="E79" s="2">
        <v>46</v>
      </c>
      <c r="F79" s="2">
        <v>46</v>
      </c>
    </row>
    <row r="80" spans="1:6" x14ac:dyDescent="0.25">
      <c r="A80" t="s">
        <v>4049</v>
      </c>
      <c r="B80" t="s">
        <v>4050</v>
      </c>
      <c r="C80" t="s">
        <v>4051</v>
      </c>
      <c r="D80" s="7">
        <v>0.7</v>
      </c>
      <c r="E80" s="2">
        <v>9037.33</v>
      </c>
      <c r="F80" s="2">
        <v>6326.13</v>
      </c>
    </row>
    <row r="81" spans="1:6" x14ac:dyDescent="0.25">
      <c r="A81" t="s">
        <v>4049</v>
      </c>
      <c r="B81" t="s">
        <v>4241</v>
      </c>
      <c r="C81" t="s">
        <v>4051</v>
      </c>
      <c r="D81" s="7">
        <v>0.18</v>
      </c>
      <c r="E81" s="2">
        <v>9941.22</v>
      </c>
      <c r="F81" s="2">
        <v>1739.71</v>
      </c>
    </row>
    <row r="82" spans="1:6" x14ac:dyDescent="0.25">
      <c r="A82" t="s">
        <v>4049</v>
      </c>
      <c r="B82" t="s">
        <v>4073</v>
      </c>
      <c r="C82" t="s">
        <v>4051</v>
      </c>
      <c r="D82" s="7">
        <v>0.7</v>
      </c>
      <c r="E82" s="2">
        <v>15517.89</v>
      </c>
      <c r="F82" s="2">
        <v>10862.52</v>
      </c>
    </row>
    <row r="83" spans="1:6" x14ac:dyDescent="0.25">
      <c r="A83" t="s">
        <v>4049</v>
      </c>
      <c r="B83" t="s">
        <v>4242</v>
      </c>
      <c r="C83" t="s">
        <v>4051</v>
      </c>
      <c r="D83" s="7">
        <v>0.18</v>
      </c>
      <c r="E83" s="2">
        <v>17069.53</v>
      </c>
      <c r="F83" s="2">
        <v>2987.17</v>
      </c>
    </row>
    <row r="84" spans="1:6" x14ac:dyDescent="0.25">
      <c r="A84" t="s">
        <v>4052</v>
      </c>
      <c r="B84" t="s">
        <v>6294</v>
      </c>
      <c r="C84" t="s">
        <v>4106</v>
      </c>
      <c r="D84" s="7">
        <v>0</v>
      </c>
      <c r="E84" s="2">
        <v>236228.11</v>
      </c>
      <c r="F84" s="2">
        <v>944.91</v>
      </c>
    </row>
    <row r="85" spans="1:6" x14ac:dyDescent="0.25">
      <c r="A85" t="s">
        <v>4052</v>
      </c>
      <c r="B85" t="s">
        <v>4342</v>
      </c>
      <c r="C85" t="s">
        <v>4106</v>
      </c>
      <c r="D85" s="7">
        <v>0.02</v>
      </c>
      <c r="E85" s="2">
        <v>66666.67</v>
      </c>
      <c r="F85" s="2">
        <v>1333.33</v>
      </c>
    </row>
    <row r="86" spans="1:6" x14ac:dyDescent="0.25">
      <c r="A86" t="s">
        <v>4052</v>
      </c>
      <c r="B86" t="s">
        <v>4053</v>
      </c>
      <c r="C86" t="s">
        <v>4054</v>
      </c>
      <c r="D86" s="7">
        <v>5</v>
      </c>
      <c r="E86" s="2">
        <v>21915.53</v>
      </c>
      <c r="F86" s="2">
        <v>1095.78</v>
      </c>
    </row>
    <row r="87" spans="1:6" x14ac:dyDescent="0.25">
      <c r="A87" t="s">
        <v>4055</v>
      </c>
      <c r="D87" s="7"/>
      <c r="E87" s="2"/>
      <c r="F87" s="2">
        <f>SUBTOTAL(109,A_4_01_05[VALOR PARCIAL])</f>
      </c>
    </row>
    <row r="89" ht="30" customHeight="1" spans="1:6" x14ac:dyDescent="0.25">
      <c r="A89" s="5" t="s">
        <v>7731</v>
      </c>
      <c r="B89" s="5"/>
      <c r="C89" s="5"/>
      <c r="D89" s="5"/>
      <c r="E89" s="5"/>
      <c r="F89" s="5"/>
    </row>
    <row r="90" ht="42" customHeight="1" spans="1:6" x14ac:dyDescent="0.25">
      <c r="A90" s="6" t="s">
        <v>7732</v>
      </c>
      <c r="B90" s="6"/>
      <c r="C90" s="6"/>
      <c r="D90" s="6"/>
      <c r="E90" s="6"/>
      <c r="F90" s="6"/>
    </row>
    <row r="91" spans="1:6" x14ac:dyDescent="0.25">
      <c r="A91" t="s">
        <v>4044</v>
      </c>
      <c r="B91" t="s">
        <v>4045</v>
      </c>
      <c r="C91" t="s">
        <v>5</v>
      </c>
      <c r="D91" t="s">
        <v>4046</v>
      </c>
      <c r="E91" t="s">
        <v>4047</v>
      </c>
      <c r="F91" t="s">
        <v>4048</v>
      </c>
    </row>
    <row r="92" spans="1:6" x14ac:dyDescent="0.25">
      <c r="A92" t="s">
        <v>4062</v>
      </c>
      <c r="B92" t="s">
        <v>7733</v>
      </c>
      <c r="C92" t="s">
        <v>42</v>
      </c>
      <c r="D92" s="7">
        <v>1</v>
      </c>
      <c r="E92" s="2">
        <v>4741</v>
      </c>
      <c r="F92" s="2">
        <v>4741</v>
      </c>
    </row>
    <row r="93" spans="1:6" x14ac:dyDescent="0.25">
      <c r="A93" t="s">
        <v>4062</v>
      </c>
      <c r="B93" t="s">
        <v>5816</v>
      </c>
      <c r="C93" t="s">
        <v>34</v>
      </c>
      <c r="D93" s="7">
        <v>0.02</v>
      </c>
      <c r="E93" s="2">
        <v>93966.67</v>
      </c>
      <c r="F93" s="2">
        <v>1879.33</v>
      </c>
    </row>
    <row r="94" spans="1:6" x14ac:dyDescent="0.25">
      <c r="A94" t="s">
        <v>4062</v>
      </c>
      <c r="B94" t="s">
        <v>7717</v>
      </c>
      <c r="C94" t="s">
        <v>42</v>
      </c>
      <c r="D94" s="7">
        <v>1</v>
      </c>
      <c r="E94" s="2">
        <v>46</v>
      </c>
      <c r="F94" s="2">
        <v>46</v>
      </c>
    </row>
    <row r="95" spans="1:6" x14ac:dyDescent="0.25">
      <c r="A95" t="s">
        <v>4062</v>
      </c>
      <c r="B95" t="s">
        <v>3261</v>
      </c>
      <c r="C95" t="s">
        <v>34</v>
      </c>
      <c r="D95" s="7">
        <v>0.12</v>
      </c>
      <c r="E95" s="2">
        <v>90100.77</v>
      </c>
      <c r="F95" s="2">
        <v>10812.09</v>
      </c>
    </row>
    <row r="96" spans="1:6" x14ac:dyDescent="0.25">
      <c r="A96" t="s">
        <v>4062</v>
      </c>
      <c r="B96" t="s">
        <v>7718</v>
      </c>
      <c r="C96" t="s">
        <v>21</v>
      </c>
      <c r="D96" s="7">
        <v>0.4</v>
      </c>
      <c r="E96" s="2">
        <v>35458.33</v>
      </c>
      <c r="F96" s="2">
        <v>14183.33</v>
      </c>
    </row>
    <row r="97" spans="1:6" x14ac:dyDescent="0.25">
      <c r="A97" t="s">
        <v>4062</v>
      </c>
      <c r="B97" t="s">
        <v>4076</v>
      </c>
      <c r="C97" t="s">
        <v>3963</v>
      </c>
      <c r="D97" s="7">
        <v>2.85</v>
      </c>
      <c r="E97" s="2">
        <v>21</v>
      </c>
      <c r="F97" s="2">
        <v>59.85</v>
      </c>
    </row>
    <row r="98" spans="1:6" x14ac:dyDescent="0.25">
      <c r="A98" t="s">
        <v>4049</v>
      </c>
      <c r="B98" t="s">
        <v>4050</v>
      </c>
      <c r="C98" t="s">
        <v>4051</v>
      </c>
      <c r="D98" s="7">
        <v>1.05</v>
      </c>
      <c r="E98" s="2">
        <v>9037.33</v>
      </c>
      <c r="F98" s="2">
        <v>9489.2</v>
      </c>
    </row>
    <row r="99" spans="1:6" x14ac:dyDescent="0.25">
      <c r="A99" t="s">
        <v>4049</v>
      </c>
      <c r="B99" t="s">
        <v>4241</v>
      </c>
      <c r="C99" t="s">
        <v>4051</v>
      </c>
      <c r="D99" s="7">
        <v>0.18</v>
      </c>
      <c r="E99" s="2">
        <v>9941.22</v>
      </c>
      <c r="F99" s="2">
        <v>1739.71</v>
      </c>
    </row>
    <row r="100" spans="1:6" x14ac:dyDescent="0.25">
      <c r="A100" t="s">
        <v>4049</v>
      </c>
      <c r="B100" t="s">
        <v>4073</v>
      </c>
      <c r="C100" t="s">
        <v>4051</v>
      </c>
      <c r="D100" s="7">
        <v>1.05</v>
      </c>
      <c r="E100" s="2">
        <v>15517.89</v>
      </c>
      <c r="F100" s="2">
        <v>16293.78</v>
      </c>
    </row>
    <row r="101" spans="1:6" x14ac:dyDescent="0.25">
      <c r="A101" t="s">
        <v>4049</v>
      </c>
      <c r="B101" t="s">
        <v>4242</v>
      </c>
      <c r="C101" t="s">
        <v>4051</v>
      </c>
      <c r="D101" s="7">
        <v>0.18</v>
      </c>
      <c r="E101" s="2">
        <v>17069.53</v>
      </c>
      <c r="F101" s="2">
        <v>2987.17</v>
      </c>
    </row>
    <row r="102" spans="1:6" x14ac:dyDescent="0.25">
      <c r="A102" t="s">
        <v>4052</v>
      </c>
      <c r="B102" t="s">
        <v>6294</v>
      </c>
      <c r="C102" t="s">
        <v>4106</v>
      </c>
      <c r="D102" s="7">
        <v>0</v>
      </c>
      <c r="E102" s="2">
        <v>236228.11</v>
      </c>
      <c r="F102" s="2">
        <v>944.91</v>
      </c>
    </row>
    <row r="103" spans="1:6" x14ac:dyDescent="0.25">
      <c r="A103" t="s">
        <v>4052</v>
      </c>
      <c r="B103" t="s">
        <v>4342</v>
      </c>
      <c r="C103" t="s">
        <v>4106</v>
      </c>
      <c r="D103" s="7">
        <v>0.02</v>
      </c>
      <c r="E103" s="2">
        <v>66666.67</v>
      </c>
      <c r="F103" s="2">
        <v>1333.33</v>
      </c>
    </row>
    <row r="104" spans="1:6" x14ac:dyDescent="0.25">
      <c r="A104" t="s">
        <v>4052</v>
      </c>
      <c r="B104" t="s">
        <v>4053</v>
      </c>
      <c r="C104" t="s">
        <v>4054</v>
      </c>
      <c r="D104" s="7">
        <v>3.3</v>
      </c>
      <c r="E104" s="2">
        <v>30509.86</v>
      </c>
      <c r="F104" s="2">
        <v>1006.83</v>
      </c>
    </row>
    <row r="105" spans="1:6" x14ac:dyDescent="0.25">
      <c r="A105" t="s">
        <v>4055</v>
      </c>
      <c r="D105" s="7"/>
      <c r="E105" s="2"/>
      <c r="F105" s="2">
        <f>SUBTOTAL(109,A_4_01_06[VALOR PARCIAL])</f>
      </c>
    </row>
    <row r="107" ht="30" customHeight="1" spans="1:6" x14ac:dyDescent="0.25">
      <c r="A107" s="5" t="s">
        <v>7734</v>
      </c>
      <c r="B107" s="5"/>
      <c r="C107" s="5"/>
      <c r="D107" s="5"/>
      <c r="E107" s="5"/>
      <c r="F107" s="5"/>
    </row>
    <row r="108" ht="42" customHeight="1" spans="1:6" x14ac:dyDescent="0.25">
      <c r="A108" s="6" t="s">
        <v>7735</v>
      </c>
      <c r="B108" s="6"/>
      <c r="C108" s="6"/>
      <c r="D108" s="6"/>
      <c r="E108" s="6"/>
      <c r="F108" s="6"/>
    </row>
    <row r="109" spans="1:6" x14ac:dyDescent="0.25">
      <c r="A109" t="s">
        <v>4044</v>
      </c>
      <c r="B109" t="s">
        <v>4045</v>
      </c>
      <c r="C109" t="s">
        <v>5</v>
      </c>
      <c r="D109" t="s">
        <v>4046</v>
      </c>
      <c r="E109" t="s">
        <v>4047</v>
      </c>
      <c r="F109" t="s">
        <v>4048</v>
      </c>
    </row>
    <row r="110" spans="1:6" x14ac:dyDescent="0.25">
      <c r="A110" t="s">
        <v>4062</v>
      </c>
      <c r="B110" t="s">
        <v>7733</v>
      </c>
      <c r="C110" t="s">
        <v>42</v>
      </c>
      <c r="D110" s="7">
        <v>1</v>
      </c>
      <c r="E110" s="2">
        <v>4741</v>
      </c>
      <c r="F110" s="2">
        <v>4741</v>
      </c>
    </row>
    <row r="111" spans="1:6" x14ac:dyDescent="0.25">
      <c r="A111" t="s">
        <v>4062</v>
      </c>
      <c r="B111" t="s">
        <v>7717</v>
      </c>
      <c r="C111" t="s">
        <v>42</v>
      </c>
      <c r="D111" s="7">
        <v>1</v>
      </c>
      <c r="E111" s="2">
        <v>46</v>
      </c>
      <c r="F111" s="2">
        <v>46</v>
      </c>
    </row>
    <row r="112" spans="1:6" x14ac:dyDescent="0.25">
      <c r="A112" t="s">
        <v>4062</v>
      </c>
      <c r="B112" t="s">
        <v>7721</v>
      </c>
      <c r="C112" t="s">
        <v>63</v>
      </c>
      <c r="D112" s="7">
        <v>0.01</v>
      </c>
      <c r="E112" s="2">
        <v>185957</v>
      </c>
      <c r="F112" s="2">
        <v>1859.57</v>
      </c>
    </row>
    <row r="113" spans="1:6" x14ac:dyDescent="0.25">
      <c r="A113" t="s">
        <v>4062</v>
      </c>
      <c r="B113" t="s">
        <v>7722</v>
      </c>
      <c r="C113" t="s">
        <v>34</v>
      </c>
      <c r="D113" s="7">
        <v>0.12</v>
      </c>
      <c r="E113" s="2">
        <v>90100.77</v>
      </c>
      <c r="F113" s="2">
        <v>10812.09</v>
      </c>
    </row>
    <row r="114" spans="1:6" x14ac:dyDescent="0.25">
      <c r="A114" t="s">
        <v>4062</v>
      </c>
      <c r="B114" t="s">
        <v>7723</v>
      </c>
      <c r="C114" t="s">
        <v>34</v>
      </c>
      <c r="D114" s="7">
        <v>0.06</v>
      </c>
      <c r="E114" s="2">
        <v>111672.11</v>
      </c>
      <c r="F114" s="2">
        <v>6700.33</v>
      </c>
    </row>
    <row r="115" spans="1:6" x14ac:dyDescent="0.25">
      <c r="A115" t="s">
        <v>4062</v>
      </c>
      <c r="B115" t="s">
        <v>7724</v>
      </c>
      <c r="C115" t="s">
        <v>21</v>
      </c>
      <c r="D115" s="7">
        <v>0.8</v>
      </c>
      <c r="E115" s="2">
        <v>3399.59</v>
      </c>
      <c r="F115" s="2">
        <v>2719.67</v>
      </c>
    </row>
    <row r="116" spans="1:6" x14ac:dyDescent="0.25">
      <c r="A116" t="s">
        <v>4062</v>
      </c>
      <c r="B116" t="s">
        <v>7725</v>
      </c>
      <c r="C116" t="s">
        <v>34</v>
      </c>
      <c r="D116" s="7">
        <v>0.06</v>
      </c>
      <c r="E116" s="2">
        <v>582852.45</v>
      </c>
      <c r="F116" s="2">
        <v>34971.15</v>
      </c>
    </row>
    <row r="117" spans="1:6" x14ac:dyDescent="0.25">
      <c r="A117" t="s">
        <v>4049</v>
      </c>
      <c r="B117" t="s">
        <v>4241</v>
      </c>
      <c r="C117" t="s">
        <v>4051</v>
      </c>
      <c r="D117" s="7">
        <v>0.18</v>
      </c>
      <c r="E117" s="2">
        <v>9941.22</v>
      </c>
      <c r="F117" s="2">
        <v>1739.71</v>
      </c>
    </row>
    <row r="118" spans="1:6" x14ac:dyDescent="0.25">
      <c r="A118" t="s">
        <v>4049</v>
      </c>
      <c r="B118" t="s">
        <v>4242</v>
      </c>
      <c r="C118" t="s">
        <v>4051</v>
      </c>
      <c r="D118" s="7">
        <v>0.18</v>
      </c>
      <c r="E118" s="2">
        <v>17069.53</v>
      </c>
      <c r="F118" s="2">
        <v>2987.17</v>
      </c>
    </row>
    <row r="119" spans="1:6" x14ac:dyDescent="0.25">
      <c r="A119" t="s">
        <v>4052</v>
      </c>
      <c r="B119" t="s">
        <v>4092</v>
      </c>
      <c r="C119" t="s">
        <v>287</v>
      </c>
      <c r="D119" s="7">
        <v>0.16</v>
      </c>
      <c r="E119" s="2">
        <v>97476</v>
      </c>
      <c r="F119" s="2">
        <v>15596.16</v>
      </c>
    </row>
    <row r="120" spans="1:6" x14ac:dyDescent="0.25">
      <c r="A120" t="s">
        <v>4052</v>
      </c>
      <c r="B120" t="s">
        <v>7234</v>
      </c>
      <c r="C120" t="s">
        <v>287</v>
      </c>
      <c r="D120" s="7">
        <v>0.09</v>
      </c>
      <c r="E120" s="2">
        <v>8800</v>
      </c>
      <c r="F120" s="2">
        <v>748</v>
      </c>
    </row>
    <row r="121" spans="1:6" x14ac:dyDescent="0.25">
      <c r="A121" t="s">
        <v>4052</v>
      </c>
      <c r="B121" t="s">
        <v>6294</v>
      </c>
      <c r="C121" t="s">
        <v>4106</v>
      </c>
      <c r="D121" s="7">
        <v>0</v>
      </c>
      <c r="E121" s="2">
        <v>236228.11</v>
      </c>
      <c r="F121" s="2">
        <v>944.91</v>
      </c>
    </row>
    <row r="122" spans="1:6" x14ac:dyDescent="0.25">
      <c r="A122" t="s">
        <v>4052</v>
      </c>
      <c r="B122" t="s">
        <v>4053</v>
      </c>
      <c r="C122" t="s">
        <v>4054</v>
      </c>
      <c r="D122" s="7">
        <v>5</v>
      </c>
      <c r="E122" s="2">
        <v>4726.88</v>
      </c>
      <c r="F122" s="2">
        <v>236.34</v>
      </c>
    </row>
    <row r="123" spans="1:6" x14ac:dyDescent="0.25">
      <c r="A123" t="s">
        <v>4055</v>
      </c>
      <c r="D123" s="7"/>
      <c r="E123" s="2"/>
      <c r="F123" s="2">
        <f>SUBTOTAL(109,A_4_01_07[VALOR PARCIAL])</f>
      </c>
    </row>
    <row r="125" ht="30" customHeight="1" spans="1:6" x14ac:dyDescent="0.25">
      <c r="A125" s="5" t="s">
        <v>7736</v>
      </c>
      <c r="B125" s="5"/>
      <c r="C125" s="5"/>
      <c r="D125" s="5"/>
      <c r="E125" s="5"/>
      <c r="F125" s="5"/>
    </row>
    <row r="126" ht="42" customHeight="1" spans="1:6" x14ac:dyDescent="0.25">
      <c r="A126" s="6" t="s">
        <v>7737</v>
      </c>
      <c r="B126" s="6"/>
      <c r="C126" s="6"/>
      <c r="D126" s="6"/>
      <c r="E126" s="6"/>
      <c r="F126" s="6"/>
    </row>
    <row r="127" spans="1:6" x14ac:dyDescent="0.25">
      <c r="A127" t="s">
        <v>4044</v>
      </c>
      <c r="B127" t="s">
        <v>4045</v>
      </c>
      <c r="C127" t="s">
        <v>5</v>
      </c>
      <c r="D127" t="s">
        <v>4046</v>
      </c>
      <c r="E127" t="s">
        <v>4047</v>
      </c>
      <c r="F127" t="s">
        <v>4048</v>
      </c>
    </row>
    <row r="128" spans="1:6" x14ac:dyDescent="0.25">
      <c r="A128" t="s">
        <v>4062</v>
      </c>
      <c r="B128" t="s">
        <v>7733</v>
      </c>
      <c r="C128" t="s">
        <v>42</v>
      </c>
      <c r="D128" s="7">
        <v>1</v>
      </c>
      <c r="E128" s="2">
        <v>4741</v>
      </c>
      <c r="F128" s="2">
        <v>4741</v>
      </c>
    </row>
    <row r="129" spans="1:6" x14ac:dyDescent="0.25">
      <c r="A129" t="s">
        <v>4062</v>
      </c>
      <c r="B129" t="s">
        <v>3265</v>
      </c>
      <c r="C129" t="s">
        <v>34</v>
      </c>
      <c r="D129" s="7">
        <v>0.06</v>
      </c>
      <c r="E129" s="2">
        <v>706218.57</v>
      </c>
      <c r="F129" s="2">
        <v>42373.11</v>
      </c>
    </row>
    <row r="130" spans="1:6" x14ac:dyDescent="0.25">
      <c r="A130" t="s">
        <v>4062</v>
      </c>
      <c r="B130" t="s">
        <v>7717</v>
      </c>
      <c r="C130" t="s">
        <v>42</v>
      </c>
      <c r="D130" s="7">
        <v>1</v>
      </c>
      <c r="E130" s="2">
        <v>46</v>
      </c>
      <c r="F130" s="2">
        <v>46</v>
      </c>
    </row>
    <row r="131" spans="1:6" x14ac:dyDescent="0.25">
      <c r="A131" t="s">
        <v>4062</v>
      </c>
      <c r="B131" t="s">
        <v>7721</v>
      </c>
      <c r="C131" t="s">
        <v>63</v>
      </c>
      <c r="D131" s="7">
        <v>0.01</v>
      </c>
      <c r="E131" s="2">
        <v>185957</v>
      </c>
      <c r="F131" s="2">
        <v>1859.57</v>
      </c>
    </row>
    <row r="132" spans="1:6" x14ac:dyDescent="0.25">
      <c r="A132" t="s">
        <v>4062</v>
      </c>
      <c r="B132" t="s">
        <v>7728</v>
      </c>
      <c r="C132" t="s">
        <v>34</v>
      </c>
      <c r="D132" s="7">
        <v>0.18</v>
      </c>
      <c r="E132" s="2">
        <v>111672.11</v>
      </c>
      <c r="F132" s="2">
        <v>20100.98</v>
      </c>
    </row>
    <row r="133" spans="1:6" x14ac:dyDescent="0.25">
      <c r="A133" t="s">
        <v>4049</v>
      </c>
      <c r="B133" t="s">
        <v>4241</v>
      </c>
      <c r="C133" t="s">
        <v>4051</v>
      </c>
      <c r="D133" s="7">
        <v>0.18</v>
      </c>
      <c r="E133" s="2">
        <v>9941.22</v>
      </c>
      <c r="F133" s="2">
        <v>1739.71</v>
      </c>
    </row>
    <row r="134" spans="1:6" x14ac:dyDescent="0.25">
      <c r="A134" t="s">
        <v>4049</v>
      </c>
      <c r="B134" t="s">
        <v>4242</v>
      </c>
      <c r="C134" t="s">
        <v>4051</v>
      </c>
      <c r="D134" s="7">
        <v>0.18</v>
      </c>
      <c r="E134" s="2">
        <v>17069.53</v>
      </c>
      <c r="F134" s="2">
        <v>2987.17</v>
      </c>
    </row>
    <row r="135" spans="1:6" x14ac:dyDescent="0.25">
      <c r="A135" t="s">
        <v>4052</v>
      </c>
      <c r="B135" t="s">
        <v>4092</v>
      </c>
      <c r="C135" t="s">
        <v>287</v>
      </c>
      <c r="D135" s="7">
        <v>0.16</v>
      </c>
      <c r="E135" s="2">
        <v>97476</v>
      </c>
      <c r="F135" s="2">
        <v>15596.16</v>
      </c>
    </row>
    <row r="136" spans="1:6" x14ac:dyDescent="0.25">
      <c r="A136" t="s">
        <v>4052</v>
      </c>
      <c r="B136" t="s">
        <v>7234</v>
      </c>
      <c r="C136" t="s">
        <v>287</v>
      </c>
      <c r="D136" s="7">
        <v>0.09</v>
      </c>
      <c r="E136" s="2">
        <v>8800</v>
      </c>
      <c r="F136" s="2">
        <v>748</v>
      </c>
    </row>
    <row r="137" spans="1:6" x14ac:dyDescent="0.25">
      <c r="A137" t="s">
        <v>4052</v>
      </c>
      <c r="B137" t="s">
        <v>6294</v>
      </c>
      <c r="C137" t="s">
        <v>4106</v>
      </c>
      <c r="D137" s="7">
        <v>0</v>
      </c>
      <c r="E137" s="2">
        <v>236228.11</v>
      </c>
      <c r="F137" s="2">
        <v>944.91</v>
      </c>
    </row>
    <row r="138" spans="1:6" x14ac:dyDescent="0.25">
      <c r="A138" t="s">
        <v>4052</v>
      </c>
      <c r="B138" t="s">
        <v>4053</v>
      </c>
      <c r="C138" t="s">
        <v>4054</v>
      </c>
      <c r="D138" s="7">
        <v>5</v>
      </c>
      <c r="E138" s="2">
        <v>4726.88</v>
      </c>
      <c r="F138" s="2">
        <v>236.34</v>
      </c>
    </row>
    <row r="139" spans="1:6" x14ac:dyDescent="0.25">
      <c r="A139" t="s">
        <v>4055</v>
      </c>
      <c r="D139" s="7"/>
      <c r="E139" s="2"/>
      <c r="F139" s="2">
        <f>SUBTOTAL(109,A_4_01_08[VALOR PARCIAL])</f>
      </c>
    </row>
    <row r="141" ht="30" customHeight="1" spans="1:6" x14ac:dyDescent="0.25">
      <c r="A141" s="5" t="s">
        <v>7738</v>
      </c>
      <c r="B141" s="5"/>
      <c r="C141" s="5"/>
      <c r="D141" s="5"/>
      <c r="E141" s="5"/>
      <c r="F141" s="5"/>
    </row>
    <row r="142" ht="42" customHeight="1" spans="1:6" x14ac:dyDescent="0.25">
      <c r="A142" s="6" t="s">
        <v>7739</v>
      </c>
      <c r="B142" s="6"/>
      <c r="C142" s="6"/>
      <c r="D142" s="6"/>
      <c r="E142" s="6"/>
      <c r="F142" s="6"/>
    </row>
    <row r="143" spans="1:6" x14ac:dyDescent="0.25">
      <c r="A143" t="s">
        <v>4044</v>
      </c>
      <c r="B143" t="s">
        <v>4045</v>
      </c>
      <c r="C143" t="s">
        <v>5</v>
      </c>
      <c r="D143" t="s">
        <v>4046</v>
      </c>
      <c r="E143" t="s">
        <v>4047</v>
      </c>
      <c r="F143" t="s">
        <v>4048</v>
      </c>
    </row>
    <row r="144" spans="1:6" x14ac:dyDescent="0.25">
      <c r="A144" t="s">
        <v>4062</v>
      </c>
      <c r="B144" t="s">
        <v>4547</v>
      </c>
      <c r="C144" t="s">
        <v>34</v>
      </c>
      <c r="D144" s="7">
        <v>0.24</v>
      </c>
      <c r="E144" s="2">
        <v>57129.33</v>
      </c>
      <c r="F144" s="2">
        <v>13711.04</v>
      </c>
    </row>
    <row r="145" spans="1:6" x14ac:dyDescent="0.25">
      <c r="A145" t="s">
        <v>4062</v>
      </c>
      <c r="B145" t="s">
        <v>7733</v>
      </c>
      <c r="C145" t="s">
        <v>42</v>
      </c>
      <c r="D145" s="7">
        <v>1</v>
      </c>
      <c r="E145" s="2">
        <v>4741</v>
      </c>
      <c r="F145" s="2">
        <v>4741</v>
      </c>
    </row>
    <row r="146" spans="1:6" x14ac:dyDescent="0.25">
      <c r="A146" t="s">
        <v>4062</v>
      </c>
      <c r="B146" t="s">
        <v>7581</v>
      </c>
      <c r="C146" t="s">
        <v>21</v>
      </c>
      <c r="D146" s="7">
        <v>0.4</v>
      </c>
      <c r="E146" s="2">
        <v>3850</v>
      </c>
      <c r="F146" s="2">
        <v>1540</v>
      </c>
    </row>
    <row r="147" spans="1:6" x14ac:dyDescent="0.25">
      <c r="A147" t="s">
        <v>4062</v>
      </c>
      <c r="B147" t="s">
        <v>7717</v>
      </c>
      <c r="C147" t="s">
        <v>42</v>
      </c>
      <c r="D147" s="7">
        <v>1</v>
      </c>
      <c r="E147" s="2">
        <v>46</v>
      </c>
      <c r="F147" s="2">
        <v>46</v>
      </c>
    </row>
    <row r="148" spans="1:6" x14ac:dyDescent="0.25">
      <c r="A148" t="s">
        <v>4049</v>
      </c>
      <c r="B148" t="s">
        <v>4050</v>
      </c>
      <c r="C148" t="s">
        <v>4051</v>
      </c>
      <c r="D148" s="7">
        <v>0.7</v>
      </c>
      <c r="E148" s="2">
        <v>9037.33</v>
      </c>
      <c r="F148" s="2">
        <v>6326.13</v>
      </c>
    </row>
    <row r="149" spans="1:6" x14ac:dyDescent="0.25">
      <c r="A149" t="s">
        <v>4049</v>
      </c>
      <c r="B149" t="s">
        <v>4241</v>
      </c>
      <c r="C149" t="s">
        <v>4051</v>
      </c>
      <c r="D149" s="7">
        <v>0.18</v>
      </c>
      <c r="E149" s="2">
        <v>9941.22</v>
      </c>
      <c r="F149" s="2">
        <v>1739.71</v>
      </c>
    </row>
    <row r="150" spans="1:6" x14ac:dyDescent="0.25">
      <c r="A150" t="s">
        <v>4049</v>
      </c>
      <c r="B150" t="s">
        <v>4073</v>
      </c>
      <c r="C150" t="s">
        <v>4051</v>
      </c>
      <c r="D150" s="7">
        <v>0.7</v>
      </c>
      <c r="E150" s="2">
        <v>15517.89</v>
      </c>
      <c r="F150" s="2">
        <v>10862.52</v>
      </c>
    </row>
    <row r="151" spans="1:6" x14ac:dyDescent="0.25">
      <c r="A151" t="s">
        <v>4049</v>
      </c>
      <c r="B151" t="s">
        <v>4242</v>
      </c>
      <c r="C151" t="s">
        <v>4051</v>
      </c>
      <c r="D151" s="7">
        <v>0.18</v>
      </c>
      <c r="E151" s="2">
        <v>17069.53</v>
      </c>
      <c r="F151" s="2">
        <v>2987.17</v>
      </c>
    </row>
    <row r="152" spans="1:6" x14ac:dyDescent="0.25">
      <c r="A152" t="s">
        <v>4052</v>
      </c>
      <c r="B152" t="s">
        <v>6294</v>
      </c>
      <c r="C152" t="s">
        <v>4106</v>
      </c>
      <c r="D152" s="7">
        <v>0</v>
      </c>
      <c r="E152" s="2">
        <v>236228.11</v>
      </c>
      <c r="F152" s="2">
        <v>944.91</v>
      </c>
    </row>
    <row r="153" spans="1:6" x14ac:dyDescent="0.25">
      <c r="A153" t="s">
        <v>4052</v>
      </c>
      <c r="B153" t="s">
        <v>4342</v>
      </c>
      <c r="C153" t="s">
        <v>4106</v>
      </c>
      <c r="D153" s="7">
        <v>0.02</v>
      </c>
      <c r="E153" s="2">
        <v>66666.67</v>
      </c>
      <c r="F153" s="2">
        <v>1333.33</v>
      </c>
    </row>
    <row r="154" spans="1:6" x14ac:dyDescent="0.25">
      <c r="A154" t="s">
        <v>4052</v>
      </c>
      <c r="B154" t="s">
        <v>4053</v>
      </c>
      <c r="C154" t="s">
        <v>4054</v>
      </c>
      <c r="D154" s="7">
        <v>5</v>
      </c>
      <c r="E154" s="2">
        <v>21915.53</v>
      </c>
      <c r="F154" s="2">
        <v>1095.78</v>
      </c>
    </row>
    <row r="155" spans="1:6" x14ac:dyDescent="0.25">
      <c r="A155" t="s">
        <v>4055</v>
      </c>
      <c r="D155" s="7"/>
      <c r="E155" s="2"/>
      <c r="F155" s="2">
        <f>SUBTOTAL(109,A_4_01_09[VALOR PARCIAL])</f>
      </c>
    </row>
    <row r="157" ht="30" customHeight="1" spans="1:6" x14ac:dyDescent="0.25">
      <c r="A157" s="5" t="s">
        <v>7740</v>
      </c>
      <c r="B157" s="5"/>
      <c r="C157" s="5"/>
      <c r="D157" s="5"/>
      <c r="E157" s="5"/>
      <c r="F157" s="5"/>
    </row>
    <row r="158" ht="42" customHeight="1" spans="1:6" x14ac:dyDescent="0.25">
      <c r="A158" s="6" t="s">
        <v>7741</v>
      </c>
      <c r="B158" s="6"/>
      <c r="C158" s="6"/>
      <c r="D158" s="6"/>
      <c r="E158" s="6"/>
      <c r="F158" s="6"/>
    </row>
    <row r="159" spans="1:6" x14ac:dyDescent="0.25">
      <c r="A159" t="s">
        <v>4044</v>
      </c>
      <c r="B159" t="s">
        <v>4045</v>
      </c>
      <c r="C159" t="s">
        <v>5</v>
      </c>
      <c r="D159" t="s">
        <v>4046</v>
      </c>
      <c r="E159" t="s">
        <v>4047</v>
      </c>
      <c r="F159" t="s">
        <v>4048</v>
      </c>
    </row>
    <row r="160" spans="1:6" x14ac:dyDescent="0.25">
      <c r="A160" t="s">
        <v>4062</v>
      </c>
      <c r="B160" t="s">
        <v>7742</v>
      </c>
      <c r="C160" t="s">
        <v>42</v>
      </c>
      <c r="D160" s="7">
        <v>1</v>
      </c>
      <c r="E160" s="2">
        <v>14750</v>
      </c>
      <c r="F160" s="2">
        <v>14750</v>
      </c>
    </row>
    <row r="161" spans="1:6" x14ac:dyDescent="0.25">
      <c r="A161" t="s">
        <v>4062</v>
      </c>
      <c r="B161" t="s">
        <v>5816</v>
      </c>
      <c r="C161" t="s">
        <v>34</v>
      </c>
      <c r="D161" s="7">
        <v>0.02</v>
      </c>
      <c r="E161" s="2">
        <v>93966.67</v>
      </c>
      <c r="F161" s="2">
        <v>1879.33</v>
      </c>
    </row>
    <row r="162" spans="1:6" x14ac:dyDescent="0.25">
      <c r="A162" t="s">
        <v>4062</v>
      </c>
      <c r="B162" t="s">
        <v>7717</v>
      </c>
      <c r="C162" t="s">
        <v>42</v>
      </c>
      <c r="D162" s="7">
        <v>1</v>
      </c>
      <c r="E162" s="2">
        <v>46</v>
      </c>
      <c r="F162" s="2">
        <v>46</v>
      </c>
    </row>
    <row r="163" spans="1:6" x14ac:dyDescent="0.25">
      <c r="A163" t="s">
        <v>4062</v>
      </c>
      <c r="B163" t="s">
        <v>3261</v>
      </c>
      <c r="C163" t="s">
        <v>34</v>
      </c>
      <c r="D163" s="7">
        <v>0.12</v>
      </c>
      <c r="E163" s="2">
        <v>90100.77</v>
      </c>
      <c r="F163" s="2">
        <v>10812.09</v>
      </c>
    </row>
    <row r="164" spans="1:6" x14ac:dyDescent="0.25">
      <c r="A164" t="s">
        <v>4062</v>
      </c>
      <c r="B164" t="s">
        <v>7718</v>
      </c>
      <c r="C164" t="s">
        <v>21</v>
      </c>
      <c r="D164" s="7">
        <v>0.4</v>
      </c>
      <c r="E164" s="2">
        <v>35458.33</v>
      </c>
      <c r="F164" s="2">
        <v>14183.33</v>
      </c>
    </row>
    <row r="165" spans="1:6" x14ac:dyDescent="0.25">
      <c r="A165" t="s">
        <v>4062</v>
      </c>
      <c r="B165" t="s">
        <v>4076</v>
      </c>
      <c r="C165" t="s">
        <v>3963</v>
      </c>
      <c r="D165" s="7">
        <v>2.85</v>
      </c>
      <c r="E165" s="2">
        <v>21</v>
      </c>
      <c r="F165" s="2">
        <v>59.85</v>
      </c>
    </row>
    <row r="166" spans="1:6" x14ac:dyDescent="0.25">
      <c r="A166" t="s">
        <v>4049</v>
      </c>
      <c r="B166" t="s">
        <v>4050</v>
      </c>
      <c r="C166" t="s">
        <v>4051</v>
      </c>
      <c r="D166" s="7">
        <v>1.05</v>
      </c>
      <c r="E166" s="2">
        <v>9037.33</v>
      </c>
      <c r="F166" s="2">
        <v>9489.2</v>
      </c>
    </row>
    <row r="167" spans="1:6" x14ac:dyDescent="0.25">
      <c r="A167" t="s">
        <v>4049</v>
      </c>
      <c r="B167" t="s">
        <v>4241</v>
      </c>
      <c r="C167" t="s">
        <v>4051</v>
      </c>
      <c r="D167" s="7">
        <v>0.18</v>
      </c>
      <c r="E167" s="2">
        <v>9941.22</v>
      </c>
      <c r="F167" s="2">
        <v>1739.71</v>
      </c>
    </row>
    <row r="168" spans="1:6" x14ac:dyDescent="0.25">
      <c r="A168" t="s">
        <v>4049</v>
      </c>
      <c r="B168" t="s">
        <v>4073</v>
      </c>
      <c r="C168" t="s">
        <v>4051</v>
      </c>
      <c r="D168" s="7">
        <v>1.05</v>
      </c>
      <c r="E168" s="2">
        <v>15517.89</v>
      </c>
      <c r="F168" s="2">
        <v>16293.78</v>
      </c>
    </row>
    <row r="169" spans="1:6" x14ac:dyDescent="0.25">
      <c r="A169" t="s">
        <v>4049</v>
      </c>
      <c r="B169" t="s">
        <v>4242</v>
      </c>
      <c r="C169" t="s">
        <v>4051</v>
      </c>
      <c r="D169" s="7">
        <v>0.18</v>
      </c>
      <c r="E169" s="2">
        <v>17069.53</v>
      </c>
      <c r="F169" s="2">
        <v>2987.17</v>
      </c>
    </row>
    <row r="170" spans="1:6" x14ac:dyDescent="0.25">
      <c r="A170" t="s">
        <v>4052</v>
      </c>
      <c r="B170" t="s">
        <v>6294</v>
      </c>
      <c r="C170" t="s">
        <v>4106</v>
      </c>
      <c r="D170" s="7">
        <v>0</v>
      </c>
      <c r="E170" s="2">
        <v>236228.11</v>
      </c>
      <c r="F170" s="2">
        <v>944.91</v>
      </c>
    </row>
    <row r="171" spans="1:6" x14ac:dyDescent="0.25">
      <c r="A171" t="s">
        <v>4052</v>
      </c>
      <c r="B171" t="s">
        <v>4342</v>
      </c>
      <c r="C171" t="s">
        <v>4106</v>
      </c>
      <c r="D171" s="7">
        <v>0.02</v>
      </c>
      <c r="E171" s="2">
        <v>66666.67</v>
      </c>
      <c r="F171" s="2">
        <v>1333.33</v>
      </c>
    </row>
    <row r="172" spans="1:6" x14ac:dyDescent="0.25">
      <c r="A172" t="s">
        <v>4052</v>
      </c>
      <c r="B172" t="s">
        <v>4053</v>
      </c>
      <c r="C172" t="s">
        <v>4054</v>
      </c>
      <c r="D172" s="7">
        <v>3.3</v>
      </c>
      <c r="E172" s="2">
        <v>30509.86</v>
      </c>
      <c r="F172" s="2">
        <v>1006.83</v>
      </c>
    </row>
    <row r="173" spans="1:6" x14ac:dyDescent="0.25">
      <c r="A173" t="s">
        <v>4055</v>
      </c>
      <c r="D173" s="7"/>
      <c r="E173" s="2"/>
      <c r="F173" s="2">
        <f>SUBTOTAL(109,A_4_01_10[VALOR PARCIAL])</f>
      </c>
    </row>
    <row r="175" ht="30" customHeight="1" spans="1:6" x14ac:dyDescent="0.25">
      <c r="A175" s="5" t="s">
        <v>7743</v>
      </c>
      <c r="B175" s="5"/>
      <c r="C175" s="5"/>
      <c r="D175" s="5"/>
      <c r="E175" s="5"/>
      <c r="F175" s="5"/>
    </row>
    <row r="176" ht="42" customHeight="1" spans="1:6" x14ac:dyDescent="0.25">
      <c r="A176" s="6" t="s">
        <v>7744</v>
      </c>
      <c r="B176" s="6"/>
      <c r="C176" s="6"/>
      <c r="D176" s="6"/>
      <c r="E176" s="6"/>
      <c r="F176" s="6"/>
    </row>
    <row r="177" spans="1:6" x14ac:dyDescent="0.25">
      <c r="A177" t="s">
        <v>4044</v>
      </c>
      <c r="B177" t="s">
        <v>4045</v>
      </c>
      <c r="C177" t="s">
        <v>5</v>
      </c>
      <c r="D177" t="s">
        <v>4046</v>
      </c>
      <c r="E177" t="s">
        <v>4047</v>
      </c>
      <c r="F177" t="s">
        <v>4048</v>
      </c>
    </row>
    <row r="178" spans="1:6" x14ac:dyDescent="0.25">
      <c r="A178" t="s">
        <v>4062</v>
      </c>
      <c r="B178" t="s">
        <v>7742</v>
      </c>
      <c r="C178" t="s">
        <v>42</v>
      </c>
      <c r="D178" s="7">
        <v>1</v>
      </c>
      <c r="E178" s="2">
        <v>14750</v>
      </c>
      <c r="F178" s="2">
        <v>14750</v>
      </c>
    </row>
    <row r="179" spans="1:6" x14ac:dyDescent="0.25">
      <c r="A179" t="s">
        <v>4062</v>
      </c>
      <c r="B179" t="s">
        <v>7717</v>
      </c>
      <c r="C179" t="s">
        <v>42</v>
      </c>
      <c r="D179" s="7">
        <v>1</v>
      </c>
      <c r="E179" s="2">
        <v>46</v>
      </c>
      <c r="F179" s="2">
        <v>46</v>
      </c>
    </row>
    <row r="180" spans="1:6" x14ac:dyDescent="0.25">
      <c r="A180" t="s">
        <v>4062</v>
      </c>
      <c r="B180" t="s">
        <v>7721</v>
      </c>
      <c r="C180" t="s">
        <v>63</v>
      </c>
      <c r="D180" s="7">
        <v>0.01</v>
      </c>
      <c r="E180" s="2">
        <v>185957</v>
      </c>
      <c r="F180" s="2">
        <v>1859.57</v>
      </c>
    </row>
    <row r="181" spans="1:6" x14ac:dyDescent="0.25">
      <c r="A181" t="s">
        <v>4062</v>
      </c>
      <c r="B181" t="s">
        <v>7722</v>
      </c>
      <c r="C181" t="s">
        <v>34</v>
      </c>
      <c r="D181" s="7">
        <v>0.12</v>
      </c>
      <c r="E181" s="2">
        <v>90100.77</v>
      </c>
      <c r="F181" s="2">
        <v>10812.09</v>
      </c>
    </row>
    <row r="182" spans="1:6" x14ac:dyDescent="0.25">
      <c r="A182" t="s">
        <v>4062</v>
      </c>
      <c r="B182" t="s">
        <v>7723</v>
      </c>
      <c r="C182" t="s">
        <v>34</v>
      </c>
      <c r="D182" s="7">
        <v>0.06</v>
      </c>
      <c r="E182" s="2">
        <v>111672.11</v>
      </c>
      <c r="F182" s="2">
        <v>6700.33</v>
      </c>
    </row>
    <row r="183" spans="1:6" x14ac:dyDescent="0.25">
      <c r="A183" t="s">
        <v>4062</v>
      </c>
      <c r="B183" t="s">
        <v>7724</v>
      </c>
      <c r="C183" t="s">
        <v>21</v>
      </c>
      <c r="D183" s="7">
        <v>0.8</v>
      </c>
      <c r="E183" s="2">
        <v>3399.59</v>
      </c>
      <c r="F183" s="2">
        <v>2719.67</v>
      </c>
    </row>
    <row r="184" spans="1:6" x14ac:dyDescent="0.25">
      <c r="A184" t="s">
        <v>4062</v>
      </c>
      <c r="B184" t="s">
        <v>7725</v>
      </c>
      <c r="C184" t="s">
        <v>34</v>
      </c>
      <c r="D184" s="7">
        <v>0.06</v>
      </c>
      <c r="E184" s="2">
        <v>582852.45</v>
      </c>
      <c r="F184" s="2">
        <v>34971.15</v>
      </c>
    </row>
    <row r="185" spans="1:6" x14ac:dyDescent="0.25">
      <c r="A185" t="s">
        <v>4049</v>
      </c>
      <c r="B185" t="s">
        <v>4241</v>
      </c>
      <c r="C185" t="s">
        <v>4051</v>
      </c>
      <c r="D185" s="7">
        <v>0.2</v>
      </c>
      <c r="E185" s="2">
        <v>9941.22</v>
      </c>
      <c r="F185" s="2">
        <v>1988.24</v>
      </c>
    </row>
    <row r="186" spans="1:6" x14ac:dyDescent="0.25">
      <c r="A186" t="s">
        <v>4049</v>
      </c>
      <c r="B186" t="s">
        <v>4242</v>
      </c>
      <c r="C186" t="s">
        <v>4051</v>
      </c>
      <c r="D186" s="7">
        <v>0.2</v>
      </c>
      <c r="E186" s="2">
        <v>17069.53</v>
      </c>
      <c r="F186" s="2">
        <v>3413.91</v>
      </c>
    </row>
    <row r="187" spans="1:6" x14ac:dyDescent="0.25">
      <c r="A187" t="s">
        <v>4052</v>
      </c>
      <c r="B187" t="s">
        <v>4092</v>
      </c>
      <c r="C187" t="s">
        <v>287</v>
      </c>
      <c r="D187" s="7">
        <v>0.16</v>
      </c>
      <c r="E187" s="2">
        <v>97476</v>
      </c>
      <c r="F187" s="2">
        <v>15596.16</v>
      </c>
    </row>
    <row r="188" spans="1:6" x14ac:dyDescent="0.25">
      <c r="A188" t="s">
        <v>4052</v>
      </c>
      <c r="B188" t="s">
        <v>7234</v>
      </c>
      <c r="C188" t="s">
        <v>287</v>
      </c>
      <c r="D188" s="7">
        <v>0.09</v>
      </c>
      <c r="E188" s="2">
        <v>8800</v>
      </c>
      <c r="F188" s="2">
        <v>748</v>
      </c>
    </row>
    <row r="189" spans="1:6" x14ac:dyDescent="0.25">
      <c r="A189" t="s">
        <v>4052</v>
      </c>
      <c r="B189" t="s">
        <v>6294</v>
      </c>
      <c r="C189" t="s">
        <v>4106</v>
      </c>
      <c r="D189" s="7">
        <v>0</v>
      </c>
      <c r="E189" s="2">
        <v>236228.11</v>
      </c>
      <c r="F189" s="2">
        <v>944.91</v>
      </c>
    </row>
    <row r="190" spans="1:6" x14ac:dyDescent="0.25">
      <c r="A190" t="s">
        <v>4052</v>
      </c>
      <c r="B190" t="s">
        <v>4053</v>
      </c>
      <c r="C190" t="s">
        <v>4054</v>
      </c>
      <c r="D190" s="7">
        <v>5</v>
      </c>
      <c r="E190" s="2">
        <v>5402.15</v>
      </c>
      <c r="F190" s="2">
        <v>270.11</v>
      </c>
    </row>
    <row r="191" spans="1:6" x14ac:dyDescent="0.25">
      <c r="A191" t="s">
        <v>4055</v>
      </c>
      <c r="D191" s="7"/>
      <c r="E191" s="2"/>
      <c r="F191" s="2">
        <f>SUBTOTAL(109,A_4_01_11[VALOR PARCIAL])</f>
      </c>
    </row>
    <row r="193" ht="30" customHeight="1" spans="1:6" x14ac:dyDescent="0.25">
      <c r="A193" s="5" t="s">
        <v>7745</v>
      </c>
      <c r="B193" s="5"/>
      <c r="C193" s="5"/>
      <c r="D193" s="5"/>
      <c r="E193" s="5"/>
      <c r="F193" s="5"/>
    </row>
    <row r="194" ht="42" customHeight="1" spans="1:6" x14ac:dyDescent="0.25">
      <c r="A194" s="6" t="s">
        <v>7746</v>
      </c>
      <c r="B194" s="6"/>
      <c r="C194" s="6"/>
      <c r="D194" s="6"/>
      <c r="E194" s="6"/>
      <c r="F194" s="6"/>
    </row>
    <row r="195" spans="1:6" x14ac:dyDescent="0.25">
      <c r="A195" t="s">
        <v>4044</v>
      </c>
      <c r="B195" t="s">
        <v>4045</v>
      </c>
      <c r="C195" t="s">
        <v>5</v>
      </c>
      <c r="D195" t="s">
        <v>4046</v>
      </c>
      <c r="E195" t="s">
        <v>4047</v>
      </c>
      <c r="F195" t="s">
        <v>4048</v>
      </c>
    </row>
    <row r="196" spans="1:6" x14ac:dyDescent="0.25">
      <c r="A196" t="s">
        <v>4062</v>
      </c>
      <c r="B196" t="s">
        <v>7742</v>
      </c>
      <c r="C196" t="s">
        <v>42</v>
      </c>
      <c r="D196" s="7">
        <v>1</v>
      </c>
      <c r="E196" s="2">
        <v>14750</v>
      </c>
      <c r="F196" s="2">
        <v>14750</v>
      </c>
    </row>
    <row r="197" spans="1:6" x14ac:dyDescent="0.25">
      <c r="A197" t="s">
        <v>4062</v>
      </c>
      <c r="B197" t="s">
        <v>3265</v>
      </c>
      <c r="C197" t="s">
        <v>34</v>
      </c>
      <c r="D197" s="7">
        <v>0.06</v>
      </c>
      <c r="E197" s="2">
        <v>706218.57</v>
      </c>
      <c r="F197" s="2">
        <v>42373.11</v>
      </c>
    </row>
    <row r="198" spans="1:6" x14ac:dyDescent="0.25">
      <c r="A198" t="s">
        <v>4062</v>
      </c>
      <c r="B198" t="s">
        <v>7717</v>
      </c>
      <c r="C198" t="s">
        <v>42</v>
      </c>
      <c r="D198" s="7">
        <v>1</v>
      </c>
      <c r="E198" s="2">
        <v>46</v>
      </c>
      <c r="F198" s="2">
        <v>46</v>
      </c>
    </row>
    <row r="199" spans="1:6" x14ac:dyDescent="0.25">
      <c r="A199" t="s">
        <v>4062</v>
      </c>
      <c r="B199" t="s">
        <v>7721</v>
      </c>
      <c r="C199" t="s">
        <v>63</v>
      </c>
      <c r="D199" s="7">
        <v>0.01</v>
      </c>
      <c r="E199" s="2">
        <v>185957</v>
      </c>
      <c r="F199" s="2">
        <v>1859.57</v>
      </c>
    </row>
    <row r="200" spans="1:6" x14ac:dyDescent="0.25">
      <c r="A200" t="s">
        <v>4062</v>
      </c>
      <c r="B200" t="s">
        <v>7728</v>
      </c>
      <c r="C200" t="s">
        <v>34</v>
      </c>
      <c r="D200" s="7">
        <v>0.18</v>
      </c>
      <c r="E200" s="2">
        <v>111672.11</v>
      </c>
      <c r="F200" s="2">
        <v>20100.98</v>
      </c>
    </row>
    <row r="201" spans="1:6" x14ac:dyDescent="0.25">
      <c r="A201" t="s">
        <v>4049</v>
      </c>
      <c r="B201" t="s">
        <v>4241</v>
      </c>
      <c r="C201" t="s">
        <v>4051</v>
      </c>
      <c r="D201" s="7">
        <v>0.2</v>
      </c>
      <c r="E201" s="2">
        <v>9941.22</v>
      </c>
      <c r="F201" s="2">
        <v>1988.24</v>
      </c>
    </row>
    <row r="202" spans="1:6" x14ac:dyDescent="0.25">
      <c r="A202" t="s">
        <v>4049</v>
      </c>
      <c r="B202" t="s">
        <v>4242</v>
      </c>
      <c r="C202" t="s">
        <v>4051</v>
      </c>
      <c r="D202" s="7">
        <v>0.2</v>
      </c>
      <c r="E202" s="2">
        <v>17069.53</v>
      </c>
      <c r="F202" s="2">
        <v>3413.91</v>
      </c>
    </row>
    <row r="203" spans="1:6" x14ac:dyDescent="0.25">
      <c r="A203" t="s">
        <v>4052</v>
      </c>
      <c r="B203" t="s">
        <v>4092</v>
      </c>
      <c r="C203" t="s">
        <v>287</v>
      </c>
      <c r="D203" s="7">
        <v>0.16</v>
      </c>
      <c r="E203" s="2">
        <v>97476</v>
      </c>
      <c r="F203" s="2">
        <v>15596.16</v>
      </c>
    </row>
    <row r="204" spans="1:6" x14ac:dyDescent="0.25">
      <c r="A204" t="s">
        <v>4052</v>
      </c>
      <c r="B204" t="s">
        <v>7234</v>
      </c>
      <c r="C204" t="s">
        <v>287</v>
      </c>
      <c r="D204" s="7">
        <v>0.09</v>
      </c>
      <c r="E204" s="2">
        <v>8800</v>
      </c>
      <c r="F204" s="2">
        <v>748</v>
      </c>
    </row>
    <row r="205" spans="1:6" x14ac:dyDescent="0.25">
      <c r="A205" t="s">
        <v>4052</v>
      </c>
      <c r="B205" t="s">
        <v>6294</v>
      </c>
      <c r="C205" t="s">
        <v>4106</v>
      </c>
      <c r="D205" s="7">
        <v>0</v>
      </c>
      <c r="E205" s="2">
        <v>236228.11</v>
      </c>
      <c r="F205" s="2">
        <v>944.91</v>
      </c>
    </row>
    <row r="206" spans="1:6" x14ac:dyDescent="0.25">
      <c r="A206" t="s">
        <v>4052</v>
      </c>
      <c r="B206" t="s">
        <v>4053</v>
      </c>
      <c r="C206" t="s">
        <v>4054</v>
      </c>
      <c r="D206" s="7">
        <v>5</v>
      </c>
      <c r="E206" s="2">
        <v>5402.15</v>
      </c>
      <c r="F206" s="2">
        <v>270.11</v>
      </c>
    </row>
    <row r="207" spans="1:6" x14ac:dyDescent="0.25">
      <c r="A207" t="s">
        <v>4055</v>
      </c>
      <c r="D207" s="7"/>
      <c r="E207" s="2"/>
      <c r="F207" s="2">
        <f>SUBTOTAL(109,A_4_01_12[VALOR PARCIAL])</f>
      </c>
    </row>
    <row r="209" ht="30" customHeight="1" spans="1:6" x14ac:dyDescent="0.25">
      <c r="A209" s="5" t="s">
        <v>7747</v>
      </c>
      <c r="B209" s="5"/>
      <c r="C209" s="5"/>
      <c r="D209" s="5"/>
      <c r="E209" s="5"/>
      <c r="F209" s="5"/>
    </row>
    <row r="210" ht="42" customHeight="1" spans="1:6" x14ac:dyDescent="0.25">
      <c r="A210" s="6" t="s">
        <v>7748</v>
      </c>
      <c r="B210" s="6"/>
      <c r="C210" s="6"/>
      <c r="D210" s="6"/>
      <c r="E210" s="6"/>
      <c r="F210" s="6"/>
    </row>
    <row r="211" spans="1:6" x14ac:dyDescent="0.25">
      <c r="A211" t="s">
        <v>4044</v>
      </c>
      <c r="B211" t="s">
        <v>4045</v>
      </c>
      <c r="C211" t="s">
        <v>5</v>
      </c>
      <c r="D211" t="s">
        <v>4046</v>
      </c>
      <c r="E211" t="s">
        <v>4047</v>
      </c>
      <c r="F211" t="s">
        <v>4048</v>
      </c>
    </row>
    <row r="212" spans="1:6" x14ac:dyDescent="0.25">
      <c r="A212" t="s">
        <v>4062</v>
      </c>
      <c r="B212" t="s">
        <v>4547</v>
      </c>
      <c r="C212" t="s">
        <v>34</v>
      </c>
      <c r="D212" s="7">
        <v>0.24</v>
      </c>
      <c r="E212" s="2">
        <v>57129.33</v>
      </c>
      <c r="F212" s="2">
        <v>13711.04</v>
      </c>
    </row>
    <row r="213" spans="1:6" x14ac:dyDescent="0.25">
      <c r="A213" t="s">
        <v>4062</v>
      </c>
      <c r="B213" t="s">
        <v>7742</v>
      </c>
      <c r="C213" t="s">
        <v>42</v>
      </c>
      <c r="D213" s="7">
        <v>1</v>
      </c>
      <c r="E213" s="2">
        <v>14750</v>
      </c>
      <c r="F213" s="2">
        <v>14750</v>
      </c>
    </row>
    <row r="214" spans="1:6" x14ac:dyDescent="0.25">
      <c r="A214" t="s">
        <v>4062</v>
      </c>
      <c r="B214" t="s">
        <v>7581</v>
      </c>
      <c r="C214" t="s">
        <v>21</v>
      </c>
      <c r="D214" s="7">
        <v>0.4</v>
      </c>
      <c r="E214" s="2">
        <v>3850</v>
      </c>
      <c r="F214" s="2">
        <v>1540</v>
      </c>
    </row>
    <row r="215" spans="1:6" x14ac:dyDescent="0.25">
      <c r="A215" t="s">
        <v>4062</v>
      </c>
      <c r="B215" t="s">
        <v>7717</v>
      </c>
      <c r="C215" t="s">
        <v>42</v>
      </c>
      <c r="D215" s="7">
        <v>1</v>
      </c>
      <c r="E215" s="2">
        <v>46</v>
      </c>
      <c r="F215" s="2">
        <v>46</v>
      </c>
    </row>
    <row r="216" spans="1:6" x14ac:dyDescent="0.25">
      <c r="A216" t="s">
        <v>4049</v>
      </c>
      <c r="B216" t="s">
        <v>4050</v>
      </c>
      <c r="C216" t="s">
        <v>4051</v>
      </c>
      <c r="D216" s="7">
        <v>0.7</v>
      </c>
      <c r="E216" s="2">
        <v>9037.33</v>
      </c>
      <c r="F216" s="2">
        <v>6326.13</v>
      </c>
    </row>
    <row r="217" spans="1:6" x14ac:dyDescent="0.25">
      <c r="A217" t="s">
        <v>4049</v>
      </c>
      <c r="B217" t="s">
        <v>4241</v>
      </c>
      <c r="C217" t="s">
        <v>4051</v>
      </c>
      <c r="D217" s="7">
        <v>0.18</v>
      </c>
      <c r="E217" s="2">
        <v>9941.22</v>
      </c>
      <c r="F217" s="2">
        <v>1739.71</v>
      </c>
    </row>
    <row r="218" spans="1:6" x14ac:dyDescent="0.25">
      <c r="A218" t="s">
        <v>4049</v>
      </c>
      <c r="B218" t="s">
        <v>4073</v>
      </c>
      <c r="C218" t="s">
        <v>4051</v>
      </c>
      <c r="D218" s="7">
        <v>0.7</v>
      </c>
      <c r="E218" s="2">
        <v>15517.89</v>
      </c>
      <c r="F218" s="2">
        <v>10862.52</v>
      </c>
    </row>
    <row r="219" spans="1:6" x14ac:dyDescent="0.25">
      <c r="A219" t="s">
        <v>4049</v>
      </c>
      <c r="B219" t="s">
        <v>4242</v>
      </c>
      <c r="C219" t="s">
        <v>4051</v>
      </c>
      <c r="D219" s="7">
        <v>0.18</v>
      </c>
      <c r="E219" s="2">
        <v>17069.53</v>
      </c>
      <c r="F219" s="2">
        <v>2987.17</v>
      </c>
    </row>
    <row r="220" spans="1:6" x14ac:dyDescent="0.25">
      <c r="A220" t="s">
        <v>4052</v>
      </c>
      <c r="B220" t="s">
        <v>6294</v>
      </c>
      <c r="C220" t="s">
        <v>4106</v>
      </c>
      <c r="D220" s="7">
        <v>0</v>
      </c>
      <c r="E220" s="2">
        <v>236228.11</v>
      </c>
      <c r="F220" s="2">
        <v>944.91</v>
      </c>
    </row>
    <row r="221" spans="1:6" x14ac:dyDescent="0.25">
      <c r="A221" t="s">
        <v>4052</v>
      </c>
      <c r="B221" t="s">
        <v>4342</v>
      </c>
      <c r="C221" t="s">
        <v>4106</v>
      </c>
      <c r="D221" s="7">
        <v>0.02</v>
      </c>
      <c r="E221" s="2">
        <v>66666.67</v>
      </c>
      <c r="F221" s="2">
        <v>1333.33</v>
      </c>
    </row>
    <row r="222" spans="1:6" x14ac:dyDescent="0.25">
      <c r="A222" t="s">
        <v>4052</v>
      </c>
      <c r="B222" t="s">
        <v>4053</v>
      </c>
      <c r="C222" t="s">
        <v>4054</v>
      </c>
      <c r="D222" s="7">
        <v>5</v>
      </c>
      <c r="E222" s="2">
        <v>21915.53</v>
      </c>
      <c r="F222" s="2">
        <v>1095.78</v>
      </c>
    </row>
    <row r="223" spans="1:6" x14ac:dyDescent="0.25">
      <c r="A223" t="s">
        <v>4055</v>
      </c>
      <c r="D223" s="7"/>
      <c r="E223" s="2"/>
      <c r="F223" s="2">
        <f>SUBTOTAL(109,A_4_01_13[VALOR PARCIAL])</f>
      </c>
    </row>
    <row r="225" ht="30" customHeight="1" spans="1:6" x14ac:dyDescent="0.25">
      <c r="A225" s="5" t="s">
        <v>7749</v>
      </c>
      <c r="B225" s="5"/>
      <c r="C225" s="5"/>
      <c r="D225" s="5"/>
      <c r="E225" s="5"/>
      <c r="F225" s="5"/>
    </row>
    <row r="226" ht="42" customHeight="1" spans="1:6" x14ac:dyDescent="0.25">
      <c r="A226" s="6" t="s">
        <v>7750</v>
      </c>
      <c r="B226" s="6"/>
      <c r="C226" s="6"/>
      <c r="D226" s="6"/>
      <c r="E226" s="6"/>
      <c r="F226" s="6"/>
    </row>
    <row r="227" spans="1:6" x14ac:dyDescent="0.25">
      <c r="A227" t="s">
        <v>4044</v>
      </c>
      <c r="B227" t="s">
        <v>4045</v>
      </c>
      <c r="C227" t="s">
        <v>5</v>
      </c>
      <c r="D227" t="s">
        <v>4046</v>
      </c>
      <c r="E227" t="s">
        <v>4047</v>
      </c>
      <c r="F227" t="s">
        <v>4048</v>
      </c>
    </row>
    <row r="228" spans="1:6" x14ac:dyDescent="0.25">
      <c r="A228" t="s">
        <v>4062</v>
      </c>
      <c r="B228" t="s">
        <v>7751</v>
      </c>
      <c r="C228" t="s">
        <v>42</v>
      </c>
      <c r="D228" s="7">
        <v>1</v>
      </c>
      <c r="E228" s="2">
        <v>3177.33</v>
      </c>
      <c r="F228" s="2">
        <v>3177.33</v>
      </c>
    </row>
    <row r="229" spans="1:6" x14ac:dyDescent="0.25">
      <c r="A229" t="s">
        <v>4062</v>
      </c>
      <c r="B229" t="s">
        <v>5816</v>
      </c>
      <c r="C229" t="s">
        <v>34</v>
      </c>
      <c r="D229" s="7">
        <v>0.02</v>
      </c>
      <c r="E229" s="2">
        <v>93966.67</v>
      </c>
      <c r="F229" s="2">
        <v>1879.33</v>
      </c>
    </row>
    <row r="230" spans="1:6" x14ac:dyDescent="0.25">
      <c r="A230" t="s">
        <v>4062</v>
      </c>
      <c r="B230" t="s">
        <v>7717</v>
      </c>
      <c r="C230" t="s">
        <v>42</v>
      </c>
      <c r="D230" s="7">
        <v>1</v>
      </c>
      <c r="E230" s="2">
        <v>46</v>
      </c>
      <c r="F230" s="2">
        <v>46</v>
      </c>
    </row>
    <row r="231" spans="1:6" x14ac:dyDescent="0.25">
      <c r="A231" t="s">
        <v>4062</v>
      </c>
      <c r="B231" t="s">
        <v>3261</v>
      </c>
      <c r="C231" t="s">
        <v>34</v>
      </c>
      <c r="D231" s="7">
        <v>0.12</v>
      </c>
      <c r="E231" s="2">
        <v>90100.77</v>
      </c>
      <c r="F231" s="2">
        <v>10812.09</v>
      </c>
    </row>
    <row r="232" spans="1:6" x14ac:dyDescent="0.25">
      <c r="A232" t="s">
        <v>4062</v>
      </c>
      <c r="B232" t="s">
        <v>7718</v>
      </c>
      <c r="C232" t="s">
        <v>21</v>
      </c>
      <c r="D232" s="7">
        <v>0.4</v>
      </c>
      <c r="E232" s="2">
        <v>35458.33</v>
      </c>
      <c r="F232" s="2">
        <v>14183.33</v>
      </c>
    </row>
    <row r="233" spans="1:6" x14ac:dyDescent="0.25">
      <c r="A233" t="s">
        <v>4062</v>
      </c>
      <c r="B233" t="s">
        <v>4076</v>
      </c>
      <c r="C233" t="s">
        <v>3963</v>
      </c>
      <c r="D233" s="7">
        <v>2.85</v>
      </c>
      <c r="E233" s="2">
        <v>21</v>
      </c>
      <c r="F233" s="2">
        <v>59.85</v>
      </c>
    </row>
    <row r="234" spans="1:6" x14ac:dyDescent="0.25">
      <c r="A234" t="s">
        <v>4049</v>
      </c>
      <c r="B234" t="s">
        <v>4050</v>
      </c>
      <c r="C234" t="s">
        <v>4051</v>
      </c>
      <c r="D234" s="7">
        <v>1.05</v>
      </c>
      <c r="E234" s="2">
        <v>9037.33</v>
      </c>
      <c r="F234" s="2">
        <v>9489.2</v>
      </c>
    </row>
    <row r="235" spans="1:6" x14ac:dyDescent="0.25">
      <c r="A235" t="s">
        <v>4049</v>
      </c>
      <c r="B235" t="s">
        <v>4241</v>
      </c>
      <c r="C235" t="s">
        <v>4051</v>
      </c>
      <c r="D235" s="7">
        <v>0.18</v>
      </c>
      <c r="E235" s="2">
        <v>9941.22</v>
      </c>
      <c r="F235" s="2">
        <v>1739.71</v>
      </c>
    </row>
    <row r="236" spans="1:6" x14ac:dyDescent="0.25">
      <c r="A236" t="s">
        <v>4049</v>
      </c>
      <c r="B236" t="s">
        <v>4073</v>
      </c>
      <c r="C236" t="s">
        <v>4051</v>
      </c>
      <c r="D236" s="7">
        <v>1.05</v>
      </c>
      <c r="E236" s="2">
        <v>15517.89</v>
      </c>
      <c r="F236" s="2">
        <v>16293.78</v>
      </c>
    </row>
    <row r="237" spans="1:6" x14ac:dyDescent="0.25">
      <c r="A237" t="s">
        <v>4049</v>
      </c>
      <c r="B237" t="s">
        <v>4242</v>
      </c>
      <c r="C237" t="s">
        <v>4051</v>
      </c>
      <c r="D237" s="7">
        <v>0.18</v>
      </c>
      <c r="E237" s="2">
        <v>17069.53</v>
      </c>
      <c r="F237" s="2">
        <v>2987.17</v>
      </c>
    </row>
    <row r="238" spans="1:6" x14ac:dyDescent="0.25">
      <c r="A238" t="s">
        <v>4052</v>
      </c>
      <c r="B238" t="s">
        <v>6294</v>
      </c>
      <c r="C238" t="s">
        <v>4106</v>
      </c>
      <c r="D238" s="7">
        <v>0</v>
      </c>
      <c r="E238" s="2">
        <v>236228.11</v>
      </c>
      <c r="F238" s="2">
        <v>944.91</v>
      </c>
    </row>
    <row r="239" spans="1:6" x14ac:dyDescent="0.25">
      <c r="A239" t="s">
        <v>4052</v>
      </c>
      <c r="B239" t="s">
        <v>4342</v>
      </c>
      <c r="C239" t="s">
        <v>4106</v>
      </c>
      <c r="D239" s="7">
        <v>0.02</v>
      </c>
      <c r="E239" s="2">
        <v>66666.67</v>
      </c>
      <c r="F239" s="2">
        <v>1333.33</v>
      </c>
    </row>
    <row r="240" spans="1:6" x14ac:dyDescent="0.25">
      <c r="A240" t="s">
        <v>4052</v>
      </c>
      <c r="B240" t="s">
        <v>4053</v>
      </c>
      <c r="C240" t="s">
        <v>4054</v>
      </c>
      <c r="D240" s="7">
        <v>5</v>
      </c>
      <c r="E240" s="2">
        <v>30509.86</v>
      </c>
      <c r="F240" s="2">
        <v>1525.49</v>
      </c>
    </row>
    <row r="241" spans="1:6" x14ac:dyDescent="0.25">
      <c r="A241" t="s">
        <v>4055</v>
      </c>
      <c r="D241" s="7"/>
      <c r="E241" s="2"/>
      <c r="F241" s="2">
        <f>SUBTOTAL(109,A_4_01_14[VALOR PARCIAL])</f>
      </c>
    </row>
    <row r="243" ht="30" customHeight="1" spans="1:6" x14ac:dyDescent="0.25">
      <c r="A243" s="5" t="s">
        <v>7752</v>
      </c>
      <c r="B243" s="5"/>
      <c r="C243" s="5"/>
      <c r="D243" s="5"/>
      <c r="E243" s="5"/>
      <c r="F243" s="5"/>
    </row>
    <row r="244" ht="42" customHeight="1" spans="1:6" x14ac:dyDescent="0.25">
      <c r="A244" s="6" t="s">
        <v>7753</v>
      </c>
      <c r="B244" s="6"/>
      <c r="C244" s="6"/>
      <c r="D244" s="6"/>
      <c r="E244" s="6"/>
      <c r="F244" s="6"/>
    </row>
    <row r="245" spans="1:6" x14ac:dyDescent="0.25">
      <c r="A245" t="s">
        <v>4044</v>
      </c>
      <c r="B245" t="s">
        <v>4045</v>
      </c>
      <c r="C245" t="s">
        <v>5</v>
      </c>
      <c r="D245" t="s">
        <v>4046</v>
      </c>
      <c r="E245" t="s">
        <v>4047</v>
      </c>
      <c r="F245" t="s">
        <v>4048</v>
      </c>
    </row>
    <row r="246" spans="1:6" x14ac:dyDescent="0.25">
      <c r="A246" t="s">
        <v>4062</v>
      </c>
      <c r="B246" t="s">
        <v>7751</v>
      </c>
      <c r="C246" t="s">
        <v>42</v>
      </c>
      <c r="D246" s="7">
        <v>1</v>
      </c>
      <c r="E246" s="2">
        <v>3177.33</v>
      </c>
      <c r="F246" s="2">
        <v>3177.33</v>
      </c>
    </row>
    <row r="247" spans="1:6" x14ac:dyDescent="0.25">
      <c r="A247" t="s">
        <v>4062</v>
      </c>
      <c r="B247" t="s">
        <v>7717</v>
      </c>
      <c r="C247" t="s">
        <v>42</v>
      </c>
      <c r="D247" s="7">
        <v>1</v>
      </c>
      <c r="E247" s="2">
        <v>46</v>
      </c>
      <c r="F247" s="2">
        <v>46</v>
      </c>
    </row>
    <row r="248" spans="1:6" x14ac:dyDescent="0.25">
      <c r="A248" t="s">
        <v>4062</v>
      </c>
      <c r="B248" t="s">
        <v>7721</v>
      </c>
      <c r="C248" t="s">
        <v>63</v>
      </c>
      <c r="D248" s="7">
        <v>0.01</v>
      </c>
      <c r="E248" s="2">
        <v>185957</v>
      </c>
      <c r="F248" s="2">
        <v>1859.57</v>
      </c>
    </row>
    <row r="249" spans="1:6" x14ac:dyDescent="0.25">
      <c r="A249" t="s">
        <v>4062</v>
      </c>
      <c r="B249" t="s">
        <v>7722</v>
      </c>
      <c r="C249" t="s">
        <v>34</v>
      </c>
      <c r="D249" s="7">
        <v>0.12</v>
      </c>
      <c r="E249" s="2">
        <v>90100.77</v>
      </c>
      <c r="F249" s="2">
        <v>10812.09</v>
      </c>
    </row>
    <row r="250" spans="1:6" x14ac:dyDescent="0.25">
      <c r="A250" t="s">
        <v>4062</v>
      </c>
      <c r="B250" t="s">
        <v>7723</v>
      </c>
      <c r="C250" t="s">
        <v>34</v>
      </c>
      <c r="D250" s="7">
        <v>0.06</v>
      </c>
      <c r="E250" s="2">
        <v>111672.11</v>
      </c>
      <c r="F250" s="2">
        <v>6700.33</v>
      </c>
    </row>
    <row r="251" spans="1:6" x14ac:dyDescent="0.25">
      <c r="A251" t="s">
        <v>4062</v>
      </c>
      <c r="B251" t="s">
        <v>7724</v>
      </c>
      <c r="C251" t="s">
        <v>21</v>
      </c>
      <c r="D251" s="7">
        <v>0.8</v>
      </c>
      <c r="E251" s="2">
        <v>3399.59</v>
      </c>
      <c r="F251" s="2">
        <v>2719.67</v>
      </c>
    </row>
    <row r="252" spans="1:6" x14ac:dyDescent="0.25">
      <c r="A252" t="s">
        <v>4062</v>
      </c>
      <c r="B252" t="s">
        <v>7725</v>
      </c>
      <c r="C252" t="s">
        <v>34</v>
      </c>
      <c r="D252" s="7">
        <v>0.06</v>
      </c>
      <c r="E252" s="2">
        <v>582852.45</v>
      </c>
      <c r="F252" s="2">
        <v>34971.15</v>
      </c>
    </row>
    <row r="253" spans="1:6" x14ac:dyDescent="0.25">
      <c r="A253" t="s">
        <v>4049</v>
      </c>
      <c r="B253" t="s">
        <v>4241</v>
      </c>
      <c r="C253" t="s">
        <v>4051</v>
      </c>
      <c r="D253" s="7">
        <v>0.18</v>
      </c>
      <c r="E253" s="2">
        <v>9941.22</v>
      </c>
      <c r="F253" s="2">
        <v>1739.71</v>
      </c>
    </row>
    <row r="254" spans="1:6" x14ac:dyDescent="0.25">
      <c r="A254" t="s">
        <v>4049</v>
      </c>
      <c r="B254" t="s">
        <v>4242</v>
      </c>
      <c r="C254" t="s">
        <v>4051</v>
      </c>
      <c r="D254" s="7">
        <v>0.18</v>
      </c>
      <c r="E254" s="2">
        <v>17069.53</v>
      </c>
      <c r="F254" s="2">
        <v>2987.17</v>
      </c>
    </row>
    <row r="255" spans="1:6" x14ac:dyDescent="0.25">
      <c r="A255" t="s">
        <v>4052</v>
      </c>
      <c r="B255" t="s">
        <v>4092</v>
      </c>
      <c r="C255" t="s">
        <v>287</v>
      </c>
      <c r="D255" s="7">
        <v>0.16</v>
      </c>
      <c r="E255" s="2">
        <v>97476</v>
      </c>
      <c r="F255" s="2">
        <v>15596.16</v>
      </c>
    </row>
    <row r="256" spans="1:6" x14ac:dyDescent="0.25">
      <c r="A256" t="s">
        <v>4052</v>
      </c>
      <c r="B256" t="s">
        <v>7234</v>
      </c>
      <c r="C256" t="s">
        <v>287</v>
      </c>
      <c r="D256" s="7">
        <v>0.09</v>
      </c>
      <c r="E256" s="2">
        <v>8800</v>
      </c>
      <c r="F256" s="2">
        <v>748</v>
      </c>
    </row>
    <row r="257" spans="1:6" x14ac:dyDescent="0.25">
      <c r="A257" t="s">
        <v>4052</v>
      </c>
      <c r="B257" t="s">
        <v>6294</v>
      </c>
      <c r="C257" t="s">
        <v>4106</v>
      </c>
      <c r="D257" s="7">
        <v>0</v>
      </c>
      <c r="E257" s="2">
        <v>236228.11</v>
      </c>
      <c r="F257" s="2">
        <v>944.91</v>
      </c>
    </row>
    <row r="258" spans="1:6" x14ac:dyDescent="0.25">
      <c r="A258" t="s">
        <v>4052</v>
      </c>
      <c r="B258" t="s">
        <v>4053</v>
      </c>
      <c r="C258" t="s">
        <v>4054</v>
      </c>
      <c r="D258" s="7">
        <v>5</v>
      </c>
      <c r="E258" s="2">
        <v>4726.88</v>
      </c>
      <c r="F258" s="2">
        <v>236.34</v>
      </c>
    </row>
    <row r="259" spans="1:6" x14ac:dyDescent="0.25">
      <c r="A259" t="s">
        <v>4055</v>
      </c>
      <c r="D259" s="7"/>
      <c r="E259" s="2"/>
      <c r="F259" s="2">
        <f>SUBTOTAL(109,A_4_01_15[VALOR PARCIAL])</f>
      </c>
    </row>
    <row r="261" ht="30" customHeight="1" spans="1:6" x14ac:dyDescent="0.25">
      <c r="A261" s="5" t="s">
        <v>7754</v>
      </c>
      <c r="B261" s="5"/>
      <c r="C261" s="5"/>
      <c r="D261" s="5"/>
      <c r="E261" s="5"/>
      <c r="F261" s="5"/>
    </row>
    <row r="262" ht="42" customHeight="1" spans="1:6" x14ac:dyDescent="0.25">
      <c r="A262" s="6" t="s">
        <v>7755</v>
      </c>
      <c r="B262" s="6"/>
      <c r="C262" s="6"/>
      <c r="D262" s="6"/>
      <c r="E262" s="6"/>
      <c r="F262" s="6"/>
    </row>
    <row r="263" spans="1:6" x14ac:dyDescent="0.25">
      <c r="A263" t="s">
        <v>4044</v>
      </c>
      <c r="B263" t="s">
        <v>4045</v>
      </c>
      <c r="C263" t="s">
        <v>5</v>
      </c>
      <c r="D263" t="s">
        <v>4046</v>
      </c>
      <c r="E263" t="s">
        <v>4047</v>
      </c>
      <c r="F263" t="s">
        <v>4048</v>
      </c>
    </row>
    <row r="264" spans="1:6" x14ac:dyDescent="0.25">
      <c r="A264" t="s">
        <v>4062</v>
      </c>
      <c r="B264" t="s">
        <v>7751</v>
      </c>
      <c r="C264" t="s">
        <v>42</v>
      </c>
      <c r="D264" s="7">
        <v>1</v>
      </c>
      <c r="E264" s="2">
        <v>3177.33</v>
      </c>
      <c r="F264" s="2">
        <v>3177.33</v>
      </c>
    </row>
    <row r="265" spans="1:6" x14ac:dyDescent="0.25">
      <c r="A265" t="s">
        <v>4062</v>
      </c>
      <c r="B265" t="s">
        <v>3265</v>
      </c>
      <c r="C265" t="s">
        <v>34</v>
      </c>
      <c r="D265" s="7">
        <v>0.06</v>
      </c>
      <c r="E265" s="2">
        <v>706218.57</v>
      </c>
      <c r="F265" s="2">
        <v>42373.11</v>
      </c>
    </row>
    <row r="266" spans="1:6" x14ac:dyDescent="0.25">
      <c r="A266" t="s">
        <v>4062</v>
      </c>
      <c r="B266" t="s">
        <v>7717</v>
      </c>
      <c r="C266" t="s">
        <v>42</v>
      </c>
      <c r="D266" s="7">
        <v>1</v>
      </c>
      <c r="E266" s="2">
        <v>46</v>
      </c>
      <c r="F266" s="2">
        <v>46</v>
      </c>
    </row>
    <row r="267" spans="1:6" x14ac:dyDescent="0.25">
      <c r="A267" t="s">
        <v>4062</v>
      </c>
      <c r="B267" t="s">
        <v>7721</v>
      </c>
      <c r="C267" t="s">
        <v>63</v>
      </c>
      <c r="D267" s="7">
        <v>0.01</v>
      </c>
      <c r="E267" s="2">
        <v>185957</v>
      </c>
      <c r="F267" s="2">
        <v>1859.57</v>
      </c>
    </row>
    <row r="268" spans="1:6" x14ac:dyDescent="0.25">
      <c r="A268" t="s">
        <v>4062</v>
      </c>
      <c r="B268" t="s">
        <v>7728</v>
      </c>
      <c r="C268" t="s">
        <v>34</v>
      </c>
      <c r="D268" s="7">
        <v>0.18</v>
      </c>
      <c r="E268" s="2">
        <v>111672.11</v>
      </c>
      <c r="F268" s="2">
        <v>20100.98</v>
      </c>
    </row>
    <row r="269" spans="1:6" x14ac:dyDescent="0.25">
      <c r="A269" t="s">
        <v>4049</v>
      </c>
      <c r="B269" t="s">
        <v>4241</v>
      </c>
      <c r="C269" t="s">
        <v>4051</v>
      </c>
      <c r="D269" s="7">
        <v>0.18</v>
      </c>
      <c r="E269" s="2">
        <v>9941.22</v>
      </c>
      <c r="F269" s="2">
        <v>1739.71</v>
      </c>
    </row>
    <row r="270" spans="1:6" x14ac:dyDescent="0.25">
      <c r="A270" t="s">
        <v>4049</v>
      </c>
      <c r="B270" t="s">
        <v>4242</v>
      </c>
      <c r="C270" t="s">
        <v>4051</v>
      </c>
      <c r="D270" s="7">
        <v>0.18</v>
      </c>
      <c r="E270" s="2">
        <v>17069.53</v>
      </c>
      <c r="F270" s="2">
        <v>2987.17</v>
      </c>
    </row>
    <row r="271" spans="1:6" x14ac:dyDescent="0.25">
      <c r="A271" t="s">
        <v>4052</v>
      </c>
      <c r="B271" t="s">
        <v>4092</v>
      </c>
      <c r="C271" t="s">
        <v>287</v>
      </c>
      <c r="D271" s="7">
        <v>0.16</v>
      </c>
      <c r="E271" s="2">
        <v>97476</v>
      </c>
      <c r="F271" s="2">
        <v>15596.16</v>
      </c>
    </row>
    <row r="272" spans="1:6" x14ac:dyDescent="0.25">
      <c r="A272" t="s">
        <v>4052</v>
      </c>
      <c r="B272" t="s">
        <v>7234</v>
      </c>
      <c r="C272" t="s">
        <v>287</v>
      </c>
      <c r="D272" s="7">
        <v>0.09</v>
      </c>
      <c r="E272" s="2">
        <v>8800</v>
      </c>
      <c r="F272" s="2">
        <v>748</v>
      </c>
    </row>
    <row r="273" spans="1:6" x14ac:dyDescent="0.25">
      <c r="A273" t="s">
        <v>4052</v>
      </c>
      <c r="B273" t="s">
        <v>6294</v>
      </c>
      <c r="C273" t="s">
        <v>4106</v>
      </c>
      <c r="D273" s="7">
        <v>0</v>
      </c>
      <c r="E273" s="2">
        <v>236228.11</v>
      </c>
      <c r="F273" s="2">
        <v>944.91</v>
      </c>
    </row>
    <row r="274" spans="1:6" x14ac:dyDescent="0.25">
      <c r="A274" t="s">
        <v>4052</v>
      </c>
      <c r="B274" t="s">
        <v>4053</v>
      </c>
      <c r="C274" t="s">
        <v>4054</v>
      </c>
      <c r="D274" s="7">
        <v>5</v>
      </c>
      <c r="E274" s="2">
        <v>4726.88</v>
      </c>
      <c r="F274" s="2">
        <v>236.34</v>
      </c>
    </row>
    <row r="275" spans="1:6" x14ac:dyDescent="0.25">
      <c r="A275" t="s">
        <v>4055</v>
      </c>
      <c r="D275" s="7"/>
      <c r="E275" s="2"/>
      <c r="F275" s="2">
        <f>SUBTOTAL(109,A_4_01_16[VALOR PARCIAL])</f>
      </c>
    </row>
    <row r="277" ht="30" customHeight="1" spans="1:6" x14ac:dyDescent="0.25">
      <c r="A277" s="5" t="s">
        <v>7756</v>
      </c>
      <c r="B277" s="5"/>
      <c r="C277" s="5"/>
      <c r="D277" s="5"/>
      <c r="E277" s="5"/>
      <c r="F277" s="5"/>
    </row>
    <row r="278" ht="42" customHeight="1" spans="1:6" x14ac:dyDescent="0.25">
      <c r="A278" s="6" t="s">
        <v>7757</v>
      </c>
      <c r="B278" s="6"/>
      <c r="C278" s="6"/>
      <c r="D278" s="6"/>
      <c r="E278" s="6"/>
      <c r="F278" s="6"/>
    </row>
    <row r="279" spans="1:6" x14ac:dyDescent="0.25">
      <c r="A279" t="s">
        <v>4044</v>
      </c>
      <c r="B279" t="s">
        <v>4045</v>
      </c>
      <c r="C279" t="s">
        <v>5</v>
      </c>
      <c r="D279" t="s">
        <v>4046</v>
      </c>
      <c r="E279" t="s">
        <v>4047</v>
      </c>
      <c r="F279" t="s">
        <v>4048</v>
      </c>
    </row>
    <row r="280" spans="1:6" x14ac:dyDescent="0.25">
      <c r="A280" t="s">
        <v>4062</v>
      </c>
      <c r="B280" t="s">
        <v>4547</v>
      </c>
      <c r="C280" t="s">
        <v>34</v>
      </c>
      <c r="D280" s="7">
        <v>0.24</v>
      </c>
      <c r="E280" s="2">
        <v>57129.33</v>
      </c>
      <c r="F280" s="2">
        <v>13711.04</v>
      </c>
    </row>
    <row r="281" spans="1:6" x14ac:dyDescent="0.25">
      <c r="A281" t="s">
        <v>4062</v>
      </c>
      <c r="B281" t="s">
        <v>7751</v>
      </c>
      <c r="C281" t="s">
        <v>42</v>
      </c>
      <c r="D281" s="7">
        <v>1</v>
      </c>
      <c r="E281" s="2">
        <v>3177.33</v>
      </c>
      <c r="F281" s="2">
        <v>3177.33</v>
      </c>
    </row>
    <row r="282" spans="1:6" x14ac:dyDescent="0.25">
      <c r="A282" t="s">
        <v>4062</v>
      </c>
      <c r="B282" t="s">
        <v>7581</v>
      </c>
      <c r="C282" t="s">
        <v>21</v>
      </c>
      <c r="D282" s="7">
        <v>0.4</v>
      </c>
      <c r="E282" s="2">
        <v>3850</v>
      </c>
      <c r="F282" s="2">
        <v>1540</v>
      </c>
    </row>
    <row r="283" spans="1:6" x14ac:dyDescent="0.25">
      <c r="A283" t="s">
        <v>4062</v>
      </c>
      <c r="B283" t="s">
        <v>7717</v>
      </c>
      <c r="C283" t="s">
        <v>42</v>
      </c>
      <c r="D283" s="7">
        <v>1</v>
      </c>
      <c r="E283" s="2">
        <v>46</v>
      </c>
      <c r="F283" s="2">
        <v>46</v>
      </c>
    </row>
    <row r="284" spans="1:6" x14ac:dyDescent="0.25">
      <c r="A284" t="s">
        <v>4049</v>
      </c>
      <c r="B284" t="s">
        <v>4050</v>
      </c>
      <c r="C284" t="s">
        <v>4051</v>
      </c>
      <c r="D284" s="7">
        <v>0.7</v>
      </c>
      <c r="E284" s="2">
        <v>9037.33</v>
      </c>
      <c r="F284" s="2">
        <v>6326.13</v>
      </c>
    </row>
    <row r="285" spans="1:6" x14ac:dyDescent="0.25">
      <c r="A285" t="s">
        <v>4049</v>
      </c>
      <c r="B285" t="s">
        <v>4241</v>
      </c>
      <c r="C285" t="s">
        <v>4051</v>
      </c>
      <c r="D285" s="7">
        <v>0.18</v>
      </c>
      <c r="E285" s="2">
        <v>9941.22</v>
      </c>
      <c r="F285" s="2">
        <v>1739.71</v>
      </c>
    </row>
    <row r="286" spans="1:6" x14ac:dyDescent="0.25">
      <c r="A286" t="s">
        <v>4049</v>
      </c>
      <c r="B286" t="s">
        <v>4073</v>
      </c>
      <c r="C286" t="s">
        <v>4051</v>
      </c>
      <c r="D286" s="7">
        <v>0.7</v>
      </c>
      <c r="E286" s="2">
        <v>15517.89</v>
      </c>
      <c r="F286" s="2">
        <v>10862.52</v>
      </c>
    </row>
    <row r="287" spans="1:6" x14ac:dyDescent="0.25">
      <c r="A287" t="s">
        <v>4049</v>
      </c>
      <c r="B287" t="s">
        <v>4242</v>
      </c>
      <c r="C287" t="s">
        <v>4051</v>
      </c>
      <c r="D287" s="7">
        <v>0.18</v>
      </c>
      <c r="E287" s="2">
        <v>17069.53</v>
      </c>
      <c r="F287" s="2">
        <v>2987.17</v>
      </c>
    </row>
    <row r="288" spans="1:6" x14ac:dyDescent="0.25">
      <c r="A288" t="s">
        <v>4052</v>
      </c>
      <c r="B288" t="s">
        <v>6294</v>
      </c>
      <c r="C288" t="s">
        <v>4106</v>
      </c>
      <c r="D288" s="7">
        <v>0</v>
      </c>
      <c r="E288" s="2">
        <v>236228.11</v>
      </c>
      <c r="F288" s="2">
        <v>944.91</v>
      </c>
    </row>
    <row r="289" spans="1:6" x14ac:dyDescent="0.25">
      <c r="A289" t="s">
        <v>4052</v>
      </c>
      <c r="B289" t="s">
        <v>4342</v>
      </c>
      <c r="C289" t="s">
        <v>4106</v>
      </c>
      <c r="D289" s="7">
        <v>0.02</v>
      </c>
      <c r="E289" s="2">
        <v>66666.67</v>
      </c>
      <c r="F289" s="2">
        <v>1333.33</v>
      </c>
    </row>
    <row r="290" spans="1:6" x14ac:dyDescent="0.25">
      <c r="A290" t="s">
        <v>4052</v>
      </c>
      <c r="B290" t="s">
        <v>4053</v>
      </c>
      <c r="C290" t="s">
        <v>4054</v>
      </c>
      <c r="D290" s="7">
        <v>5</v>
      </c>
      <c r="E290" s="2">
        <v>21915.53</v>
      </c>
      <c r="F290" s="2">
        <v>1095.78</v>
      </c>
    </row>
    <row r="291" spans="1:6" x14ac:dyDescent="0.25">
      <c r="A291" t="s">
        <v>4055</v>
      </c>
      <c r="D291" s="7"/>
      <c r="E291" s="2"/>
      <c r="F291" s="2">
        <f>SUBTOTAL(109,A_4_01_17[VALOR PARCIAL])</f>
      </c>
    </row>
    <row r="293" ht="30" customHeight="1" spans="1:6" x14ac:dyDescent="0.25">
      <c r="A293" s="5" t="s">
        <v>7758</v>
      </c>
      <c r="B293" s="5"/>
      <c r="C293" s="5"/>
      <c r="D293" s="5"/>
      <c r="E293" s="5"/>
      <c r="F293" s="5"/>
    </row>
    <row r="294" ht="42" customHeight="1" spans="1:6" x14ac:dyDescent="0.25">
      <c r="A294" s="6" t="s">
        <v>7759</v>
      </c>
      <c r="B294" s="6"/>
      <c r="C294" s="6"/>
      <c r="D294" s="6"/>
      <c r="E294" s="6"/>
      <c r="F294" s="6"/>
    </row>
    <row r="295" spans="1:6" x14ac:dyDescent="0.25">
      <c r="A295" t="s">
        <v>4044</v>
      </c>
      <c r="B295" t="s">
        <v>4045</v>
      </c>
      <c r="C295" t="s">
        <v>5</v>
      </c>
      <c r="D295" t="s">
        <v>4046</v>
      </c>
      <c r="E295" t="s">
        <v>4047</v>
      </c>
      <c r="F295" t="s">
        <v>4048</v>
      </c>
    </row>
    <row r="296" spans="1:6" x14ac:dyDescent="0.25">
      <c r="A296" t="s">
        <v>4062</v>
      </c>
      <c r="B296" t="s">
        <v>7525</v>
      </c>
      <c r="C296" t="s">
        <v>42</v>
      </c>
      <c r="D296" s="7">
        <v>1</v>
      </c>
      <c r="E296" s="2">
        <v>41687.5</v>
      </c>
      <c r="F296" s="2">
        <v>41687.5</v>
      </c>
    </row>
    <row r="297" spans="1:6" x14ac:dyDescent="0.25">
      <c r="A297" t="s">
        <v>4062</v>
      </c>
      <c r="B297" t="s">
        <v>5816</v>
      </c>
      <c r="C297" t="s">
        <v>34</v>
      </c>
      <c r="D297" s="7">
        <v>0.02</v>
      </c>
      <c r="E297" s="2">
        <v>93966.67</v>
      </c>
      <c r="F297" s="2">
        <v>1879.33</v>
      </c>
    </row>
    <row r="298" spans="1:6" x14ac:dyDescent="0.25">
      <c r="A298" t="s">
        <v>4062</v>
      </c>
      <c r="B298" t="s">
        <v>7717</v>
      </c>
      <c r="C298" t="s">
        <v>42</v>
      </c>
      <c r="D298" s="7">
        <v>1</v>
      </c>
      <c r="E298" s="2">
        <v>46</v>
      </c>
      <c r="F298" s="2">
        <v>46</v>
      </c>
    </row>
    <row r="299" spans="1:6" x14ac:dyDescent="0.25">
      <c r="A299" t="s">
        <v>4062</v>
      </c>
      <c r="B299" t="s">
        <v>3261</v>
      </c>
      <c r="C299" t="s">
        <v>34</v>
      </c>
      <c r="D299" s="7">
        <v>0.12</v>
      </c>
      <c r="E299" s="2">
        <v>90100.77</v>
      </c>
      <c r="F299" s="2">
        <v>10812.09</v>
      </c>
    </row>
    <row r="300" spans="1:6" x14ac:dyDescent="0.25">
      <c r="A300" t="s">
        <v>4062</v>
      </c>
      <c r="B300" t="s">
        <v>7718</v>
      </c>
      <c r="C300" t="s">
        <v>21</v>
      </c>
      <c r="D300" s="7">
        <v>0.4</v>
      </c>
      <c r="E300" s="2">
        <v>35458.33</v>
      </c>
      <c r="F300" s="2">
        <v>14183.33</v>
      </c>
    </row>
    <row r="301" spans="1:6" x14ac:dyDescent="0.25">
      <c r="A301" t="s">
        <v>4062</v>
      </c>
      <c r="B301" t="s">
        <v>4076</v>
      </c>
      <c r="C301" t="s">
        <v>3963</v>
      </c>
      <c r="D301" s="7">
        <v>2.85</v>
      </c>
      <c r="E301" s="2">
        <v>21</v>
      </c>
      <c r="F301" s="2">
        <v>59.85</v>
      </c>
    </row>
    <row r="302" spans="1:6" x14ac:dyDescent="0.25">
      <c r="A302" t="s">
        <v>4049</v>
      </c>
      <c r="B302" t="s">
        <v>4050</v>
      </c>
      <c r="C302" t="s">
        <v>4051</v>
      </c>
      <c r="D302" s="7">
        <v>1.05</v>
      </c>
      <c r="E302" s="2">
        <v>9037.33</v>
      </c>
      <c r="F302" s="2">
        <v>9489.2</v>
      </c>
    </row>
    <row r="303" spans="1:6" x14ac:dyDescent="0.25">
      <c r="A303" t="s">
        <v>4049</v>
      </c>
      <c r="B303" t="s">
        <v>4241</v>
      </c>
      <c r="C303" t="s">
        <v>4051</v>
      </c>
      <c r="D303" s="7">
        <v>0.18</v>
      </c>
      <c r="E303" s="2">
        <v>9941.22</v>
      </c>
      <c r="F303" s="2">
        <v>1739.71</v>
      </c>
    </row>
    <row r="304" spans="1:6" x14ac:dyDescent="0.25">
      <c r="A304" t="s">
        <v>4049</v>
      </c>
      <c r="B304" t="s">
        <v>4073</v>
      </c>
      <c r="C304" t="s">
        <v>4051</v>
      </c>
      <c r="D304" s="7">
        <v>1.05</v>
      </c>
      <c r="E304" s="2">
        <v>15517.89</v>
      </c>
      <c r="F304" s="2">
        <v>16293.78</v>
      </c>
    </row>
    <row r="305" spans="1:6" x14ac:dyDescent="0.25">
      <c r="A305" t="s">
        <v>4049</v>
      </c>
      <c r="B305" t="s">
        <v>4242</v>
      </c>
      <c r="C305" t="s">
        <v>4051</v>
      </c>
      <c r="D305" s="7">
        <v>0.18</v>
      </c>
      <c r="E305" s="2">
        <v>17069.53</v>
      </c>
      <c r="F305" s="2">
        <v>2987.17</v>
      </c>
    </row>
    <row r="306" spans="1:6" x14ac:dyDescent="0.25">
      <c r="A306" t="s">
        <v>4052</v>
      </c>
      <c r="B306" t="s">
        <v>6294</v>
      </c>
      <c r="C306" t="s">
        <v>4106</v>
      </c>
      <c r="D306" s="7">
        <v>0</v>
      </c>
      <c r="E306" s="2">
        <v>236228.11</v>
      </c>
      <c r="F306" s="2">
        <v>944.91</v>
      </c>
    </row>
    <row r="307" spans="1:6" x14ac:dyDescent="0.25">
      <c r="A307" t="s">
        <v>4052</v>
      </c>
      <c r="B307" t="s">
        <v>4342</v>
      </c>
      <c r="C307" t="s">
        <v>4106</v>
      </c>
      <c r="D307" s="7">
        <v>0.02</v>
      </c>
      <c r="E307" s="2">
        <v>66666.67</v>
      </c>
      <c r="F307" s="2">
        <v>1333.33</v>
      </c>
    </row>
    <row r="308" spans="1:6" x14ac:dyDescent="0.25">
      <c r="A308" t="s">
        <v>4052</v>
      </c>
      <c r="B308" t="s">
        <v>4053</v>
      </c>
      <c r="C308" t="s">
        <v>4054</v>
      </c>
      <c r="D308" s="7">
        <v>5</v>
      </c>
      <c r="E308" s="2">
        <v>30509.86</v>
      </c>
      <c r="F308" s="2">
        <v>1525.49</v>
      </c>
    </row>
    <row r="309" spans="1:6" x14ac:dyDescent="0.25">
      <c r="A309" t="s">
        <v>4055</v>
      </c>
      <c r="D309" s="7"/>
      <c r="E309" s="2"/>
      <c r="F309" s="2">
        <f>SUBTOTAL(109,A_4_01_18[VALOR PARCIAL])</f>
      </c>
    </row>
    <row r="311" ht="30" customHeight="1" spans="1:6" x14ac:dyDescent="0.25">
      <c r="A311" s="5" t="s">
        <v>7760</v>
      </c>
      <c r="B311" s="5"/>
      <c r="C311" s="5"/>
      <c r="D311" s="5"/>
      <c r="E311" s="5"/>
      <c r="F311" s="5"/>
    </row>
    <row r="312" ht="42" customHeight="1" spans="1:6" x14ac:dyDescent="0.25">
      <c r="A312" s="6" t="s">
        <v>7761</v>
      </c>
      <c r="B312" s="6"/>
      <c r="C312" s="6"/>
      <c r="D312" s="6"/>
      <c r="E312" s="6"/>
      <c r="F312" s="6"/>
    </row>
    <row r="313" spans="1:6" x14ac:dyDescent="0.25">
      <c r="A313" t="s">
        <v>4044</v>
      </c>
      <c r="B313" t="s">
        <v>4045</v>
      </c>
      <c r="C313" t="s">
        <v>5</v>
      </c>
      <c r="D313" t="s">
        <v>4046</v>
      </c>
      <c r="E313" t="s">
        <v>4047</v>
      </c>
      <c r="F313" t="s">
        <v>4048</v>
      </c>
    </row>
    <row r="314" spans="1:6" x14ac:dyDescent="0.25">
      <c r="A314" t="s">
        <v>4062</v>
      </c>
      <c r="B314" t="s">
        <v>7525</v>
      </c>
      <c r="C314" t="s">
        <v>42</v>
      </c>
      <c r="D314" s="7">
        <v>1</v>
      </c>
      <c r="E314" s="2">
        <v>41687.5</v>
      </c>
      <c r="F314" s="2">
        <v>41687.5</v>
      </c>
    </row>
    <row r="315" spans="1:6" x14ac:dyDescent="0.25">
      <c r="A315" t="s">
        <v>4062</v>
      </c>
      <c r="B315" t="s">
        <v>7717</v>
      </c>
      <c r="C315" t="s">
        <v>42</v>
      </c>
      <c r="D315" s="7">
        <v>1</v>
      </c>
      <c r="E315" s="2">
        <v>46</v>
      </c>
      <c r="F315" s="2">
        <v>46</v>
      </c>
    </row>
    <row r="316" spans="1:6" x14ac:dyDescent="0.25">
      <c r="A316" t="s">
        <v>4062</v>
      </c>
      <c r="B316" t="s">
        <v>7721</v>
      </c>
      <c r="C316" t="s">
        <v>63</v>
      </c>
      <c r="D316" s="7">
        <v>0.01</v>
      </c>
      <c r="E316" s="2">
        <v>185957</v>
      </c>
      <c r="F316" s="2">
        <v>1859.57</v>
      </c>
    </row>
    <row r="317" spans="1:6" x14ac:dyDescent="0.25">
      <c r="A317" t="s">
        <v>4062</v>
      </c>
      <c r="B317" t="s">
        <v>7722</v>
      </c>
      <c r="C317" t="s">
        <v>34</v>
      </c>
      <c r="D317" s="7">
        <v>0.12</v>
      </c>
      <c r="E317" s="2">
        <v>90100.77</v>
      </c>
      <c r="F317" s="2">
        <v>10812.09</v>
      </c>
    </row>
    <row r="318" spans="1:6" x14ac:dyDescent="0.25">
      <c r="A318" t="s">
        <v>4062</v>
      </c>
      <c r="B318" t="s">
        <v>7723</v>
      </c>
      <c r="C318" t="s">
        <v>34</v>
      </c>
      <c r="D318" s="7">
        <v>0.06</v>
      </c>
      <c r="E318" s="2">
        <v>111672.11</v>
      </c>
      <c r="F318" s="2">
        <v>6700.33</v>
      </c>
    </row>
    <row r="319" spans="1:6" x14ac:dyDescent="0.25">
      <c r="A319" t="s">
        <v>4062</v>
      </c>
      <c r="B319" t="s">
        <v>7724</v>
      </c>
      <c r="C319" t="s">
        <v>21</v>
      </c>
      <c r="D319" s="7">
        <v>0.8</v>
      </c>
      <c r="E319" s="2">
        <v>3399.59</v>
      </c>
      <c r="F319" s="2">
        <v>2719.67</v>
      </c>
    </row>
    <row r="320" spans="1:6" x14ac:dyDescent="0.25">
      <c r="A320" t="s">
        <v>4062</v>
      </c>
      <c r="B320" t="s">
        <v>7725</v>
      </c>
      <c r="C320" t="s">
        <v>34</v>
      </c>
      <c r="D320" s="7">
        <v>0.06</v>
      </c>
      <c r="E320" s="2">
        <v>582852.45</v>
      </c>
      <c r="F320" s="2">
        <v>34971.15</v>
      </c>
    </row>
    <row r="321" spans="1:6" x14ac:dyDescent="0.25">
      <c r="A321" t="s">
        <v>4049</v>
      </c>
      <c r="B321" t="s">
        <v>4241</v>
      </c>
      <c r="C321" t="s">
        <v>4051</v>
      </c>
      <c r="D321" s="7">
        <v>0.18</v>
      </c>
      <c r="E321" s="2">
        <v>9941.22</v>
      </c>
      <c r="F321" s="2">
        <v>1739.71</v>
      </c>
    </row>
    <row r="322" spans="1:6" x14ac:dyDescent="0.25">
      <c r="A322" t="s">
        <v>4049</v>
      </c>
      <c r="B322" t="s">
        <v>4242</v>
      </c>
      <c r="C322" t="s">
        <v>4051</v>
      </c>
      <c r="D322" s="7">
        <v>0.18</v>
      </c>
      <c r="E322" s="2">
        <v>17069.53</v>
      </c>
      <c r="F322" s="2">
        <v>2987.17</v>
      </c>
    </row>
    <row r="323" spans="1:6" x14ac:dyDescent="0.25">
      <c r="A323" t="s">
        <v>4052</v>
      </c>
      <c r="B323" t="s">
        <v>4092</v>
      </c>
      <c r="C323" t="s">
        <v>287</v>
      </c>
      <c r="D323" s="7">
        <v>0.16</v>
      </c>
      <c r="E323" s="2">
        <v>97476</v>
      </c>
      <c r="F323" s="2">
        <v>15596.16</v>
      </c>
    </row>
    <row r="324" spans="1:6" x14ac:dyDescent="0.25">
      <c r="A324" t="s">
        <v>4052</v>
      </c>
      <c r="B324" t="s">
        <v>7234</v>
      </c>
      <c r="C324" t="s">
        <v>287</v>
      </c>
      <c r="D324" s="7">
        <v>0.09</v>
      </c>
      <c r="E324" s="2">
        <v>8800</v>
      </c>
      <c r="F324" s="2">
        <v>748</v>
      </c>
    </row>
    <row r="325" spans="1:6" x14ac:dyDescent="0.25">
      <c r="A325" t="s">
        <v>4052</v>
      </c>
      <c r="B325" t="s">
        <v>6294</v>
      </c>
      <c r="C325" t="s">
        <v>4106</v>
      </c>
      <c r="D325" s="7">
        <v>0</v>
      </c>
      <c r="E325" s="2">
        <v>236228.11</v>
      </c>
      <c r="F325" s="2">
        <v>944.91</v>
      </c>
    </row>
    <row r="326" spans="1:6" x14ac:dyDescent="0.25">
      <c r="A326" t="s">
        <v>4052</v>
      </c>
      <c r="B326" t="s">
        <v>4053</v>
      </c>
      <c r="C326" t="s">
        <v>4054</v>
      </c>
      <c r="D326" s="7">
        <v>5</v>
      </c>
      <c r="E326" s="2">
        <v>4726.88</v>
      </c>
      <c r="F326" s="2">
        <v>236.34</v>
      </c>
    </row>
    <row r="327" spans="1:6" x14ac:dyDescent="0.25">
      <c r="A327" t="s">
        <v>4055</v>
      </c>
      <c r="D327" s="7"/>
      <c r="E327" s="2"/>
      <c r="F327" s="2">
        <f>SUBTOTAL(109,A_4_01_19[VALOR PARCIAL])</f>
      </c>
    </row>
    <row r="329" ht="30" customHeight="1" spans="1:6" x14ac:dyDescent="0.25">
      <c r="A329" s="5" t="s">
        <v>7762</v>
      </c>
      <c r="B329" s="5"/>
      <c r="C329" s="5"/>
      <c r="D329" s="5"/>
      <c r="E329" s="5"/>
      <c r="F329" s="5"/>
    </row>
    <row r="330" ht="42" customHeight="1" spans="1:6" x14ac:dyDescent="0.25">
      <c r="A330" s="6" t="s">
        <v>7763</v>
      </c>
      <c r="B330" s="6"/>
      <c r="C330" s="6"/>
      <c r="D330" s="6"/>
      <c r="E330" s="6"/>
      <c r="F330" s="6"/>
    </row>
    <row r="331" spans="1:6" x14ac:dyDescent="0.25">
      <c r="A331" t="s">
        <v>4044</v>
      </c>
      <c r="B331" t="s">
        <v>4045</v>
      </c>
      <c r="C331" t="s">
        <v>5</v>
      </c>
      <c r="D331" t="s">
        <v>4046</v>
      </c>
      <c r="E331" t="s">
        <v>4047</v>
      </c>
      <c r="F331" t="s">
        <v>4048</v>
      </c>
    </row>
    <row r="332" spans="1:6" x14ac:dyDescent="0.25">
      <c r="A332" t="s">
        <v>4062</v>
      </c>
      <c r="B332" t="s">
        <v>7525</v>
      </c>
      <c r="C332" t="s">
        <v>42</v>
      </c>
      <c r="D332" s="7">
        <v>1</v>
      </c>
      <c r="E332" s="2">
        <v>41687.5</v>
      </c>
      <c r="F332" s="2">
        <v>41687.5</v>
      </c>
    </row>
    <row r="333" spans="1:6" x14ac:dyDescent="0.25">
      <c r="A333" t="s">
        <v>4062</v>
      </c>
      <c r="B333" t="s">
        <v>3265</v>
      </c>
      <c r="C333" t="s">
        <v>34</v>
      </c>
      <c r="D333" s="7">
        <v>0.06</v>
      </c>
      <c r="E333" s="2">
        <v>706218.57</v>
      </c>
      <c r="F333" s="2">
        <v>42373.11</v>
      </c>
    </row>
    <row r="334" spans="1:6" x14ac:dyDescent="0.25">
      <c r="A334" t="s">
        <v>4062</v>
      </c>
      <c r="B334" t="s">
        <v>7717</v>
      </c>
      <c r="C334" t="s">
        <v>42</v>
      </c>
      <c r="D334" s="7">
        <v>1</v>
      </c>
      <c r="E334" s="2">
        <v>46</v>
      </c>
      <c r="F334" s="2">
        <v>46</v>
      </c>
    </row>
    <row r="335" spans="1:6" x14ac:dyDescent="0.25">
      <c r="A335" t="s">
        <v>4062</v>
      </c>
      <c r="B335" t="s">
        <v>7721</v>
      </c>
      <c r="C335" t="s">
        <v>63</v>
      </c>
      <c r="D335" s="7">
        <v>0.01</v>
      </c>
      <c r="E335" s="2">
        <v>185957</v>
      </c>
      <c r="F335" s="2">
        <v>1859.57</v>
      </c>
    </row>
    <row r="336" spans="1:6" x14ac:dyDescent="0.25">
      <c r="A336" t="s">
        <v>4062</v>
      </c>
      <c r="B336" t="s">
        <v>7728</v>
      </c>
      <c r="C336" t="s">
        <v>34</v>
      </c>
      <c r="D336" s="7">
        <v>0.18</v>
      </c>
      <c r="E336" s="2">
        <v>111672.11</v>
      </c>
      <c r="F336" s="2">
        <v>20100.98</v>
      </c>
    </row>
    <row r="337" spans="1:6" x14ac:dyDescent="0.25">
      <c r="A337" t="s">
        <v>4049</v>
      </c>
      <c r="B337" t="s">
        <v>4241</v>
      </c>
      <c r="C337" t="s">
        <v>4051</v>
      </c>
      <c r="D337" s="7">
        <v>0.18</v>
      </c>
      <c r="E337" s="2">
        <v>9941.22</v>
      </c>
      <c r="F337" s="2">
        <v>1739.71</v>
      </c>
    </row>
    <row r="338" spans="1:6" x14ac:dyDescent="0.25">
      <c r="A338" t="s">
        <v>4049</v>
      </c>
      <c r="B338" t="s">
        <v>4242</v>
      </c>
      <c r="C338" t="s">
        <v>4051</v>
      </c>
      <c r="D338" s="7">
        <v>0.18</v>
      </c>
      <c r="E338" s="2">
        <v>17069.53</v>
      </c>
      <c r="F338" s="2">
        <v>2987.17</v>
      </c>
    </row>
    <row r="339" spans="1:6" x14ac:dyDescent="0.25">
      <c r="A339" t="s">
        <v>4052</v>
      </c>
      <c r="B339" t="s">
        <v>4092</v>
      </c>
      <c r="C339" t="s">
        <v>287</v>
      </c>
      <c r="D339" s="7">
        <v>0.16</v>
      </c>
      <c r="E339" s="2">
        <v>97476</v>
      </c>
      <c r="F339" s="2">
        <v>15596.16</v>
      </c>
    </row>
    <row r="340" spans="1:6" x14ac:dyDescent="0.25">
      <c r="A340" t="s">
        <v>4052</v>
      </c>
      <c r="B340" t="s">
        <v>7234</v>
      </c>
      <c r="C340" t="s">
        <v>287</v>
      </c>
      <c r="D340" s="7">
        <v>0.09</v>
      </c>
      <c r="E340" s="2">
        <v>8800</v>
      </c>
      <c r="F340" s="2">
        <v>748</v>
      </c>
    </row>
    <row r="341" spans="1:6" x14ac:dyDescent="0.25">
      <c r="A341" t="s">
        <v>4052</v>
      </c>
      <c r="B341" t="s">
        <v>6294</v>
      </c>
      <c r="C341" t="s">
        <v>4106</v>
      </c>
      <c r="D341" s="7">
        <v>0</v>
      </c>
      <c r="E341" s="2">
        <v>236228.11</v>
      </c>
      <c r="F341" s="2">
        <v>944.91</v>
      </c>
    </row>
    <row r="342" spans="1:6" x14ac:dyDescent="0.25">
      <c r="A342" t="s">
        <v>4052</v>
      </c>
      <c r="B342" t="s">
        <v>4053</v>
      </c>
      <c r="C342" t="s">
        <v>4054</v>
      </c>
      <c r="D342" s="7">
        <v>5</v>
      </c>
      <c r="E342" s="2">
        <v>4726.88</v>
      </c>
      <c r="F342" s="2">
        <v>236.34</v>
      </c>
    </row>
    <row r="343" spans="1:6" x14ac:dyDescent="0.25">
      <c r="A343" t="s">
        <v>4055</v>
      </c>
      <c r="D343" s="7"/>
      <c r="E343" s="2"/>
      <c r="F343" s="2">
        <f>SUBTOTAL(109,A_4_01_20[VALOR PARCIAL])</f>
      </c>
    </row>
    <row r="345" ht="30" customHeight="1" spans="1:6" x14ac:dyDescent="0.25">
      <c r="A345" s="5" t="s">
        <v>7764</v>
      </c>
      <c r="B345" s="5"/>
      <c r="C345" s="5"/>
      <c r="D345" s="5"/>
      <c r="E345" s="5"/>
      <c r="F345" s="5"/>
    </row>
    <row r="346" ht="42" customHeight="1" spans="1:6" x14ac:dyDescent="0.25">
      <c r="A346" s="6" t="s">
        <v>7765</v>
      </c>
      <c r="B346" s="6"/>
      <c r="C346" s="6"/>
      <c r="D346" s="6"/>
      <c r="E346" s="6"/>
      <c r="F346" s="6"/>
    </row>
    <row r="347" spans="1:6" x14ac:dyDescent="0.25">
      <c r="A347" t="s">
        <v>4044</v>
      </c>
      <c r="B347" t="s">
        <v>4045</v>
      </c>
      <c r="C347" t="s">
        <v>5</v>
      </c>
      <c r="D347" t="s">
        <v>4046</v>
      </c>
      <c r="E347" t="s">
        <v>4047</v>
      </c>
      <c r="F347" t="s">
        <v>4048</v>
      </c>
    </row>
    <row r="348" spans="1:6" x14ac:dyDescent="0.25">
      <c r="A348" t="s">
        <v>4062</v>
      </c>
      <c r="B348" t="s">
        <v>4547</v>
      </c>
      <c r="C348" t="s">
        <v>34</v>
      </c>
      <c r="D348" s="7">
        <v>0.24</v>
      </c>
      <c r="E348" s="2">
        <v>57129.33</v>
      </c>
      <c r="F348" s="2">
        <v>13711.04</v>
      </c>
    </row>
    <row r="349" spans="1:6" x14ac:dyDescent="0.25">
      <c r="A349" t="s">
        <v>4062</v>
      </c>
      <c r="B349" t="s">
        <v>7525</v>
      </c>
      <c r="C349" t="s">
        <v>42</v>
      </c>
      <c r="D349" s="7">
        <v>1</v>
      </c>
      <c r="E349" s="2">
        <v>41687.5</v>
      </c>
      <c r="F349" s="2">
        <v>41687.5</v>
      </c>
    </row>
    <row r="350" spans="1:6" x14ac:dyDescent="0.25">
      <c r="A350" t="s">
        <v>4062</v>
      </c>
      <c r="B350" t="s">
        <v>7581</v>
      </c>
      <c r="C350" t="s">
        <v>21</v>
      </c>
      <c r="D350" s="7">
        <v>0.4</v>
      </c>
      <c r="E350" s="2">
        <v>3850</v>
      </c>
      <c r="F350" s="2">
        <v>1540</v>
      </c>
    </row>
    <row r="351" spans="1:6" x14ac:dyDescent="0.25">
      <c r="A351" t="s">
        <v>4062</v>
      </c>
      <c r="B351" t="s">
        <v>7717</v>
      </c>
      <c r="C351" t="s">
        <v>42</v>
      </c>
      <c r="D351" s="7">
        <v>1</v>
      </c>
      <c r="E351" s="2">
        <v>46</v>
      </c>
      <c r="F351" s="2">
        <v>46</v>
      </c>
    </row>
    <row r="352" spans="1:6" x14ac:dyDescent="0.25">
      <c r="A352" t="s">
        <v>4049</v>
      </c>
      <c r="B352" t="s">
        <v>4050</v>
      </c>
      <c r="C352" t="s">
        <v>4051</v>
      </c>
      <c r="D352" s="7">
        <v>0.7</v>
      </c>
      <c r="E352" s="2">
        <v>9037.33</v>
      </c>
      <c r="F352" s="2">
        <v>6326.13</v>
      </c>
    </row>
    <row r="353" spans="1:6" x14ac:dyDescent="0.25">
      <c r="A353" t="s">
        <v>4049</v>
      </c>
      <c r="B353" t="s">
        <v>4241</v>
      </c>
      <c r="C353" t="s">
        <v>4051</v>
      </c>
      <c r="D353" s="7">
        <v>0.18</v>
      </c>
      <c r="E353" s="2">
        <v>9941.22</v>
      </c>
      <c r="F353" s="2">
        <v>1739.71</v>
      </c>
    </row>
    <row r="354" spans="1:6" x14ac:dyDescent="0.25">
      <c r="A354" t="s">
        <v>4049</v>
      </c>
      <c r="B354" t="s">
        <v>4073</v>
      </c>
      <c r="C354" t="s">
        <v>4051</v>
      </c>
      <c r="D354" s="7">
        <v>0.7</v>
      </c>
      <c r="E354" s="2">
        <v>15517.89</v>
      </c>
      <c r="F354" s="2">
        <v>10862.52</v>
      </c>
    </row>
    <row r="355" spans="1:6" x14ac:dyDescent="0.25">
      <c r="A355" t="s">
        <v>4049</v>
      </c>
      <c r="B355" t="s">
        <v>4242</v>
      </c>
      <c r="C355" t="s">
        <v>4051</v>
      </c>
      <c r="D355" s="7">
        <v>0.18</v>
      </c>
      <c r="E355" s="2">
        <v>17069.53</v>
      </c>
      <c r="F355" s="2">
        <v>2987.17</v>
      </c>
    </row>
    <row r="356" spans="1:6" x14ac:dyDescent="0.25">
      <c r="A356" t="s">
        <v>4052</v>
      </c>
      <c r="B356" t="s">
        <v>6294</v>
      </c>
      <c r="C356" t="s">
        <v>4106</v>
      </c>
      <c r="D356" s="7">
        <v>0</v>
      </c>
      <c r="E356" s="2">
        <v>236228.11</v>
      </c>
      <c r="F356" s="2">
        <v>944.91</v>
      </c>
    </row>
    <row r="357" spans="1:6" x14ac:dyDescent="0.25">
      <c r="A357" t="s">
        <v>4052</v>
      </c>
      <c r="B357" t="s">
        <v>4342</v>
      </c>
      <c r="C357" t="s">
        <v>4106</v>
      </c>
      <c r="D357" s="7">
        <v>0.02</v>
      </c>
      <c r="E357" s="2">
        <v>66666.67</v>
      </c>
      <c r="F357" s="2">
        <v>1333.33</v>
      </c>
    </row>
    <row r="358" spans="1:6" x14ac:dyDescent="0.25">
      <c r="A358" t="s">
        <v>4052</v>
      </c>
      <c r="B358" t="s">
        <v>4053</v>
      </c>
      <c r="C358" t="s">
        <v>4054</v>
      </c>
      <c r="D358" s="7">
        <v>5</v>
      </c>
      <c r="E358" s="2">
        <v>21915.53</v>
      </c>
      <c r="F358" s="2">
        <v>1095.78</v>
      </c>
    </row>
    <row r="359" spans="1:6" x14ac:dyDescent="0.25">
      <c r="A359" t="s">
        <v>4055</v>
      </c>
      <c r="D359" s="7"/>
      <c r="E359" s="2"/>
      <c r="F359" s="2">
        <f>SUBTOTAL(109,A_4_01_21[VALOR PARCIAL])</f>
      </c>
    </row>
    <row r="361" ht="30" customHeight="1" spans="1:6" x14ac:dyDescent="0.25">
      <c r="A361" s="5" t="s">
        <v>7766</v>
      </c>
      <c r="B361" s="5"/>
      <c r="C361" s="5"/>
      <c r="D361" s="5"/>
      <c r="E361" s="5"/>
      <c r="F361" s="5"/>
    </row>
    <row r="362" ht="42" customHeight="1" spans="1:6" x14ac:dyDescent="0.25">
      <c r="A362" s="6" t="s">
        <v>7767</v>
      </c>
      <c r="B362" s="6"/>
      <c r="C362" s="6"/>
      <c r="D362" s="6"/>
      <c r="E362" s="6"/>
      <c r="F362" s="6"/>
    </row>
    <row r="363" spans="1:6" x14ac:dyDescent="0.25">
      <c r="A363" t="s">
        <v>4044</v>
      </c>
      <c r="B363" t="s">
        <v>4045</v>
      </c>
      <c r="C363" t="s">
        <v>5</v>
      </c>
      <c r="D363" t="s">
        <v>4046</v>
      </c>
      <c r="E363" t="s">
        <v>4047</v>
      </c>
      <c r="F363" t="s">
        <v>4048</v>
      </c>
    </row>
    <row r="364" spans="1:6" x14ac:dyDescent="0.25">
      <c r="A364" t="s">
        <v>4062</v>
      </c>
      <c r="B364" t="s">
        <v>7768</v>
      </c>
      <c r="C364" t="s">
        <v>42</v>
      </c>
      <c r="D364" s="7">
        <v>1</v>
      </c>
      <c r="E364" s="2">
        <v>67156.83</v>
      </c>
      <c r="F364" s="2">
        <v>67156.83</v>
      </c>
    </row>
    <row r="365" spans="1:6" x14ac:dyDescent="0.25">
      <c r="A365" t="s">
        <v>4062</v>
      </c>
      <c r="B365" t="s">
        <v>5816</v>
      </c>
      <c r="C365" t="s">
        <v>34</v>
      </c>
      <c r="D365" s="7">
        <v>0.02</v>
      </c>
      <c r="E365" s="2">
        <v>93966.67</v>
      </c>
      <c r="F365" s="2">
        <v>1879.33</v>
      </c>
    </row>
    <row r="366" spans="1:6" x14ac:dyDescent="0.25">
      <c r="A366" t="s">
        <v>4062</v>
      </c>
      <c r="B366" t="s">
        <v>7717</v>
      </c>
      <c r="C366" t="s">
        <v>42</v>
      </c>
      <c r="D366" s="7">
        <v>1</v>
      </c>
      <c r="E366" s="2">
        <v>46</v>
      </c>
      <c r="F366" s="2">
        <v>46</v>
      </c>
    </row>
    <row r="367" spans="1:6" x14ac:dyDescent="0.25">
      <c r="A367" t="s">
        <v>4062</v>
      </c>
      <c r="B367" t="s">
        <v>3261</v>
      </c>
      <c r="C367" t="s">
        <v>34</v>
      </c>
      <c r="D367" s="7">
        <v>0.12</v>
      </c>
      <c r="E367" s="2">
        <v>90100.77</v>
      </c>
      <c r="F367" s="2">
        <v>10812.09</v>
      </c>
    </row>
    <row r="368" spans="1:6" x14ac:dyDescent="0.25">
      <c r="A368" t="s">
        <v>4062</v>
      </c>
      <c r="B368" t="s">
        <v>7718</v>
      </c>
      <c r="C368" t="s">
        <v>21</v>
      </c>
      <c r="D368" s="7">
        <v>0.4</v>
      </c>
      <c r="E368" s="2">
        <v>35458.33</v>
      </c>
      <c r="F368" s="2">
        <v>14183.33</v>
      </c>
    </row>
    <row r="369" spans="1:6" x14ac:dyDescent="0.25">
      <c r="A369" t="s">
        <v>4062</v>
      </c>
      <c r="B369" t="s">
        <v>4076</v>
      </c>
      <c r="C369" t="s">
        <v>3963</v>
      </c>
      <c r="D369" s="7">
        <v>2.85</v>
      </c>
      <c r="E369" s="2">
        <v>21</v>
      </c>
      <c r="F369" s="2">
        <v>59.85</v>
      </c>
    </row>
    <row r="370" spans="1:6" x14ac:dyDescent="0.25">
      <c r="A370" t="s">
        <v>4049</v>
      </c>
      <c r="B370" t="s">
        <v>4050</v>
      </c>
      <c r="C370" t="s">
        <v>4051</v>
      </c>
      <c r="D370" s="7">
        <v>1.05</v>
      </c>
      <c r="E370" s="2">
        <v>9037.33</v>
      </c>
      <c r="F370" s="2">
        <v>9489.2</v>
      </c>
    </row>
    <row r="371" spans="1:6" x14ac:dyDescent="0.25">
      <c r="A371" t="s">
        <v>4049</v>
      </c>
      <c r="B371" t="s">
        <v>4241</v>
      </c>
      <c r="C371" t="s">
        <v>4051</v>
      </c>
      <c r="D371" s="7">
        <v>0.18</v>
      </c>
      <c r="E371" s="2">
        <v>9941.22</v>
      </c>
      <c r="F371" s="2">
        <v>1739.71</v>
      </c>
    </row>
    <row r="372" spans="1:6" x14ac:dyDescent="0.25">
      <c r="A372" t="s">
        <v>4049</v>
      </c>
      <c r="B372" t="s">
        <v>4073</v>
      </c>
      <c r="C372" t="s">
        <v>4051</v>
      </c>
      <c r="D372" s="7">
        <v>1.05</v>
      </c>
      <c r="E372" s="2">
        <v>15517.89</v>
      </c>
      <c r="F372" s="2">
        <v>16293.78</v>
      </c>
    </row>
    <row r="373" spans="1:6" x14ac:dyDescent="0.25">
      <c r="A373" t="s">
        <v>4049</v>
      </c>
      <c r="B373" t="s">
        <v>4242</v>
      </c>
      <c r="C373" t="s">
        <v>4051</v>
      </c>
      <c r="D373" s="7">
        <v>0.18</v>
      </c>
      <c r="E373" s="2">
        <v>17069.53</v>
      </c>
      <c r="F373" s="2">
        <v>2987.17</v>
      </c>
    </row>
    <row r="374" spans="1:6" x14ac:dyDescent="0.25">
      <c r="A374" t="s">
        <v>4052</v>
      </c>
      <c r="B374" t="s">
        <v>6294</v>
      </c>
      <c r="C374" t="s">
        <v>4106</v>
      </c>
      <c r="D374" s="7">
        <v>0</v>
      </c>
      <c r="E374" s="2">
        <v>236228.11</v>
      </c>
      <c r="F374" s="2">
        <v>944.91</v>
      </c>
    </row>
    <row r="375" spans="1:6" x14ac:dyDescent="0.25">
      <c r="A375" t="s">
        <v>4052</v>
      </c>
      <c r="B375" t="s">
        <v>4342</v>
      </c>
      <c r="C375" t="s">
        <v>4106</v>
      </c>
      <c r="D375" s="7">
        <v>0.02</v>
      </c>
      <c r="E375" s="2">
        <v>66666.67</v>
      </c>
      <c r="F375" s="2">
        <v>1333.33</v>
      </c>
    </row>
    <row r="376" spans="1:6" x14ac:dyDescent="0.25">
      <c r="A376" t="s">
        <v>4052</v>
      </c>
      <c r="B376" t="s">
        <v>4053</v>
      </c>
      <c r="C376" t="s">
        <v>4054</v>
      </c>
      <c r="D376" s="7">
        <v>5</v>
      </c>
      <c r="E376" s="2">
        <v>30509.86</v>
      </c>
      <c r="F376" s="2">
        <v>1525.49</v>
      </c>
    </row>
    <row r="377" spans="1:6" x14ac:dyDescent="0.25">
      <c r="A377" t="s">
        <v>4055</v>
      </c>
      <c r="D377" s="7"/>
      <c r="E377" s="2"/>
      <c r="F377" s="2">
        <f>SUBTOTAL(109,A_4_01_22[VALOR PARCIAL])</f>
      </c>
    </row>
    <row r="379" ht="30" customHeight="1" spans="1:6" x14ac:dyDescent="0.25">
      <c r="A379" s="5" t="s">
        <v>7769</v>
      </c>
      <c r="B379" s="5"/>
      <c r="C379" s="5"/>
      <c r="D379" s="5"/>
      <c r="E379" s="5"/>
      <c r="F379" s="5"/>
    </row>
    <row r="380" ht="42" customHeight="1" spans="1:6" x14ac:dyDescent="0.25">
      <c r="A380" s="6" t="s">
        <v>7770</v>
      </c>
      <c r="B380" s="6"/>
      <c r="C380" s="6"/>
      <c r="D380" s="6"/>
      <c r="E380" s="6"/>
      <c r="F380" s="6"/>
    </row>
    <row r="381" spans="1:6" x14ac:dyDescent="0.25">
      <c r="A381" t="s">
        <v>4044</v>
      </c>
      <c r="B381" t="s">
        <v>4045</v>
      </c>
      <c r="C381" t="s">
        <v>5</v>
      </c>
      <c r="D381" t="s">
        <v>4046</v>
      </c>
      <c r="E381" t="s">
        <v>4047</v>
      </c>
      <c r="F381" t="s">
        <v>4048</v>
      </c>
    </row>
    <row r="382" spans="1:6" x14ac:dyDescent="0.25">
      <c r="A382" t="s">
        <v>4062</v>
      </c>
      <c r="B382" t="s">
        <v>7768</v>
      </c>
      <c r="C382" t="s">
        <v>42</v>
      </c>
      <c r="D382" s="7">
        <v>1</v>
      </c>
      <c r="E382" s="2">
        <v>67156.83</v>
      </c>
      <c r="F382" s="2">
        <v>67156.83</v>
      </c>
    </row>
    <row r="383" spans="1:6" x14ac:dyDescent="0.25">
      <c r="A383" t="s">
        <v>4062</v>
      </c>
      <c r="B383" t="s">
        <v>7717</v>
      </c>
      <c r="C383" t="s">
        <v>42</v>
      </c>
      <c r="D383" s="7">
        <v>1</v>
      </c>
      <c r="E383" s="2">
        <v>46</v>
      </c>
      <c r="F383" s="2">
        <v>46</v>
      </c>
    </row>
    <row r="384" spans="1:6" x14ac:dyDescent="0.25">
      <c r="A384" t="s">
        <v>4062</v>
      </c>
      <c r="B384" t="s">
        <v>7721</v>
      </c>
      <c r="C384" t="s">
        <v>63</v>
      </c>
      <c r="D384" s="7">
        <v>0.01</v>
      </c>
      <c r="E384" s="2">
        <v>185957</v>
      </c>
      <c r="F384" s="2">
        <v>1859.57</v>
      </c>
    </row>
    <row r="385" spans="1:6" x14ac:dyDescent="0.25">
      <c r="A385" t="s">
        <v>4062</v>
      </c>
      <c r="B385" t="s">
        <v>7722</v>
      </c>
      <c r="C385" t="s">
        <v>34</v>
      </c>
      <c r="D385" s="7">
        <v>0.12</v>
      </c>
      <c r="E385" s="2">
        <v>90100.77</v>
      </c>
      <c r="F385" s="2">
        <v>10812.09</v>
      </c>
    </row>
    <row r="386" spans="1:6" x14ac:dyDescent="0.25">
      <c r="A386" t="s">
        <v>4062</v>
      </c>
      <c r="B386" t="s">
        <v>7723</v>
      </c>
      <c r="C386" t="s">
        <v>34</v>
      </c>
      <c r="D386" s="7">
        <v>0.06</v>
      </c>
      <c r="E386" s="2">
        <v>111672.11</v>
      </c>
      <c r="F386" s="2">
        <v>6700.33</v>
      </c>
    </row>
    <row r="387" spans="1:6" x14ac:dyDescent="0.25">
      <c r="A387" t="s">
        <v>4062</v>
      </c>
      <c r="B387" t="s">
        <v>7724</v>
      </c>
      <c r="C387" t="s">
        <v>21</v>
      </c>
      <c r="D387" s="7">
        <v>0.8</v>
      </c>
      <c r="E387" s="2">
        <v>3399.59</v>
      </c>
      <c r="F387" s="2">
        <v>2719.67</v>
      </c>
    </row>
    <row r="388" spans="1:6" x14ac:dyDescent="0.25">
      <c r="A388" t="s">
        <v>4062</v>
      </c>
      <c r="B388" t="s">
        <v>7725</v>
      </c>
      <c r="C388" t="s">
        <v>34</v>
      </c>
      <c r="D388" s="7">
        <v>0.06</v>
      </c>
      <c r="E388" s="2">
        <v>582852.45</v>
      </c>
      <c r="F388" s="2">
        <v>34971.15</v>
      </c>
    </row>
    <row r="389" spans="1:6" x14ac:dyDescent="0.25">
      <c r="A389" t="s">
        <v>4049</v>
      </c>
      <c r="B389" t="s">
        <v>4241</v>
      </c>
      <c r="C389" t="s">
        <v>4051</v>
      </c>
      <c r="D389" s="7">
        <v>0.18</v>
      </c>
      <c r="E389" s="2">
        <v>9941.22</v>
      </c>
      <c r="F389" s="2">
        <v>1739.71</v>
      </c>
    </row>
    <row r="390" spans="1:6" x14ac:dyDescent="0.25">
      <c r="A390" t="s">
        <v>4049</v>
      </c>
      <c r="B390" t="s">
        <v>4242</v>
      </c>
      <c r="C390" t="s">
        <v>4051</v>
      </c>
      <c r="D390" s="7">
        <v>0.18</v>
      </c>
      <c r="E390" s="2">
        <v>17069.53</v>
      </c>
      <c r="F390" s="2">
        <v>2987.17</v>
      </c>
    </row>
    <row r="391" spans="1:6" x14ac:dyDescent="0.25">
      <c r="A391" t="s">
        <v>4052</v>
      </c>
      <c r="B391" t="s">
        <v>4092</v>
      </c>
      <c r="C391" t="s">
        <v>287</v>
      </c>
      <c r="D391" s="7">
        <v>0.16</v>
      </c>
      <c r="E391" s="2">
        <v>97476</v>
      </c>
      <c r="F391" s="2">
        <v>15596.16</v>
      </c>
    </row>
    <row r="392" spans="1:6" x14ac:dyDescent="0.25">
      <c r="A392" t="s">
        <v>4052</v>
      </c>
      <c r="B392" t="s">
        <v>7234</v>
      </c>
      <c r="C392" t="s">
        <v>287</v>
      </c>
      <c r="D392" s="7">
        <v>0.09</v>
      </c>
      <c r="E392" s="2">
        <v>8800</v>
      </c>
      <c r="F392" s="2">
        <v>748</v>
      </c>
    </row>
    <row r="393" spans="1:6" x14ac:dyDescent="0.25">
      <c r="A393" t="s">
        <v>4052</v>
      </c>
      <c r="B393" t="s">
        <v>6294</v>
      </c>
      <c r="C393" t="s">
        <v>4106</v>
      </c>
      <c r="D393" s="7">
        <v>0</v>
      </c>
      <c r="E393" s="2">
        <v>236228.11</v>
      </c>
      <c r="F393" s="2">
        <v>944.91</v>
      </c>
    </row>
    <row r="394" spans="1:6" x14ac:dyDescent="0.25">
      <c r="A394" t="s">
        <v>4052</v>
      </c>
      <c r="B394" t="s">
        <v>4053</v>
      </c>
      <c r="C394" t="s">
        <v>4054</v>
      </c>
      <c r="D394" s="7">
        <v>5</v>
      </c>
      <c r="E394" s="2">
        <v>4726.88</v>
      </c>
      <c r="F394" s="2">
        <v>236.34</v>
      </c>
    </row>
    <row r="395" spans="1:6" x14ac:dyDescent="0.25">
      <c r="A395" t="s">
        <v>4055</v>
      </c>
      <c r="D395" s="7"/>
      <c r="E395" s="2"/>
      <c r="F395" s="2">
        <f>SUBTOTAL(109,A_4_01_23[VALOR PARCIAL])</f>
      </c>
    </row>
    <row r="397" ht="30" customHeight="1" spans="1:6" x14ac:dyDescent="0.25">
      <c r="A397" s="5" t="s">
        <v>7771</v>
      </c>
      <c r="B397" s="5"/>
      <c r="C397" s="5"/>
      <c r="D397" s="5"/>
      <c r="E397" s="5"/>
      <c r="F397" s="5"/>
    </row>
    <row r="398" ht="42" customHeight="1" spans="1:6" x14ac:dyDescent="0.25">
      <c r="A398" s="6" t="s">
        <v>7772</v>
      </c>
      <c r="B398" s="6"/>
      <c r="C398" s="6"/>
      <c r="D398" s="6"/>
      <c r="E398" s="6"/>
      <c r="F398" s="6"/>
    </row>
    <row r="399" spans="1:6" x14ac:dyDescent="0.25">
      <c r="A399" t="s">
        <v>4044</v>
      </c>
      <c r="B399" t="s">
        <v>4045</v>
      </c>
      <c r="C399" t="s">
        <v>5</v>
      </c>
      <c r="D399" t="s">
        <v>4046</v>
      </c>
      <c r="E399" t="s">
        <v>4047</v>
      </c>
      <c r="F399" t="s">
        <v>4048</v>
      </c>
    </row>
    <row r="400" spans="1:6" x14ac:dyDescent="0.25">
      <c r="A400" t="s">
        <v>4062</v>
      </c>
      <c r="B400" t="s">
        <v>7768</v>
      </c>
      <c r="C400" t="s">
        <v>42</v>
      </c>
      <c r="D400" s="7">
        <v>1</v>
      </c>
      <c r="E400" s="2">
        <v>67156.83</v>
      </c>
      <c r="F400" s="2">
        <v>67156.83</v>
      </c>
    </row>
    <row r="401" spans="1:6" x14ac:dyDescent="0.25">
      <c r="A401" t="s">
        <v>4062</v>
      </c>
      <c r="B401" t="s">
        <v>3265</v>
      </c>
      <c r="C401" t="s">
        <v>34</v>
      </c>
      <c r="D401" s="7">
        <v>0.06</v>
      </c>
      <c r="E401" s="2">
        <v>706218.57</v>
      </c>
      <c r="F401" s="2">
        <v>42373.11</v>
      </c>
    </row>
    <row r="402" spans="1:6" x14ac:dyDescent="0.25">
      <c r="A402" t="s">
        <v>4062</v>
      </c>
      <c r="B402" t="s">
        <v>7717</v>
      </c>
      <c r="C402" t="s">
        <v>42</v>
      </c>
      <c r="D402" s="7">
        <v>1</v>
      </c>
      <c r="E402" s="2">
        <v>46</v>
      </c>
      <c r="F402" s="2">
        <v>46</v>
      </c>
    </row>
    <row r="403" spans="1:6" x14ac:dyDescent="0.25">
      <c r="A403" t="s">
        <v>4062</v>
      </c>
      <c r="B403" t="s">
        <v>7721</v>
      </c>
      <c r="C403" t="s">
        <v>63</v>
      </c>
      <c r="D403" s="7">
        <v>0.01</v>
      </c>
      <c r="E403" s="2">
        <v>185957</v>
      </c>
      <c r="F403" s="2">
        <v>1859.57</v>
      </c>
    </row>
    <row r="404" spans="1:6" x14ac:dyDescent="0.25">
      <c r="A404" t="s">
        <v>4062</v>
      </c>
      <c r="B404" t="s">
        <v>7728</v>
      </c>
      <c r="C404" t="s">
        <v>34</v>
      </c>
      <c r="D404" s="7">
        <v>0.18</v>
      </c>
      <c r="E404" s="2">
        <v>111672.11</v>
      </c>
      <c r="F404" s="2">
        <v>20100.98</v>
      </c>
    </row>
    <row r="405" spans="1:6" x14ac:dyDescent="0.25">
      <c r="A405" t="s">
        <v>4049</v>
      </c>
      <c r="B405" t="s">
        <v>4241</v>
      </c>
      <c r="C405" t="s">
        <v>4051</v>
      </c>
      <c r="D405" s="7">
        <v>0.18</v>
      </c>
      <c r="E405" s="2">
        <v>9941.22</v>
      </c>
      <c r="F405" s="2">
        <v>1739.71</v>
      </c>
    </row>
    <row r="406" spans="1:6" x14ac:dyDescent="0.25">
      <c r="A406" t="s">
        <v>4049</v>
      </c>
      <c r="B406" t="s">
        <v>4242</v>
      </c>
      <c r="C406" t="s">
        <v>4051</v>
      </c>
      <c r="D406" s="7">
        <v>0.18</v>
      </c>
      <c r="E406" s="2">
        <v>17069.53</v>
      </c>
      <c r="F406" s="2">
        <v>2987.17</v>
      </c>
    </row>
    <row r="407" spans="1:6" x14ac:dyDescent="0.25">
      <c r="A407" t="s">
        <v>4052</v>
      </c>
      <c r="B407" t="s">
        <v>4092</v>
      </c>
      <c r="C407" t="s">
        <v>287</v>
      </c>
      <c r="D407" s="7">
        <v>0.16</v>
      </c>
      <c r="E407" s="2">
        <v>97476</v>
      </c>
      <c r="F407" s="2">
        <v>15596.16</v>
      </c>
    </row>
    <row r="408" spans="1:6" x14ac:dyDescent="0.25">
      <c r="A408" t="s">
        <v>4052</v>
      </c>
      <c r="B408" t="s">
        <v>7234</v>
      </c>
      <c r="C408" t="s">
        <v>287</v>
      </c>
      <c r="D408" s="7">
        <v>0.09</v>
      </c>
      <c r="E408" s="2">
        <v>8800</v>
      </c>
      <c r="F408" s="2">
        <v>748</v>
      </c>
    </row>
    <row r="409" spans="1:6" x14ac:dyDescent="0.25">
      <c r="A409" t="s">
        <v>4052</v>
      </c>
      <c r="B409" t="s">
        <v>6294</v>
      </c>
      <c r="C409" t="s">
        <v>4106</v>
      </c>
      <c r="D409" s="7">
        <v>0</v>
      </c>
      <c r="E409" s="2">
        <v>236228.11</v>
      </c>
      <c r="F409" s="2">
        <v>944.91</v>
      </c>
    </row>
    <row r="410" spans="1:6" x14ac:dyDescent="0.25">
      <c r="A410" t="s">
        <v>4052</v>
      </c>
      <c r="B410" t="s">
        <v>4053</v>
      </c>
      <c r="C410" t="s">
        <v>4054</v>
      </c>
      <c r="D410" s="7">
        <v>5</v>
      </c>
      <c r="E410" s="2">
        <v>4726.88</v>
      </c>
      <c r="F410" s="2">
        <v>236.34</v>
      </c>
    </row>
    <row r="411" spans="1:6" x14ac:dyDescent="0.25">
      <c r="A411" t="s">
        <v>4055</v>
      </c>
      <c r="D411" s="7"/>
      <c r="E411" s="2"/>
      <c r="F411" s="2">
        <f>SUBTOTAL(109,A_4_01_24[VALOR PARCIAL])</f>
      </c>
    </row>
    <row r="413" ht="30" customHeight="1" spans="1:6" x14ac:dyDescent="0.25">
      <c r="A413" s="5" t="s">
        <v>7773</v>
      </c>
      <c r="B413" s="5"/>
      <c r="C413" s="5"/>
      <c r="D413" s="5"/>
      <c r="E413" s="5"/>
      <c r="F413" s="5"/>
    </row>
    <row r="414" ht="42" customHeight="1" spans="1:6" x14ac:dyDescent="0.25">
      <c r="A414" s="6" t="s">
        <v>7774</v>
      </c>
      <c r="B414" s="6"/>
      <c r="C414" s="6"/>
      <c r="D414" s="6"/>
      <c r="E414" s="6"/>
      <c r="F414" s="6"/>
    </row>
    <row r="415" spans="1:6" x14ac:dyDescent="0.25">
      <c r="A415" t="s">
        <v>4044</v>
      </c>
      <c r="B415" t="s">
        <v>4045</v>
      </c>
      <c r="C415" t="s">
        <v>5</v>
      </c>
      <c r="D415" t="s">
        <v>4046</v>
      </c>
      <c r="E415" t="s">
        <v>4047</v>
      </c>
      <c r="F415" t="s">
        <v>4048</v>
      </c>
    </row>
    <row r="416" spans="1:6" x14ac:dyDescent="0.25">
      <c r="A416" t="s">
        <v>4062</v>
      </c>
      <c r="B416" t="s">
        <v>4547</v>
      </c>
      <c r="C416" t="s">
        <v>34</v>
      </c>
      <c r="D416" s="7">
        <v>0.24</v>
      </c>
      <c r="E416" s="2">
        <v>57129.33</v>
      </c>
      <c r="F416" s="2">
        <v>13711.04</v>
      </c>
    </row>
    <row r="417" spans="1:6" x14ac:dyDescent="0.25">
      <c r="A417" t="s">
        <v>4062</v>
      </c>
      <c r="B417" t="s">
        <v>7768</v>
      </c>
      <c r="C417" t="s">
        <v>42</v>
      </c>
      <c r="D417" s="7">
        <v>1</v>
      </c>
      <c r="E417" s="2">
        <v>67156.83</v>
      </c>
      <c r="F417" s="2">
        <v>67156.83</v>
      </c>
    </row>
    <row r="418" spans="1:6" x14ac:dyDescent="0.25">
      <c r="A418" t="s">
        <v>4062</v>
      </c>
      <c r="B418" t="s">
        <v>7581</v>
      </c>
      <c r="C418" t="s">
        <v>21</v>
      </c>
      <c r="D418" s="7">
        <v>0.4</v>
      </c>
      <c r="E418" s="2">
        <v>3850</v>
      </c>
      <c r="F418" s="2">
        <v>1540</v>
      </c>
    </row>
    <row r="419" spans="1:6" x14ac:dyDescent="0.25">
      <c r="A419" t="s">
        <v>4062</v>
      </c>
      <c r="B419" t="s">
        <v>7717</v>
      </c>
      <c r="C419" t="s">
        <v>42</v>
      </c>
      <c r="D419" s="7">
        <v>1</v>
      </c>
      <c r="E419" s="2">
        <v>46</v>
      </c>
      <c r="F419" s="2">
        <v>46</v>
      </c>
    </row>
    <row r="420" spans="1:6" x14ac:dyDescent="0.25">
      <c r="A420" t="s">
        <v>4049</v>
      </c>
      <c r="B420" t="s">
        <v>4050</v>
      </c>
      <c r="C420" t="s">
        <v>4051</v>
      </c>
      <c r="D420" s="7">
        <v>0.7</v>
      </c>
      <c r="E420" s="2">
        <v>9037.33</v>
      </c>
      <c r="F420" s="2">
        <v>6326.13</v>
      </c>
    </row>
    <row r="421" spans="1:6" x14ac:dyDescent="0.25">
      <c r="A421" t="s">
        <v>4049</v>
      </c>
      <c r="B421" t="s">
        <v>4241</v>
      </c>
      <c r="C421" t="s">
        <v>4051</v>
      </c>
      <c r="D421" s="7">
        <v>0.18</v>
      </c>
      <c r="E421" s="2">
        <v>9941.22</v>
      </c>
      <c r="F421" s="2">
        <v>1739.71</v>
      </c>
    </row>
    <row r="422" spans="1:6" x14ac:dyDescent="0.25">
      <c r="A422" t="s">
        <v>4049</v>
      </c>
      <c r="B422" t="s">
        <v>4073</v>
      </c>
      <c r="C422" t="s">
        <v>4051</v>
      </c>
      <c r="D422" s="7">
        <v>0.7</v>
      </c>
      <c r="E422" s="2">
        <v>15517.89</v>
      </c>
      <c r="F422" s="2">
        <v>10862.52</v>
      </c>
    </row>
    <row r="423" spans="1:6" x14ac:dyDescent="0.25">
      <c r="A423" t="s">
        <v>4049</v>
      </c>
      <c r="B423" t="s">
        <v>4242</v>
      </c>
      <c r="C423" t="s">
        <v>4051</v>
      </c>
      <c r="D423" s="7">
        <v>0.18</v>
      </c>
      <c r="E423" s="2">
        <v>17069.53</v>
      </c>
      <c r="F423" s="2">
        <v>2987.17</v>
      </c>
    </row>
    <row r="424" spans="1:6" x14ac:dyDescent="0.25">
      <c r="A424" t="s">
        <v>4052</v>
      </c>
      <c r="B424" t="s">
        <v>6294</v>
      </c>
      <c r="C424" t="s">
        <v>4106</v>
      </c>
      <c r="D424" s="7">
        <v>0</v>
      </c>
      <c r="E424" s="2">
        <v>236228.11</v>
      </c>
      <c r="F424" s="2">
        <v>944.91</v>
      </c>
    </row>
    <row r="425" spans="1:6" x14ac:dyDescent="0.25">
      <c r="A425" t="s">
        <v>4052</v>
      </c>
      <c r="B425" t="s">
        <v>4342</v>
      </c>
      <c r="C425" t="s">
        <v>4106</v>
      </c>
      <c r="D425" s="7">
        <v>0.02</v>
      </c>
      <c r="E425" s="2">
        <v>66666.67</v>
      </c>
      <c r="F425" s="2">
        <v>1333.33</v>
      </c>
    </row>
    <row r="426" spans="1:6" x14ac:dyDescent="0.25">
      <c r="A426" t="s">
        <v>4052</v>
      </c>
      <c r="B426" t="s">
        <v>4053</v>
      </c>
      <c r="C426" t="s">
        <v>4054</v>
      </c>
      <c r="D426" s="7">
        <v>5</v>
      </c>
      <c r="E426" s="2">
        <v>21915.53</v>
      </c>
      <c r="F426" s="2">
        <v>1095.78</v>
      </c>
    </row>
    <row r="427" spans="1:6" x14ac:dyDescent="0.25">
      <c r="A427" t="s">
        <v>4055</v>
      </c>
      <c r="D427" s="7"/>
      <c r="E427" s="2"/>
      <c r="F427" s="2">
        <f>SUBTOTAL(109,A_4_01_25[VALOR PARCIAL])</f>
      </c>
    </row>
    <row r="429" ht="30" customHeight="1" spans="1:6" x14ac:dyDescent="0.25">
      <c r="A429" s="5" t="s">
        <v>7775</v>
      </c>
      <c r="B429" s="5"/>
      <c r="C429" s="5"/>
      <c r="D429" s="5"/>
      <c r="E429" s="5"/>
      <c r="F429" s="5"/>
    </row>
    <row r="430" ht="42" customHeight="1" spans="1:6" x14ac:dyDescent="0.25">
      <c r="A430" s="6" t="s">
        <v>7776</v>
      </c>
      <c r="B430" s="6"/>
      <c r="C430" s="6"/>
      <c r="D430" s="6"/>
      <c r="E430" s="6"/>
      <c r="F430" s="6"/>
    </row>
    <row r="431" spans="1:6" x14ac:dyDescent="0.25">
      <c r="A431" t="s">
        <v>4044</v>
      </c>
      <c r="B431" t="s">
        <v>4045</v>
      </c>
      <c r="C431" t="s">
        <v>5</v>
      </c>
      <c r="D431" t="s">
        <v>4046</v>
      </c>
      <c r="E431" t="s">
        <v>4047</v>
      </c>
      <c r="F431" t="s">
        <v>4048</v>
      </c>
    </row>
    <row r="432" spans="1:6" x14ac:dyDescent="0.25">
      <c r="A432" t="s">
        <v>4062</v>
      </c>
      <c r="B432" t="s">
        <v>7777</v>
      </c>
      <c r="C432" t="s">
        <v>42</v>
      </c>
      <c r="D432" s="7">
        <v>1</v>
      </c>
      <c r="E432" s="2">
        <v>94921</v>
      </c>
      <c r="F432" s="2">
        <v>94921</v>
      </c>
    </row>
    <row r="433" spans="1:6" x14ac:dyDescent="0.25">
      <c r="A433" t="s">
        <v>4062</v>
      </c>
      <c r="B433" t="s">
        <v>5816</v>
      </c>
      <c r="C433" t="s">
        <v>34</v>
      </c>
      <c r="D433" s="7">
        <v>0.02</v>
      </c>
      <c r="E433" s="2">
        <v>93966.67</v>
      </c>
      <c r="F433" s="2">
        <v>1879.33</v>
      </c>
    </row>
    <row r="434" spans="1:6" x14ac:dyDescent="0.25">
      <c r="A434" t="s">
        <v>4062</v>
      </c>
      <c r="B434" t="s">
        <v>7717</v>
      </c>
      <c r="C434" t="s">
        <v>42</v>
      </c>
      <c r="D434" s="7">
        <v>1</v>
      </c>
      <c r="E434" s="2">
        <v>46</v>
      </c>
      <c r="F434" s="2">
        <v>46</v>
      </c>
    </row>
    <row r="435" spans="1:6" x14ac:dyDescent="0.25">
      <c r="A435" t="s">
        <v>4062</v>
      </c>
      <c r="B435" t="s">
        <v>3261</v>
      </c>
      <c r="C435" t="s">
        <v>34</v>
      </c>
      <c r="D435" s="7">
        <v>0.22</v>
      </c>
      <c r="E435" s="2">
        <v>90100.77</v>
      </c>
      <c r="F435" s="2">
        <v>19822.17</v>
      </c>
    </row>
    <row r="436" spans="1:6" x14ac:dyDescent="0.25">
      <c r="A436" t="s">
        <v>4062</v>
      </c>
      <c r="B436" t="s">
        <v>7718</v>
      </c>
      <c r="C436" t="s">
        <v>21</v>
      </c>
      <c r="D436" s="7">
        <v>0.4</v>
      </c>
      <c r="E436" s="2">
        <v>35458.33</v>
      </c>
      <c r="F436" s="2">
        <v>14183.33</v>
      </c>
    </row>
    <row r="437" spans="1:6" x14ac:dyDescent="0.25">
      <c r="A437" t="s">
        <v>4062</v>
      </c>
      <c r="B437" t="s">
        <v>4076</v>
      </c>
      <c r="C437" t="s">
        <v>3963</v>
      </c>
      <c r="D437" s="7">
        <v>2.85</v>
      </c>
      <c r="E437" s="2">
        <v>21</v>
      </c>
      <c r="F437" s="2">
        <v>59.85</v>
      </c>
    </row>
    <row r="438" spans="1:6" x14ac:dyDescent="0.25">
      <c r="A438" t="s">
        <v>4049</v>
      </c>
      <c r="B438" t="s">
        <v>4050</v>
      </c>
      <c r="C438" t="s">
        <v>4051</v>
      </c>
      <c r="D438" s="7">
        <v>1.05</v>
      </c>
      <c r="E438" s="2">
        <v>9037.33</v>
      </c>
      <c r="F438" s="2">
        <v>9489.2</v>
      </c>
    </row>
    <row r="439" spans="1:6" x14ac:dyDescent="0.25">
      <c r="A439" t="s">
        <v>4049</v>
      </c>
      <c r="B439" t="s">
        <v>4241</v>
      </c>
      <c r="C439" t="s">
        <v>4051</v>
      </c>
      <c r="D439" s="7">
        <v>0.25</v>
      </c>
      <c r="E439" s="2">
        <v>9941.22</v>
      </c>
      <c r="F439" s="2">
        <v>2485.3</v>
      </c>
    </row>
    <row r="440" spans="1:6" x14ac:dyDescent="0.25">
      <c r="A440" t="s">
        <v>4049</v>
      </c>
      <c r="B440" t="s">
        <v>4073</v>
      </c>
      <c r="C440" t="s">
        <v>4051</v>
      </c>
      <c r="D440" s="7">
        <v>1.05</v>
      </c>
      <c r="E440" s="2">
        <v>15517.89</v>
      </c>
      <c r="F440" s="2">
        <v>16293.78</v>
      </c>
    </row>
    <row r="441" spans="1:6" x14ac:dyDescent="0.25">
      <c r="A441" t="s">
        <v>4049</v>
      </c>
      <c r="B441" t="s">
        <v>4242</v>
      </c>
      <c r="C441" t="s">
        <v>4051</v>
      </c>
      <c r="D441" s="7">
        <v>0.25</v>
      </c>
      <c r="E441" s="2">
        <v>17069.53</v>
      </c>
      <c r="F441" s="2">
        <v>4267.38</v>
      </c>
    </row>
    <row r="442" spans="1:6" x14ac:dyDescent="0.25">
      <c r="A442" t="s">
        <v>4052</v>
      </c>
      <c r="B442" t="s">
        <v>6294</v>
      </c>
      <c r="C442" t="s">
        <v>4106</v>
      </c>
      <c r="D442" s="7">
        <v>0</v>
      </c>
      <c r="E442" s="2">
        <v>236228.11</v>
      </c>
      <c r="F442" s="2">
        <v>944.91</v>
      </c>
    </row>
    <row r="443" spans="1:6" x14ac:dyDescent="0.25">
      <c r="A443" t="s">
        <v>4052</v>
      </c>
      <c r="B443" t="s">
        <v>4342</v>
      </c>
      <c r="C443" t="s">
        <v>4106</v>
      </c>
      <c r="D443" s="7">
        <v>0.02</v>
      </c>
      <c r="E443" s="2">
        <v>66666.67</v>
      </c>
      <c r="F443" s="2">
        <v>1333.33</v>
      </c>
    </row>
    <row r="444" spans="1:6" x14ac:dyDescent="0.25">
      <c r="A444" t="s">
        <v>4052</v>
      </c>
      <c r="B444" t="s">
        <v>4053</v>
      </c>
      <c r="C444" t="s">
        <v>4054</v>
      </c>
      <c r="D444" s="7">
        <v>5</v>
      </c>
      <c r="E444" s="2">
        <v>32535.66</v>
      </c>
      <c r="F444" s="2">
        <v>1626.78</v>
      </c>
    </row>
    <row r="445" spans="1:6" x14ac:dyDescent="0.25">
      <c r="A445" t="s">
        <v>4055</v>
      </c>
      <c r="D445" s="7"/>
      <c r="E445" s="2"/>
      <c r="F445" s="2">
        <f>SUBTOTAL(109,A_4_01_26[VALOR PARCIAL])</f>
      </c>
    </row>
    <row r="447" ht="30" customHeight="1" spans="1:6" x14ac:dyDescent="0.25">
      <c r="A447" s="5" t="s">
        <v>7778</v>
      </c>
      <c r="B447" s="5"/>
      <c r="C447" s="5"/>
      <c r="D447" s="5"/>
      <c r="E447" s="5"/>
      <c r="F447" s="5"/>
    </row>
    <row r="448" ht="42" customHeight="1" spans="1:6" x14ac:dyDescent="0.25">
      <c r="A448" s="6" t="s">
        <v>7779</v>
      </c>
      <c r="B448" s="6"/>
      <c r="C448" s="6"/>
      <c r="D448" s="6"/>
      <c r="E448" s="6"/>
      <c r="F448" s="6"/>
    </row>
    <row r="449" spans="1:6" x14ac:dyDescent="0.25">
      <c r="A449" t="s">
        <v>4044</v>
      </c>
      <c r="B449" t="s">
        <v>4045</v>
      </c>
      <c r="C449" t="s">
        <v>5</v>
      </c>
      <c r="D449" t="s">
        <v>4046</v>
      </c>
      <c r="E449" t="s">
        <v>4047</v>
      </c>
      <c r="F449" t="s">
        <v>4048</v>
      </c>
    </row>
    <row r="450" spans="1:6" x14ac:dyDescent="0.25">
      <c r="A450" t="s">
        <v>4062</v>
      </c>
      <c r="B450" t="s">
        <v>7777</v>
      </c>
      <c r="C450" t="s">
        <v>42</v>
      </c>
      <c r="D450" s="7">
        <v>1</v>
      </c>
      <c r="E450" s="2">
        <v>94921</v>
      </c>
      <c r="F450" s="2">
        <v>94921</v>
      </c>
    </row>
    <row r="451" spans="1:6" x14ac:dyDescent="0.25">
      <c r="A451" t="s">
        <v>4062</v>
      </c>
      <c r="B451" t="s">
        <v>7717</v>
      </c>
      <c r="C451" t="s">
        <v>42</v>
      </c>
      <c r="D451" s="7">
        <v>1</v>
      </c>
      <c r="E451" s="2">
        <v>46</v>
      </c>
      <c r="F451" s="2">
        <v>46</v>
      </c>
    </row>
    <row r="452" spans="1:6" x14ac:dyDescent="0.25">
      <c r="A452" t="s">
        <v>4062</v>
      </c>
      <c r="B452" t="s">
        <v>7721</v>
      </c>
      <c r="C452" t="s">
        <v>63</v>
      </c>
      <c r="D452" s="7">
        <v>0.01</v>
      </c>
      <c r="E452" s="2">
        <v>185957</v>
      </c>
      <c r="F452" s="2">
        <v>1859.57</v>
      </c>
    </row>
    <row r="453" spans="1:6" x14ac:dyDescent="0.25">
      <c r="A453" t="s">
        <v>4062</v>
      </c>
      <c r="B453" t="s">
        <v>7722</v>
      </c>
      <c r="C453" t="s">
        <v>34</v>
      </c>
      <c r="D453" s="7">
        <v>0.12</v>
      </c>
      <c r="E453" s="2">
        <v>90100.77</v>
      </c>
      <c r="F453" s="2">
        <v>10812.09</v>
      </c>
    </row>
    <row r="454" spans="1:6" x14ac:dyDescent="0.25">
      <c r="A454" t="s">
        <v>4062</v>
      </c>
      <c r="B454" t="s">
        <v>7723</v>
      </c>
      <c r="C454" t="s">
        <v>34</v>
      </c>
      <c r="D454" s="7">
        <v>0.07</v>
      </c>
      <c r="E454" s="2">
        <v>111672.11</v>
      </c>
      <c r="F454" s="2">
        <v>7817.05</v>
      </c>
    </row>
    <row r="455" spans="1:6" x14ac:dyDescent="0.25">
      <c r="A455" t="s">
        <v>4062</v>
      </c>
      <c r="B455" t="s">
        <v>7724</v>
      </c>
      <c r="C455" t="s">
        <v>21</v>
      </c>
      <c r="D455" s="7">
        <v>0.8</v>
      </c>
      <c r="E455" s="2">
        <v>3399.59</v>
      </c>
      <c r="F455" s="2">
        <v>2719.67</v>
      </c>
    </row>
    <row r="456" spans="1:6" x14ac:dyDescent="0.25">
      <c r="A456" t="s">
        <v>4062</v>
      </c>
      <c r="B456" t="s">
        <v>7725</v>
      </c>
      <c r="C456" t="s">
        <v>34</v>
      </c>
      <c r="D456" s="7">
        <v>0.07</v>
      </c>
      <c r="E456" s="2">
        <v>582852.45</v>
      </c>
      <c r="F456" s="2">
        <v>40799.67</v>
      </c>
    </row>
    <row r="457" spans="1:6" x14ac:dyDescent="0.25">
      <c r="A457" t="s">
        <v>4049</v>
      </c>
      <c r="B457" t="s">
        <v>4241</v>
      </c>
      <c r="C457" t="s">
        <v>4051</v>
      </c>
      <c r="D457" s="7">
        <v>0.5</v>
      </c>
      <c r="E457" s="2">
        <v>9941.22</v>
      </c>
      <c r="F457" s="2">
        <v>4970.61</v>
      </c>
    </row>
    <row r="458" spans="1:6" x14ac:dyDescent="0.25">
      <c r="A458" t="s">
        <v>4049</v>
      </c>
      <c r="B458" t="s">
        <v>4242</v>
      </c>
      <c r="C458" t="s">
        <v>4051</v>
      </c>
      <c r="D458" s="7">
        <v>0.5</v>
      </c>
      <c r="E458" s="2">
        <v>17069.53</v>
      </c>
      <c r="F458" s="2">
        <v>8534.76</v>
      </c>
    </row>
    <row r="459" spans="1:6" x14ac:dyDescent="0.25">
      <c r="A459" t="s">
        <v>4052</v>
      </c>
      <c r="B459" t="s">
        <v>4092</v>
      </c>
      <c r="C459" t="s">
        <v>287</v>
      </c>
      <c r="D459" s="7">
        <v>0.16</v>
      </c>
      <c r="E459" s="2">
        <v>97476</v>
      </c>
      <c r="F459" s="2">
        <v>15596.16</v>
      </c>
    </row>
    <row r="460" spans="1:6" x14ac:dyDescent="0.25">
      <c r="A460" t="s">
        <v>4052</v>
      </c>
      <c r="B460" t="s">
        <v>7234</v>
      </c>
      <c r="C460" t="s">
        <v>287</v>
      </c>
      <c r="D460" s="7">
        <v>0.09</v>
      </c>
      <c r="E460" s="2">
        <v>8800</v>
      </c>
      <c r="F460" s="2">
        <v>748</v>
      </c>
    </row>
    <row r="461" spans="1:6" x14ac:dyDescent="0.25">
      <c r="A461" t="s">
        <v>4052</v>
      </c>
      <c r="B461" t="s">
        <v>6294</v>
      </c>
      <c r="C461" t="s">
        <v>4106</v>
      </c>
      <c r="D461" s="7">
        <v>0</v>
      </c>
      <c r="E461" s="2">
        <v>236228.11</v>
      </c>
      <c r="F461" s="2">
        <v>944.91</v>
      </c>
    </row>
    <row r="462" spans="1:6" x14ac:dyDescent="0.25">
      <c r="A462" t="s">
        <v>4052</v>
      </c>
      <c r="B462" t="s">
        <v>4053</v>
      </c>
      <c r="C462" t="s">
        <v>4054</v>
      </c>
      <c r="D462" s="7">
        <v>5</v>
      </c>
      <c r="E462" s="2">
        <v>13505.37</v>
      </c>
      <c r="F462" s="2">
        <v>675.27</v>
      </c>
    </row>
    <row r="463" spans="1:6" x14ac:dyDescent="0.25">
      <c r="A463" t="s">
        <v>4055</v>
      </c>
      <c r="D463" s="7"/>
      <c r="E463" s="2"/>
      <c r="F463" s="2">
        <f>SUBTOTAL(109,A_4_01_27[VALOR PARCIAL])</f>
      </c>
    </row>
    <row r="465" ht="30" customHeight="1" spans="1:6" x14ac:dyDescent="0.25">
      <c r="A465" s="5" t="s">
        <v>7780</v>
      </c>
      <c r="B465" s="5"/>
      <c r="C465" s="5"/>
      <c r="D465" s="5"/>
      <c r="E465" s="5"/>
      <c r="F465" s="5"/>
    </row>
    <row r="466" ht="42" customHeight="1" spans="1:6" x14ac:dyDescent="0.25">
      <c r="A466" s="6" t="s">
        <v>7781</v>
      </c>
      <c r="B466" s="6"/>
      <c r="C466" s="6"/>
      <c r="D466" s="6"/>
      <c r="E466" s="6"/>
      <c r="F466" s="6"/>
    </row>
    <row r="467" spans="1:6" x14ac:dyDescent="0.25">
      <c r="A467" t="s">
        <v>4044</v>
      </c>
      <c r="B467" t="s">
        <v>4045</v>
      </c>
      <c r="C467" t="s">
        <v>5</v>
      </c>
      <c r="D467" t="s">
        <v>4046</v>
      </c>
      <c r="E467" t="s">
        <v>4047</v>
      </c>
      <c r="F467" t="s">
        <v>4048</v>
      </c>
    </row>
    <row r="468" spans="1:6" x14ac:dyDescent="0.25">
      <c r="A468" t="s">
        <v>4062</v>
      </c>
      <c r="B468" t="s">
        <v>7777</v>
      </c>
      <c r="C468" t="s">
        <v>42</v>
      </c>
      <c r="D468" s="7">
        <v>1</v>
      </c>
      <c r="E468" s="2">
        <v>94921</v>
      </c>
      <c r="F468" s="2">
        <v>94921</v>
      </c>
    </row>
    <row r="469" spans="1:6" x14ac:dyDescent="0.25">
      <c r="A469" t="s">
        <v>4062</v>
      </c>
      <c r="B469" t="s">
        <v>3265</v>
      </c>
      <c r="C469" t="s">
        <v>34</v>
      </c>
      <c r="D469" s="7">
        <v>0.07</v>
      </c>
      <c r="E469" s="2">
        <v>706218.57</v>
      </c>
      <c r="F469" s="2">
        <v>49435.3</v>
      </c>
    </row>
    <row r="470" spans="1:6" x14ac:dyDescent="0.25">
      <c r="A470" t="s">
        <v>4062</v>
      </c>
      <c r="B470" t="s">
        <v>7717</v>
      </c>
      <c r="C470" t="s">
        <v>42</v>
      </c>
      <c r="D470" s="7">
        <v>1</v>
      </c>
      <c r="E470" s="2">
        <v>46</v>
      </c>
      <c r="F470" s="2">
        <v>46</v>
      </c>
    </row>
    <row r="471" spans="1:6" x14ac:dyDescent="0.25">
      <c r="A471" t="s">
        <v>4062</v>
      </c>
      <c r="B471" t="s">
        <v>7721</v>
      </c>
      <c r="C471" t="s">
        <v>63</v>
      </c>
      <c r="D471" s="7">
        <v>0.01</v>
      </c>
      <c r="E471" s="2">
        <v>185957</v>
      </c>
      <c r="F471" s="2">
        <v>1859.57</v>
      </c>
    </row>
    <row r="472" spans="1:6" x14ac:dyDescent="0.25">
      <c r="A472" t="s">
        <v>4062</v>
      </c>
      <c r="B472" t="s">
        <v>7728</v>
      </c>
      <c r="C472" t="s">
        <v>34</v>
      </c>
      <c r="D472" s="7">
        <v>0.18</v>
      </c>
      <c r="E472" s="2">
        <v>111672.11</v>
      </c>
      <c r="F472" s="2">
        <v>20100.98</v>
      </c>
    </row>
    <row r="473" spans="1:6" x14ac:dyDescent="0.25">
      <c r="A473" t="s">
        <v>4049</v>
      </c>
      <c r="B473" t="s">
        <v>4241</v>
      </c>
      <c r="C473" t="s">
        <v>4051</v>
      </c>
      <c r="D473" s="7">
        <v>0.2</v>
      </c>
      <c r="E473" s="2">
        <v>9941.22</v>
      </c>
      <c r="F473" s="2">
        <v>1988.24</v>
      </c>
    </row>
    <row r="474" spans="1:6" x14ac:dyDescent="0.25">
      <c r="A474" t="s">
        <v>4049</v>
      </c>
      <c r="B474" t="s">
        <v>4242</v>
      </c>
      <c r="C474" t="s">
        <v>4051</v>
      </c>
      <c r="D474" s="7">
        <v>0.2</v>
      </c>
      <c r="E474" s="2">
        <v>17069.53</v>
      </c>
      <c r="F474" s="2">
        <v>3413.91</v>
      </c>
    </row>
    <row r="475" spans="1:6" x14ac:dyDescent="0.25">
      <c r="A475" t="s">
        <v>4052</v>
      </c>
      <c r="B475" t="s">
        <v>4092</v>
      </c>
      <c r="C475" t="s">
        <v>287</v>
      </c>
      <c r="D475" s="7">
        <v>0.16</v>
      </c>
      <c r="E475" s="2">
        <v>97476</v>
      </c>
      <c r="F475" s="2">
        <v>15596.16</v>
      </c>
    </row>
    <row r="476" spans="1:6" x14ac:dyDescent="0.25">
      <c r="A476" t="s">
        <v>4052</v>
      </c>
      <c r="B476" t="s">
        <v>7782</v>
      </c>
      <c r="C476" t="s">
        <v>4106</v>
      </c>
      <c r="D476" s="7">
        <v>0.09</v>
      </c>
      <c r="E476" s="2">
        <v>70266.67</v>
      </c>
      <c r="F476" s="2">
        <v>5972.67</v>
      </c>
    </row>
    <row r="477" spans="1:6" x14ac:dyDescent="0.25">
      <c r="A477" t="s">
        <v>4052</v>
      </c>
      <c r="B477" t="s">
        <v>6294</v>
      </c>
      <c r="C477" t="s">
        <v>4106</v>
      </c>
      <c r="D477" s="7">
        <v>0</v>
      </c>
      <c r="E477" s="2">
        <v>236228.11</v>
      </c>
      <c r="F477" s="2">
        <v>944.91</v>
      </c>
    </row>
    <row r="478" spans="1:6" x14ac:dyDescent="0.25">
      <c r="A478" t="s">
        <v>4052</v>
      </c>
      <c r="B478" t="s">
        <v>4053</v>
      </c>
      <c r="C478" t="s">
        <v>4054</v>
      </c>
      <c r="D478" s="7">
        <v>5</v>
      </c>
      <c r="E478" s="2">
        <v>5402.15</v>
      </c>
      <c r="F478" s="2">
        <v>270.11</v>
      </c>
    </row>
    <row r="479" spans="1:6" x14ac:dyDescent="0.25">
      <c r="A479" t="s">
        <v>4055</v>
      </c>
      <c r="D479" s="7"/>
      <c r="E479" s="2"/>
      <c r="F479" s="2">
        <f>SUBTOTAL(109,A_4_01_28[VALOR PARCIAL])</f>
      </c>
    </row>
    <row r="481" ht="30" customHeight="1" spans="1:6" x14ac:dyDescent="0.25">
      <c r="A481" s="5" t="s">
        <v>7783</v>
      </c>
      <c r="B481" s="5"/>
      <c r="C481" s="5"/>
      <c r="D481" s="5"/>
      <c r="E481" s="5"/>
      <c r="F481" s="5"/>
    </row>
    <row r="482" ht="42" customHeight="1" spans="1:6" x14ac:dyDescent="0.25">
      <c r="A482" s="6" t="s">
        <v>7784</v>
      </c>
      <c r="B482" s="6"/>
      <c r="C482" s="6"/>
      <c r="D482" s="6"/>
      <c r="E482" s="6"/>
      <c r="F482" s="6"/>
    </row>
    <row r="483" spans="1:6" x14ac:dyDescent="0.25">
      <c r="A483" t="s">
        <v>4044</v>
      </c>
      <c r="B483" t="s">
        <v>4045</v>
      </c>
      <c r="C483" t="s">
        <v>5</v>
      </c>
      <c r="D483" t="s">
        <v>4046</v>
      </c>
      <c r="E483" t="s">
        <v>4047</v>
      </c>
      <c r="F483" t="s">
        <v>4048</v>
      </c>
    </row>
    <row r="484" spans="1:6" x14ac:dyDescent="0.25">
      <c r="A484" t="s">
        <v>4062</v>
      </c>
      <c r="B484" t="s">
        <v>4547</v>
      </c>
      <c r="C484" t="s">
        <v>34</v>
      </c>
      <c r="D484" s="7">
        <v>0.35</v>
      </c>
      <c r="E484" s="2">
        <v>57129.33</v>
      </c>
      <c r="F484" s="2">
        <v>19995.27</v>
      </c>
    </row>
    <row r="485" spans="1:6" x14ac:dyDescent="0.25">
      <c r="A485" t="s">
        <v>4062</v>
      </c>
      <c r="B485" t="s">
        <v>7777</v>
      </c>
      <c r="C485" t="s">
        <v>42</v>
      </c>
      <c r="D485" s="7">
        <v>1</v>
      </c>
      <c r="E485" s="2">
        <v>94921</v>
      </c>
      <c r="F485" s="2">
        <v>94921</v>
      </c>
    </row>
    <row r="486" spans="1:6" x14ac:dyDescent="0.25">
      <c r="A486" t="s">
        <v>4062</v>
      </c>
      <c r="B486" t="s">
        <v>7581</v>
      </c>
      <c r="C486" t="s">
        <v>21</v>
      </c>
      <c r="D486" s="7">
        <v>0.7</v>
      </c>
      <c r="E486" s="2">
        <v>3850</v>
      </c>
      <c r="F486" s="2">
        <v>2695</v>
      </c>
    </row>
    <row r="487" spans="1:6" x14ac:dyDescent="0.25">
      <c r="A487" t="s">
        <v>4062</v>
      </c>
      <c r="B487" t="s">
        <v>7717</v>
      </c>
      <c r="C487" t="s">
        <v>42</v>
      </c>
      <c r="D487" s="7">
        <v>1</v>
      </c>
      <c r="E487" s="2">
        <v>46</v>
      </c>
      <c r="F487" s="2">
        <v>46</v>
      </c>
    </row>
    <row r="488" spans="1:6" x14ac:dyDescent="0.25">
      <c r="A488" t="s">
        <v>4049</v>
      </c>
      <c r="B488" t="s">
        <v>4050</v>
      </c>
      <c r="C488" t="s">
        <v>4051</v>
      </c>
      <c r="D488" s="7">
        <v>0.7</v>
      </c>
      <c r="E488" s="2">
        <v>9037.33</v>
      </c>
      <c r="F488" s="2">
        <v>6326.13</v>
      </c>
    </row>
    <row r="489" spans="1:6" x14ac:dyDescent="0.25">
      <c r="A489" t="s">
        <v>4049</v>
      </c>
      <c r="B489" t="s">
        <v>4241</v>
      </c>
      <c r="C489" t="s">
        <v>4051</v>
      </c>
      <c r="D489" s="7">
        <v>0.25</v>
      </c>
      <c r="E489" s="2">
        <v>9941.22</v>
      </c>
      <c r="F489" s="2">
        <v>2485.3</v>
      </c>
    </row>
    <row r="490" spans="1:6" x14ac:dyDescent="0.25">
      <c r="A490" t="s">
        <v>4049</v>
      </c>
      <c r="B490" t="s">
        <v>4073</v>
      </c>
      <c r="C490" t="s">
        <v>4051</v>
      </c>
      <c r="D490" s="7">
        <v>0.7</v>
      </c>
      <c r="E490" s="2">
        <v>15517.89</v>
      </c>
      <c r="F490" s="2">
        <v>10862.52</v>
      </c>
    </row>
    <row r="491" spans="1:6" x14ac:dyDescent="0.25">
      <c r="A491" t="s">
        <v>4049</v>
      </c>
      <c r="B491" t="s">
        <v>4242</v>
      </c>
      <c r="C491" t="s">
        <v>4051</v>
      </c>
      <c r="D491" s="7">
        <v>0.25</v>
      </c>
      <c r="E491" s="2">
        <v>17069.53</v>
      </c>
      <c r="F491" s="2">
        <v>4267.38</v>
      </c>
    </row>
    <row r="492" spans="1:6" x14ac:dyDescent="0.25">
      <c r="A492" t="s">
        <v>4052</v>
      </c>
      <c r="B492" t="s">
        <v>6294</v>
      </c>
      <c r="C492" t="s">
        <v>4106</v>
      </c>
      <c r="D492" s="7">
        <v>0</v>
      </c>
      <c r="E492" s="2">
        <v>236228.11</v>
      </c>
      <c r="F492" s="2">
        <v>944.91</v>
      </c>
    </row>
    <row r="493" spans="1:6" x14ac:dyDescent="0.25">
      <c r="A493" t="s">
        <v>4052</v>
      </c>
      <c r="B493" t="s">
        <v>4342</v>
      </c>
      <c r="C493" t="s">
        <v>4106</v>
      </c>
      <c r="D493" s="7">
        <v>0.02</v>
      </c>
      <c r="E493" s="2">
        <v>66666.67</v>
      </c>
      <c r="F493" s="2">
        <v>1333.33</v>
      </c>
    </row>
    <row r="494" spans="1:6" x14ac:dyDescent="0.25">
      <c r="A494" t="s">
        <v>4052</v>
      </c>
      <c r="B494" t="s">
        <v>4053</v>
      </c>
      <c r="C494" t="s">
        <v>4054</v>
      </c>
      <c r="D494" s="7">
        <v>5</v>
      </c>
      <c r="E494" s="2">
        <v>23941.33</v>
      </c>
      <c r="F494" s="2">
        <v>1197.07</v>
      </c>
    </row>
    <row r="495" spans="1:6" x14ac:dyDescent="0.25">
      <c r="A495" t="s">
        <v>4055</v>
      </c>
      <c r="D495" s="7"/>
      <c r="E495" s="2"/>
      <c r="F495" s="2">
        <f>SUBTOTAL(109,A_4_01_29[VALOR PARCIAL])</f>
      </c>
    </row>
    <row r="497" ht="30" customHeight="1" spans="1:6" x14ac:dyDescent="0.25">
      <c r="A497" s="5" t="s">
        <v>7785</v>
      </c>
      <c r="B497" s="5"/>
      <c r="C497" s="5"/>
      <c r="D497" s="5"/>
      <c r="E497" s="5"/>
      <c r="F497" s="5"/>
    </row>
    <row r="498" ht="42" customHeight="1" spans="1:6" x14ac:dyDescent="0.25">
      <c r="A498" s="6" t="s">
        <v>7786</v>
      </c>
      <c r="B498" s="6"/>
      <c r="C498" s="6"/>
      <c r="D498" s="6"/>
      <c r="E498" s="6"/>
      <c r="F498" s="6"/>
    </row>
    <row r="499" spans="1:6" x14ac:dyDescent="0.25">
      <c r="A499" t="s">
        <v>4044</v>
      </c>
      <c r="B499" t="s">
        <v>4045</v>
      </c>
      <c r="C499" t="s">
        <v>5</v>
      </c>
      <c r="D499" t="s">
        <v>4046</v>
      </c>
      <c r="E499" t="s">
        <v>4047</v>
      </c>
      <c r="F499" t="s">
        <v>4048</v>
      </c>
    </row>
    <row r="500" spans="1:6" x14ac:dyDescent="0.25">
      <c r="A500" t="s">
        <v>4062</v>
      </c>
      <c r="B500" t="s">
        <v>5054</v>
      </c>
      <c r="C500" t="s">
        <v>63</v>
      </c>
      <c r="D500" s="7">
        <v>1</v>
      </c>
      <c r="E500" s="2">
        <v>1235</v>
      </c>
      <c r="F500" s="2">
        <v>1235</v>
      </c>
    </row>
    <row r="501" spans="1:6" x14ac:dyDescent="0.25">
      <c r="A501" t="s">
        <v>4062</v>
      </c>
      <c r="B501" t="s">
        <v>4708</v>
      </c>
      <c r="C501" t="s">
        <v>42</v>
      </c>
      <c r="D501" s="7">
        <v>1.5</v>
      </c>
      <c r="E501" s="2">
        <v>9130</v>
      </c>
      <c r="F501" s="2">
        <v>13695</v>
      </c>
    </row>
    <row r="502" spans="1:6" x14ac:dyDescent="0.25">
      <c r="A502" t="s">
        <v>4062</v>
      </c>
      <c r="B502" t="s">
        <v>4691</v>
      </c>
      <c r="C502" t="s">
        <v>4532</v>
      </c>
      <c r="D502" s="7">
        <v>1</v>
      </c>
      <c r="E502" s="2">
        <v>748</v>
      </c>
      <c r="F502" s="2">
        <v>748</v>
      </c>
    </row>
    <row r="503" spans="1:6" x14ac:dyDescent="0.25">
      <c r="A503" t="s">
        <v>4062</v>
      </c>
      <c r="B503" t="s">
        <v>4713</v>
      </c>
      <c r="C503" t="s">
        <v>63</v>
      </c>
      <c r="D503" s="7">
        <v>2</v>
      </c>
      <c r="E503" s="2">
        <v>1647</v>
      </c>
      <c r="F503" s="2">
        <v>3294</v>
      </c>
    </row>
    <row r="504" spans="1:6" x14ac:dyDescent="0.25">
      <c r="A504" t="s">
        <v>4049</v>
      </c>
      <c r="B504" t="s">
        <v>4241</v>
      </c>
      <c r="C504" t="s">
        <v>4051</v>
      </c>
      <c r="D504" s="7">
        <v>2.27</v>
      </c>
      <c r="E504" s="2">
        <v>9941.22</v>
      </c>
      <c r="F504" s="2">
        <v>22566.57</v>
      </c>
    </row>
    <row r="505" spans="1:6" x14ac:dyDescent="0.25">
      <c r="A505" t="s">
        <v>4049</v>
      </c>
      <c r="B505" t="s">
        <v>4242</v>
      </c>
      <c r="C505" t="s">
        <v>4051</v>
      </c>
      <c r="D505" s="7">
        <v>2.27</v>
      </c>
      <c r="E505" s="2">
        <v>17069.53</v>
      </c>
      <c r="F505" s="2">
        <v>38747.83</v>
      </c>
    </row>
    <row r="506" spans="1:6" x14ac:dyDescent="0.25">
      <c r="A506" t="s">
        <v>4052</v>
      </c>
      <c r="B506" t="s">
        <v>4053</v>
      </c>
      <c r="C506" t="s">
        <v>4054</v>
      </c>
      <c r="D506" s="7">
        <v>4</v>
      </c>
      <c r="E506" s="2">
        <v>61314.4</v>
      </c>
      <c r="F506" s="2">
        <v>2452.58</v>
      </c>
    </row>
    <row r="507" spans="1:6" x14ac:dyDescent="0.25">
      <c r="A507" t="s">
        <v>4055</v>
      </c>
      <c r="D507" s="7"/>
      <c r="E507" s="2"/>
      <c r="F507" s="2">
        <f>SUBTOTAL(109,A_4_01_30[VALOR PARCIAL])</f>
      </c>
    </row>
  </sheetData>
  <mergeCells count="60">
    <mergeCell ref="A4:F4"/>
    <mergeCell ref="A5:F5"/>
    <mergeCell ref="A21:F21"/>
    <mergeCell ref="A22:F22"/>
    <mergeCell ref="A39:F39"/>
    <mergeCell ref="A40:F40"/>
    <mergeCell ref="A57:F57"/>
    <mergeCell ref="A58:F58"/>
    <mergeCell ref="A73:F73"/>
    <mergeCell ref="A74:F74"/>
    <mergeCell ref="A89:F89"/>
    <mergeCell ref="A90:F90"/>
    <mergeCell ref="A107:F107"/>
    <mergeCell ref="A108:F108"/>
    <mergeCell ref="A125:F125"/>
    <mergeCell ref="A126:F126"/>
    <mergeCell ref="A141:F141"/>
    <mergeCell ref="A142:F142"/>
    <mergeCell ref="A157:F157"/>
    <mergeCell ref="A158:F158"/>
    <mergeCell ref="A175:F175"/>
    <mergeCell ref="A176:F176"/>
    <mergeCell ref="A193:F193"/>
    <mergeCell ref="A194:F194"/>
    <mergeCell ref="A209:F209"/>
    <mergeCell ref="A210:F210"/>
    <mergeCell ref="A225:F225"/>
    <mergeCell ref="A226:F226"/>
    <mergeCell ref="A243:F243"/>
    <mergeCell ref="A244:F244"/>
    <mergeCell ref="A261:F261"/>
    <mergeCell ref="A262:F262"/>
    <mergeCell ref="A277:F277"/>
    <mergeCell ref="A278:F278"/>
    <mergeCell ref="A293:F293"/>
    <mergeCell ref="A294:F294"/>
    <mergeCell ref="A311:F311"/>
    <mergeCell ref="A312:F312"/>
    <mergeCell ref="A329:F329"/>
    <mergeCell ref="A330:F330"/>
    <mergeCell ref="A345:F345"/>
    <mergeCell ref="A346:F346"/>
    <mergeCell ref="A361:F361"/>
    <mergeCell ref="A362:F362"/>
    <mergeCell ref="A379:F379"/>
    <mergeCell ref="A380:F380"/>
    <mergeCell ref="A397:F397"/>
    <mergeCell ref="A398:F398"/>
    <mergeCell ref="A413:F413"/>
    <mergeCell ref="A414:F414"/>
    <mergeCell ref="A429:F429"/>
    <mergeCell ref="A430:F430"/>
    <mergeCell ref="A447:F447"/>
    <mergeCell ref="A448:F448"/>
    <mergeCell ref="A465:F465"/>
    <mergeCell ref="A466:F466"/>
    <mergeCell ref="A481:F481"/>
    <mergeCell ref="A482:F482"/>
    <mergeCell ref="A497:F497"/>
    <mergeCell ref="A498:F498"/>
  </mergeCells>
  <pageMargins left="0.7" right="0.7" top="0.75" bottom="0.75" header="0.3" footer="0.3"/>
  <pageSetup orientation="portrait" horizontalDpi="4294967295" verticalDpi="4294967295" scale="100" fitToWidth="1" fitToHeight="1"/>
  <tableParts count="3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7787</v>
      </c>
    </row>
    <row r="2" spans="1:1" x14ac:dyDescent="0.25">
      <c r="A2" s="4" t="s">
        <v>4471</v>
      </c>
    </row>
    <row r="4" ht="30" customHeight="1" spans="1:6" x14ac:dyDescent="0.25">
      <c r="A4" s="5" t="s">
        <v>7788</v>
      </c>
      <c r="B4" s="5"/>
      <c r="C4" s="5"/>
      <c r="D4" s="5"/>
      <c r="E4" s="5"/>
      <c r="F4" s="5"/>
    </row>
    <row r="5" ht="42" customHeight="1" spans="1:6" x14ac:dyDescent="0.25">
      <c r="A5" s="6" t="s">
        <v>7789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7790</v>
      </c>
      <c r="C7" t="s">
        <v>247</v>
      </c>
      <c r="D7" s="7">
        <v>1</v>
      </c>
      <c r="E7" s="2">
        <v>2599965</v>
      </c>
      <c r="F7" s="2">
        <v>2599965</v>
      </c>
    </row>
    <row r="8" spans="1:6" x14ac:dyDescent="0.25">
      <c r="A8" t="s">
        <v>4055</v>
      </c>
      <c r="D8" s="7"/>
      <c r="E8" s="2"/>
      <c r="F8" s="2">
        <f>SUBTOTAL(109,A_5_01_01[VALOR PARCIAL])</f>
      </c>
    </row>
    <row r="10" ht="30" customHeight="1" spans="1:6" x14ac:dyDescent="0.25">
      <c r="A10" s="5" t="s">
        <v>7791</v>
      </c>
      <c r="B10" s="5"/>
      <c r="C10" s="5"/>
      <c r="D10" s="5"/>
      <c r="E10" s="5"/>
      <c r="F10" s="5"/>
    </row>
    <row r="11" ht="42" customHeight="1" spans="1:6" x14ac:dyDescent="0.25">
      <c r="A11" s="6" t="s">
        <v>7792</v>
      </c>
      <c r="B11" s="6"/>
      <c r="C11" s="6"/>
      <c r="D11" s="6"/>
      <c r="E11" s="6"/>
      <c r="F11" s="6"/>
    </row>
    <row r="12" spans="1:6" x14ac:dyDescent="0.25">
      <c r="A12" t="s">
        <v>4044</v>
      </c>
      <c r="B12" t="s">
        <v>4045</v>
      </c>
      <c r="C12" t="s">
        <v>5</v>
      </c>
      <c r="D12" t="s">
        <v>4046</v>
      </c>
      <c r="E12" t="s">
        <v>4047</v>
      </c>
      <c r="F12" t="s">
        <v>4048</v>
      </c>
    </row>
    <row r="13" spans="1:6" x14ac:dyDescent="0.25">
      <c r="A13" t="s">
        <v>4062</v>
      </c>
      <c r="B13" t="s">
        <v>7793</v>
      </c>
      <c r="C13" t="s">
        <v>247</v>
      </c>
      <c r="D13" s="7">
        <v>1</v>
      </c>
      <c r="E13" s="2">
        <v>4328807</v>
      </c>
      <c r="F13" s="2">
        <v>4328807</v>
      </c>
    </row>
    <row r="14" spans="1:6" x14ac:dyDescent="0.25">
      <c r="A14" t="s">
        <v>4055</v>
      </c>
      <c r="D14" s="7"/>
      <c r="E14" s="2"/>
      <c r="F14" s="2">
        <f>SUBTOTAL(109,A_5_01_02[VALOR PARCIAL])</f>
      </c>
    </row>
    <row r="16" ht="30" customHeight="1" spans="1:6" x14ac:dyDescent="0.25">
      <c r="A16" s="5" t="s">
        <v>7794</v>
      </c>
      <c r="B16" s="5"/>
      <c r="C16" s="5"/>
      <c r="D16" s="5"/>
      <c r="E16" s="5"/>
      <c r="F16" s="5"/>
    </row>
    <row r="17" ht="42" customHeight="1" spans="1:6" x14ac:dyDescent="0.25">
      <c r="A17" s="6" t="s">
        <v>7795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4062</v>
      </c>
      <c r="B19" t="s">
        <v>7796</v>
      </c>
      <c r="C19" t="s">
        <v>247</v>
      </c>
      <c r="D19" s="7">
        <v>1</v>
      </c>
      <c r="E19" s="2">
        <v>1855416</v>
      </c>
      <c r="F19" s="2">
        <v>1855416</v>
      </c>
    </row>
    <row r="20" spans="1:6" x14ac:dyDescent="0.25">
      <c r="A20" t="s">
        <v>4055</v>
      </c>
      <c r="D20" s="7"/>
      <c r="E20" s="2"/>
      <c r="F20" s="2">
        <f>SUBTOTAL(109,A_5_01_03[VALOR PARCIAL])</f>
      </c>
    </row>
    <row r="22" ht="30" customHeight="1" spans="1:6" x14ac:dyDescent="0.25">
      <c r="A22" s="5" t="s">
        <v>7797</v>
      </c>
      <c r="B22" s="5"/>
      <c r="C22" s="5"/>
      <c r="D22" s="5"/>
      <c r="E22" s="5"/>
      <c r="F22" s="5"/>
    </row>
    <row r="23" ht="42" customHeight="1" spans="1:6" x14ac:dyDescent="0.25">
      <c r="A23" s="6" t="s">
        <v>7798</v>
      </c>
      <c r="B23" s="6"/>
      <c r="C23" s="6"/>
      <c r="D23" s="6"/>
      <c r="E23" s="6"/>
      <c r="F23" s="6"/>
    </row>
    <row r="24" spans="1:6" x14ac:dyDescent="0.25">
      <c r="A24" t="s">
        <v>4044</v>
      </c>
      <c r="B24" t="s">
        <v>4045</v>
      </c>
      <c r="C24" t="s">
        <v>5</v>
      </c>
      <c r="D24" t="s">
        <v>4046</v>
      </c>
      <c r="E24" t="s">
        <v>4047</v>
      </c>
      <c r="F24" t="s">
        <v>4048</v>
      </c>
    </row>
    <row r="25" spans="1:6" x14ac:dyDescent="0.25">
      <c r="A25" t="s">
        <v>4062</v>
      </c>
      <c r="B25" t="s">
        <v>7799</v>
      </c>
      <c r="C25" t="s">
        <v>247</v>
      </c>
      <c r="D25" s="7">
        <v>1</v>
      </c>
      <c r="E25" s="2">
        <v>2355753</v>
      </c>
      <c r="F25" s="2">
        <v>2355753</v>
      </c>
    </row>
    <row r="26" spans="1:6" x14ac:dyDescent="0.25">
      <c r="A26" t="s">
        <v>4055</v>
      </c>
      <c r="D26" s="7"/>
      <c r="E26" s="2"/>
      <c r="F26" s="2">
        <f>SUBTOTAL(109,A_5_01_04[VALOR PARCIAL])</f>
      </c>
    </row>
    <row r="28" ht="30" customHeight="1" spans="1:6" x14ac:dyDescent="0.25">
      <c r="A28" s="5" t="s">
        <v>7800</v>
      </c>
      <c r="B28" s="5"/>
      <c r="C28" s="5"/>
      <c r="D28" s="5"/>
      <c r="E28" s="5"/>
      <c r="F28" s="5"/>
    </row>
    <row r="29" ht="42" customHeight="1" spans="1:6" x14ac:dyDescent="0.25">
      <c r="A29" s="6" t="s">
        <v>7801</v>
      </c>
      <c r="B29" s="6"/>
      <c r="C29" s="6"/>
      <c r="D29" s="6"/>
      <c r="E29" s="6"/>
      <c r="F29" s="6"/>
    </row>
    <row r="30" spans="1:6" x14ac:dyDescent="0.25">
      <c r="A30" t="s">
        <v>4044</v>
      </c>
      <c r="B30" t="s">
        <v>4045</v>
      </c>
      <c r="C30" t="s">
        <v>5</v>
      </c>
      <c r="D30" t="s">
        <v>4046</v>
      </c>
      <c r="E30" t="s">
        <v>4047</v>
      </c>
      <c r="F30" t="s">
        <v>4048</v>
      </c>
    </row>
    <row r="31" spans="1:6" x14ac:dyDescent="0.25">
      <c r="A31" t="s">
        <v>4062</v>
      </c>
      <c r="B31" t="s">
        <v>7802</v>
      </c>
      <c r="C31" t="s">
        <v>247</v>
      </c>
      <c r="D31" s="7">
        <v>1</v>
      </c>
      <c r="E31" s="2">
        <v>2288743</v>
      </c>
      <c r="F31" s="2">
        <v>2288743</v>
      </c>
    </row>
    <row r="32" spans="1:6" x14ac:dyDescent="0.25">
      <c r="A32" t="s">
        <v>4055</v>
      </c>
      <c r="D32" s="7"/>
      <c r="E32" s="2"/>
      <c r="F32" s="2">
        <f>SUBTOTAL(109,A_5_01_05[VALOR PARCIAL])</f>
      </c>
    </row>
    <row r="34" ht="30" customHeight="1" spans="1:6" x14ac:dyDescent="0.25">
      <c r="A34" s="5" t="s">
        <v>7803</v>
      </c>
      <c r="B34" s="5"/>
      <c r="C34" s="5"/>
      <c r="D34" s="5"/>
      <c r="E34" s="5"/>
      <c r="F34" s="5"/>
    </row>
    <row r="35" ht="42" customHeight="1" spans="1:6" x14ac:dyDescent="0.25">
      <c r="A35" s="6" t="s">
        <v>7804</v>
      </c>
      <c r="B35" s="6"/>
      <c r="C35" s="6"/>
      <c r="D35" s="6"/>
      <c r="E35" s="6"/>
      <c r="F35" s="6"/>
    </row>
    <row r="36" spans="1:6" x14ac:dyDescent="0.25">
      <c r="A36" t="s">
        <v>4044</v>
      </c>
      <c r="B36" t="s">
        <v>4045</v>
      </c>
      <c r="C36" t="s">
        <v>5</v>
      </c>
      <c r="D36" t="s">
        <v>4046</v>
      </c>
      <c r="E36" t="s">
        <v>4047</v>
      </c>
      <c r="F36" t="s">
        <v>4048</v>
      </c>
    </row>
    <row r="37" spans="1:6" x14ac:dyDescent="0.25">
      <c r="A37" t="s">
        <v>4062</v>
      </c>
      <c r="B37" t="s">
        <v>7805</v>
      </c>
      <c r="C37" t="s">
        <v>247</v>
      </c>
      <c r="D37" s="7">
        <v>1</v>
      </c>
      <c r="E37" s="2">
        <v>2790569</v>
      </c>
      <c r="F37" s="2">
        <v>2790569</v>
      </c>
    </row>
    <row r="38" spans="1:6" x14ac:dyDescent="0.25">
      <c r="A38" t="s">
        <v>4055</v>
      </c>
      <c r="D38" s="7"/>
      <c r="E38" s="2"/>
      <c r="F38" s="2">
        <f>SUBTOTAL(109,A_5_01_06[VALOR PARCIAL])</f>
      </c>
    </row>
    <row r="40" ht="30" customHeight="1" spans="1:6" x14ac:dyDescent="0.25">
      <c r="A40" s="5" t="s">
        <v>7806</v>
      </c>
      <c r="B40" s="5"/>
      <c r="C40" s="5"/>
      <c r="D40" s="5"/>
      <c r="E40" s="5"/>
      <c r="F40" s="5"/>
    </row>
    <row r="41" ht="42" customHeight="1" spans="1:6" x14ac:dyDescent="0.25">
      <c r="A41" s="6" t="s">
        <v>7807</v>
      </c>
      <c r="B41" s="6"/>
      <c r="C41" s="6"/>
      <c r="D41" s="6"/>
      <c r="E41" s="6"/>
      <c r="F41" s="6"/>
    </row>
    <row r="42" spans="1:6" x14ac:dyDescent="0.25">
      <c r="A42" t="s">
        <v>4044</v>
      </c>
      <c r="B42" t="s">
        <v>4045</v>
      </c>
      <c r="C42" t="s">
        <v>5</v>
      </c>
      <c r="D42" t="s">
        <v>4046</v>
      </c>
      <c r="E42" t="s">
        <v>4047</v>
      </c>
      <c r="F42" t="s">
        <v>4048</v>
      </c>
    </row>
    <row r="43" spans="1:6" x14ac:dyDescent="0.25">
      <c r="A43" t="s">
        <v>4062</v>
      </c>
      <c r="B43" t="s">
        <v>7089</v>
      </c>
      <c r="C43" t="s">
        <v>247</v>
      </c>
      <c r="D43" s="7">
        <v>1</v>
      </c>
      <c r="E43" s="2">
        <v>1733310</v>
      </c>
      <c r="F43" s="2">
        <v>1733310</v>
      </c>
    </row>
    <row r="44" spans="1:6" x14ac:dyDescent="0.25">
      <c r="A44" t="s">
        <v>4055</v>
      </c>
      <c r="D44" s="7"/>
      <c r="E44" s="2"/>
      <c r="F44" s="2">
        <f>SUBTOTAL(109,A_5_01_07[VALOR PARCIAL])</f>
      </c>
    </row>
    <row r="46" ht="30" customHeight="1" spans="1:6" x14ac:dyDescent="0.25">
      <c r="A46" s="5" t="s">
        <v>7808</v>
      </c>
      <c r="B46" s="5"/>
      <c r="C46" s="5"/>
      <c r="D46" s="5"/>
      <c r="E46" s="5"/>
      <c r="F46" s="5"/>
    </row>
    <row r="47" ht="42" customHeight="1" spans="1:6" x14ac:dyDescent="0.25">
      <c r="A47" s="6" t="s">
        <v>7809</v>
      </c>
      <c r="B47" s="6"/>
      <c r="C47" s="6"/>
      <c r="D47" s="6"/>
      <c r="E47" s="6"/>
      <c r="F47" s="6"/>
    </row>
    <row r="48" spans="1:6" x14ac:dyDescent="0.25">
      <c r="A48" t="s">
        <v>4044</v>
      </c>
      <c r="B48" t="s">
        <v>4045</v>
      </c>
      <c r="C48" t="s">
        <v>5</v>
      </c>
      <c r="D48" t="s">
        <v>4046</v>
      </c>
      <c r="E48" t="s">
        <v>4047</v>
      </c>
      <c r="F48" t="s">
        <v>4048</v>
      </c>
    </row>
    <row r="49" spans="1:6" x14ac:dyDescent="0.25">
      <c r="A49" t="s">
        <v>4062</v>
      </c>
      <c r="B49" t="s">
        <v>7090</v>
      </c>
      <c r="C49" t="s">
        <v>247</v>
      </c>
      <c r="D49" s="7">
        <v>1</v>
      </c>
      <c r="E49" s="2">
        <v>1506967</v>
      </c>
      <c r="F49" s="2">
        <v>1506967</v>
      </c>
    </row>
    <row r="50" spans="1:6" x14ac:dyDescent="0.25">
      <c r="A50" t="s">
        <v>4055</v>
      </c>
      <c r="D50" s="7"/>
      <c r="E50" s="2"/>
      <c r="F50" s="2">
        <f>SUBTOTAL(109,A_5_01_08[VALOR PARCIAL])</f>
      </c>
    </row>
    <row r="52" ht="30" customHeight="1" spans="1:6" x14ac:dyDescent="0.25">
      <c r="A52" s="5" t="s">
        <v>7810</v>
      </c>
      <c r="B52" s="5"/>
      <c r="C52" s="5"/>
      <c r="D52" s="5"/>
      <c r="E52" s="5"/>
      <c r="F52" s="5"/>
    </row>
    <row r="53" ht="42" customHeight="1" spans="1:6" x14ac:dyDescent="0.25">
      <c r="A53" s="6" t="s">
        <v>7811</v>
      </c>
      <c r="B53" s="6"/>
      <c r="C53" s="6"/>
      <c r="D53" s="6"/>
      <c r="E53" s="6"/>
      <c r="F53" s="6"/>
    </row>
    <row r="54" spans="1:6" x14ac:dyDescent="0.25">
      <c r="A54" t="s">
        <v>4044</v>
      </c>
      <c r="B54" t="s">
        <v>4045</v>
      </c>
      <c r="C54" t="s">
        <v>5</v>
      </c>
      <c r="D54" t="s">
        <v>4046</v>
      </c>
      <c r="E54" t="s">
        <v>4047</v>
      </c>
      <c r="F54" t="s">
        <v>4048</v>
      </c>
    </row>
    <row r="55" spans="1:6" x14ac:dyDescent="0.25">
      <c r="A55" t="s">
        <v>4062</v>
      </c>
      <c r="B55" t="s">
        <v>7812</v>
      </c>
      <c r="C55" t="s">
        <v>247</v>
      </c>
      <c r="D55" s="7">
        <v>1</v>
      </c>
      <c r="E55" s="2">
        <v>2470413</v>
      </c>
      <c r="F55" s="2">
        <v>2470413</v>
      </c>
    </row>
    <row r="56" spans="1:6" x14ac:dyDescent="0.25">
      <c r="A56" t="s">
        <v>4055</v>
      </c>
      <c r="D56" s="7"/>
      <c r="E56" s="2"/>
      <c r="F56" s="2">
        <f>SUBTOTAL(109,A_5_01_09[VALOR PARCIAL])</f>
      </c>
    </row>
    <row r="58" ht="30" customHeight="1" spans="1:6" x14ac:dyDescent="0.25">
      <c r="A58" s="5" t="s">
        <v>7813</v>
      </c>
      <c r="B58" s="5"/>
      <c r="C58" s="5"/>
      <c r="D58" s="5"/>
      <c r="E58" s="5"/>
      <c r="F58" s="5"/>
    </row>
    <row r="59" ht="42" customHeight="1" spans="1:6" x14ac:dyDescent="0.25">
      <c r="A59" s="6" t="s">
        <v>7814</v>
      </c>
      <c r="B59" s="6"/>
      <c r="C59" s="6"/>
      <c r="D59" s="6"/>
      <c r="E59" s="6"/>
      <c r="F59" s="6"/>
    </row>
    <row r="60" spans="1:6" x14ac:dyDescent="0.25">
      <c r="A60" t="s">
        <v>4044</v>
      </c>
      <c r="B60" t="s">
        <v>4045</v>
      </c>
      <c r="C60" t="s">
        <v>5</v>
      </c>
      <c r="D60" t="s">
        <v>4046</v>
      </c>
      <c r="E60" t="s">
        <v>4047</v>
      </c>
      <c r="F60" t="s">
        <v>4048</v>
      </c>
    </row>
    <row r="61" spans="1:6" x14ac:dyDescent="0.25">
      <c r="A61" t="s">
        <v>4062</v>
      </c>
      <c r="B61" t="s">
        <v>7815</v>
      </c>
      <c r="C61" t="s">
        <v>247</v>
      </c>
      <c r="D61" s="7">
        <v>1</v>
      </c>
      <c r="E61" s="2">
        <v>1995391</v>
      </c>
      <c r="F61" s="2">
        <v>1995391</v>
      </c>
    </row>
    <row r="62" spans="1:6" x14ac:dyDescent="0.25">
      <c r="A62" t="s">
        <v>4055</v>
      </c>
      <c r="D62" s="7"/>
      <c r="E62" s="2"/>
      <c r="F62" s="2">
        <f>SUBTOTAL(109,A_5_01_10[VALOR PARCIAL])</f>
      </c>
    </row>
    <row r="64" ht="30" customHeight="1" spans="1:6" x14ac:dyDescent="0.25">
      <c r="A64" s="5" t="s">
        <v>7816</v>
      </c>
      <c r="B64" s="5"/>
      <c r="C64" s="5"/>
      <c r="D64" s="5"/>
      <c r="E64" s="5"/>
      <c r="F64" s="5"/>
    </row>
    <row r="65" ht="42" customHeight="1" spans="1:6" x14ac:dyDescent="0.25">
      <c r="A65" s="6" t="s">
        <v>7817</v>
      </c>
      <c r="B65" s="6"/>
      <c r="C65" s="6"/>
      <c r="D65" s="6"/>
      <c r="E65" s="6"/>
      <c r="F65" s="6"/>
    </row>
    <row r="66" spans="1:6" x14ac:dyDescent="0.25">
      <c r="A66" t="s">
        <v>4044</v>
      </c>
      <c r="B66" t="s">
        <v>4045</v>
      </c>
      <c r="C66" t="s">
        <v>5</v>
      </c>
      <c r="D66" t="s">
        <v>4046</v>
      </c>
      <c r="E66" t="s">
        <v>4047</v>
      </c>
      <c r="F66" t="s">
        <v>4048</v>
      </c>
    </row>
    <row r="67" spans="1:6" x14ac:dyDescent="0.25">
      <c r="A67" t="s">
        <v>4062</v>
      </c>
      <c r="B67" t="s">
        <v>7818</v>
      </c>
      <c r="C67" t="s">
        <v>247</v>
      </c>
      <c r="D67" s="7">
        <v>1</v>
      </c>
      <c r="E67" s="2">
        <v>9906968</v>
      </c>
      <c r="F67" s="2">
        <v>9906968</v>
      </c>
    </row>
    <row r="68" spans="1:6" x14ac:dyDescent="0.25">
      <c r="A68" t="s">
        <v>4055</v>
      </c>
      <c r="D68" s="7"/>
      <c r="E68" s="2"/>
      <c r="F68" s="2">
        <f>SUBTOTAL(109,A_5_01_11[VALOR PARCIAL])</f>
      </c>
    </row>
    <row r="70" ht="30" customHeight="1" spans="1:6" x14ac:dyDescent="0.25">
      <c r="A70" s="5" t="s">
        <v>7819</v>
      </c>
      <c r="B70" s="5"/>
      <c r="C70" s="5"/>
      <c r="D70" s="5"/>
      <c r="E70" s="5"/>
      <c r="F70" s="5"/>
    </row>
    <row r="71" ht="42" customHeight="1" spans="1:6" x14ac:dyDescent="0.25">
      <c r="A71" s="6" t="s">
        <v>7820</v>
      </c>
      <c r="B71" s="6"/>
      <c r="C71" s="6"/>
      <c r="D71" s="6"/>
      <c r="E71" s="6"/>
      <c r="F71" s="6"/>
    </row>
    <row r="72" spans="1:6" x14ac:dyDescent="0.25">
      <c r="A72" t="s">
        <v>4044</v>
      </c>
      <c r="B72" t="s">
        <v>4045</v>
      </c>
      <c r="C72" t="s">
        <v>5</v>
      </c>
      <c r="D72" t="s">
        <v>4046</v>
      </c>
      <c r="E72" t="s">
        <v>4047</v>
      </c>
      <c r="F72" t="s">
        <v>4048</v>
      </c>
    </row>
    <row r="73" spans="1:6" x14ac:dyDescent="0.25">
      <c r="A73" t="s">
        <v>4062</v>
      </c>
      <c r="B73" t="s">
        <v>7821</v>
      </c>
      <c r="C73" t="s">
        <v>247</v>
      </c>
      <c r="D73" s="7">
        <v>1</v>
      </c>
      <c r="E73" s="2">
        <v>7119377</v>
      </c>
      <c r="F73" s="2">
        <v>7119377</v>
      </c>
    </row>
    <row r="74" spans="1:6" x14ac:dyDescent="0.25">
      <c r="A74" t="s">
        <v>4055</v>
      </c>
      <c r="D74" s="7"/>
      <c r="E74" s="2"/>
      <c r="F74" s="2">
        <f>SUBTOTAL(109,A_5_01_12[VALOR PARCIAL])</f>
      </c>
    </row>
    <row r="76" ht="30" customHeight="1" spans="1:6" x14ac:dyDescent="0.25">
      <c r="A76" s="5" t="s">
        <v>7822</v>
      </c>
      <c r="B76" s="5"/>
      <c r="C76" s="5"/>
      <c r="D76" s="5"/>
      <c r="E76" s="5"/>
      <c r="F76" s="5"/>
    </row>
    <row r="77" ht="42" customHeight="1" spans="1:6" x14ac:dyDescent="0.25">
      <c r="A77" s="6" t="s">
        <v>7823</v>
      </c>
      <c r="B77" s="6"/>
      <c r="C77" s="6"/>
      <c r="D77" s="6"/>
      <c r="E77" s="6"/>
      <c r="F77" s="6"/>
    </row>
    <row r="78" spans="1:6" x14ac:dyDescent="0.25">
      <c r="A78" t="s">
        <v>4044</v>
      </c>
      <c r="B78" t="s">
        <v>4045</v>
      </c>
      <c r="C78" t="s">
        <v>5</v>
      </c>
      <c r="D78" t="s">
        <v>4046</v>
      </c>
      <c r="E78" t="s">
        <v>4047</v>
      </c>
      <c r="F78" t="s">
        <v>4048</v>
      </c>
    </row>
    <row r="79" spans="1:6" x14ac:dyDescent="0.25">
      <c r="A79" t="s">
        <v>4062</v>
      </c>
      <c r="B79" t="s">
        <v>7824</v>
      </c>
      <c r="C79" t="s">
        <v>247</v>
      </c>
      <c r="D79" s="7">
        <v>1</v>
      </c>
      <c r="E79" s="2">
        <v>7119377</v>
      </c>
      <c r="F79" s="2">
        <v>7119377</v>
      </c>
    </row>
    <row r="80" spans="1:6" x14ac:dyDescent="0.25">
      <c r="A80" t="s">
        <v>4055</v>
      </c>
      <c r="D80" s="7"/>
      <c r="E80" s="2"/>
      <c r="F80" s="2">
        <f>SUBTOTAL(109,A_5_01_13[VALOR PARCIAL])</f>
      </c>
    </row>
    <row r="82" ht="30" customHeight="1" spans="1:6" x14ac:dyDescent="0.25">
      <c r="A82" s="5" t="s">
        <v>7825</v>
      </c>
      <c r="B82" s="5"/>
      <c r="C82" s="5"/>
      <c r="D82" s="5"/>
      <c r="E82" s="5"/>
      <c r="F82" s="5"/>
    </row>
    <row r="83" ht="42" customHeight="1" spans="1:6" x14ac:dyDescent="0.25">
      <c r="A83" s="6" t="s">
        <v>7826</v>
      </c>
      <c r="B83" s="6"/>
      <c r="C83" s="6"/>
      <c r="D83" s="6"/>
      <c r="E83" s="6"/>
      <c r="F83" s="6"/>
    </row>
    <row r="84" spans="1:6" x14ac:dyDescent="0.25">
      <c r="A84" t="s">
        <v>4044</v>
      </c>
      <c r="B84" t="s">
        <v>4045</v>
      </c>
      <c r="C84" t="s">
        <v>5</v>
      </c>
      <c r="D84" t="s">
        <v>4046</v>
      </c>
      <c r="E84" t="s">
        <v>4047</v>
      </c>
      <c r="F84" t="s">
        <v>4048</v>
      </c>
    </row>
    <row r="85" spans="1:6" x14ac:dyDescent="0.25">
      <c r="A85" t="s">
        <v>4062</v>
      </c>
      <c r="B85" t="s">
        <v>7827</v>
      </c>
      <c r="C85" t="s">
        <v>247</v>
      </c>
      <c r="D85" s="7">
        <v>1</v>
      </c>
      <c r="E85" s="2">
        <v>7119377</v>
      </c>
      <c r="F85" s="2">
        <v>7119377</v>
      </c>
    </row>
    <row r="86" spans="1:6" x14ac:dyDescent="0.25">
      <c r="A86" t="s">
        <v>4055</v>
      </c>
      <c r="D86" s="7"/>
      <c r="E86" s="2"/>
      <c r="F86" s="2">
        <f>SUBTOTAL(109,A_5_01_14[VALOR PARCIAL])</f>
      </c>
    </row>
    <row r="88" ht="30" customHeight="1" spans="1:6" x14ac:dyDescent="0.25">
      <c r="A88" s="5" t="s">
        <v>7828</v>
      </c>
      <c r="B88" s="5"/>
      <c r="C88" s="5"/>
      <c r="D88" s="5"/>
      <c r="E88" s="5"/>
      <c r="F88" s="5"/>
    </row>
    <row r="89" ht="42" customHeight="1" spans="1:6" x14ac:dyDescent="0.25">
      <c r="A89" s="6" t="s">
        <v>7829</v>
      </c>
      <c r="B89" s="6"/>
      <c r="C89" s="6"/>
      <c r="D89" s="6"/>
      <c r="E89" s="6"/>
      <c r="F89" s="6"/>
    </row>
    <row r="90" spans="1:6" x14ac:dyDescent="0.25">
      <c r="A90" t="s">
        <v>4044</v>
      </c>
      <c r="B90" t="s">
        <v>4045</v>
      </c>
      <c r="C90" t="s">
        <v>5</v>
      </c>
      <c r="D90" t="s">
        <v>4046</v>
      </c>
      <c r="E90" t="s">
        <v>4047</v>
      </c>
      <c r="F90" t="s">
        <v>4048</v>
      </c>
    </row>
    <row r="91" spans="1:6" x14ac:dyDescent="0.25">
      <c r="A91" t="s">
        <v>4062</v>
      </c>
      <c r="B91" t="s">
        <v>7830</v>
      </c>
      <c r="C91" t="s">
        <v>247</v>
      </c>
      <c r="D91" s="7">
        <v>1</v>
      </c>
      <c r="E91" s="2">
        <v>7119377</v>
      </c>
      <c r="F91" s="2">
        <v>7119377</v>
      </c>
    </row>
    <row r="92" spans="1:6" x14ac:dyDescent="0.25">
      <c r="A92" t="s">
        <v>4055</v>
      </c>
      <c r="D92" s="7"/>
      <c r="E92" s="2"/>
      <c r="F92" s="2">
        <f>SUBTOTAL(109,A_5_01_15[VALOR PARCIAL])</f>
      </c>
    </row>
    <row r="94" ht="30" customHeight="1" spans="1:6" x14ac:dyDescent="0.25">
      <c r="A94" s="5" t="s">
        <v>7831</v>
      </c>
      <c r="B94" s="5"/>
      <c r="C94" s="5"/>
      <c r="D94" s="5"/>
      <c r="E94" s="5"/>
      <c r="F94" s="5"/>
    </row>
    <row r="95" ht="42" customHeight="1" spans="1:6" x14ac:dyDescent="0.25">
      <c r="A95" s="6" t="s">
        <v>7832</v>
      </c>
      <c r="B95" s="6"/>
      <c r="C95" s="6"/>
      <c r="D95" s="6"/>
      <c r="E95" s="6"/>
      <c r="F95" s="6"/>
    </row>
    <row r="96" spans="1:6" x14ac:dyDescent="0.25">
      <c r="A96" t="s">
        <v>4044</v>
      </c>
      <c r="B96" t="s">
        <v>4045</v>
      </c>
      <c r="C96" t="s">
        <v>5</v>
      </c>
      <c r="D96" t="s">
        <v>4046</v>
      </c>
      <c r="E96" t="s">
        <v>4047</v>
      </c>
      <c r="F96" t="s">
        <v>4048</v>
      </c>
    </row>
    <row r="97" spans="1:6" x14ac:dyDescent="0.25">
      <c r="A97" t="s">
        <v>4062</v>
      </c>
      <c r="B97" t="s">
        <v>7833</v>
      </c>
      <c r="C97" t="s">
        <v>247</v>
      </c>
      <c r="D97" s="7">
        <v>1</v>
      </c>
      <c r="E97" s="2">
        <v>6419501</v>
      </c>
      <c r="F97" s="2">
        <v>6419501</v>
      </c>
    </row>
    <row r="98" spans="1:6" x14ac:dyDescent="0.25">
      <c r="A98" t="s">
        <v>4055</v>
      </c>
      <c r="D98" s="7"/>
      <c r="E98" s="2"/>
      <c r="F98" s="2">
        <f>SUBTOTAL(109,A_5_01_16[VALOR PARCIAL])</f>
      </c>
    </row>
    <row r="100" ht="30" customHeight="1" spans="1:6" x14ac:dyDescent="0.25">
      <c r="A100" s="5" t="s">
        <v>7834</v>
      </c>
      <c r="B100" s="5"/>
      <c r="C100" s="5"/>
      <c r="D100" s="5"/>
      <c r="E100" s="5"/>
      <c r="F100" s="5"/>
    </row>
    <row r="101" ht="42" customHeight="1" spans="1:6" x14ac:dyDescent="0.25">
      <c r="A101" s="6" t="s">
        <v>7835</v>
      </c>
      <c r="B101" s="6"/>
      <c r="C101" s="6"/>
      <c r="D101" s="6"/>
      <c r="E101" s="6"/>
      <c r="F101" s="6"/>
    </row>
    <row r="102" spans="1:6" x14ac:dyDescent="0.25">
      <c r="A102" t="s">
        <v>4044</v>
      </c>
      <c r="B102" t="s">
        <v>4045</v>
      </c>
      <c r="C102" t="s">
        <v>5</v>
      </c>
      <c r="D102" t="s">
        <v>4046</v>
      </c>
      <c r="E102" t="s">
        <v>4047</v>
      </c>
      <c r="F102" t="s">
        <v>4048</v>
      </c>
    </row>
    <row r="103" spans="1:6" x14ac:dyDescent="0.25">
      <c r="A103" t="s">
        <v>4062</v>
      </c>
      <c r="B103" t="s">
        <v>7836</v>
      </c>
      <c r="C103" t="s">
        <v>247</v>
      </c>
      <c r="D103" s="7">
        <v>1</v>
      </c>
      <c r="E103" s="2">
        <v>2032618</v>
      </c>
      <c r="F103" s="2">
        <v>2032618</v>
      </c>
    </row>
    <row r="104" spans="1:6" x14ac:dyDescent="0.25">
      <c r="A104" t="s">
        <v>4055</v>
      </c>
      <c r="D104" s="7"/>
      <c r="E104" s="2"/>
      <c r="F104" s="2">
        <f>SUBTOTAL(109,A_5_01_17[VALOR PARCIAL])</f>
      </c>
    </row>
    <row r="106" ht="30" customHeight="1" spans="1:6" x14ac:dyDescent="0.25">
      <c r="A106" s="5" t="s">
        <v>7837</v>
      </c>
      <c r="B106" s="5"/>
      <c r="C106" s="5"/>
      <c r="D106" s="5"/>
      <c r="E106" s="5"/>
      <c r="F106" s="5"/>
    </row>
    <row r="107" ht="42" customHeight="1" spans="1:6" x14ac:dyDescent="0.25">
      <c r="A107" s="6" t="s">
        <v>7838</v>
      </c>
      <c r="B107" s="6"/>
      <c r="C107" s="6"/>
      <c r="D107" s="6"/>
      <c r="E107" s="6"/>
      <c r="F107" s="6"/>
    </row>
    <row r="108" spans="1:6" x14ac:dyDescent="0.25">
      <c r="A108" t="s">
        <v>4044</v>
      </c>
      <c r="B108" t="s">
        <v>4045</v>
      </c>
      <c r="C108" t="s">
        <v>5</v>
      </c>
      <c r="D108" t="s">
        <v>4046</v>
      </c>
      <c r="E108" t="s">
        <v>4047</v>
      </c>
      <c r="F108" t="s">
        <v>4048</v>
      </c>
    </row>
    <row r="109" spans="1:6" x14ac:dyDescent="0.25">
      <c r="A109" t="s">
        <v>4062</v>
      </c>
      <c r="B109" t="s">
        <v>7839</v>
      </c>
      <c r="C109" t="s">
        <v>247</v>
      </c>
      <c r="D109" s="7">
        <v>1</v>
      </c>
      <c r="E109" s="2">
        <v>1830101</v>
      </c>
      <c r="F109" s="2">
        <v>1830101</v>
      </c>
    </row>
    <row r="110" spans="1:6" x14ac:dyDescent="0.25">
      <c r="A110" t="s">
        <v>4055</v>
      </c>
      <c r="D110" s="7"/>
      <c r="E110" s="2"/>
      <c r="F110" s="2">
        <f>SUBTOTAL(109,A_5_01_18[VALOR PARCIAL])</f>
      </c>
    </row>
    <row r="112" ht="30" customHeight="1" spans="1:6" x14ac:dyDescent="0.25">
      <c r="A112" s="5" t="s">
        <v>7840</v>
      </c>
      <c r="B112" s="5"/>
      <c r="C112" s="5"/>
      <c r="D112" s="5"/>
      <c r="E112" s="5"/>
      <c r="F112" s="5"/>
    </row>
    <row r="113" ht="42" customHeight="1" spans="1:6" x14ac:dyDescent="0.25">
      <c r="A113" s="6" t="s">
        <v>7841</v>
      </c>
      <c r="B113" s="6"/>
      <c r="C113" s="6"/>
      <c r="D113" s="6"/>
      <c r="E113" s="6"/>
      <c r="F113" s="6"/>
    </row>
    <row r="114" spans="1:6" x14ac:dyDescent="0.25">
      <c r="A114" t="s">
        <v>4044</v>
      </c>
      <c r="B114" t="s">
        <v>4045</v>
      </c>
      <c r="C114" t="s">
        <v>5</v>
      </c>
      <c r="D114" t="s">
        <v>4046</v>
      </c>
      <c r="E114" t="s">
        <v>4047</v>
      </c>
      <c r="F114" t="s">
        <v>4048</v>
      </c>
    </row>
    <row r="115" spans="1:6" x14ac:dyDescent="0.25">
      <c r="A115" t="s">
        <v>4062</v>
      </c>
      <c r="B115" t="s">
        <v>7842</v>
      </c>
      <c r="C115" t="s">
        <v>247</v>
      </c>
      <c r="D115" s="7">
        <v>1</v>
      </c>
      <c r="E115" s="2">
        <v>1733310</v>
      </c>
      <c r="F115" s="2">
        <v>1733310</v>
      </c>
    </row>
    <row r="116" spans="1:6" x14ac:dyDescent="0.25">
      <c r="A116" t="s">
        <v>4055</v>
      </c>
      <c r="D116" s="7"/>
      <c r="E116" s="2"/>
      <c r="F116" s="2">
        <f>SUBTOTAL(109,A_5_01_19[VALOR PARCIAL])</f>
      </c>
    </row>
    <row r="118" ht="30" customHeight="1" spans="1:6" x14ac:dyDescent="0.25">
      <c r="A118" s="5" t="s">
        <v>7843</v>
      </c>
      <c r="B118" s="5"/>
      <c r="C118" s="5"/>
      <c r="D118" s="5"/>
      <c r="E118" s="5"/>
      <c r="F118" s="5"/>
    </row>
    <row r="119" ht="42" customHeight="1" spans="1:6" x14ac:dyDescent="0.25">
      <c r="A119" s="6" t="s">
        <v>7844</v>
      </c>
      <c r="B119" s="6"/>
      <c r="C119" s="6"/>
      <c r="D119" s="6"/>
      <c r="E119" s="6"/>
      <c r="F119" s="6"/>
    </row>
    <row r="120" spans="1:6" x14ac:dyDescent="0.25">
      <c r="A120" t="s">
        <v>4044</v>
      </c>
      <c r="B120" t="s">
        <v>4045</v>
      </c>
      <c r="C120" t="s">
        <v>5</v>
      </c>
      <c r="D120" t="s">
        <v>4046</v>
      </c>
      <c r="E120" t="s">
        <v>4047</v>
      </c>
      <c r="F120" t="s">
        <v>4048</v>
      </c>
    </row>
    <row r="121" spans="1:6" x14ac:dyDescent="0.25">
      <c r="A121" t="s">
        <v>4062</v>
      </c>
      <c r="B121" t="s">
        <v>7845</v>
      </c>
      <c r="C121" t="s">
        <v>247</v>
      </c>
      <c r="D121" s="7">
        <v>1</v>
      </c>
      <c r="E121" s="2">
        <v>2473391</v>
      </c>
      <c r="F121" s="2">
        <v>2473391</v>
      </c>
    </row>
    <row r="122" spans="1:6" x14ac:dyDescent="0.25">
      <c r="A122" t="s">
        <v>4055</v>
      </c>
      <c r="D122" s="7"/>
      <c r="E122" s="2"/>
      <c r="F122" s="2">
        <f>SUBTOTAL(109,A_5_01_20[VALOR PARCIAL])</f>
      </c>
    </row>
    <row r="124" ht="30" customHeight="1" spans="1:6" x14ac:dyDescent="0.25">
      <c r="A124" s="5" t="s">
        <v>7846</v>
      </c>
      <c r="B124" s="5"/>
      <c r="C124" s="5"/>
      <c r="D124" s="5"/>
      <c r="E124" s="5"/>
      <c r="F124" s="5"/>
    </row>
    <row r="125" ht="42" customHeight="1" spans="1:6" x14ac:dyDescent="0.25">
      <c r="A125" s="6" t="s">
        <v>7847</v>
      </c>
      <c r="B125" s="6"/>
      <c r="C125" s="6"/>
      <c r="D125" s="6"/>
      <c r="E125" s="6"/>
      <c r="F125" s="6"/>
    </row>
    <row r="126" spans="1:6" x14ac:dyDescent="0.25">
      <c r="A126" t="s">
        <v>4044</v>
      </c>
      <c r="B126" t="s">
        <v>4045</v>
      </c>
      <c r="C126" t="s">
        <v>5</v>
      </c>
      <c r="D126" t="s">
        <v>4046</v>
      </c>
      <c r="E126" t="s">
        <v>4047</v>
      </c>
      <c r="F126" t="s">
        <v>4048</v>
      </c>
    </row>
    <row r="127" spans="1:6" x14ac:dyDescent="0.25">
      <c r="A127" t="s">
        <v>4052</v>
      </c>
      <c r="B127" t="s">
        <v>7848</v>
      </c>
      <c r="C127" t="s">
        <v>247</v>
      </c>
      <c r="D127" s="7">
        <v>1</v>
      </c>
      <c r="E127" s="2">
        <v>1486120</v>
      </c>
      <c r="F127" s="2">
        <v>1486120</v>
      </c>
    </row>
    <row r="128" spans="1:6" x14ac:dyDescent="0.25">
      <c r="A128" t="s">
        <v>4055</v>
      </c>
      <c r="D128" s="7"/>
      <c r="E128" s="2"/>
      <c r="F128" s="2">
        <f>SUBTOTAL(109,A_5_01_21[VALOR PARCIAL])</f>
      </c>
    </row>
    <row r="130" ht="30" customHeight="1" spans="1:6" x14ac:dyDescent="0.25">
      <c r="A130" s="5" t="s">
        <v>7849</v>
      </c>
      <c r="B130" s="5"/>
      <c r="C130" s="5"/>
      <c r="D130" s="5"/>
      <c r="E130" s="5"/>
      <c r="F130" s="5"/>
    </row>
    <row r="131" ht="42" customHeight="1" spans="1:6" x14ac:dyDescent="0.25">
      <c r="A131" s="6" t="s">
        <v>7850</v>
      </c>
      <c r="B131" s="6"/>
      <c r="C131" s="6"/>
      <c r="D131" s="6"/>
      <c r="E131" s="6"/>
      <c r="F131" s="6"/>
    </row>
    <row r="132" spans="1:6" x14ac:dyDescent="0.25">
      <c r="A132" t="s">
        <v>4044</v>
      </c>
      <c r="B132" t="s">
        <v>4045</v>
      </c>
      <c r="C132" t="s">
        <v>5</v>
      </c>
      <c r="D132" t="s">
        <v>4046</v>
      </c>
      <c r="E132" t="s">
        <v>4047</v>
      </c>
      <c r="F132" t="s">
        <v>4048</v>
      </c>
    </row>
    <row r="133" spans="1:6" x14ac:dyDescent="0.25">
      <c r="A133" t="s">
        <v>4052</v>
      </c>
      <c r="B133" t="s">
        <v>7851</v>
      </c>
      <c r="C133" t="s">
        <v>247</v>
      </c>
      <c r="D133" s="7">
        <v>1</v>
      </c>
      <c r="E133" s="2">
        <v>2223223</v>
      </c>
      <c r="F133" s="2">
        <v>2223223</v>
      </c>
    </row>
    <row r="134" spans="1:6" x14ac:dyDescent="0.25">
      <c r="A134" t="s">
        <v>4055</v>
      </c>
      <c r="D134" s="7"/>
      <c r="E134" s="2"/>
      <c r="F134" s="2">
        <f>SUBTOTAL(109,A_5_01_22[VALOR PARCIAL])</f>
      </c>
    </row>
    <row r="136" ht="30" customHeight="1" spans="1:6" x14ac:dyDescent="0.25">
      <c r="A136" s="5" t="s">
        <v>7852</v>
      </c>
      <c r="B136" s="5"/>
      <c r="C136" s="5"/>
      <c r="D136" s="5"/>
      <c r="E136" s="5"/>
      <c r="F136" s="5"/>
    </row>
    <row r="137" ht="42" customHeight="1" spans="1:6" x14ac:dyDescent="0.25">
      <c r="A137" s="6" t="s">
        <v>7853</v>
      </c>
      <c r="B137" s="6"/>
      <c r="C137" s="6"/>
      <c r="D137" s="6"/>
      <c r="E137" s="6"/>
      <c r="F137" s="6"/>
    </row>
    <row r="138" spans="1:6" x14ac:dyDescent="0.25">
      <c r="A138" t="s">
        <v>4044</v>
      </c>
      <c r="B138" t="s">
        <v>4045</v>
      </c>
      <c r="C138" t="s">
        <v>5</v>
      </c>
      <c r="D138" t="s">
        <v>4046</v>
      </c>
      <c r="E138" t="s">
        <v>4047</v>
      </c>
      <c r="F138" t="s">
        <v>4048</v>
      </c>
    </row>
    <row r="139" spans="1:6" x14ac:dyDescent="0.25">
      <c r="A139" t="s">
        <v>4062</v>
      </c>
      <c r="B139" t="s">
        <v>7854</v>
      </c>
      <c r="C139" t="s">
        <v>247</v>
      </c>
      <c r="D139" s="7">
        <v>1</v>
      </c>
      <c r="E139" s="2">
        <v>12999824</v>
      </c>
      <c r="F139" s="2">
        <v>12999824</v>
      </c>
    </row>
    <row r="140" spans="1:6" x14ac:dyDescent="0.25">
      <c r="A140" t="s">
        <v>4055</v>
      </c>
      <c r="D140" s="7"/>
      <c r="E140" s="2"/>
      <c r="F140" s="2">
        <f>SUBTOTAL(109,A_5_01_23[VALOR PARCIAL])</f>
      </c>
    </row>
    <row r="142" ht="30" customHeight="1" spans="1:6" x14ac:dyDescent="0.25">
      <c r="A142" s="5" t="s">
        <v>7855</v>
      </c>
      <c r="B142" s="5"/>
      <c r="C142" s="5"/>
      <c r="D142" s="5"/>
      <c r="E142" s="5"/>
      <c r="F142" s="5"/>
    </row>
    <row r="143" ht="42" customHeight="1" spans="1:6" x14ac:dyDescent="0.25">
      <c r="A143" s="6" t="s">
        <v>7856</v>
      </c>
      <c r="B143" s="6"/>
      <c r="C143" s="6"/>
      <c r="D143" s="6"/>
      <c r="E143" s="6"/>
      <c r="F143" s="6"/>
    </row>
    <row r="144" spans="1:6" x14ac:dyDescent="0.25">
      <c r="A144" t="s">
        <v>4044</v>
      </c>
      <c r="B144" t="s">
        <v>4045</v>
      </c>
      <c r="C144" t="s">
        <v>5</v>
      </c>
      <c r="D144" t="s">
        <v>4046</v>
      </c>
      <c r="E144" t="s">
        <v>4047</v>
      </c>
      <c r="F144" t="s">
        <v>4048</v>
      </c>
    </row>
    <row r="145" spans="1:6" x14ac:dyDescent="0.25">
      <c r="A145" t="s">
        <v>4062</v>
      </c>
      <c r="B145" t="s">
        <v>7857</v>
      </c>
      <c r="C145" t="s">
        <v>247</v>
      </c>
      <c r="D145" s="7">
        <v>1</v>
      </c>
      <c r="E145" s="2">
        <v>9906968</v>
      </c>
      <c r="F145" s="2">
        <v>9906968</v>
      </c>
    </row>
    <row r="146" spans="1:6" x14ac:dyDescent="0.25">
      <c r="A146" t="s">
        <v>4055</v>
      </c>
      <c r="D146" s="7"/>
      <c r="E146" s="2"/>
      <c r="F146" s="2">
        <f>SUBTOTAL(109,A_5_01_24[VALOR PARCIAL])</f>
      </c>
    </row>
    <row r="148" ht="30" customHeight="1" spans="1:6" x14ac:dyDescent="0.25">
      <c r="A148" s="5" t="s">
        <v>7858</v>
      </c>
      <c r="B148" s="5"/>
      <c r="C148" s="5"/>
      <c r="D148" s="5"/>
      <c r="E148" s="5"/>
      <c r="F148" s="5"/>
    </row>
    <row r="149" ht="42" customHeight="1" spans="1:6" x14ac:dyDescent="0.25">
      <c r="A149" s="6" t="s">
        <v>7859</v>
      </c>
      <c r="B149" s="6"/>
      <c r="C149" s="6"/>
      <c r="D149" s="6"/>
      <c r="E149" s="6"/>
      <c r="F149" s="6"/>
    </row>
    <row r="150" spans="1:6" x14ac:dyDescent="0.25">
      <c r="A150" t="s">
        <v>4044</v>
      </c>
      <c r="B150" t="s">
        <v>4045</v>
      </c>
      <c r="C150" t="s">
        <v>5</v>
      </c>
      <c r="D150" t="s">
        <v>4046</v>
      </c>
      <c r="E150" t="s">
        <v>4047</v>
      </c>
      <c r="F150" t="s">
        <v>4048</v>
      </c>
    </row>
    <row r="151" spans="1:6" x14ac:dyDescent="0.25">
      <c r="A151" t="s">
        <v>4062</v>
      </c>
      <c r="B151" t="s">
        <v>7860</v>
      </c>
      <c r="C151" t="s">
        <v>247</v>
      </c>
      <c r="D151" s="7">
        <v>1</v>
      </c>
      <c r="E151" s="2">
        <v>8359795</v>
      </c>
      <c r="F151" s="2">
        <v>8359795</v>
      </c>
    </row>
    <row r="152" spans="1:6" x14ac:dyDescent="0.25">
      <c r="A152" t="s">
        <v>4055</v>
      </c>
      <c r="D152" s="7"/>
      <c r="E152" s="2"/>
      <c r="F152" s="2">
        <f>SUBTOTAL(109,A_5_01_25[VALOR PARCIAL])</f>
      </c>
    </row>
    <row r="154" ht="30" customHeight="1" spans="1:6" x14ac:dyDescent="0.25">
      <c r="A154" s="5" t="s">
        <v>7861</v>
      </c>
      <c r="B154" s="5"/>
      <c r="C154" s="5"/>
      <c r="D154" s="5"/>
      <c r="E154" s="5"/>
      <c r="F154" s="5"/>
    </row>
    <row r="155" ht="42" customHeight="1" spans="1:6" x14ac:dyDescent="0.25">
      <c r="A155" s="6" t="s">
        <v>7862</v>
      </c>
      <c r="B155" s="6"/>
      <c r="C155" s="6"/>
      <c r="D155" s="6"/>
      <c r="E155" s="6"/>
      <c r="F155" s="6"/>
    </row>
    <row r="156" spans="1:6" x14ac:dyDescent="0.25">
      <c r="A156" t="s">
        <v>4044</v>
      </c>
      <c r="B156" t="s">
        <v>4045</v>
      </c>
      <c r="C156" t="s">
        <v>5</v>
      </c>
      <c r="D156" t="s">
        <v>4046</v>
      </c>
      <c r="E156" t="s">
        <v>4047</v>
      </c>
      <c r="F156" t="s">
        <v>4048</v>
      </c>
    </row>
    <row r="157" spans="1:6" x14ac:dyDescent="0.25">
      <c r="A157" t="s">
        <v>4062</v>
      </c>
      <c r="B157" t="s">
        <v>7863</v>
      </c>
      <c r="C157" t="s">
        <v>247</v>
      </c>
      <c r="D157" s="7">
        <v>1</v>
      </c>
      <c r="E157" s="2">
        <v>7119377</v>
      </c>
      <c r="F157" s="2">
        <v>7119377</v>
      </c>
    </row>
    <row r="158" spans="1:6" x14ac:dyDescent="0.25">
      <c r="A158" t="s">
        <v>4055</v>
      </c>
      <c r="D158" s="7"/>
      <c r="E158" s="2"/>
      <c r="F158" s="2">
        <f>SUBTOTAL(109,A_5_01_26[VALOR PARCIAL])</f>
      </c>
    </row>
    <row r="160" ht="30" customHeight="1" spans="1:6" x14ac:dyDescent="0.25">
      <c r="A160" s="5" t="s">
        <v>7864</v>
      </c>
      <c r="B160" s="5"/>
      <c r="C160" s="5"/>
      <c r="D160" s="5"/>
      <c r="E160" s="5"/>
      <c r="F160" s="5"/>
    </row>
    <row r="161" ht="42" customHeight="1" spans="1:6" x14ac:dyDescent="0.25">
      <c r="A161" s="6" t="s">
        <v>7865</v>
      </c>
      <c r="B161" s="6"/>
      <c r="C161" s="6"/>
      <c r="D161" s="6"/>
      <c r="E161" s="6"/>
      <c r="F161" s="6"/>
    </row>
    <row r="162" spans="1:6" x14ac:dyDescent="0.25">
      <c r="A162" t="s">
        <v>4044</v>
      </c>
      <c r="B162" t="s">
        <v>4045</v>
      </c>
      <c r="C162" t="s">
        <v>5</v>
      </c>
      <c r="D162" t="s">
        <v>4046</v>
      </c>
      <c r="E162" t="s">
        <v>4047</v>
      </c>
      <c r="F162" t="s">
        <v>4048</v>
      </c>
    </row>
    <row r="163" spans="1:6" x14ac:dyDescent="0.25">
      <c r="A163" t="s">
        <v>4062</v>
      </c>
      <c r="B163" t="s">
        <v>7866</v>
      </c>
      <c r="C163" t="s">
        <v>247</v>
      </c>
      <c r="D163" s="7">
        <v>1</v>
      </c>
      <c r="E163" s="2">
        <v>6419501</v>
      </c>
      <c r="F163" s="2">
        <v>6419501</v>
      </c>
    </row>
    <row r="164" spans="1:6" x14ac:dyDescent="0.25">
      <c r="A164" t="s">
        <v>4055</v>
      </c>
      <c r="D164" s="7"/>
      <c r="E164" s="2"/>
      <c r="F164" s="2">
        <f>SUBTOTAL(109,A_5_01_27[VALOR PARCIAL])</f>
      </c>
    </row>
    <row r="166" ht="30" customHeight="1" spans="1:6" x14ac:dyDescent="0.25">
      <c r="A166" s="5" t="s">
        <v>7867</v>
      </c>
      <c r="B166" s="5"/>
      <c r="C166" s="5"/>
      <c r="D166" s="5"/>
      <c r="E166" s="5"/>
      <c r="F166" s="5"/>
    </row>
    <row r="167" ht="42" customHeight="1" spans="1:6" x14ac:dyDescent="0.25">
      <c r="A167" s="6" t="s">
        <v>7868</v>
      </c>
      <c r="B167" s="6"/>
      <c r="C167" s="6"/>
      <c r="D167" s="6"/>
      <c r="E167" s="6"/>
      <c r="F167" s="6"/>
    </row>
    <row r="168" spans="1:6" x14ac:dyDescent="0.25">
      <c r="A168" t="s">
        <v>4044</v>
      </c>
      <c r="B168" t="s">
        <v>4045</v>
      </c>
      <c r="C168" t="s">
        <v>5</v>
      </c>
      <c r="D168" t="s">
        <v>4046</v>
      </c>
      <c r="E168" t="s">
        <v>4047</v>
      </c>
      <c r="F168" t="s">
        <v>4048</v>
      </c>
    </row>
    <row r="169" spans="1:6" x14ac:dyDescent="0.25">
      <c r="A169" t="s">
        <v>4062</v>
      </c>
      <c r="B169" t="s">
        <v>7869</v>
      </c>
      <c r="C169" t="s">
        <v>247</v>
      </c>
      <c r="D169" s="7">
        <v>1</v>
      </c>
      <c r="E169" s="2">
        <v>5725581</v>
      </c>
      <c r="F169" s="2">
        <v>5725581</v>
      </c>
    </row>
    <row r="170" spans="1:6" x14ac:dyDescent="0.25">
      <c r="A170" t="s">
        <v>4055</v>
      </c>
      <c r="D170" s="7"/>
      <c r="E170" s="2"/>
      <c r="F170" s="2">
        <f>SUBTOTAL(109,A_5_01_28[VALOR PARCIAL])</f>
      </c>
    </row>
    <row r="172" ht="30" customHeight="1" spans="1:6" x14ac:dyDescent="0.25">
      <c r="A172" s="5" t="s">
        <v>7870</v>
      </c>
      <c r="B172" s="5"/>
      <c r="C172" s="5"/>
      <c r="D172" s="5"/>
      <c r="E172" s="5"/>
      <c r="F172" s="5"/>
    </row>
    <row r="173" ht="42" customHeight="1" spans="1:6" x14ac:dyDescent="0.25">
      <c r="A173" s="6" t="s">
        <v>7871</v>
      </c>
      <c r="B173" s="6"/>
      <c r="C173" s="6"/>
      <c r="D173" s="6"/>
      <c r="E173" s="6"/>
      <c r="F173" s="6"/>
    </row>
    <row r="174" spans="1:6" x14ac:dyDescent="0.25">
      <c r="A174" t="s">
        <v>4044</v>
      </c>
      <c r="B174" t="s">
        <v>4045</v>
      </c>
      <c r="C174" t="s">
        <v>5</v>
      </c>
      <c r="D174" t="s">
        <v>4046</v>
      </c>
      <c r="E174" t="s">
        <v>4047</v>
      </c>
      <c r="F174" t="s">
        <v>4048</v>
      </c>
    </row>
    <row r="175" spans="1:6" x14ac:dyDescent="0.25">
      <c r="A175" t="s">
        <v>4062</v>
      </c>
      <c r="B175" t="s">
        <v>7872</v>
      </c>
      <c r="C175" t="s">
        <v>247</v>
      </c>
      <c r="D175" s="7">
        <v>1</v>
      </c>
      <c r="E175" s="2">
        <v>4328807</v>
      </c>
      <c r="F175" s="2">
        <v>4328807</v>
      </c>
    </row>
    <row r="176" spans="1:6" x14ac:dyDescent="0.25">
      <c r="A176" t="s">
        <v>4055</v>
      </c>
      <c r="D176" s="7"/>
      <c r="E176" s="2"/>
      <c r="F176" s="2">
        <f>SUBTOTAL(109,A_5_01_29[VALOR PARCIAL])</f>
      </c>
    </row>
    <row r="178" ht="30" customHeight="1" spans="1:6" x14ac:dyDescent="0.25">
      <c r="A178" s="5" t="s">
        <v>7873</v>
      </c>
      <c r="B178" s="5"/>
      <c r="C178" s="5"/>
      <c r="D178" s="5"/>
      <c r="E178" s="5"/>
      <c r="F178" s="5"/>
    </row>
    <row r="179" ht="42" customHeight="1" spans="1:6" x14ac:dyDescent="0.25">
      <c r="A179" s="6" t="s">
        <v>7874</v>
      </c>
      <c r="B179" s="6"/>
      <c r="C179" s="6"/>
      <c r="D179" s="6"/>
      <c r="E179" s="6"/>
      <c r="F179" s="6"/>
    </row>
    <row r="180" spans="1:6" x14ac:dyDescent="0.25">
      <c r="A180" t="s">
        <v>4044</v>
      </c>
      <c r="B180" t="s">
        <v>4045</v>
      </c>
      <c r="C180" t="s">
        <v>5</v>
      </c>
      <c r="D180" t="s">
        <v>4046</v>
      </c>
      <c r="E180" t="s">
        <v>4047</v>
      </c>
      <c r="F180" t="s">
        <v>4048</v>
      </c>
    </row>
    <row r="181" spans="1:6" x14ac:dyDescent="0.25">
      <c r="A181" t="s">
        <v>4062</v>
      </c>
      <c r="B181" t="s">
        <v>7875</v>
      </c>
      <c r="C181" t="s">
        <v>247</v>
      </c>
      <c r="D181" s="7">
        <v>1</v>
      </c>
      <c r="E181" s="2">
        <v>4084595</v>
      </c>
      <c r="F181" s="2">
        <v>4084595</v>
      </c>
    </row>
    <row r="182" spans="1:6" x14ac:dyDescent="0.25">
      <c r="A182" t="s">
        <v>4055</v>
      </c>
      <c r="D182" s="7"/>
      <c r="E182" s="2"/>
      <c r="F182" s="2">
        <f>SUBTOTAL(109,A_5_01_30[VALOR PARCIAL])</f>
      </c>
    </row>
    <row r="184" ht="30" customHeight="1" spans="1:6" x14ac:dyDescent="0.25">
      <c r="A184" s="5" t="s">
        <v>7876</v>
      </c>
      <c r="B184" s="5"/>
      <c r="C184" s="5"/>
      <c r="D184" s="5"/>
      <c r="E184" s="5"/>
      <c r="F184" s="5"/>
    </row>
    <row r="185" ht="42" customHeight="1" spans="1:6" x14ac:dyDescent="0.25">
      <c r="A185" s="6" t="s">
        <v>7877</v>
      </c>
      <c r="B185" s="6"/>
      <c r="C185" s="6"/>
      <c r="D185" s="6"/>
      <c r="E185" s="6"/>
      <c r="F185" s="6"/>
    </row>
    <row r="186" spans="1:6" x14ac:dyDescent="0.25">
      <c r="A186" t="s">
        <v>4044</v>
      </c>
      <c r="B186" t="s">
        <v>4045</v>
      </c>
      <c r="C186" t="s">
        <v>5</v>
      </c>
      <c r="D186" t="s">
        <v>4046</v>
      </c>
      <c r="E186" t="s">
        <v>4047</v>
      </c>
      <c r="F186" t="s">
        <v>4048</v>
      </c>
    </row>
    <row r="187" spans="1:6" x14ac:dyDescent="0.25">
      <c r="A187" t="s">
        <v>4062</v>
      </c>
      <c r="B187" t="s">
        <v>7878</v>
      </c>
      <c r="C187" t="s">
        <v>247</v>
      </c>
      <c r="D187" s="7">
        <v>1</v>
      </c>
      <c r="E187" s="2">
        <v>4328807</v>
      </c>
      <c r="F187" s="2">
        <v>4328807</v>
      </c>
    </row>
    <row r="188" spans="1:6" x14ac:dyDescent="0.25">
      <c r="A188" t="s">
        <v>4055</v>
      </c>
      <c r="D188" s="7"/>
      <c r="E188" s="2"/>
      <c r="F188" s="2">
        <f>SUBTOTAL(109,A_5_01_31[VALOR PARCIAL])</f>
      </c>
    </row>
    <row r="190" ht="30" customHeight="1" spans="1:6" x14ac:dyDescent="0.25">
      <c r="A190" s="5" t="s">
        <v>7879</v>
      </c>
      <c r="B190" s="5"/>
      <c r="C190" s="5"/>
      <c r="D190" s="5"/>
      <c r="E190" s="5"/>
      <c r="F190" s="5"/>
    </row>
    <row r="191" ht="42" customHeight="1" spans="1:6" x14ac:dyDescent="0.25">
      <c r="A191" s="6" t="s">
        <v>7880</v>
      </c>
      <c r="B191" s="6"/>
      <c r="C191" s="6"/>
      <c r="D191" s="6"/>
      <c r="E191" s="6"/>
      <c r="F191" s="6"/>
    </row>
    <row r="192" spans="1:6" x14ac:dyDescent="0.25">
      <c r="A192" t="s">
        <v>4044</v>
      </c>
      <c r="B192" t="s">
        <v>4045</v>
      </c>
      <c r="C192" t="s">
        <v>5</v>
      </c>
      <c r="D192" t="s">
        <v>4046</v>
      </c>
      <c r="E192" t="s">
        <v>4047</v>
      </c>
      <c r="F192" t="s">
        <v>4048</v>
      </c>
    </row>
    <row r="193" spans="1:6" x14ac:dyDescent="0.25">
      <c r="A193" t="s">
        <v>4062</v>
      </c>
      <c r="B193" t="s">
        <v>7881</v>
      </c>
      <c r="C193" t="s">
        <v>247</v>
      </c>
      <c r="D193" s="7">
        <v>1</v>
      </c>
      <c r="E193" s="2">
        <v>1506967</v>
      </c>
      <c r="F193" s="2">
        <v>1506967</v>
      </c>
    </row>
    <row r="194" spans="1:6" x14ac:dyDescent="0.25">
      <c r="A194" t="s">
        <v>4055</v>
      </c>
      <c r="D194" s="7"/>
      <c r="E194" s="2"/>
      <c r="F194" s="2">
        <f>SUBTOTAL(109,A_5_01_32[VALOR PARCIAL])</f>
      </c>
    </row>
    <row r="196" ht="30" customHeight="1" spans="1:6" x14ac:dyDescent="0.25">
      <c r="A196" s="5" t="s">
        <v>7882</v>
      </c>
      <c r="B196" s="5"/>
      <c r="C196" s="5"/>
      <c r="D196" s="5"/>
      <c r="E196" s="5"/>
      <c r="F196" s="5"/>
    </row>
    <row r="197" ht="42" customHeight="1" spans="1:6" x14ac:dyDescent="0.25">
      <c r="A197" s="6" t="s">
        <v>7883</v>
      </c>
      <c r="B197" s="6"/>
      <c r="C197" s="6"/>
      <c r="D197" s="6"/>
      <c r="E197" s="6"/>
      <c r="F197" s="6"/>
    </row>
    <row r="198" spans="1:6" x14ac:dyDescent="0.25">
      <c r="A198" t="s">
        <v>4044</v>
      </c>
      <c r="B198" t="s">
        <v>4045</v>
      </c>
      <c r="C198" t="s">
        <v>5</v>
      </c>
      <c r="D198" t="s">
        <v>4046</v>
      </c>
      <c r="E198" t="s">
        <v>4047</v>
      </c>
      <c r="F198" t="s">
        <v>4048</v>
      </c>
    </row>
    <row r="199" spans="1:6" x14ac:dyDescent="0.25">
      <c r="A199" t="s">
        <v>4062</v>
      </c>
      <c r="B199" t="s">
        <v>7884</v>
      </c>
      <c r="C199" t="s">
        <v>247</v>
      </c>
      <c r="D199" s="7">
        <v>1</v>
      </c>
      <c r="E199" s="2">
        <v>1255309</v>
      </c>
      <c r="F199" s="2">
        <v>1255309</v>
      </c>
    </row>
    <row r="200" spans="1:6" x14ac:dyDescent="0.25">
      <c r="A200" t="s">
        <v>4055</v>
      </c>
      <c r="D200" s="7"/>
      <c r="E200" s="2"/>
      <c r="F200" s="2">
        <f>SUBTOTAL(109,A_5_01_33[VALOR PARCIAL])</f>
      </c>
    </row>
    <row r="202" ht="30" customHeight="1" spans="1:6" x14ac:dyDescent="0.25">
      <c r="A202" s="5" t="s">
        <v>7885</v>
      </c>
      <c r="B202" s="5"/>
      <c r="C202" s="5"/>
      <c r="D202" s="5"/>
      <c r="E202" s="5"/>
      <c r="F202" s="5"/>
    </row>
    <row r="203" ht="42" customHeight="1" spans="1:6" x14ac:dyDescent="0.25">
      <c r="A203" s="6" t="s">
        <v>7886</v>
      </c>
      <c r="B203" s="6"/>
      <c r="C203" s="6"/>
      <c r="D203" s="6"/>
      <c r="E203" s="6"/>
      <c r="F203" s="6"/>
    </row>
    <row r="204" spans="1:6" x14ac:dyDescent="0.25">
      <c r="A204" t="s">
        <v>4044</v>
      </c>
      <c r="B204" t="s">
        <v>4045</v>
      </c>
      <c r="C204" t="s">
        <v>5</v>
      </c>
      <c r="D204" t="s">
        <v>4046</v>
      </c>
      <c r="E204" t="s">
        <v>4047</v>
      </c>
      <c r="F204" t="s">
        <v>4048</v>
      </c>
    </row>
    <row r="205" spans="1:6" x14ac:dyDescent="0.25">
      <c r="A205" t="s">
        <v>4062</v>
      </c>
      <c r="B205" t="s">
        <v>7887</v>
      </c>
      <c r="C205" t="s">
        <v>247</v>
      </c>
      <c r="D205" s="7">
        <v>1</v>
      </c>
      <c r="E205" s="2">
        <v>1255309</v>
      </c>
      <c r="F205" s="2">
        <v>1255309</v>
      </c>
    </row>
    <row r="206" spans="1:6" x14ac:dyDescent="0.25">
      <c r="A206" t="s">
        <v>4055</v>
      </c>
      <c r="D206" s="7"/>
      <c r="E206" s="2"/>
      <c r="F206" s="2">
        <f>SUBTOTAL(109,A_5_01_34[VALOR PARCIAL])</f>
      </c>
    </row>
    <row r="208" ht="30" customHeight="1" spans="1:6" x14ac:dyDescent="0.25">
      <c r="A208" s="5" t="s">
        <v>7888</v>
      </c>
      <c r="B208" s="5"/>
      <c r="C208" s="5"/>
      <c r="D208" s="5"/>
      <c r="E208" s="5"/>
      <c r="F208" s="5"/>
    </row>
    <row r="209" ht="42" customHeight="1" spans="1:6" x14ac:dyDescent="0.25">
      <c r="A209" s="6" t="s">
        <v>7889</v>
      </c>
      <c r="B209" s="6"/>
      <c r="C209" s="6"/>
      <c r="D209" s="6"/>
      <c r="E209" s="6"/>
      <c r="F209" s="6"/>
    </row>
    <row r="210" spans="1:6" x14ac:dyDescent="0.25">
      <c r="A210" t="s">
        <v>4044</v>
      </c>
      <c r="B210" t="s">
        <v>4045</v>
      </c>
      <c r="C210" t="s">
        <v>5</v>
      </c>
      <c r="D210" t="s">
        <v>4046</v>
      </c>
      <c r="E210" t="s">
        <v>4047</v>
      </c>
      <c r="F210" t="s">
        <v>4048</v>
      </c>
    </row>
    <row r="211" spans="1:6" x14ac:dyDescent="0.25">
      <c r="A211" t="s">
        <v>4062</v>
      </c>
      <c r="B211" t="s">
        <v>7890</v>
      </c>
      <c r="C211" t="s">
        <v>247</v>
      </c>
      <c r="D211" s="7">
        <v>1</v>
      </c>
      <c r="E211" s="2">
        <v>2677398</v>
      </c>
      <c r="F211" s="2">
        <v>2677398</v>
      </c>
    </row>
    <row r="212" spans="1:6" x14ac:dyDescent="0.25">
      <c r="A212" t="s">
        <v>4055</v>
      </c>
      <c r="D212" s="7"/>
      <c r="E212" s="2"/>
      <c r="F212" s="2">
        <f>SUBTOTAL(109,A_5_01_35[VALOR PARCIAL])</f>
      </c>
    </row>
    <row r="214" ht="30" customHeight="1" spans="1:6" x14ac:dyDescent="0.25">
      <c r="A214" s="5" t="s">
        <v>7891</v>
      </c>
      <c r="B214" s="5"/>
      <c r="C214" s="5"/>
      <c r="D214" s="5"/>
      <c r="E214" s="5"/>
      <c r="F214" s="5"/>
    </row>
    <row r="215" ht="42" customHeight="1" spans="1:6" x14ac:dyDescent="0.25">
      <c r="A215" s="6" t="s">
        <v>7892</v>
      </c>
      <c r="B215" s="6"/>
      <c r="C215" s="6"/>
      <c r="D215" s="6"/>
      <c r="E215" s="6"/>
      <c r="F215" s="6"/>
    </row>
    <row r="216" spans="1:6" x14ac:dyDescent="0.25">
      <c r="A216" t="s">
        <v>4044</v>
      </c>
      <c r="B216" t="s">
        <v>4045</v>
      </c>
      <c r="C216" t="s">
        <v>5</v>
      </c>
      <c r="D216" t="s">
        <v>4046</v>
      </c>
      <c r="E216" t="s">
        <v>4047</v>
      </c>
      <c r="F216" t="s">
        <v>4048</v>
      </c>
    </row>
    <row r="217" spans="1:6" x14ac:dyDescent="0.25">
      <c r="A217" t="s">
        <v>4062</v>
      </c>
      <c r="B217" t="s">
        <v>7893</v>
      </c>
      <c r="C217" t="s">
        <v>247</v>
      </c>
      <c r="D217" s="7">
        <v>1</v>
      </c>
      <c r="E217" s="2">
        <v>2337884</v>
      </c>
      <c r="F217" s="2">
        <v>2337884</v>
      </c>
    </row>
    <row r="218" spans="1:6" x14ac:dyDescent="0.25">
      <c r="A218" t="s">
        <v>4055</v>
      </c>
      <c r="D218" s="7"/>
      <c r="E218" s="2"/>
      <c r="F218" s="2">
        <f>SUBTOTAL(109,A_5_01_36[VALOR PARCIAL])</f>
      </c>
    </row>
    <row r="220" ht="30" customHeight="1" spans="1:6" x14ac:dyDescent="0.25">
      <c r="A220" s="5" t="s">
        <v>7894</v>
      </c>
      <c r="B220" s="5"/>
      <c r="C220" s="5"/>
      <c r="D220" s="5"/>
      <c r="E220" s="5"/>
      <c r="F220" s="5"/>
    </row>
    <row r="221" ht="42" customHeight="1" spans="1:6" x14ac:dyDescent="0.25">
      <c r="A221" s="6" t="s">
        <v>7895</v>
      </c>
      <c r="B221" s="6"/>
      <c r="C221" s="6"/>
      <c r="D221" s="6"/>
      <c r="E221" s="6"/>
      <c r="F221" s="6"/>
    </row>
    <row r="222" spans="1:6" x14ac:dyDescent="0.25">
      <c r="A222" t="s">
        <v>4044</v>
      </c>
      <c r="B222" t="s">
        <v>4045</v>
      </c>
      <c r="C222" t="s">
        <v>5</v>
      </c>
      <c r="D222" t="s">
        <v>4046</v>
      </c>
      <c r="E222" t="s">
        <v>4047</v>
      </c>
      <c r="F222" t="s">
        <v>4048</v>
      </c>
    </row>
    <row r="223" spans="1:6" x14ac:dyDescent="0.25">
      <c r="A223" t="s">
        <v>4062</v>
      </c>
      <c r="B223" t="s">
        <v>7896</v>
      </c>
      <c r="C223" t="s">
        <v>247</v>
      </c>
      <c r="D223" s="7">
        <v>1</v>
      </c>
      <c r="E223" s="2">
        <v>2790569</v>
      </c>
      <c r="F223" s="2">
        <v>2790569</v>
      </c>
    </row>
    <row r="224" spans="1:6" x14ac:dyDescent="0.25">
      <c r="A224" t="s">
        <v>4055</v>
      </c>
      <c r="D224" s="7"/>
      <c r="E224" s="2"/>
      <c r="F224" s="2">
        <f>SUBTOTAL(109,A_5_01_37[VALOR PARCIAL])</f>
      </c>
    </row>
  </sheetData>
  <mergeCells count="74">
    <mergeCell ref="A4:F4"/>
    <mergeCell ref="A5:F5"/>
    <mergeCell ref="A10:F10"/>
    <mergeCell ref="A11:F11"/>
    <mergeCell ref="A16:F16"/>
    <mergeCell ref="A17:F17"/>
    <mergeCell ref="A22:F22"/>
    <mergeCell ref="A23:F23"/>
    <mergeCell ref="A28:F28"/>
    <mergeCell ref="A29:F29"/>
    <mergeCell ref="A34:F34"/>
    <mergeCell ref="A35:F35"/>
    <mergeCell ref="A40:F40"/>
    <mergeCell ref="A41:F41"/>
    <mergeCell ref="A46:F46"/>
    <mergeCell ref="A47:F47"/>
    <mergeCell ref="A52:F52"/>
    <mergeCell ref="A53:F53"/>
    <mergeCell ref="A58:F58"/>
    <mergeCell ref="A59:F59"/>
    <mergeCell ref="A64:F64"/>
    <mergeCell ref="A65:F65"/>
    <mergeCell ref="A70:F70"/>
    <mergeCell ref="A71:F71"/>
    <mergeCell ref="A76:F76"/>
    <mergeCell ref="A77:F77"/>
    <mergeCell ref="A82:F82"/>
    <mergeCell ref="A83:F83"/>
    <mergeCell ref="A88:F88"/>
    <mergeCell ref="A89:F89"/>
    <mergeCell ref="A94:F94"/>
    <mergeCell ref="A95:F95"/>
    <mergeCell ref="A100:F100"/>
    <mergeCell ref="A101:F101"/>
    <mergeCell ref="A106:F106"/>
    <mergeCell ref="A107:F107"/>
    <mergeCell ref="A112:F112"/>
    <mergeCell ref="A113:F113"/>
    <mergeCell ref="A118:F118"/>
    <mergeCell ref="A119:F119"/>
    <mergeCell ref="A124:F124"/>
    <mergeCell ref="A125:F125"/>
    <mergeCell ref="A130:F130"/>
    <mergeCell ref="A131:F131"/>
    <mergeCell ref="A136:F136"/>
    <mergeCell ref="A137:F137"/>
    <mergeCell ref="A142:F142"/>
    <mergeCell ref="A143:F143"/>
    <mergeCell ref="A148:F148"/>
    <mergeCell ref="A149:F149"/>
    <mergeCell ref="A154:F154"/>
    <mergeCell ref="A155:F155"/>
    <mergeCell ref="A160:F160"/>
    <mergeCell ref="A161:F161"/>
    <mergeCell ref="A166:F166"/>
    <mergeCell ref="A167:F167"/>
    <mergeCell ref="A172:F172"/>
    <mergeCell ref="A173:F173"/>
    <mergeCell ref="A178:F178"/>
    <mergeCell ref="A179:F179"/>
    <mergeCell ref="A184:F184"/>
    <mergeCell ref="A185:F185"/>
    <mergeCell ref="A190:F190"/>
    <mergeCell ref="A191:F191"/>
    <mergeCell ref="A196:F196"/>
    <mergeCell ref="A197:F197"/>
    <mergeCell ref="A202:F202"/>
    <mergeCell ref="A203:F203"/>
    <mergeCell ref="A208:F208"/>
    <mergeCell ref="A209:F209"/>
    <mergeCell ref="A214:F214"/>
    <mergeCell ref="A215:F215"/>
    <mergeCell ref="A220:F220"/>
    <mergeCell ref="A221:F221"/>
  </mergeCells>
  <pageMargins left="0.7" right="0.7" top="0.75" bottom="0.75" header="0.3" footer="0.3"/>
  <pageSetup orientation="portrait" horizontalDpi="4294967295" verticalDpi="4294967295" scale="100" fitToWidth="1" fitToHeight="1"/>
  <tableParts count="3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7897</v>
      </c>
    </row>
    <row r="2" spans="1:1" x14ac:dyDescent="0.25">
      <c r="A2" s="4" t="s">
        <v>5030</v>
      </c>
    </row>
    <row r="4" ht="30" customHeight="1" spans="1:6" x14ac:dyDescent="0.25">
      <c r="A4" s="5" t="s">
        <v>7898</v>
      </c>
      <c r="B4" s="5"/>
      <c r="C4" s="5"/>
      <c r="D4" s="5"/>
      <c r="E4" s="5"/>
      <c r="F4" s="5"/>
    </row>
    <row r="5" ht="42" customHeight="1" spans="1:6" x14ac:dyDescent="0.25">
      <c r="A5" s="6" t="s">
        <v>7899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5816</v>
      </c>
      <c r="C7" t="s">
        <v>34</v>
      </c>
      <c r="D7" s="7">
        <v>0</v>
      </c>
      <c r="E7" s="2">
        <v>93966.67</v>
      </c>
      <c r="F7" s="2">
        <v>112.76</v>
      </c>
    </row>
    <row r="8" spans="1:6" x14ac:dyDescent="0.25">
      <c r="A8" t="s">
        <v>4062</v>
      </c>
      <c r="B8" t="s">
        <v>4475</v>
      </c>
      <c r="C8" t="s">
        <v>231</v>
      </c>
      <c r="D8" s="7">
        <v>0.26</v>
      </c>
      <c r="E8" s="2">
        <v>730</v>
      </c>
      <c r="F8" s="2">
        <v>189.8</v>
      </c>
    </row>
    <row r="9" spans="1:6" x14ac:dyDescent="0.25">
      <c r="A9" t="s">
        <v>4062</v>
      </c>
      <c r="B9" t="s">
        <v>4076</v>
      </c>
      <c r="C9" t="s">
        <v>3963</v>
      </c>
      <c r="D9" s="7">
        <v>0.28</v>
      </c>
      <c r="E9" s="2">
        <v>21</v>
      </c>
      <c r="F9" s="2">
        <v>5.88</v>
      </c>
    </row>
    <row r="10" spans="1:6" x14ac:dyDescent="0.25">
      <c r="A10" t="s">
        <v>4049</v>
      </c>
      <c r="B10" t="s">
        <v>4050</v>
      </c>
      <c r="C10" t="s">
        <v>4051</v>
      </c>
      <c r="D10" s="7">
        <v>0</v>
      </c>
      <c r="E10" s="2">
        <v>9037.33</v>
      </c>
      <c r="F10" s="2">
        <v>7.23</v>
      </c>
    </row>
    <row r="11" spans="1:6" x14ac:dyDescent="0.25">
      <c r="A11" t="s">
        <v>4055</v>
      </c>
      <c r="D11" s="7"/>
      <c r="E11" s="2"/>
      <c r="F11" s="2">
        <f>SUBTOTAL(109,A_6_01_01[VALOR PARCIAL])</f>
      </c>
    </row>
    <row r="13" ht="30" customHeight="1" spans="1:6" x14ac:dyDescent="0.25">
      <c r="A13" s="5" t="s">
        <v>7900</v>
      </c>
      <c r="B13" s="5"/>
      <c r="C13" s="5"/>
      <c r="D13" s="5"/>
      <c r="E13" s="5"/>
      <c r="F13" s="5"/>
    </row>
    <row r="14" ht="42" customHeight="1" spans="1:6" x14ac:dyDescent="0.25">
      <c r="A14" s="6" t="s">
        <v>7901</v>
      </c>
      <c r="B14" s="6"/>
      <c r="C14" s="6"/>
      <c r="D14" s="6"/>
      <c r="E14" s="6"/>
      <c r="F14" s="6"/>
    </row>
    <row r="15" spans="1:6" x14ac:dyDescent="0.25">
      <c r="A15" t="s">
        <v>4044</v>
      </c>
      <c r="B15" t="s">
        <v>4045</v>
      </c>
      <c r="C15" t="s">
        <v>5</v>
      </c>
      <c r="D15" t="s">
        <v>4046</v>
      </c>
      <c r="E15" t="s">
        <v>4047</v>
      </c>
      <c r="F15" t="s">
        <v>4048</v>
      </c>
    </row>
    <row r="16" spans="1:6" x14ac:dyDescent="0.25">
      <c r="A16" t="s">
        <v>4062</v>
      </c>
      <c r="B16" t="s">
        <v>4587</v>
      </c>
      <c r="C16" t="s">
        <v>34</v>
      </c>
      <c r="D16" s="7">
        <v>0.97</v>
      </c>
      <c r="E16" s="2">
        <v>82125</v>
      </c>
      <c r="F16" s="2">
        <v>79661.25</v>
      </c>
    </row>
    <row r="17" spans="1:6" x14ac:dyDescent="0.25">
      <c r="A17" t="s">
        <v>4062</v>
      </c>
      <c r="B17" t="s">
        <v>4475</v>
      </c>
      <c r="C17" t="s">
        <v>231</v>
      </c>
      <c r="D17" s="7">
        <v>510</v>
      </c>
      <c r="E17" s="2">
        <v>730</v>
      </c>
      <c r="F17" s="2">
        <v>372300</v>
      </c>
    </row>
    <row r="18" spans="1:6" x14ac:dyDescent="0.25">
      <c r="A18" t="s">
        <v>4062</v>
      </c>
      <c r="B18" t="s">
        <v>4076</v>
      </c>
      <c r="C18" t="s">
        <v>3963</v>
      </c>
      <c r="D18" s="7">
        <v>220</v>
      </c>
      <c r="E18" s="2">
        <v>21</v>
      </c>
      <c r="F18" s="2">
        <v>4620</v>
      </c>
    </row>
    <row r="19" spans="1:6" x14ac:dyDescent="0.25">
      <c r="A19" t="s">
        <v>4049</v>
      </c>
      <c r="B19" t="s">
        <v>4050</v>
      </c>
      <c r="C19" t="s">
        <v>4051</v>
      </c>
      <c r="D19" s="7">
        <v>5</v>
      </c>
      <c r="E19" s="2">
        <v>9037.33</v>
      </c>
      <c r="F19" s="2">
        <v>45186.65</v>
      </c>
    </row>
    <row r="20" spans="1:6" x14ac:dyDescent="0.25">
      <c r="A20" t="s">
        <v>4055</v>
      </c>
      <c r="D20" s="7"/>
      <c r="E20" s="2"/>
      <c r="F20" s="2">
        <f>SUBTOTAL(109,A_6_01_02[VALOR PARCIAL])</f>
      </c>
    </row>
    <row r="22" ht="30" customHeight="1" spans="1:6" x14ac:dyDescent="0.25">
      <c r="A22" s="5" t="s">
        <v>7902</v>
      </c>
      <c r="B22" s="5"/>
      <c r="C22" s="5"/>
      <c r="D22" s="5"/>
      <c r="E22" s="5"/>
      <c r="F22" s="5"/>
    </row>
    <row r="23" ht="42" customHeight="1" spans="1:6" x14ac:dyDescent="0.25">
      <c r="A23" s="6" t="s">
        <v>7903</v>
      </c>
      <c r="B23" s="6"/>
      <c r="C23" s="6"/>
      <c r="D23" s="6"/>
      <c r="E23" s="6"/>
      <c r="F23" s="6"/>
    </row>
    <row r="24" spans="1:6" x14ac:dyDescent="0.25">
      <c r="A24" t="s">
        <v>4044</v>
      </c>
      <c r="B24" t="s">
        <v>4045</v>
      </c>
      <c r="C24" t="s">
        <v>5</v>
      </c>
      <c r="D24" t="s">
        <v>4046</v>
      </c>
      <c r="E24" t="s">
        <v>4047</v>
      </c>
      <c r="F24" t="s">
        <v>4048</v>
      </c>
    </row>
    <row r="25" spans="1:6" x14ac:dyDescent="0.25">
      <c r="A25" t="s">
        <v>4062</v>
      </c>
      <c r="B25" t="s">
        <v>4587</v>
      </c>
      <c r="C25" t="s">
        <v>34</v>
      </c>
      <c r="D25" s="7">
        <v>1.1</v>
      </c>
      <c r="E25" s="2">
        <v>82125</v>
      </c>
      <c r="F25" s="2">
        <v>90337.5</v>
      </c>
    </row>
    <row r="26" spans="1:6" x14ac:dyDescent="0.25">
      <c r="A26" t="s">
        <v>4062</v>
      </c>
      <c r="B26" t="s">
        <v>4475</v>
      </c>
      <c r="C26" t="s">
        <v>231</v>
      </c>
      <c r="D26" s="7">
        <v>454</v>
      </c>
      <c r="E26" s="2">
        <v>730</v>
      </c>
      <c r="F26" s="2">
        <v>331420</v>
      </c>
    </row>
    <row r="27" spans="1:6" x14ac:dyDescent="0.25">
      <c r="A27" t="s">
        <v>4062</v>
      </c>
      <c r="B27" t="s">
        <v>4076</v>
      </c>
      <c r="C27" t="s">
        <v>3963</v>
      </c>
      <c r="D27" s="7">
        <v>185</v>
      </c>
      <c r="E27" s="2">
        <v>21</v>
      </c>
      <c r="F27" s="2">
        <v>3885</v>
      </c>
    </row>
    <row r="28" spans="1:6" x14ac:dyDescent="0.25">
      <c r="A28" t="s">
        <v>4049</v>
      </c>
      <c r="B28" t="s">
        <v>4050</v>
      </c>
      <c r="C28" t="s">
        <v>4051</v>
      </c>
      <c r="D28" s="7">
        <v>5</v>
      </c>
      <c r="E28" s="2">
        <v>9037.33</v>
      </c>
      <c r="F28" s="2">
        <v>45186.65</v>
      </c>
    </row>
    <row r="29" spans="1:6" x14ac:dyDescent="0.25">
      <c r="A29" t="s">
        <v>4055</v>
      </c>
      <c r="D29" s="7"/>
      <c r="E29" s="2"/>
      <c r="F29" s="2">
        <f>SUBTOTAL(109,A_6_01_03[VALOR PARCIAL])</f>
      </c>
    </row>
    <row r="31" ht="30" customHeight="1" spans="1:6" x14ac:dyDescent="0.25">
      <c r="A31" s="5" t="s">
        <v>7904</v>
      </c>
      <c r="B31" s="5"/>
      <c r="C31" s="5"/>
      <c r="D31" s="5"/>
      <c r="E31" s="5"/>
      <c r="F31" s="5"/>
    </row>
    <row r="32" ht="42" customHeight="1" spans="1:6" x14ac:dyDescent="0.25">
      <c r="A32" s="6" t="s">
        <v>7905</v>
      </c>
      <c r="B32" s="6"/>
      <c r="C32" s="6"/>
      <c r="D32" s="6"/>
      <c r="E32" s="6"/>
      <c r="F32" s="6"/>
    </row>
    <row r="33" spans="1:6" x14ac:dyDescent="0.25">
      <c r="A33" t="s">
        <v>4044</v>
      </c>
      <c r="B33" t="s">
        <v>4045</v>
      </c>
      <c r="C33" t="s">
        <v>5</v>
      </c>
      <c r="D33" t="s">
        <v>4046</v>
      </c>
      <c r="E33" t="s">
        <v>4047</v>
      </c>
      <c r="F33" t="s">
        <v>4048</v>
      </c>
    </row>
    <row r="34" spans="1:6" x14ac:dyDescent="0.25">
      <c r="A34" t="s">
        <v>4062</v>
      </c>
      <c r="B34" t="s">
        <v>4587</v>
      </c>
      <c r="C34" t="s">
        <v>34</v>
      </c>
      <c r="D34" s="7">
        <v>1.1</v>
      </c>
      <c r="E34" s="2">
        <v>82125</v>
      </c>
      <c r="F34" s="2">
        <v>90337.5</v>
      </c>
    </row>
    <row r="35" spans="1:6" x14ac:dyDescent="0.25">
      <c r="A35" t="s">
        <v>4062</v>
      </c>
      <c r="B35" t="s">
        <v>4475</v>
      </c>
      <c r="C35" t="s">
        <v>231</v>
      </c>
      <c r="D35" s="7">
        <v>454</v>
      </c>
      <c r="E35" s="2">
        <v>730</v>
      </c>
      <c r="F35" s="2">
        <v>331420</v>
      </c>
    </row>
    <row r="36" spans="1:6" x14ac:dyDescent="0.25">
      <c r="A36" t="s">
        <v>4062</v>
      </c>
      <c r="B36" t="s">
        <v>4076</v>
      </c>
      <c r="C36" t="s">
        <v>3963</v>
      </c>
      <c r="D36" s="7">
        <v>185</v>
      </c>
      <c r="E36" s="2">
        <v>21</v>
      </c>
      <c r="F36" s="2">
        <v>3885</v>
      </c>
    </row>
    <row r="37" spans="1:6" x14ac:dyDescent="0.25">
      <c r="A37" t="s">
        <v>4062</v>
      </c>
      <c r="B37" t="s">
        <v>4624</v>
      </c>
      <c r="C37" t="s">
        <v>231</v>
      </c>
      <c r="D37" s="7">
        <v>13.5</v>
      </c>
      <c r="E37" s="2">
        <v>8600</v>
      </c>
      <c r="F37" s="2">
        <v>116100</v>
      </c>
    </row>
    <row r="38" spans="1:6" x14ac:dyDescent="0.25">
      <c r="A38" t="s">
        <v>4049</v>
      </c>
      <c r="B38" t="s">
        <v>4050</v>
      </c>
      <c r="C38" t="s">
        <v>4051</v>
      </c>
      <c r="D38" s="7">
        <v>5</v>
      </c>
      <c r="E38" s="2">
        <v>9037.33</v>
      </c>
      <c r="F38" s="2">
        <v>45186.65</v>
      </c>
    </row>
    <row r="39" spans="1:6" x14ac:dyDescent="0.25">
      <c r="A39" t="s">
        <v>4055</v>
      </c>
      <c r="D39" s="7"/>
      <c r="E39" s="2"/>
      <c r="F39" s="2">
        <f>SUBTOTAL(109,A_6_01_04[VALOR PARCIAL])</f>
      </c>
    </row>
    <row r="41" ht="30" customHeight="1" spans="1:6" x14ac:dyDescent="0.25">
      <c r="A41" s="5" t="s">
        <v>7906</v>
      </c>
      <c r="B41" s="5"/>
      <c r="C41" s="5"/>
      <c r="D41" s="5"/>
      <c r="E41" s="5"/>
      <c r="F41" s="5"/>
    </row>
    <row r="42" ht="42" customHeight="1" spans="1:6" x14ac:dyDescent="0.25">
      <c r="A42" s="6" t="s">
        <v>7907</v>
      </c>
      <c r="B42" s="6"/>
      <c r="C42" s="6"/>
      <c r="D42" s="6"/>
      <c r="E42" s="6"/>
      <c r="F42" s="6"/>
    </row>
    <row r="43" spans="1:6" x14ac:dyDescent="0.25">
      <c r="A43" t="s">
        <v>4044</v>
      </c>
      <c r="B43" t="s">
        <v>4045</v>
      </c>
      <c r="C43" t="s">
        <v>5</v>
      </c>
      <c r="D43" t="s">
        <v>4046</v>
      </c>
      <c r="E43" t="s">
        <v>4047</v>
      </c>
      <c r="F43" t="s">
        <v>4048</v>
      </c>
    </row>
    <row r="44" spans="1:6" x14ac:dyDescent="0.25">
      <c r="A44" t="s">
        <v>4062</v>
      </c>
      <c r="B44" t="s">
        <v>4587</v>
      </c>
      <c r="C44" t="s">
        <v>34</v>
      </c>
      <c r="D44" s="7">
        <v>1.16</v>
      </c>
      <c r="E44" s="2">
        <v>82125</v>
      </c>
      <c r="F44" s="2">
        <v>95265</v>
      </c>
    </row>
    <row r="45" spans="1:6" x14ac:dyDescent="0.25">
      <c r="A45" t="s">
        <v>4062</v>
      </c>
      <c r="B45" t="s">
        <v>4475</v>
      </c>
      <c r="C45" t="s">
        <v>231</v>
      </c>
      <c r="D45" s="7">
        <v>364</v>
      </c>
      <c r="E45" s="2">
        <v>730</v>
      </c>
      <c r="F45" s="2">
        <v>265720</v>
      </c>
    </row>
    <row r="46" spans="1:6" x14ac:dyDescent="0.25">
      <c r="A46" t="s">
        <v>4062</v>
      </c>
      <c r="B46" t="s">
        <v>4076</v>
      </c>
      <c r="C46" t="s">
        <v>3963</v>
      </c>
      <c r="D46" s="7">
        <v>170</v>
      </c>
      <c r="E46" s="2">
        <v>21</v>
      </c>
      <c r="F46" s="2">
        <v>3570</v>
      </c>
    </row>
    <row r="47" spans="1:6" x14ac:dyDescent="0.25">
      <c r="A47" t="s">
        <v>4049</v>
      </c>
      <c r="B47" t="s">
        <v>4050</v>
      </c>
      <c r="C47" t="s">
        <v>4051</v>
      </c>
      <c r="D47" s="7">
        <v>5</v>
      </c>
      <c r="E47" s="2">
        <v>9037.33</v>
      </c>
      <c r="F47" s="2">
        <v>45186.65</v>
      </c>
    </row>
    <row r="48" spans="1:6" x14ac:dyDescent="0.25">
      <c r="A48" t="s">
        <v>4055</v>
      </c>
      <c r="D48" s="7"/>
      <c r="E48" s="2"/>
      <c r="F48" s="2">
        <f>SUBTOTAL(109,A_6_01_05[VALOR PARCIAL])</f>
      </c>
    </row>
    <row r="50" ht="30" customHeight="1" spans="1:6" x14ac:dyDescent="0.25">
      <c r="A50" s="5" t="s">
        <v>7908</v>
      </c>
      <c r="B50" s="5"/>
      <c r="C50" s="5"/>
      <c r="D50" s="5"/>
      <c r="E50" s="5"/>
      <c r="F50" s="5"/>
    </row>
    <row r="51" ht="42" customHeight="1" spans="1:6" x14ac:dyDescent="0.25">
      <c r="A51" s="6" t="s">
        <v>7909</v>
      </c>
      <c r="B51" s="6"/>
      <c r="C51" s="6"/>
      <c r="D51" s="6"/>
      <c r="E51" s="6"/>
      <c r="F51" s="6"/>
    </row>
    <row r="52" spans="1:6" x14ac:dyDescent="0.25">
      <c r="A52" t="s">
        <v>4044</v>
      </c>
      <c r="B52" t="s">
        <v>4045</v>
      </c>
      <c r="C52" t="s">
        <v>5</v>
      </c>
      <c r="D52" t="s">
        <v>4046</v>
      </c>
      <c r="E52" t="s">
        <v>4047</v>
      </c>
      <c r="F52" t="s">
        <v>4048</v>
      </c>
    </row>
    <row r="53" spans="1:6" x14ac:dyDescent="0.25">
      <c r="A53" t="s">
        <v>4062</v>
      </c>
      <c r="B53" t="s">
        <v>4587</v>
      </c>
      <c r="C53" t="s">
        <v>34</v>
      </c>
      <c r="D53" s="7">
        <v>1.18</v>
      </c>
      <c r="E53" s="2">
        <v>82125</v>
      </c>
      <c r="F53" s="2">
        <v>96907.5</v>
      </c>
    </row>
    <row r="54" spans="1:6" x14ac:dyDescent="0.25">
      <c r="A54" t="s">
        <v>4062</v>
      </c>
      <c r="B54" t="s">
        <v>4475</v>
      </c>
      <c r="C54" t="s">
        <v>231</v>
      </c>
      <c r="D54" s="7">
        <v>302</v>
      </c>
      <c r="E54" s="2">
        <v>730</v>
      </c>
      <c r="F54" s="2">
        <v>220460</v>
      </c>
    </row>
    <row r="55" spans="1:6" x14ac:dyDescent="0.25">
      <c r="A55" t="s">
        <v>4062</v>
      </c>
      <c r="B55" t="s">
        <v>4076</v>
      </c>
      <c r="C55" t="s">
        <v>3963</v>
      </c>
      <c r="D55" s="7">
        <v>150</v>
      </c>
      <c r="E55" s="2">
        <v>21</v>
      </c>
      <c r="F55" s="2">
        <v>3150</v>
      </c>
    </row>
    <row r="56" spans="1:6" x14ac:dyDescent="0.25">
      <c r="A56" t="s">
        <v>4049</v>
      </c>
      <c r="B56" t="s">
        <v>4050</v>
      </c>
      <c r="C56" t="s">
        <v>4051</v>
      </c>
      <c r="D56" s="7">
        <v>5</v>
      </c>
      <c r="E56" s="2">
        <v>9037.33</v>
      </c>
      <c r="F56" s="2">
        <v>45186.65</v>
      </c>
    </row>
    <row r="57" spans="1:6" x14ac:dyDescent="0.25">
      <c r="A57" t="s">
        <v>4055</v>
      </c>
      <c r="D57" s="7"/>
      <c r="E57" s="2"/>
      <c r="F57" s="2">
        <f>SUBTOTAL(109,A_6_01_06[VALOR PARCIAL])</f>
      </c>
    </row>
    <row r="59" ht="30" customHeight="1" spans="1:6" x14ac:dyDescent="0.25">
      <c r="A59" s="5" t="s">
        <v>7910</v>
      </c>
      <c r="B59" s="5"/>
      <c r="C59" s="5"/>
      <c r="D59" s="5"/>
      <c r="E59" s="5"/>
      <c r="F59" s="5"/>
    </row>
    <row r="60" ht="42" customHeight="1" spans="1:6" x14ac:dyDescent="0.25">
      <c r="A60" s="6" t="s">
        <v>7911</v>
      </c>
      <c r="B60" s="6"/>
      <c r="C60" s="6"/>
      <c r="D60" s="6"/>
      <c r="E60" s="6"/>
      <c r="F60" s="6"/>
    </row>
    <row r="61" spans="1:6" x14ac:dyDescent="0.25">
      <c r="A61" t="s">
        <v>4044</v>
      </c>
      <c r="B61" t="s">
        <v>4045</v>
      </c>
      <c r="C61" t="s">
        <v>5</v>
      </c>
      <c r="D61" t="s">
        <v>4046</v>
      </c>
      <c r="E61" t="s">
        <v>4047</v>
      </c>
      <c r="F61" t="s">
        <v>4048</v>
      </c>
    </row>
    <row r="62" spans="1:6" x14ac:dyDescent="0.25">
      <c r="A62" t="s">
        <v>4062</v>
      </c>
      <c r="B62" t="s">
        <v>4587</v>
      </c>
      <c r="C62" t="s">
        <v>34</v>
      </c>
      <c r="D62" s="7">
        <v>1.2</v>
      </c>
      <c r="E62" s="2">
        <v>82125</v>
      </c>
      <c r="F62" s="2">
        <v>98550</v>
      </c>
    </row>
    <row r="63" spans="1:6" x14ac:dyDescent="0.25">
      <c r="A63" t="s">
        <v>4062</v>
      </c>
      <c r="B63" t="s">
        <v>4475</v>
      </c>
      <c r="C63" t="s">
        <v>231</v>
      </c>
      <c r="D63" s="7">
        <v>260</v>
      </c>
      <c r="E63" s="2">
        <v>730</v>
      </c>
      <c r="F63" s="2">
        <v>189800</v>
      </c>
    </row>
    <row r="64" spans="1:6" x14ac:dyDescent="0.25">
      <c r="A64" t="s">
        <v>4062</v>
      </c>
      <c r="B64" t="s">
        <v>4076</v>
      </c>
      <c r="C64" t="s">
        <v>3963</v>
      </c>
      <c r="D64" s="7">
        <v>140</v>
      </c>
      <c r="E64" s="2">
        <v>21</v>
      </c>
      <c r="F64" s="2">
        <v>2940</v>
      </c>
    </row>
    <row r="65" spans="1:6" x14ac:dyDescent="0.25">
      <c r="A65" t="s">
        <v>4049</v>
      </c>
      <c r="B65" t="s">
        <v>4050</v>
      </c>
      <c r="C65" t="s">
        <v>4051</v>
      </c>
      <c r="D65" s="7">
        <v>5</v>
      </c>
      <c r="E65" s="2">
        <v>9037.33</v>
      </c>
      <c r="F65" s="2">
        <v>45186.65</v>
      </c>
    </row>
    <row r="66" spans="1:6" x14ac:dyDescent="0.25">
      <c r="A66" t="s">
        <v>4055</v>
      </c>
      <c r="D66" s="7"/>
      <c r="E66" s="2"/>
      <c r="F66" s="2">
        <f>SUBTOTAL(109,A_6_01_07[VALOR PARCIAL])</f>
      </c>
    </row>
    <row r="68" ht="30" customHeight="1" spans="1:6" x14ac:dyDescent="0.25">
      <c r="A68" s="5" t="s">
        <v>7912</v>
      </c>
      <c r="B68" s="5"/>
      <c r="C68" s="5"/>
      <c r="D68" s="5"/>
      <c r="E68" s="5"/>
      <c r="F68" s="5"/>
    </row>
    <row r="69" ht="42" customHeight="1" spans="1:6" x14ac:dyDescent="0.25">
      <c r="A69" s="6" t="s">
        <v>7913</v>
      </c>
      <c r="B69" s="6"/>
      <c r="C69" s="6"/>
      <c r="D69" s="6"/>
      <c r="E69" s="6"/>
      <c r="F69" s="6"/>
    </row>
    <row r="70" spans="1:6" x14ac:dyDescent="0.25">
      <c r="A70" t="s">
        <v>4044</v>
      </c>
      <c r="B70" t="s">
        <v>4045</v>
      </c>
      <c r="C70" t="s">
        <v>5</v>
      </c>
      <c r="D70" t="s">
        <v>4046</v>
      </c>
      <c r="E70" t="s">
        <v>4047</v>
      </c>
      <c r="F70" t="s">
        <v>4048</v>
      </c>
    </row>
    <row r="71" spans="1:6" x14ac:dyDescent="0.25">
      <c r="A71" t="s">
        <v>4062</v>
      </c>
      <c r="B71" t="s">
        <v>4587</v>
      </c>
      <c r="C71" t="s">
        <v>34</v>
      </c>
      <c r="D71" s="7">
        <v>1.09</v>
      </c>
      <c r="E71" s="2">
        <v>82125</v>
      </c>
      <c r="F71" s="2">
        <v>89516.25</v>
      </c>
    </row>
    <row r="72" spans="1:6" x14ac:dyDescent="0.25">
      <c r="A72" t="s">
        <v>4062</v>
      </c>
      <c r="B72" t="s">
        <v>4475</v>
      </c>
      <c r="C72" t="s">
        <v>231</v>
      </c>
      <c r="D72" s="7">
        <v>454</v>
      </c>
      <c r="E72" s="2">
        <v>730</v>
      </c>
      <c r="F72" s="2">
        <v>331420</v>
      </c>
    </row>
    <row r="73" spans="1:6" x14ac:dyDescent="0.25">
      <c r="A73" t="s">
        <v>4062</v>
      </c>
      <c r="B73" t="s">
        <v>4076</v>
      </c>
      <c r="C73" t="s">
        <v>3963</v>
      </c>
      <c r="D73" s="7">
        <v>185</v>
      </c>
      <c r="E73" s="2">
        <v>21</v>
      </c>
      <c r="F73" s="2">
        <v>3885</v>
      </c>
    </row>
    <row r="74" spans="1:6" x14ac:dyDescent="0.25">
      <c r="A74" t="s">
        <v>4049</v>
      </c>
      <c r="B74" t="s">
        <v>4050</v>
      </c>
      <c r="C74" t="s">
        <v>4051</v>
      </c>
      <c r="D74" s="7">
        <v>5</v>
      </c>
      <c r="E74" s="2">
        <v>9037.33</v>
      </c>
      <c r="F74" s="2">
        <v>45186.65</v>
      </c>
    </row>
    <row r="75" spans="1:6" x14ac:dyDescent="0.25">
      <c r="A75" t="s">
        <v>4055</v>
      </c>
      <c r="D75" s="7"/>
      <c r="E75" s="2"/>
      <c r="F75" s="2">
        <f>SUBTOTAL(109,A_6_01_08[VALOR PARCIAL])</f>
      </c>
    </row>
    <row r="77" ht="30" customHeight="1" spans="1:6" x14ac:dyDescent="0.25">
      <c r="A77" s="5" t="s">
        <v>7914</v>
      </c>
      <c r="B77" s="5"/>
      <c r="C77" s="5"/>
      <c r="D77" s="5"/>
      <c r="E77" s="5"/>
      <c r="F77" s="5"/>
    </row>
    <row r="78" ht="42" customHeight="1" spans="1:6" x14ac:dyDescent="0.25">
      <c r="A78" s="6" t="s">
        <v>7915</v>
      </c>
      <c r="B78" s="6"/>
      <c r="C78" s="6"/>
      <c r="D78" s="6"/>
      <c r="E78" s="6"/>
      <c r="F78" s="6"/>
    </row>
    <row r="79" spans="1:6" x14ac:dyDescent="0.25">
      <c r="A79" t="s">
        <v>4044</v>
      </c>
      <c r="B79" t="s">
        <v>4045</v>
      </c>
      <c r="C79" t="s">
        <v>5</v>
      </c>
      <c r="D79" t="s">
        <v>4046</v>
      </c>
      <c r="E79" t="s">
        <v>4047</v>
      </c>
      <c r="F79" t="s">
        <v>4048</v>
      </c>
    </row>
    <row r="80" spans="1:6" x14ac:dyDescent="0.25">
      <c r="A80" t="s">
        <v>4062</v>
      </c>
      <c r="B80" t="s">
        <v>4587</v>
      </c>
      <c r="C80" t="s">
        <v>34</v>
      </c>
      <c r="D80" s="7">
        <v>1.16</v>
      </c>
      <c r="E80" s="2">
        <v>82125</v>
      </c>
      <c r="F80" s="2">
        <v>95265</v>
      </c>
    </row>
    <row r="81" spans="1:6" x14ac:dyDescent="0.25">
      <c r="A81" t="s">
        <v>4062</v>
      </c>
      <c r="B81" t="s">
        <v>4475</v>
      </c>
      <c r="C81" t="s">
        <v>231</v>
      </c>
      <c r="D81" s="7">
        <v>360</v>
      </c>
      <c r="E81" s="2">
        <v>730</v>
      </c>
      <c r="F81" s="2">
        <v>262800</v>
      </c>
    </row>
    <row r="82" spans="1:6" x14ac:dyDescent="0.25">
      <c r="A82" t="s">
        <v>4062</v>
      </c>
      <c r="B82" t="s">
        <v>4076</v>
      </c>
      <c r="C82" t="s">
        <v>3963</v>
      </c>
      <c r="D82" s="7">
        <v>185</v>
      </c>
      <c r="E82" s="2">
        <v>21</v>
      </c>
      <c r="F82" s="2">
        <v>3885</v>
      </c>
    </row>
    <row r="83" spans="1:6" x14ac:dyDescent="0.25">
      <c r="A83" t="s">
        <v>4049</v>
      </c>
      <c r="B83" t="s">
        <v>4050</v>
      </c>
      <c r="C83" t="s">
        <v>4051</v>
      </c>
      <c r="D83" s="7">
        <v>5</v>
      </c>
      <c r="E83" s="2">
        <v>9037.33</v>
      </c>
      <c r="F83" s="2">
        <v>45186.65</v>
      </c>
    </row>
    <row r="84" spans="1:6" x14ac:dyDescent="0.25">
      <c r="A84" t="s">
        <v>4055</v>
      </c>
      <c r="D84" s="7"/>
      <c r="E84" s="2"/>
      <c r="F84" s="2">
        <f>SUBTOTAL(109,A_6_01_09[VALOR PARCIAL])</f>
      </c>
    </row>
  </sheetData>
  <mergeCells count="18">
    <mergeCell ref="A4:F4"/>
    <mergeCell ref="A5:F5"/>
    <mergeCell ref="A13:F13"/>
    <mergeCell ref="A14:F14"/>
    <mergeCell ref="A22:F22"/>
    <mergeCell ref="A23:F23"/>
    <mergeCell ref="A31:F31"/>
    <mergeCell ref="A32:F32"/>
    <mergeCell ref="A41:F41"/>
    <mergeCell ref="A42:F42"/>
    <mergeCell ref="A50:F50"/>
    <mergeCell ref="A51:F51"/>
    <mergeCell ref="A59:F59"/>
    <mergeCell ref="A60:F60"/>
    <mergeCell ref="A68:F68"/>
    <mergeCell ref="A69:F69"/>
    <mergeCell ref="A77:F77"/>
    <mergeCell ref="A78:F78"/>
  </mergeCells>
  <pageMargins left="0.7" right="0.7" top="0.75" bottom="0.75" header="0.3" footer="0.3"/>
  <pageSetup orientation="portrait" horizontalDpi="4294967295" verticalDpi="4294967295" scale="100" fitToWidth="1" fitToHeight="1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7916</v>
      </c>
    </row>
    <row r="2" spans="1:1" x14ac:dyDescent="0.25">
      <c r="A2" s="4" t="s">
        <v>7917</v>
      </c>
    </row>
    <row r="4" ht="30" customHeight="1" spans="1:6" x14ac:dyDescent="0.25">
      <c r="A4" s="5" t="s">
        <v>7918</v>
      </c>
      <c r="B4" s="5"/>
      <c r="C4" s="5"/>
      <c r="D4" s="5"/>
      <c r="E4" s="5"/>
      <c r="F4" s="5"/>
    </row>
    <row r="5" ht="42" customHeight="1" spans="1:6" x14ac:dyDescent="0.25">
      <c r="A5" s="6" t="s">
        <v>7919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7307</v>
      </c>
      <c r="C7" t="s">
        <v>34</v>
      </c>
      <c r="D7" s="7">
        <v>0.5</v>
      </c>
      <c r="E7" s="2">
        <v>80523.33</v>
      </c>
      <c r="F7" s="2">
        <v>40261.67</v>
      </c>
    </row>
    <row r="8" spans="1:6" x14ac:dyDescent="0.25">
      <c r="A8" t="s">
        <v>4062</v>
      </c>
      <c r="B8" t="s">
        <v>4475</v>
      </c>
      <c r="C8" t="s">
        <v>231</v>
      </c>
      <c r="D8" s="7">
        <v>210</v>
      </c>
      <c r="E8" s="2">
        <v>730</v>
      </c>
      <c r="F8" s="2">
        <v>153300</v>
      </c>
    </row>
    <row r="9" spans="1:6" x14ac:dyDescent="0.25">
      <c r="A9" t="s">
        <v>4062</v>
      </c>
      <c r="B9" t="s">
        <v>5219</v>
      </c>
      <c r="C9" t="s">
        <v>34</v>
      </c>
      <c r="D9" s="7">
        <v>1</v>
      </c>
      <c r="E9" s="2">
        <v>92880</v>
      </c>
      <c r="F9" s="2">
        <v>92880</v>
      </c>
    </row>
    <row r="10" spans="1:6" x14ac:dyDescent="0.25">
      <c r="A10" t="s">
        <v>4062</v>
      </c>
      <c r="B10" t="s">
        <v>4076</v>
      </c>
      <c r="C10" t="s">
        <v>3963</v>
      </c>
      <c r="D10" s="7">
        <v>160</v>
      </c>
      <c r="E10" s="2">
        <v>21</v>
      </c>
      <c r="F10" s="2">
        <v>3360</v>
      </c>
    </row>
    <row r="11" spans="1:6" x14ac:dyDescent="0.25">
      <c r="A11" t="s">
        <v>4049</v>
      </c>
      <c r="B11" t="s">
        <v>4050</v>
      </c>
      <c r="C11" t="s">
        <v>4051</v>
      </c>
      <c r="D11" s="7">
        <v>6</v>
      </c>
      <c r="E11" s="2">
        <v>9037.33</v>
      </c>
      <c r="F11" s="2">
        <v>54223.98</v>
      </c>
    </row>
    <row r="12" spans="1:6" x14ac:dyDescent="0.25">
      <c r="A12" t="s">
        <v>4049</v>
      </c>
      <c r="B12" t="s">
        <v>4073</v>
      </c>
      <c r="C12" t="s">
        <v>4051</v>
      </c>
      <c r="D12" s="7">
        <v>1</v>
      </c>
      <c r="E12" s="2">
        <v>15517.89</v>
      </c>
      <c r="F12" s="2">
        <v>15517.89</v>
      </c>
    </row>
    <row r="13" spans="1:6" x14ac:dyDescent="0.25">
      <c r="A13" t="s">
        <v>4052</v>
      </c>
      <c r="B13" t="s">
        <v>7920</v>
      </c>
      <c r="C13" t="s">
        <v>4106</v>
      </c>
      <c r="D13" s="7">
        <v>0.15</v>
      </c>
      <c r="E13" s="2">
        <v>125800</v>
      </c>
      <c r="F13" s="2">
        <v>18870</v>
      </c>
    </row>
    <row r="14" spans="1:6" x14ac:dyDescent="0.25">
      <c r="A14" t="s">
        <v>4055</v>
      </c>
      <c r="D14" s="7"/>
      <c r="E14" s="2"/>
      <c r="F14" s="2">
        <f>SUBTOTAL(109,A_6_02_01[VALOR PARCIAL])</f>
      </c>
    </row>
    <row r="16" ht="30" customHeight="1" spans="1:6" x14ac:dyDescent="0.25">
      <c r="A16" s="5" t="s">
        <v>7921</v>
      </c>
      <c r="B16" s="5"/>
      <c r="C16" s="5"/>
      <c r="D16" s="5"/>
      <c r="E16" s="5"/>
      <c r="F16" s="5"/>
    </row>
    <row r="17" ht="42" customHeight="1" spans="1:6" x14ac:dyDescent="0.25">
      <c r="A17" s="6" t="s">
        <v>7922</v>
      </c>
      <c r="B17" s="6"/>
      <c r="C17" s="6"/>
      <c r="D17" s="6"/>
      <c r="E17" s="6"/>
      <c r="F17" s="6"/>
    </row>
    <row r="18" spans="1:6" x14ac:dyDescent="0.25">
      <c r="A18" t="s">
        <v>4044</v>
      </c>
      <c r="B18" t="s">
        <v>4045</v>
      </c>
      <c r="C18" t="s">
        <v>5</v>
      </c>
      <c r="D18" t="s">
        <v>4046</v>
      </c>
      <c r="E18" t="s">
        <v>4047</v>
      </c>
      <c r="F18" t="s">
        <v>4048</v>
      </c>
    </row>
    <row r="19" spans="1:6" x14ac:dyDescent="0.25">
      <c r="A19" t="s">
        <v>4062</v>
      </c>
      <c r="B19" t="s">
        <v>7307</v>
      </c>
      <c r="C19" t="s">
        <v>34</v>
      </c>
      <c r="D19" s="7">
        <v>0.68</v>
      </c>
      <c r="E19" s="2">
        <v>80523.33</v>
      </c>
      <c r="F19" s="2">
        <v>55029.64</v>
      </c>
    </row>
    <row r="20" spans="1:6" x14ac:dyDescent="0.25">
      <c r="A20" t="s">
        <v>4062</v>
      </c>
      <c r="B20" t="s">
        <v>4475</v>
      </c>
      <c r="C20" t="s">
        <v>231</v>
      </c>
      <c r="D20" s="7">
        <v>428.4</v>
      </c>
      <c r="E20" s="2">
        <v>730</v>
      </c>
      <c r="F20" s="2">
        <v>312732</v>
      </c>
    </row>
    <row r="21" spans="1:6" x14ac:dyDescent="0.25">
      <c r="A21" t="s">
        <v>4062</v>
      </c>
      <c r="B21" t="s">
        <v>5219</v>
      </c>
      <c r="C21" t="s">
        <v>34</v>
      </c>
      <c r="D21" s="7">
        <v>0.68</v>
      </c>
      <c r="E21" s="2">
        <v>92880</v>
      </c>
      <c r="F21" s="2">
        <v>63474.19</v>
      </c>
    </row>
    <row r="22" spans="1:6" x14ac:dyDescent="0.25">
      <c r="A22" t="s">
        <v>4062</v>
      </c>
      <c r="B22" t="s">
        <v>4076</v>
      </c>
      <c r="C22" t="s">
        <v>3963</v>
      </c>
      <c r="D22" s="7">
        <v>204</v>
      </c>
      <c r="E22" s="2">
        <v>21</v>
      </c>
      <c r="F22" s="2">
        <v>4284</v>
      </c>
    </row>
    <row r="23" spans="1:6" x14ac:dyDescent="0.25">
      <c r="A23" t="s">
        <v>4049</v>
      </c>
      <c r="B23" t="s">
        <v>4050</v>
      </c>
      <c r="C23" t="s">
        <v>4051</v>
      </c>
      <c r="D23" s="7">
        <v>6</v>
      </c>
      <c r="E23" s="2">
        <v>9037.33</v>
      </c>
      <c r="F23" s="2">
        <v>54223.98</v>
      </c>
    </row>
    <row r="24" spans="1:6" x14ac:dyDescent="0.25">
      <c r="A24" t="s">
        <v>4049</v>
      </c>
      <c r="B24" t="s">
        <v>4073</v>
      </c>
      <c r="C24" t="s">
        <v>4051</v>
      </c>
      <c r="D24" s="7">
        <v>1</v>
      </c>
      <c r="E24" s="2">
        <v>15517.89</v>
      </c>
      <c r="F24" s="2">
        <v>15517.89</v>
      </c>
    </row>
    <row r="25" spans="1:6" x14ac:dyDescent="0.25">
      <c r="A25" t="s">
        <v>4052</v>
      </c>
      <c r="B25" t="s">
        <v>7920</v>
      </c>
      <c r="C25" t="s">
        <v>4106</v>
      </c>
      <c r="D25" s="7">
        <v>0.13</v>
      </c>
      <c r="E25" s="2">
        <v>125800</v>
      </c>
      <c r="F25" s="2">
        <v>15725</v>
      </c>
    </row>
    <row r="26" spans="1:6" x14ac:dyDescent="0.25">
      <c r="A26" t="s">
        <v>4055</v>
      </c>
      <c r="D26" s="7"/>
      <c r="E26" s="2"/>
      <c r="F26" s="2">
        <f>SUBTOTAL(109,A_6_02_02[VALOR PARCIAL])</f>
      </c>
    </row>
    <row r="28" ht="30" customHeight="1" spans="1:6" x14ac:dyDescent="0.25">
      <c r="A28" s="5" t="s">
        <v>7923</v>
      </c>
      <c r="B28" s="5"/>
      <c r="C28" s="5"/>
      <c r="D28" s="5"/>
      <c r="E28" s="5"/>
      <c r="F28" s="5"/>
    </row>
    <row r="29" ht="42" customHeight="1" spans="1:6" x14ac:dyDescent="0.25">
      <c r="A29" s="6" t="s">
        <v>7924</v>
      </c>
      <c r="B29" s="6"/>
      <c r="C29" s="6"/>
      <c r="D29" s="6"/>
      <c r="E29" s="6"/>
      <c r="F29" s="6"/>
    </row>
    <row r="30" spans="1:6" x14ac:dyDescent="0.25">
      <c r="A30" t="s">
        <v>4044</v>
      </c>
      <c r="B30" t="s">
        <v>4045</v>
      </c>
      <c r="C30" t="s">
        <v>5</v>
      </c>
      <c r="D30" t="s">
        <v>4046</v>
      </c>
      <c r="E30" t="s">
        <v>4047</v>
      </c>
      <c r="F30" t="s">
        <v>4048</v>
      </c>
    </row>
    <row r="31" spans="1:6" x14ac:dyDescent="0.25">
      <c r="A31" t="s">
        <v>4062</v>
      </c>
      <c r="B31" t="s">
        <v>7307</v>
      </c>
      <c r="C31" t="s">
        <v>34</v>
      </c>
      <c r="D31" s="7">
        <v>0.57</v>
      </c>
      <c r="E31" s="2">
        <v>80523.33</v>
      </c>
      <c r="F31" s="2">
        <v>45994.93</v>
      </c>
    </row>
    <row r="32" spans="1:6" x14ac:dyDescent="0.25">
      <c r="A32" t="s">
        <v>4062</v>
      </c>
      <c r="B32" t="s">
        <v>4475</v>
      </c>
      <c r="C32" t="s">
        <v>231</v>
      </c>
      <c r="D32" s="7">
        <v>316.2</v>
      </c>
      <c r="E32" s="2">
        <v>730</v>
      </c>
      <c r="F32" s="2">
        <v>230826</v>
      </c>
    </row>
    <row r="33" spans="1:6" x14ac:dyDescent="0.25">
      <c r="A33" t="s">
        <v>4062</v>
      </c>
      <c r="B33" t="s">
        <v>5219</v>
      </c>
      <c r="C33" t="s">
        <v>34</v>
      </c>
      <c r="D33" s="7">
        <v>0.91</v>
      </c>
      <c r="E33" s="2">
        <v>92880</v>
      </c>
      <c r="F33" s="2">
        <v>84316.46</v>
      </c>
    </row>
    <row r="34" spans="1:6" x14ac:dyDescent="0.25">
      <c r="A34" t="s">
        <v>4062</v>
      </c>
      <c r="B34" t="s">
        <v>4076</v>
      </c>
      <c r="C34" t="s">
        <v>3963</v>
      </c>
      <c r="D34" s="7">
        <v>173.4</v>
      </c>
      <c r="E34" s="2">
        <v>21</v>
      </c>
      <c r="F34" s="2">
        <v>3641.4</v>
      </c>
    </row>
    <row r="35" spans="1:6" x14ac:dyDescent="0.25">
      <c r="A35" t="s">
        <v>4049</v>
      </c>
      <c r="B35" t="s">
        <v>4050</v>
      </c>
      <c r="C35" t="s">
        <v>4051</v>
      </c>
      <c r="D35" s="7">
        <v>6</v>
      </c>
      <c r="E35" s="2">
        <v>9037.33</v>
      </c>
      <c r="F35" s="2">
        <v>54223.98</v>
      </c>
    </row>
    <row r="36" spans="1:6" x14ac:dyDescent="0.25">
      <c r="A36" t="s">
        <v>4049</v>
      </c>
      <c r="B36" t="s">
        <v>4073</v>
      </c>
      <c r="C36" t="s">
        <v>4051</v>
      </c>
      <c r="D36" s="7">
        <v>1</v>
      </c>
      <c r="E36" s="2">
        <v>15517.89</v>
      </c>
      <c r="F36" s="2">
        <v>15517.89</v>
      </c>
    </row>
    <row r="37" spans="1:6" x14ac:dyDescent="0.25">
      <c r="A37" t="s">
        <v>4052</v>
      </c>
      <c r="B37" t="s">
        <v>7920</v>
      </c>
      <c r="C37" t="s">
        <v>4106</v>
      </c>
      <c r="D37" s="7">
        <v>0.13</v>
      </c>
      <c r="E37" s="2">
        <v>125800</v>
      </c>
      <c r="F37" s="2">
        <v>15725</v>
      </c>
    </row>
    <row r="38" spans="1:6" x14ac:dyDescent="0.25">
      <c r="A38" t="s">
        <v>4055</v>
      </c>
      <c r="D38" s="7"/>
      <c r="E38" s="2"/>
      <c r="F38" s="2">
        <f>SUBTOTAL(109,A_6_02_03[VALOR PARCIAL])</f>
      </c>
    </row>
    <row r="40" ht="30" customHeight="1" spans="1:6" x14ac:dyDescent="0.25">
      <c r="A40" s="5" t="s">
        <v>7925</v>
      </c>
      <c r="B40" s="5"/>
      <c r="C40" s="5"/>
      <c r="D40" s="5"/>
      <c r="E40" s="5"/>
      <c r="F40" s="5"/>
    </row>
    <row r="41" ht="42" customHeight="1" spans="1:6" x14ac:dyDescent="0.25">
      <c r="A41" s="6" t="s">
        <v>7926</v>
      </c>
      <c r="B41" s="6"/>
      <c r="C41" s="6"/>
      <c r="D41" s="6"/>
      <c r="E41" s="6"/>
      <c r="F41" s="6"/>
    </row>
    <row r="42" spans="1:6" x14ac:dyDescent="0.25">
      <c r="A42" t="s">
        <v>4044</v>
      </c>
      <c r="B42" t="s">
        <v>4045</v>
      </c>
      <c r="C42" t="s">
        <v>5</v>
      </c>
      <c r="D42" t="s">
        <v>4046</v>
      </c>
      <c r="E42" t="s">
        <v>4047</v>
      </c>
      <c r="F42" t="s">
        <v>4048</v>
      </c>
    </row>
    <row r="43" spans="1:6" x14ac:dyDescent="0.25">
      <c r="A43" t="s">
        <v>4062</v>
      </c>
      <c r="B43" t="s">
        <v>7307</v>
      </c>
      <c r="C43" t="s">
        <v>34</v>
      </c>
      <c r="D43" s="7">
        <v>0.8</v>
      </c>
      <c r="E43" s="2">
        <v>80523.33</v>
      </c>
      <c r="F43" s="2">
        <v>64418.66</v>
      </c>
    </row>
    <row r="44" spans="1:6" x14ac:dyDescent="0.25">
      <c r="A44" t="s">
        <v>4062</v>
      </c>
      <c r="B44" t="s">
        <v>4475</v>
      </c>
      <c r="C44" t="s">
        <v>231</v>
      </c>
      <c r="D44" s="7">
        <v>265.2</v>
      </c>
      <c r="E44" s="2">
        <v>730</v>
      </c>
      <c r="F44" s="2">
        <v>193596</v>
      </c>
    </row>
    <row r="45" spans="1:6" x14ac:dyDescent="0.25">
      <c r="A45" t="s">
        <v>4062</v>
      </c>
      <c r="B45" t="s">
        <v>5219</v>
      </c>
      <c r="C45" t="s">
        <v>34</v>
      </c>
      <c r="D45" s="7">
        <v>0.86</v>
      </c>
      <c r="E45" s="2">
        <v>92880</v>
      </c>
      <c r="F45" s="2">
        <v>79579.58</v>
      </c>
    </row>
    <row r="46" spans="1:6" x14ac:dyDescent="0.25">
      <c r="A46" t="s">
        <v>4062</v>
      </c>
      <c r="B46" t="s">
        <v>4076</v>
      </c>
      <c r="C46" t="s">
        <v>3963</v>
      </c>
      <c r="D46" s="7">
        <v>173.4</v>
      </c>
      <c r="E46" s="2">
        <v>21</v>
      </c>
      <c r="F46" s="2">
        <v>3641.4</v>
      </c>
    </row>
    <row r="47" spans="1:6" x14ac:dyDescent="0.25">
      <c r="A47" t="s">
        <v>4049</v>
      </c>
      <c r="B47" t="s">
        <v>4050</v>
      </c>
      <c r="C47" t="s">
        <v>4051</v>
      </c>
      <c r="D47" s="7">
        <v>6</v>
      </c>
      <c r="E47" s="2">
        <v>9037.33</v>
      </c>
      <c r="F47" s="2">
        <v>54223.98</v>
      </c>
    </row>
    <row r="48" spans="1:6" x14ac:dyDescent="0.25">
      <c r="A48" t="s">
        <v>4049</v>
      </c>
      <c r="B48" t="s">
        <v>4073</v>
      </c>
      <c r="C48" t="s">
        <v>4051</v>
      </c>
      <c r="D48" s="7">
        <v>1</v>
      </c>
      <c r="E48" s="2">
        <v>15517.89</v>
      </c>
      <c r="F48" s="2">
        <v>15517.89</v>
      </c>
    </row>
    <row r="49" spans="1:6" x14ac:dyDescent="0.25">
      <c r="A49" t="s">
        <v>4052</v>
      </c>
      <c r="B49" t="s">
        <v>7920</v>
      </c>
      <c r="C49" t="s">
        <v>4106</v>
      </c>
      <c r="D49" s="7">
        <v>0.13</v>
      </c>
      <c r="E49" s="2">
        <v>125800</v>
      </c>
      <c r="F49" s="2">
        <v>15725</v>
      </c>
    </row>
    <row r="50" spans="1:6" x14ac:dyDescent="0.25">
      <c r="A50" t="s">
        <v>4055</v>
      </c>
      <c r="D50" s="7"/>
      <c r="E50" s="2"/>
      <c r="F50" s="2">
        <f>SUBTOTAL(109,A_6_02_04[VALOR PARCIAL])</f>
      </c>
    </row>
    <row r="52" ht="30" customHeight="1" spans="1:6" x14ac:dyDescent="0.25">
      <c r="A52" s="5" t="s">
        <v>7927</v>
      </c>
      <c r="B52" s="5"/>
      <c r="C52" s="5"/>
      <c r="D52" s="5"/>
      <c r="E52" s="5"/>
      <c r="F52" s="5"/>
    </row>
    <row r="53" ht="42" customHeight="1" spans="1:6" x14ac:dyDescent="0.25">
      <c r="A53" s="6" t="s">
        <v>7919</v>
      </c>
      <c r="B53" s="6"/>
      <c r="C53" s="6"/>
      <c r="D53" s="6"/>
      <c r="E53" s="6"/>
      <c r="F53" s="6"/>
    </row>
    <row r="54" spans="1:6" x14ac:dyDescent="0.25">
      <c r="A54" t="s">
        <v>4044</v>
      </c>
      <c r="B54" t="s">
        <v>4045</v>
      </c>
      <c r="C54" t="s">
        <v>5</v>
      </c>
      <c r="D54" t="s">
        <v>4046</v>
      </c>
      <c r="E54" t="s">
        <v>4047</v>
      </c>
      <c r="F54" t="s">
        <v>4048</v>
      </c>
    </row>
    <row r="55" spans="1:6" x14ac:dyDescent="0.25">
      <c r="A55" t="s">
        <v>4062</v>
      </c>
      <c r="B55" t="s">
        <v>7307</v>
      </c>
      <c r="C55" t="s">
        <v>34</v>
      </c>
      <c r="D55" s="7">
        <v>0.5</v>
      </c>
      <c r="E55" s="2">
        <v>80523.33</v>
      </c>
      <c r="F55" s="2">
        <v>40261.67</v>
      </c>
    </row>
    <row r="56" spans="1:6" x14ac:dyDescent="0.25">
      <c r="A56" t="s">
        <v>4062</v>
      </c>
      <c r="B56" t="s">
        <v>4475</v>
      </c>
      <c r="C56" t="s">
        <v>231</v>
      </c>
      <c r="D56" s="7">
        <v>210</v>
      </c>
      <c r="E56" s="2">
        <v>730</v>
      </c>
      <c r="F56" s="2">
        <v>153300</v>
      </c>
    </row>
    <row r="57" spans="1:6" x14ac:dyDescent="0.25">
      <c r="A57" t="s">
        <v>4062</v>
      </c>
      <c r="B57" t="s">
        <v>5219</v>
      </c>
      <c r="C57" t="s">
        <v>34</v>
      </c>
      <c r="D57" s="7">
        <v>1</v>
      </c>
      <c r="E57" s="2">
        <v>92880</v>
      </c>
      <c r="F57" s="2">
        <v>92880</v>
      </c>
    </row>
    <row r="58" spans="1:6" x14ac:dyDescent="0.25">
      <c r="A58" t="s">
        <v>4062</v>
      </c>
      <c r="B58" t="s">
        <v>4076</v>
      </c>
      <c r="C58" t="s">
        <v>3963</v>
      </c>
      <c r="D58" s="7">
        <v>160</v>
      </c>
      <c r="E58" s="2">
        <v>21</v>
      </c>
      <c r="F58" s="2">
        <v>3360</v>
      </c>
    </row>
    <row r="59" spans="1:6" x14ac:dyDescent="0.25">
      <c r="A59" t="s">
        <v>4049</v>
      </c>
      <c r="B59" t="s">
        <v>4050</v>
      </c>
      <c r="C59" t="s">
        <v>4051</v>
      </c>
      <c r="D59" s="7">
        <v>6</v>
      </c>
      <c r="E59" s="2">
        <v>9037.33</v>
      </c>
      <c r="F59" s="2">
        <v>54223.98</v>
      </c>
    </row>
    <row r="60" spans="1:6" x14ac:dyDescent="0.25">
      <c r="A60" t="s">
        <v>4049</v>
      </c>
      <c r="B60" t="s">
        <v>4073</v>
      </c>
      <c r="C60" t="s">
        <v>4051</v>
      </c>
      <c r="D60" s="7">
        <v>1</v>
      </c>
      <c r="E60" s="2">
        <v>15517.89</v>
      </c>
      <c r="F60" s="2">
        <v>15517.89</v>
      </c>
    </row>
    <row r="61" spans="1:6" x14ac:dyDescent="0.25">
      <c r="A61" t="s">
        <v>4052</v>
      </c>
      <c r="B61" t="s">
        <v>7920</v>
      </c>
      <c r="C61" t="s">
        <v>4106</v>
      </c>
      <c r="D61" s="7">
        <v>0.15</v>
      </c>
      <c r="E61" s="2">
        <v>125800</v>
      </c>
      <c r="F61" s="2">
        <v>18870</v>
      </c>
    </row>
    <row r="62" spans="1:6" x14ac:dyDescent="0.25">
      <c r="A62" t="s">
        <v>4055</v>
      </c>
      <c r="D62" s="7"/>
      <c r="E62" s="2"/>
      <c r="F62" s="2">
        <f>SUBTOTAL(109,A_6_02_05[VALOR PARCIAL])</f>
      </c>
    </row>
    <row r="64" ht="30" customHeight="1" spans="1:6" x14ac:dyDescent="0.25">
      <c r="A64" s="5" t="s">
        <v>7928</v>
      </c>
      <c r="B64" s="5"/>
      <c r="C64" s="5"/>
      <c r="D64" s="5"/>
      <c r="E64" s="5"/>
      <c r="F64" s="5"/>
    </row>
    <row r="65" ht="42" customHeight="1" spans="1:6" x14ac:dyDescent="0.25">
      <c r="A65" s="6" t="s">
        <v>7929</v>
      </c>
      <c r="B65" s="6"/>
      <c r="C65" s="6"/>
      <c r="D65" s="6"/>
      <c r="E65" s="6"/>
      <c r="F65" s="6"/>
    </row>
    <row r="66" spans="1:6" x14ac:dyDescent="0.25">
      <c r="A66" t="s">
        <v>4044</v>
      </c>
      <c r="B66" t="s">
        <v>4045</v>
      </c>
      <c r="C66" t="s">
        <v>5</v>
      </c>
      <c r="D66" t="s">
        <v>4046</v>
      </c>
      <c r="E66" t="s">
        <v>4047</v>
      </c>
      <c r="F66" t="s">
        <v>4048</v>
      </c>
    </row>
    <row r="67" spans="1:6" x14ac:dyDescent="0.25">
      <c r="A67" t="s">
        <v>4062</v>
      </c>
      <c r="B67" t="s">
        <v>7307</v>
      </c>
      <c r="C67" t="s">
        <v>34</v>
      </c>
      <c r="D67" s="7">
        <v>0.68</v>
      </c>
      <c r="E67" s="2">
        <v>80523.33</v>
      </c>
      <c r="F67" s="2">
        <v>55029.64</v>
      </c>
    </row>
    <row r="68" spans="1:6" x14ac:dyDescent="0.25">
      <c r="A68" t="s">
        <v>4062</v>
      </c>
      <c r="B68" t="s">
        <v>4475</v>
      </c>
      <c r="C68" t="s">
        <v>231</v>
      </c>
      <c r="D68" s="7">
        <v>459</v>
      </c>
      <c r="E68" s="2">
        <v>730</v>
      </c>
      <c r="F68" s="2">
        <v>335070</v>
      </c>
    </row>
    <row r="69" spans="1:6" x14ac:dyDescent="0.25">
      <c r="A69" t="s">
        <v>4062</v>
      </c>
      <c r="B69" t="s">
        <v>5219</v>
      </c>
      <c r="C69" t="s">
        <v>34</v>
      </c>
      <c r="D69" s="7">
        <v>0.68</v>
      </c>
      <c r="E69" s="2">
        <v>92880</v>
      </c>
      <c r="F69" s="2">
        <v>63474.19</v>
      </c>
    </row>
    <row r="70" spans="1:6" x14ac:dyDescent="0.25">
      <c r="A70" t="s">
        <v>4062</v>
      </c>
      <c r="B70" t="s">
        <v>4076</v>
      </c>
      <c r="C70" t="s">
        <v>3963</v>
      </c>
      <c r="D70" s="7">
        <v>204</v>
      </c>
      <c r="E70" s="2">
        <v>21</v>
      </c>
      <c r="F70" s="2">
        <v>4284</v>
      </c>
    </row>
    <row r="71" spans="1:6" x14ac:dyDescent="0.25">
      <c r="A71" t="s">
        <v>4049</v>
      </c>
      <c r="B71" t="s">
        <v>4050</v>
      </c>
      <c r="C71" t="s">
        <v>4051</v>
      </c>
      <c r="D71" s="7">
        <v>6</v>
      </c>
      <c r="E71" s="2">
        <v>9037.33</v>
      </c>
      <c r="F71" s="2">
        <v>54223.98</v>
      </c>
    </row>
    <row r="72" spans="1:6" x14ac:dyDescent="0.25">
      <c r="A72" t="s">
        <v>4049</v>
      </c>
      <c r="B72" t="s">
        <v>4073</v>
      </c>
      <c r="C72" t="s">
        <v>4051</v>
      </c>
      <c r="D72" s="7">
        <v>1</v>
      </c>
      <c r="E72" s="2">
        <v>15517.89</v>
      </c>
      <c r="F72" s="2">
        <v>15517.89</v>
      </c>
    </row>
    <row r="73" spans="1:6" x14ac:dyDescent="0.25">
      <c r="A73" t="s">
        <v>4052</v>
      </c>
      <c r="B73" t="s">
        <v>7920</v>
      </c>
      <c r="C73" t="s">
        <v>4106</v>
      </c>
      <c r="D73" s="7">
        <v>0.13</v>
      </c>
      <c r="E73" s="2">
        <v>125800</v>
      </c>
      <c r="F73" s="2">
        <v>15725</v>
      </c>
    </row>
    <row r="74" spans="1:6" x14ac:dyDescent="0.25">
      <c r="A74" t="s">
        <v>4055</v>
      </c>
      <c r="D74" s="7"/>
      <c r="E74" s="2"/>
      <c r="F74" s="2">
        <f>SUBTOTAL(109,A_6_02_06[VALOR PARCIAL])</f>
      </c>
    </row>
    <row r="76" ht="30" customHeight="1" spans="1:6" x14ac:dyDescent="0.25">
      <c r="A76" s="5" t="s">
        <v>7930</v>
      </c>
      <c r="B76" s="5"/>
      <c r="C76" s="5"/>
      <c r="D76" s="5"/>
      <c r="E76" s="5"/>
      <c r="F76" s="5"/>
    </row>
    <row r="77" ht="42" customHeight="1" spans="1:6" x14ac:dyDescent="0.25">
      <c r="A77" s="6" t="s">
        <v>7931</v>
      </c>
      <c r="B77" s="6"/>
      <c r="C77" s="6"/>
      <c r="D77" s="6"/>
      <c r="E77" s="6"/>
      <c r="F77" s="6"/>
    </row>
    <row r="78" spans="1:6" x14ac:dyDescent="0.25">
      <c r="A78" t="s">
        <v>4044</v>
      </c>
      <c r="B78" t="s">
        <v>4045</v>
      </c>
      <c r="C78" t="s">
        <v>5</v>
      </c>
      <c r="D78" t="s">
        <v>4046</v>
      </c>
      <c r="E78" t="s">
        <v>4047</v>
      </c>
      <c r="F78" t="s">
        <v>4048</v>
      </c>
    </row>
    <row r="79" spans="1:6" x14ac:dyDescent="0.25">
      <c r="A79" t="s">
        <v>4062</v>
      </c>
      <c r="B79" t="s">
        <v>7307</v>
      </c>
      <c r="C79" t="s">
        <v>34</v>
      </c>
      <c r="D79" s="7">
        <v>0.57</v>
      </c>
      <c r="E79" s="2">
        <v>80523.33</v>
      </c>
      <c r="F79" s="2">
        <v>45994.93</v>
      </c>
    </row>
    <row r="80" spans="1:6" x14ac:dyDescent="0.25">
      <c r="A80" t="s">
        <v>4062</v>
      </c>
      <c r="B80" t="s">
        <v>4475</v>
      </c>
      <c r="C80" t="s">
        <v>231</v>
      </c>
      <c r="D80" s="7">
        <v>357</v>
      </c>
      <c r="E80" s="2">
        <v>730</v>
      </c>
      <c r="F80" s="2">
        <v>260610</v>
      </c>
    </row>
    <row r="81" spans="1:6" x14ac:dyDescent="0.25">
      <c r="A81" t="s">
        <v>4062</v>
      </c>
      <c r="B81" t="s">
        <v>5219</v>
      </c>
      <c r="C81" t="s">
        <v>34</v>
      </c>
      <c r="D81" s="7">
        <v>0.86</v>
      </c>
      <c r="E81" s="2">
        <v>92880</v>
      </c>
      <c r="F81" s="2">
        <v>79579.58</v>
      </c>
    </row>
    <row r="82" spans="1:6" x14ac:dyDescent="0.25">
      <c r="A82" t="s">
        <v>4062</v>
      </c>
      <c r="B82" t="s">
        <v>4076</v>
      </c>
      <c r="C82" t="s">
        <v>3963</v>
      </c>
      <c r="D82" s="7">
        <v>183.6</v>
      </c>
      <c r="E82" s="2">
        <v>21</v>
      </c>
      <c r="F82" s="2">
        <v>3855.6</v>
      </c>
    </row>
    <row r="83" spans="1:6" x14ac:dyDescent="0.25">
      <c r="A83" t="s">
        <v>4049</v>
      </c>
      <c r="B83" t="s">
        <v>4050</v>
      </c>
      <c r="C83" t="s">
        <v>4051</v>
      </c>
      <c r="D83" s="7">
        <v>6</v>
      </c>
      <c r="E83" s="2">
        <v>9037.33</v>
      </c>
      <c r="F83" s="2">
        <v>54223.98</v>
      </c>
    </row>
    <row r="84" spans="1:6" x14ac:dyDescent="0.25">
      <c r="A84" t="s">
        <v>4049</v>
      </c>
      <c r="B84" t="s">
        <v>4073</v>
      </c>
      <c r="C84" t="s">
        <v>4051</v>
      </c>
      <c r="D84" s="7">
        <v>1</v>
      </c>
      <c r="E84" s="2">
        <v>15517.89</v>
      </c>
      <c r="F84" s="2">
        <v>15517.89</v>
      </c>
    </row>
    <row r="85" spans="1:6" x14ac:dyDescent="0.25">
      <c r="A85" t="s">
        <v>4052</v>
      </c>
      <c r="B85" t="s">
        <v>7920</v>
      </c>
      <c r="C85" t="s">
        <v>4106</v>
      </c>
      <c r="D85" s="7">
        <v>0.13</v>
      </c>
      <c r="E85" s="2">
        <v>125800</v>
      </c>
      <c r="F85" s="2">
        <v>15725</v>
      </c>
    </row>
    <row r="86" spans="1:6" x14ac:dyDescent="0.25">
      <c r="A86" t="s">
        <v>4055</v>
      </c>
      <c r="D86" s="7"/>
      <c r="E86" s="2"/>
      <c r="F86" s="2">
        <f>SUBTOTAL(109,A_6_02_07[VALOR PARCIAL])</f>
      </c>
    </row>
    <row r="88" ht="30" customHeight="1" spans="1:6" x14ac:dyDescent="0.25">
      <c r="A88" s="5" t="s">
        <v>7932</v>
      </c>
      <c r="B88" s="5"/>
      <c r="C88" s="5"/>
      <c r="D88" s="5"/>
      <c r="E88" s="5"/>
      <c r="F88" s="5"/>
    </row>
    <row r="89" ht="42" customHeight="1" spans="1:6" x14ac:dyDescent="0.25">
      <c r="A89" s="6" t="s">
        <v>7926</v>
      </c>
      <c r="B89" s="6"/>
      <c r="C89" s="6"/>
      <c r="D89" s="6"/>
      <c r="E89" s="6"/>
      <c r="F89" s="6"/>
    </row>
    <row r="90" spans="1:6" x14ac:dyDescent="0.25">
      <c r="A90" t="s">
        <v>4044</v>
      </c>
      <c r="B90" t="s">
        <v>4045</v>
      </c>
      <c r="C90" t="s">
        <v>5</v>
      </c>
      <c r="D90" t="s">
        <v>4046</v>
      </c>
      <c r="E90" t="s">
        <v>4047</v>
      </c>
      <c r="F90" t="s">
        <v>4048</v>
      </c>
    </row>
    <row r="91" spans="1:6" x14ac:dyDescent="0.25">
      <c r="A91" t="s">
        <v>4062</v>
      </c>
      <c r="B91" t="s">
        <v>7307</v>
      </c>
      <c r="C91" t="s">
        <v>34</v>
      </c>
      <c r="D91" s="7">
        <v>0.8</v>
      </c>
      <c r="E91" s="2">
        <v>80523.33</v>
      </c>
      <c r="F91" s="2">
        <v>64418.66</v>
      </c>
    </row>
    <row r="92" spans="1:6" x14ac:dyDescent="0.25">
      <c r="A92" t="s">
        <v>4062</v>
      </c>
      <c r="B92" t="s">
        <v>4475</v>
      </c>
      <c r="C92" t="s">
        <v>231</v>
      </c>
      <c r="D92" s="7">
        <v>265.2</v>
      </c>
      <c r="E92" s="2">
        <v>730</v>
      </c>
      <c r="F92" s="2">
        <v>193596</v>
      </c>
    </row>
    <row r="93" spans="1:6" x14ac:dyDescent="0.25">
      <c r="A93" t="s">
        <v>4062</v>
      </c>
      <c r="B93" t="s">
        <v>5219</v>
      </c>
      <c r="C93" t="s">
        <v>34</v>
      </c>
      <c r="D93" s="7">
        <v>0.86</v>
      </c>
      <c r="E93" s="2">
        <v>92880</v>
      </c>
      <c r="F93" s="2">
        <v>79579.58</v>
      </c>
    </row>
    <row r="94" spans="1:6" x14ac:dyDescent="0.25">
      <c r="A94" t="s">
        <v>4062</v>
      </c>
      <c r="B94" t="s">
        <v>4076</v>
      </c>
      <c r="C94" t="s">
        <v>3963</v>
      </c>
      <c r="D94" s="7">
        <v>173.4</v>
      </c>
      <c r="E94" s="2">
        <v>21</v>
      </c>
      <c r="F94" s="2">
        <v>3641.4</v>
      </c>
    </row>
    <row r="95" spans="1:6" x14ac:dyDescent="0.25">
      <c r="A95" t="s">
        <v>4049</v>
      </c>
      <c r="B95" t="s">
        <v>4050</v>
      </c>
      <c r="C95" t="s">
        <v>4051</v>
      </c>
      <c r="D95" s="7">
        <v>6</v>
      </c>
      <c r="E95" s="2">
        <v>9037.33</v>
      </c>
      <c r="F95" s="2">
        <v>54223.98</v>
      </c>
    </row>
    <row r="96" spans="1:6" x14ac:dyDescent="0.25">
      <c r="A96" t="s">
        <v>4049</v>
      </c>
      <c r="B96" t="s">
        <v>4073</v>
      </c>
      <c r="C96" t="s">
        <v>4051</v>
      </c>
      <c r="D96" s="7">
        <v>1</v>
      </c>
      <c r="E96" s="2">
        <v>15517.89</v>
      </c>
      <c r="F96" s="2">
        <v>15517.89</v>
      </c>
    </row>
    <row r="97" spans="1:6" x14ac:dyDescent="0.25">
      <c r="A97" t="s">
        <v>4052</v>
      </c>
      <c r="B97" t="s">
        <v>7920</v>
      </c>
      <c r="C97" t="s">
        <v>4106</v>
      </c>
      <c r="D97" s="7">
        <v>0.13</v>
      </c>
      <c r="E97" s="2">
        <v>125800</v>
      </c>
      <c r="F97" s="2">
        <v>15725</v>
      </c>
    </row>
    <row r="98" spans="1:6" x14ac:dyDescent="0.25">
      <c r="A98" t="s">
        <v>4055</v>
      </c>
      <c r="D98" s="7"/>
      <c r="E98" s="2"/>
      <c r="F98" s="2">
        <f>SUBTOTAL(109,A_6_02_08[VALOR PARCIAL])</f>
      </c>
    </row>
    <row r="100" ht="30" customHeight="1" spans="1:6" x14ac:dyDescent="0.25">
      <c r="A100" s="5" t="s">
        <v>7933</v>
      </c>
      <c r="B100" s="5"/>
      <c r="C100" s="5"/>
      <c r="D100" s="5"/>
      <c r="E100" s="5"/>
      <c r="F100" s="5"/>
    </row>
    <row r="101" ht="42" customHeight="1" spans="1:6" x14ac:dyDescent="0.25">
      <c r="A101" s="6" t="s">
        <v>7934</v>
      </c>
      <c r="B101" s="6"/>
      <c r="C101" s="6"/>
      <c r="D101" s="6"/>
      <c r="E101" s="6"/>
      <c r="F101" s="6"/>
    </row>
    <row r="102" spans="1:6" x14ac:dyDescent="0.25">
      <c r="A102" t="s">
        <v>4044</v>
      </c>
      <c r="B102" t="s">
        <v>4045</v>
      </c>
      <c r="C102" t="s">
        <v>5</v>
      </c>
      <c r="D102" t="s">
        <v>4046</v>
      </c>
      <c r="E102" t="s">
        <v>4047</v>
      </c>
      <c r="F102" t="s">
        <v>4048</v>
      </c>
    </row>
    <row r="103" spans="1:6" x14ac:dyDescent="0.25">
      <c r="A103" t="s">
        <v>4062</v>
      </c>
      <c r="B103" t="s">
        <v>4004</v>
      </c>
      <c r="C103" t="s">
        <v>34</v>
      </c>
      <c r="D103" s="7">
        <v>0.61</v>
      </c>
      <c r="E103" s="2">
        <v>426702.51</v>
      </c>
      <c r="F103" s="2">
        <v>258155.02</v>
      </c>
    </row>
    <row r="104" spans="1:6" x14ac:dyDescent="0.25">
      <c r="A104" t="s">
        <v>4062</v>
      </c>
      <c r="B104" t="s">
        <v>4277</v>
      </c>
      <c r="C104" t="s">
        <v>34</v>
      </c>
      <c r="D104" s="7">
        <v>0.4</v>
      </c>
      <c r="E104" s="2">
        <v>50575</v>
      </c>
      <c r="F104" s="2">
        <v>20230</v>
      </c>
    </row>
    <row r="105" spans="1:6" x14ac:dyDescent="0.25">
      <c r="A105" t="s">
        <v>4049</v>
      </c>
      <c r="B105" t="s">
        <v>4050</v>
      </c>
      <c r="C105" t="s">
        <v>4051</v>
      </c>
      <c r="D105" s="7">
        <v>7.8</v>
      </c>
      <c r="E105" s="2">
        <v>9037.33</v>
      </c>
      <c r="F105" s="2">
        <v>70491.17</v>
      </c>
    </row>
    <row r="106" spans="1:6" x14ac:dyDescent="0.25">
      <c r="A106" t="s">
        <v>4052</v>
      </c>
      <c r="B106" t="s">
        <v>4053</v>
      </c>
      <c r="C106" t="s">
        <v>4054</v>
      </c>
      <c r="D106" s="7">
        <v>0.1</v>
      </c>
      <c r="E106" s="2">
        <v>70491.17</v>
      </c>
      <c r="F106" s="2">
        <v>70.49</v>
      </c>
    </row>
    <row r="107" spans="1:6" x14ac:dyDescent="0.25">
      <c r="A107" t="s">
        <v>4058</v>
      </c>
      <c r="B107" t="s">
        <v>4059</v>
      </c>
      <c r="C107" t="s">
        <v>3545</v>
      </c>
      <c r="D107" s="7">
        <v>7.37</v>
      </c>
      <c r="E107" s="2">
        <v>1325</v>
      </c>
      <c r="F107" s="2">
        <v>9765.25</v>
      </c>
    </row>
    <row r="108" spans="1:6" x14ac:dyDescent="0.25">
      <c r="A108" t="s">
        <v>4055</v>
      </c>
      <c r="D108" s="7"/>
      <c r="E108" s="2"/>
      <c r="F108" s="2">
        <f>SUBTOTAL(109,A_6_02_09[VALOR PARCIAL])</f>
      </c>
    </row>
    <row r="110" ht="30" customHeight="1" spans="1:6" x14ac:dyDescent="0.25">
      <c r="A110" s="5" t="s">
        <v>7935</v>
      </c>
      <c r="B110" s="5"/>
      <c r="C110" s="5"/>
      <c r="D110" s="5"/>
      <c r="E110" s="5"/>
      <c r="F110" s="5"/>
    </row>
    <row r="111" ht="42" customHeight="1" spans="1:6" x14ac:dyDescent="0.25">
      <c r="A111" s="6" t="s">
        <v>7936</v>
      </c>
      <c r="B111" s="6"/>
      <c r="C111" s="6"/>
      <c r="D111" s="6"/>
      <c r="E111" s="6"/>
      <c r="F111" s="6"/>
    </row>
    <row r="112" spans="1:6" x14ac:dyDescent="0.25">
      <c r="A112" t="s">
        <v>4044</v>
      </c>
      <c r="B112" t="s">
        <v>4045</v>
      </c>
      <c r="C112" t="s">
        <v>5</v>
      </c>
      <c r="D112" t="s">
        <v>4046</v>
      </c>
      <c r="E112" t="s">
        <v>4047</v>
      </c>
      <c r="F112" t="s">
        <v>4048</v>
      </c>
    </row>
    <row r="113" spans="1:6" x14ac:dyDescent="0.25">
      <c r="A113" t="s">
        <v>4062</v>
      </c>
      <c r="B113" t="s">
        <v>4012</v>
      </c>
      <c r="C113" t="s">
        <v>34</v>
      </c>
      <c r="D113" s="7">
        <v>1.05</v>
      </c>
      <c r="E113" s="2">
        <v>475506.98</v>
      </c>
      <c r="F113" s="2">
        <v>499282.33</v>
      </c>
    </row>
    <row r="114" spans="1:6" x14ac:dyDescent="0.25">
      <c r="A114" t="s">
        <v>4062</v>
      </c>
      <c r="B114" t="s">
        <v>4409</v>
      </c>
      <c r="C114" t="s">
        <v>4377</v>
      </c>
      <c r="D114" s="7">
        <v>0.58</v>
      </c>
      <c r="E114" s="2">
        <v>44489.08</v>
      </c>
      <c r="F114" s="2">
        <v>25803.67</v>
      </c>
    </row>
    <row r="115" spans="1:6" x14ac:dyDescent="0.25">
      <c r="A115" t="s">
        <v>4055</v>
      </c>
      <c r="D115" s="7"/>
      <c r="E115" s="2"/>
      <c r="F115" s="2">
        <f>SUBTOTAL(109,A_6_02_10[VALOR PARCIAL])</f>
      </c>
    </row>
    <row r="117" ht="30" customHeight="1" spans="1:6" x14ac:dyDescent="0.25">
      <c r="A117" s="5" t="s">
        <v>7937</v>
      </c>
      <c r="B117" s="5"/>
      <c r="C117" s="5"/>
      <c r="D117" s="5"/>
      <c r="E117" s="5"/>
      <c r="F117" s="5"/>
    </row>
    <row r="118" ht="42" customHeight="1" spans="1:6" x14ac:dyDescent="0.25">
      <c r="A118" s="6" t="s">
        <v>7938</v>
      </c>
      <c r="B118" s="6"/>
      <c r="C118" s="6"/>
      <c r="D118" s="6"/>
      <c r="E118" s="6"/>
      <c r="F118" s="6"/>
    </row>
    <row r="119" spans="1:6" x14ac:dyDescent="0.25">
      <c r="A119" t="s">
        <v>4044</v>
      </c>
      <c r="B119" t="s">
        <v>4045</v>
      </c>
      <c r="C119" t="s">
        <v>5</v>
      </c>
      <c r="D119" t="s">
        <v>4046</v>
      </c>
      <c r="E119" t="s">
        <v>4047</v>
      </c>
      <c r="F119" t="s">
        <v>4048</v>
      </c>
    </row>
    <row r="120" spans="1:6" x14ac:dyDescent="0.25">
      <c r="A120" t="s">
        <v>4062</v>
      </c>
      <c r="B120" t="s">
        <v>4009</v>
      </c>
      <c r="C120" t="s">
        <v>34</v>
      </c>
      <c r="D120" s="7">
        <v>1.05</v>
      </c>
      <c r="E120" s="2">
        <v>543324.7</v>
      </c>
      <c r="F120" s="2">
        <v>570490.94</v>
      </c>
    </row>
    <row r="121" spans="1:6" x14ac:dyDescent="0.25">
      <c r="A121" t="s">
        <v>4062</v>
      </c>
      <c r="B121" t="s">
        <v>4409</v>
      </c>
      <c r="C121" t="s">
        <v>4377</v>
      </c>
      <c r="D121" s="7">
        <v>0.62</v>
      </c>
      <c r="E121" s="2">
        <v>44489.08</v>
      </c>
      <c r="F121" s="2">
        <v>27583.23</v>
      </c>
    </row>
    <row r="122" spans="1:6" x14ac:dyDescent="0.25">
      <c r="A122" t="s">
        <v>4055</v>
      </c>
      <c r="D122" s="7"/>
      <c r="E122" s="2"/>
      <c r="F122" s="2">
        <f>SUBTOTAL(109,A_6_02_11[VALOR PARCIAL])</f>
      </c>
    </row>
  </sheetData>
  <mergeCells count="22">
    <mergeCell ref="A4:F4"/>
    <mergeCell ref="A5:F5"/>
    <mergeCell ref="A16:F16"/>
    <mergeCell ref="A17:F17"/>
    <mergeCell ref="A28:F28"/>
    <mergeCell ref="A29:F29"/>
    <mergeCell ref="A40:F40"/>
    <mergeCell ref="A41:F41"/>
    <mergeCell ref="A52:F52"/>
    <mergeCell ref="A53:F53"/>
    <mergeCell ref="A64:F64"/>
    <mergeCell ref="A65:F65"/>
    <mergeCell ref="A76:F76"/>
    <mergeCell ref="A77:F77"/>
    <mergeCell ref="A88:F88"/>
    <mergeCell ref="A89:F89"/>
    <mergeCell ref="A100:F100"/>
    <mergeCell ref="A101:F101"/>
    <mergeCell ref="A110:F110"/>
    <mergeCell ref="A111:F111"/>
    <mergeCell ref="A117:F117"/>
    <mergeCell ref="A118:F118"/>
  </mergeCells>
  <pageMargins left="0.7" right="0.7" top="0.75" bottom="0.75" header="0.3" footer="0.3"/>
  <pageSetup orientation="portrait" horizontalDpi="4294967295" verticalDpi="4294967295" scale="100" fitToWidth="1" fitToHeight="1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7939</v>
      </c>
    </row>
    <row r="2" spans="1:1" x14ac:dyDescent="0.25">
      <c r="A2" s="4" t="s">
        <v>7940</v>
      </c>
    </row>
    <row r="4" ht="30" customHeight="1" spans="1:6" x14ac:dyDescent="0.25">
      <c r="A4" s="5" t="s">
        <v>7941</v>
      </c>
      <c r="B4" s="5"/>
      <c r="C4" s="5"/>
      <c r="D4" s="5"/>
      <c r="E4" s="5"/>
      <c r="F4" s="5"/>
    </row>
    <row r="5" ht="42" customHeight="1" spans="1:6" x14ac:dyDescent="0.25">
      <c r="A5" s="6" t="s">
        <v>7942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4390</v>
      </c>
      <c r="C7" t="s">
        <v>231</v>
      </c>
      <c r="D7" s="7">
        <v>0.03</v>
      </c>
      <c r="E7" s="2">
        <v>4155</v>
      </c>
      <c r="F7" s="2">
        <v>124.65</v>
      </c>
    </row>
    <row r="8" spans="1:6" x14ac:dyDescent="0.25">
      <c r="A8" t="s">
        <v>4062</v>
      </c>
      <c r="B8" t="s">
        <v>4391</v>
      </c>
      <c r="C8" t="s">
        <v>231</v>
      </c>
      <c r="D8" s="7">
        <v>1.05</v>
      </c>
      <c r="E8" s="2">
        <v>2930</v>
      </c>
      <c r="F8" s="2">
        <v>3076.5</v>
      </c>
    </row>
    <row r="9" spans="1:6" x14ac:dyDescent="0.25">
      <c r="A9" t="s">
        <v>4062</v>
      </c>
      <c r="B9" t="s">
        <v>4392</v>
      </c>
      <c r="C9" t="s">
        <v>63</v>
      </c>
      <c r="D9" s="7">
        <v>0.03</v>
      </c>
      <c r="E9" s="2">
        <v>3159.98</v>
      </c>
      <c r="F9" s="2">
        <v>94.8</v>
      </c>
    </row>
    <row r="10" spans="1:6" x14ac:dyDescent="0.25">
      <c r="A10" t="s">
        <v>4049</v>
      </c>
      <c r="B10" t="s">
        <v>4050</v>
      </c>
      <c r="C10" t="s">
        <v>4051</v>
      </c>
      <c r="D10" s="7">
        <v>0.05</v>
      </c>
      <c r="E10" s="2">
        <v>9037.33</v>
      </c>
      <c r="F10" s="2">
        <v>448.25</v>
      </c>
    </row>
    <row r="11" spans="1:6" x14ac:dyDescent="0.25">
      <c r="A11" t="s">
        <v>4049</v>
      </c>
      <c r="B11" t="s">
        <v>4073</v>
      </c>
      <c r="C11" t="s">
        <v>4051</v>
      </c>
      <c r="D11" s="7">
        <v>0.02</v>
      </c>
      <c r="E11" s="2">
        <v>15517.89</v>
      </c>
      <c r="F11" s="2">
        <v>384.84</v>
      </c>
    </row>
    <row r="12" spans="1:6" x14ac:dyDescent="0.25">
      <c r="A12" t="s">
        <v>4052</v>
      </c>
      <c r="B12" t="s">
        <v>4053</v>
      </c>
      <c r="C12" t="s">
        <v>4054</v>
      </c>
      <c r="D12" s="7">
        <v>5</v>
      </c>
      <c r="E12" s="2">
        <v>833.09</v>
      </c>
      <c r="F12" s="2">
        <v>41.65</v>
      </c>
    </row>
    <row r="13" spans="1:6" x14ac:dyDescent="0.25">
      <c r="A13" t="s">
        <v>4055</v>
      </c>
      <c r="D13" s="7"/>
      <c r="E13" s="2"/>
      <c r="F13" s="2">
        <f>SUBTOTAL(109,A_6_03_01[VALOR PARCIAL])</f>
      </c>
    </row>
    <row r="15" ht="30" customHeight="1" spans="1:6" x14ac:dyDescent="0.25">
      <c r="A15" s="5" t="s">
        <v>7943</v>
      </c>
      <c r="B15" s="5"/>
      <c r="C15" s="5"/>
      <c r="D15" s="5"/>
      <c r="E15" s="5"/>
      <c r="F15" s="5"/>
    </row>
    <row r="16" ht="42" customHeight="1" spans="1:6" x14ac:dyDescent="0.25">
      <c r="A16" s="6" t="s">
        <v>7944</v>
      </c>
      <c r="B16" s="6"/>
      <c r="C16" s="6"/>
      <c r="D16" s="6"/>
      <c r="E16" s="6"/>
      <c r="F16" s="6"/>
    </row>
    <row r="17" spans="1:6" x14ac:dyDescent="0.25">
      <c r="A17" t="s">
        <v>4044</v>
      </c>
      <c r="B17" t="s">
        <v>4045</v>
      </c>
      <c r="C17" t="s">
        <v>5</v>
      </c>
      <c r="D17" t="s">
        <v>4046</v>
      </c>
      <c r="E17" t="s">
        <v>4047</v>
      </c>
      <c r="F17" t="s">
        <v>4048</v>
      </c>
    </row>
    <row r="18" spans="1:6" x14ac:dyDescent="0.25">
      <c r="A18" t="s">
        <v>4062</v>
      </c>
      <c r="B18" t="s">
        <v>4390</v>
      </c>
      <c r="C18" t="s">
        <v>231</v>
      </c>
      <c r="D18" s="7">
        <v>0.03</v>
      </c>
      <c r="E18" s="2">
        <v>4155</v>
      </c>
      <c r="F18" s="2">
        <v>124.65</v>
      </c>
    </row>
    <row r="19" spans="1:6" x14ac:dyDescent="0.25">
      <c r="A19" t="s">
        <v>4062</v>
      </c>
      <c r="B19" t="s">
        <v>4261</v>
      </c>
      <c r="C19" t="s">
        <v>231</v>
      </c>
      <c r="D19" s="7">
        <v>1.05</v>
      </c>
      <c r="E19" s="2">
        <v>2982</v>
      </c>
      <c r="F19" s="2">
        <v>3131.1</v>
      </c>
    </row>
    <row r="20" spans="1:6" x14ac:dyDescent="0.25">
      <c r="A20" t="s">
        <v>4062</v>
      </c>
      <c r="B20" t="s">
        <v>4392</v>
      </c>
      <c r="C20" t="s">
        <v>63</v>
      </c>
      <c r="D20" s="7">
        <v>0.03</v>
      </c>
      <c r="E20" s="2">
        <v>3159.98</v>
      </c>
      <c r="F20" s="2">
        <v>94.8</v>
      </c>
    </row>
    <row r="21" spans="1:6" x14ac:dyDescent="0.25">
      <c r="A21" t="s">
        <v>4049</v>
      </c>
      <c r="B21" t="s">
        <v>4050</v>
      </c>
      <c r="C21" t="s">
        <v>4051</v>
      </c>
      <c r="D21" s="7">
        <v>0.06</v>
      </c>
      <c r="E21" s="2">
        <v>9037.33</v>
      </c>
      <c r="F21" s="2">
        <v>540.43</v>
      </c>
    </row>
    <row r="22" spans="1:6" x14ac:dyDescent="0.25">
      <c r="A22" t="s">
        <v>4049</v>
      </c>
      <c r="B22" t="s">
        <v>4073</v>
      </c>
      <c r="C22" t="s">
        <v>4051</v>
      </c>
      <c r="D22" s="7">
        <v>0.03</v>
      </c>
      <c r="E22" s="2">
        <v>15517.89</v>
      </c>
      <c r="F22" s="2">
        <v>463.98</v>
      </c>
    </row>
    <row r="23" spans="1:6" x14ac:dyDescent="0.25">
      <c r="A23" t="s">
        <v>4052</v>
      </c>
      <c r="B23" t="s">
        <v>4053</v>
      </c>
      <c r="C23" t="s">
        <v>4054</v>
      </c>
      <c r="D23" s="7">
        <v>7.2</v>
      </c>
      <c r="E23" s="2">
        <v>1004.41</v>
      </c>
      <c r="F23" s="2">
        <v>72.32</v>
      </c>
    </row>
    <row r="24" spans="1:6" x14ac:dyDescent="0.25">
      <c r="A24" t="s">
        <v>4055</v>
      </c>
      <c r="D24" s="7"/>
      <c r="E24" s="2"/>
      <c r="F24" s="2">
        <f>SUBTOTAL(109,A_6_03_02[VALOR PARCIAL])</f>
      </c>
    </row>
  </sheetData>
  <mergeCells count="4">
    <mergeCell ref="A4:F4"/>
    <mergeCell ref="A5:F5"/>
    <mergeCell ref="A15:F15"/>
    <mergeCell ref="A16:F16"/>
  </mergeCells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16" customWidth="1"/>
    <col min="2" max="2" width="58" customWidth="1"/>
    <col min="3" max="3" width="10" customWidth="1"/>
    <col min="4" max="4" width="12" customWidth="1"/>
    <col min="5" max="6" width="18" customWidth="1"/>
  </cols>
  <sheetData>
    <row r="1" spans="1:1" x14ac:dyDescent="0.25">
      <c r="A1" s="3" t="s">
        <v>7945</v>
      </c>
    </row>
    <row r="2" spans="1:1" x14ac:dyDescent="0.25">
      <c r="A2" s="4" t="s">
        <v>7316</v>
      </c>
    </row>
    <row r="4" ht="30" customHeight="1" spans="1:6" x14ac:dyDescent="0.25">
      <c r="A4" s="5" t="s">
        <v>7946</v>
      </c>
      <c r="B4" s="5"/>
      <c r="C4" s="5"/>
      <c r="D4" s="5"/>
      <c r="E4" s="5"/>
      <c r="F4" s="5"/>
    </row>
    <row r="5" ht="42" customHeight="1" spans="1:6" x14ac:dyDescent="0.25">
      <c r="A5" s="6" t="s">
        <v>7947</v>
      </c>
      <c r="B5" s="6"/>
      <c r="C5" s="6"/>
      <c r="D5" s="6"/>
      <c r="E5" s="6"/>
      <c r="F5" s="6"/>
    </row>
    <row r="6" spans="1:6" x14ac:dyDescent="0.25">
      <c r="A6" t="s">
        <v>4044</v>
      </c>
      <c r="B6" t="s">
        <v>4045</v>
      </c>
      <c r="C6" t="s">
        <v>5</v>
      </c>
      <c r="D6" t="s">
        <v>4046</v>
      </c>
      <c r="E6" t="s">
        <v>4047</v>
      </c>
      <c r="F6" t="s">
        <v>4048</v>
      </c>
    </row>
    <row r="7" spans="1:6" x14ac:dyDescent="0.25">
      <c r="A7" t="s">
        <v>4062</v>
      </c>
      <c r="B7" t="s">
        <v>4262</v>
      </c>
      <c r="C7" t="s">
        <v>63</v>
      </c>
      <c r="D7" s="7">
        <v>123</v>
      </c>
      <c r="E7" s="2">
        <v>415</v>
      </c>
      <c r="F7" s="2">
        <v>51045</v>
      </c>
    </row>
    <row r="8" spans="1:6" x14ac:dyDescent="0.25">
      <c r="A8" t="s">
        <v>4062</v>
      </c>
      <c r="B8" t="s">
        <v>3978</v>
      </c>
      <c r="C8" t="s">
        <v>34</v>
      </c>
      <c r="D8" s="7">
        <v>0.09</v>
      </c>
      <c r="E8" s="2">
        <v>409741.65</v>
      </c>
      <c r="F8" s="2">
        <v>36876.75</v>
      </c>
    </row>
    <row r="9" spans="1:6" x14ac:dyDescent="0.25">
      <c r="A9" t="s">
        <v>4049</v>
      </c>
      <c r="B9" t="s">
        <v>4050</v>
      </c>
      <c r="C9" t="s">
        <v>4051</v>
      </c>
      <c r="D9" s="7">
        <v>3.16</v>
      </c>
      <c r="E9" s="2">
        <v>9037.33</v>
      </c>
      <c r="F9" s="2">
        <v>28557.96</v>
      </c>
    </row>
    <row r="10" spans="1:6" x14ac:dyDescent="0.25">
      <c r="A10" t="s">
        <v>4049</v>
      </c>
      <c r="B10" t="s">
        <v>4073</v>
      </c>
      <c r="C10" t="s">
        <v>4051</v>
      </c>
      <c r="D10" s="7">
        <v>1.49</v>
      </c>
      <c r="E10" s="2">
        <v>15517.89</v>
      </c>
      <c r="F10" s="2">
        <v>23073.55</v>
      </c>
    </row>
    <row r="11" spans="1:6" x14ac:dyDescent="0.25">
      <c r="A11" t="s">
        <v>4052</v>
      </c>
      <c r="B11" t="s">
        <v>4053</v>
      </c>
      <c r="C11" t="s">
        <v>4054</v>
      </c>
      <c r="D11" s="7">
        <v>5</v>
      </c>
      <c r="E11" s="2">
        <v>51631.51</v>
      </c>
      <c r="F11" s="2">
        <v>2581.58</v>
      </c>
    </row>
    <row r="12" spans="1:6" x14ac:dyDescent="0.25">
      <c r="A12" t="s">
        <v>4055</v>
      </c>
      <c r="D12" s="7"/>
      <c r="E12" s="2"/>
      <c r="F12" s="2">
        <f>SUBTOTAL(109,A_6_04_01[VALOR PARCIAL])</f>
      </c>
    </row>
    <row r="14" ht="30" customHeight="1" spans="1:6" x14ac:dyDescent="0.25">
      <c r="A14" s="5" t="s">
        <v>7948</v>
      </c>
      <c r="B14" s="5"/>
      <c r="C14" s="5"/>
      <c r="D14" s="5"/>
      <c r="E14" s="5"/>
      <c r="F14" s="5"/>
    </row>
    <row r="15" ht="42" customHeight="1" spans="1:6" x14ac:dyDescent="0.25">
      <c r="A15" s="6" t="s">
        <v>7949</v>
      </c>
      <c r="B15" s="6"/>
      <c r="C15" s="6"/>
      <c r="D15" s="6"/>
      <c r="E15" s="6"/>
      <c r="F15" s="6"/>
    </row>
    <row r="16" spans="1:6" x14ac:dyDescent="0.25">
      <c r="A16" t="s">
        <v>4044</v>
      </c>
      <c r="B16" t="s">
        <v>4045</v>
      </c>
      <c r="C16" t="s">
        <v>5</v>
      </c>
      <c r="D16" t="s">
        <v>4046</v>
      </c>
      <c r="E16" t="s">
        <v>4047</v>
      </c>
      <c r="F16" t="s">
        <v>4048</v>
      </c>
    </row>
    <row r="17" spans="1:6" x14ac:dyDescent="0.25">
      <c r="A17" t="s">
        <v>4062</v>
      </c>
      <c r="B17" t="s">
        <v>4494</v>
      </c>
      <c r="C17" t="s">
        <v>63</v>
      </c>
      <c r="D17" s="7">
        <v>30</v>
      </c>
      <c r="E17" s="2">
        <v>794</v>
      </c>
      <c r="F17" s="2">
        <v>23820</v>
      </c>
    </row>
    <row r="18" spans="1:6" x14ac:dyDescent="0.25">
      <c r="A18" t="s">
        <v>4062</v>
      </c>
      <c r="B18" t="s">
        <v>3978</v>
      </c>
      <c r="C18" t="s">
        <v>34</v>
      </c>
      <c r="D18" s="7">
        <v>0.01</v>
      </c>
      <c r="E18" s="2">
        <v>409741.65</v>
      </c>
      <c r="F18" s="2">
        <v>4097.42</v>
      </c>
    </row>
    <row r="19" spans="1:6" x14ac:dyDescent="0.25">
      <c r="A19" t="s">
        <v>4049</v>
      </c>
      <c r="B19" t="s">
        <v>4050</v>
      </c>
      <c r="C19" t="s">
        <v>4051</v>
      </c>
      <c r="D19" s="7">
        <v>0.86</v>
      </c>
      <c r="E19" s="2">
        <v>9037.33</v>
      </c>
      <c r="F19" s="2">
        <v>7772.1</v>
      </c>
    </row>
    <row r="20" spans="1:6" x14ac:dyDescent="0.25">
      <c r="A20" t="s">
        <v>4049</v>
      </c>
      <c r="B20" t="s">
        <v>4073</v>
      </c>
      <c r="C20" t="s">
        <v>4051</v>
      </c>
      <c r="D20" s="7">
        <v>0.86</v>
      </c>
      <c r="E20" s="2">
        <v>15517.89</v>
      </c>
      <c r="F20" s="2">
        <v>13345.39</v>
      </c>
    </row>
    <row r="21" spans="1:6" x14ac:dyDescent="0.25">
      <c r="A21" t="s">
        <v>4052</v>
      </c>
      <c r="B21" t="s">
        <v>4053</v>
      </c>
      <c r="C21" t="s">
        <v>4054</v>
      </c>
      <c r="D21" s="7">
        <v>5</v>
      </c>
      <c r="E21" s="2">
        <v>21117.49</v>
      </c>
      <c r="F21" s="2">
        <v>1055.87</v>
      </c>
    </row>
    <row r="22" spans="1:6" x14ac:dyDescent="0.25">
      <c r="A22" t="s">
        <v>4055</v>
      </c>
      <c r="D22" s="7"/>
      <c r="E22" s="2"/>
      <c r="F22" s="2">
        <f>SUBTOTAL(109,A_6_04_02[VALOR PARCIAL])</f>
      </c>
    </row>
    <row r="24" ht="30" customHeight="1" spans="1:6" x14ac:dyDescent="0.25">
      <c r="A24" s="5" t="s">
        <v>7950</v>
      </c>
      <c r="B24" s="5"/>
      <c r="C24" s="5"/>
      <c r="D24" s="5"/>
      <c r="E24" s="5"/>
      <c r="F24" s="5"/>
    </row>
    <row r="25" ht="42" customHeight="1" spans="1:6" x14ac:dyDescent="0.25">
      <c r="A25" s="6" t="s">
        <v>7951</v>
      </c>
      <c r="B25" s="6"/>
      <c r="C25" s="6"/>
      <c r="D25" s="6"/>
      <c r="E25" s="6"/>
      <c r="F25" s="6"/>
    </row>
    <row r="26" spans="1:6" x14ac:dyDescent="0.25">
      <c r="A26" t="s">
        <v>4044</v>
      </c>
      <c r="B26" t="s">
        <v>4045</v>
      </c>
      <c r="C26" t="s">
        <v>5</v>
      </c>
      <c r="D26" t="s">
        <v>4046</v>
      </c>
      <c r="E26" t="s">
        <v>4047</v>
      </c>
      <c r="F26" t="s">
        <v>4048</v>
      </c>
    </row>
    <row r="27" spans="1:6" x14ac:dyDescent="0.25">
      <c r="A27" t="s">
        <v>4062</v>
      </c>
      <c r="B27" t="s">
        <v>4262</v>
      </c>
      <c r="C27" t="s">
        <v>63</v>
      </c>
      <c r="D27" s="7">
        <v>55</v>
      </c>
      <c r="E27" s="2">
        <v>415</v>
      </c>
      <c r="F27" s="2">
        <v>22825</v>
      </c>
    </row>
    <row r="28" spans="1:6" x14ac:dyDescent="0.25">
      <c r="A28" t="s">
        <v>4062</v>
      </c>
      <c r="B28" t="s">
        <v>3978</v>
      </c>
      <c r="C28" t="s">
        <v>34</v>
      </c>
      <c r="D28" s="7">
        <v>0.09</v>
      </c>
      <c r="E28" s="2">
        <v>409741.65</v>
      </c>
      <c r="F28" s="2">
        <v>36876.75</v>
      </c>
    </row>
    <row r="29" spans="1:6" x14ac:dyDescent="0.25">
      <c r="A29" t="s">
        <v>4049</v>
      </c>
      <c r="B29" t="s">
        <v>5818</v>
      </c>
      <c r="C29" t="s">
        <v>4236</v>
      </c>
      <c r="D29" s="7">
        <v>0.75</v>
      </c>
      <c r="E29" s="2">
        <v>24555.22</v>
      </c>
      <c r="F29" s="2">
        <v>18416.42</v>
      </c>
    </row>
    <row r="30" spans="1:6" x14ac:dyDescent="0.25">
      <c r="A30" t="s">
        <v>4052</v>
      </c>
      <c r="B30" t="s">
        <v>4053</v>
      </c>
      <c r="C30" t="s">
        <v>4054</v>
      </c>
      <c r="D30" s="7">
        <v>5</v>
      </c>
      <c r="E30" s="2">
        <v>18416.42</v>
      </c>
      <c r="F30" s="2">
        <v>920.82</v>
      </c>
    </row>
    <row r="31" spans="1:6" x14ac:dyDescent="0.25">
      <c r="A31" t="s">
        <v>4055</v>
      </c>
      <c r="D31" s="7"/>
      <c r="E31" s="2"/>
      <c r="F31" s="2">
        <f>SUBTOTAL(109,A_6_04_03[VALOR PARCIAL])</f>
      </c>
    </row>
  </sheetData>
  <mergeCells count="6">
    <mergeCell ref="A4:F4"/>
    <mergeCell ref="A5:F5"/>
    <mergeCell ref="A14:F14"/>
    <mergeCell ref="A15:F15"/>
    <mergeCell ref="A24:F24"/>
    <mergeCell ref="A25:F25"/>
  </mergeCells>
  <pageMargins left="0.7" right="0.7" top="0.75" bottom="0.75" header="0.3" footer="0.3"/>
  <pageSetup orientation="portrait" horizontalDpi="4294967295" verticalDpi="4294967295" scale="100" fitToWidth="1" fitToHeight="1"/>
  <tableParts count="3">
    <tablePart r:id="rId1"/>
    <tablePart r:id="rId2"/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3" width="26" customWidth="1"/>
    <col min="4" max="4" width="38" customWidth="1"/>
    <col min="5" max="5" width="70" customWidth="1"/>
    <col min="6" max="6" width="12" customWidth="1"/>
  </cols>
  <sheetData>
    <row r="1" spans="1:1" x14ac:dyDescent="0.25">
      <c r="A1" s="3" t="s">
        <v>7952</v>
      </c>
    </row>
    <row r="2" spans="1:1" x14ac:dyDescent="0.25">
      <c r="A2" s="4" t="s">
        <v>7953</v>
      </c>
    </row>
    <row r="3" spans="1:6" x14ac:dyDescent="0.25">
      <c r="A3" t="s">
        <v>2</v>
      </c>
      <c r="B3" t="s">
        <v>7954</v>
      </c>
      <c r="C3" t="s">
        <v>7955</v>
      </c>
      <c r="D3" t="s">
        <v>7956</v>
      </c>
      <c r="E3" t="s">
        <v>8</v>
      </c>
      <c r="F3" t="s">
        <v>7957</v>
      </c>
    </row>
    <row r="4" spans="1:6" x14ac:dyDescent="0.25">
      <c r="A4" s="8" t="s">
        <v>7958</v>
      </c>
      <c r="B4" t="s">
        <v>7959</v>
      </c>
      <c r="C4" t="s">
        <v>7960</v>
      </c>
      <c r="D4" t="s">
        <v>7961</v>
      </c>
      <c r="E4" t="s">
        <v>7962</v>
      </c>
      <c r="F4">
        <v>631</v>
      </c>
    </row>
    <row r="5" spans="1:6" x14ac:dyDescent="0.25">
      <c r="A5" s="9" t="s">
        <v>7963</v>
      </c>
      <c r="B5" t="s">
        <v>7959</v>
      </c>
      <c r="C5" t="s">
        <v>7960</v>
      </c>
      <c r="D5" t="s">
        <v>7964</v>
      </c>
      <c r="E5" t="s">
        <v>7965</v>
      </c>
      <c r="F5">
        <v>316</v>
      </c>
    </row>
    <row r="6" spans="1:6" x14ac:dyDescent="0.25">
      <c r="A6" s="10" t="s">
        <v>7966</v>
      </c>
      <c r="B6" t="s">
        <v>7959</v>
      </c>
      <c r="C6" t="s">
        <v>7960</v>
      </c>
      <c r="D6" t="s">
        <v>7967</v>
      </c>
      <c r="E6" t="s">
        <v>7968</v>
      </c>
      <c r="F6">
        <v>206</v>
      </c>
    </row>
    <row r="7" spans="1:6" x14ac:dyDescent="0.25">
      <c r="A7" s="11" t="s">
        <v>7969</v>
      </c>
      <c r="B7" t="s">
        <v>7959</v>
      </c>
      <c r="C7" t="s">
        <v>7960</v>
      </c>
      <c r="D7" t="s">
        <v>7970</v>
      </c>
      <c r="E7" t="s">
        <v>7971</v>
      </c>
      <c r="F7">
        <v>30</v>
      </c>
    </row>
    <row r="8" spans="1:6" x14ac:dyDescent="0.25">
      <c r="A8" s="12" t="s">
        <v>7972</v>
      </c>
      <c r="B8" t="s">
        <v>7959</v>
      </c>
      <c r="C8" t="s">
        <v>7960</v>
      </c>
      <c r="D8" t="s">
        <v>7973</v>
      </c>
      <c r="E8" t="s">
        <v>7974</v>
      </c>
      <c r="F8">
        <v>37</v>
      </c>
    </row>
    <row r="9" spans="1:6" x14ac:dyDescent="0.25">
      <c r="A9" s="13" t="s">
        <v>7975</v>
      </c>
      <c r="B9" t="s">
        <v>7959</v>
      </c>
      <c r="C9" t="s">
        <v>7960</v>
      </c>
      <c r="D9" t="s">
        <v>7976</v>
      </c>
      <c r="E9" t="s">
        <v>7977</v>
      </c>
      <c r="F9">
        <v>25</v>
      </c>
    </row>
    <row r="10" spans="1:6" x14ac:dyDescent="0.25">
      <c r="A10" t="s">
        <v>7978</v>
      </c>
      <c r="B10" t="s">
        <v>7979</v>
      </c>
      <c r="C10" t="s">
        <v>7980</v>
      </c>
      <c r="D10" t="s">
        <v>7981</v>
      </c>
      <c r="E10" t="s">
        <v>26</v>
      </c>
      <c r="F10">
        <v>92</v>
      </c>
    </row>
    <row r="11" spans="1:6" x14ac:dyDescent="0.25">
      <c r="A11" t="s">
        <v>7982</v>
      </c>
      <c r="B11" t="s">
        <v>7979</v>
      </c>
      <c r="C11" t="s">
        <v>7980</v>
      </c>
      <c r="D11" t="s">
        <v>7983</v>
      </c>
      <c r="E11" t="s">
        <v>26</v>
      </c>
      <c r="F11">
        <v>21</v>
      </c>
    </row>
    <row r="12" spans="1:6" x14ac:dyDescent="0.25">
      <c r="A12" t="s">
        <v>7984</v>
      </c>
      <c r="B12" t="s">
        <v>7979</v>
      </c>
      <c r="C12" t="s">
        <v>7980</v>
      </c>
      <c r="D12" t="s">
        <v>7985</v>
      </c>
      <c r="E12" t="s">
        <v>26</v>
      </c>
      <c r="F12">
        <v>33</v>
      </c>
    </row>
    <row r="13" spans="1:6" x14ac:dyDescent="0.25">
      <c r="A13" t="s">
        <v>7986</v>
      </c>
      <c r="B13" t="s">
        <v>7979</v>
      </c>
      <c r="C13" t="s">
        <v>7980</v>
      </c>
      <c r="D13" t="s">
        <v>7987</v>
      </c>
      <c r="E13" t="s">
        <v>26</v>
      </c>
      <c r="F13">
        <v>98</v>
      </c>
    </row>
    <row r="14" spans="1:6" x14ac:dyDescent="0.25">
      <c r="A14" t="s">
        <v>7988</v>
      </c>
      <c r="B14" t="s">
        <v>7979</v>
      </c>
      <c r="C14" t="s">
        <v>7980</v>
      </c>
      <c r="D14" t="s">
        <v>7989</v>
      </c>
      <c r="E14" t="s">
        <v>26</v>
      </c>
      <c r="F14">
        <v>49</v>
      </c>
    </row>
    <row r="15" spans="1:6" x14ac:dyDescent="0.25">
      <c r="A15" t="s">
        <v>7990</v>
      </c>
      <c r="B15" t="s">
        <v>7979</v>
      </c>
      <c r="C15" t="s">
        <v>7980</v>
      </c>
      <c r="D15" t="s">
        <v>540</v>
      </c>
      <c r="E15" t="s">
        <v>26</v>
      </c>
      <c r="F15">
        <v>37</v>
      </c>
    </row>
    <row r="16" spans="1:6" x14ac:dyDescent="0.25">
      <c r="A16" t="s">
        <v>7991</v>
      </c>
      <c r="B16" t="s">
        <v>7979</v>
      </c>
      <c r="C16" t="s">
        <v>7980</v>
      </c>
      <c r="D16" t="s">
        <v>7992</v>
      </c>
      <c r="E16" t="s">
        <v>26</v>
      </c>
      <c r="F16">
        <v>493</v>
      </c>
    </row>
    <row r="17" spans="1:6" x14ac:dyDescent="0.25">
      <c r="A17" t="s">
        <v>7993</v>
      </c>
      <c r="B17" t="s">
        <v>7979</v>
      </c>
      <c r="C17" t="s">
        <v>7980</v>
      </c>
      <c r="D17" t="s">
        <v>7994</v>
      </c>
      <c r="E17" t="s">
        <v>26</v>
      </c>
      <c r="F17">
        <v>220</v>
      </c>
    </row>
    <row r="18" spans="1:6" x14ac:dyDescent="0.25">
      <c r="A18" t="s">
        <v>7995</v>
      </c>
      <c r="B18" t="s">
        <v>7979</v>
      </c>
      <c r="C18" t="s">
        <v>7980</v>
      </c>
      <c r="D18" t="s">
        <v>7996</v>
      </c>
      <c r="E18" t="s">
        <v>26</v>
      </c>
      <c r="F18">
        <v>139</v>
      </c>
    </row>
    <row r="19" spans="1:6" x14ac:dyDescent="0.25">
      <c r="A19" t="s">
        <v>7997</v>
      </c>
      <c r="B19" t="s">
        <v>7979</v>
      </c>
      <c r="C19" t="s">
        <v>7980</v>
      </c>
      <c r="D19" t="s">
        <v>7998</v>
      </c>
      <c r="E19" t="s">
        <v>26</v>
      </c>
      <c r="F19">
        <v>1</v>
      </c>
    </row>
    <row r="20" spans="1:6" x14ac:dyDescent="0.25">
      <c r="A20" t="s">
        <v>7999</v>
      </c>
      <c r="B20" t="s">
        <v>7979</v>
      </c>
      <c r="C20" t="s">
        <v>7980</v>
      </c>
      <c r="D20" t="s">
        <v>8000</v>
      </c>
      <c r="E20" t="s">
        <v>26</v>
      </c>
      <c r="F20">
        <v>62</v>
      </c>
    </row>
    <row r="21" spans="1:6" x14ac:dyDescent="0.25">
      <c r="A21" t="s">
        <v>8001</v>
      </c>
      <c r="B21" t="s">
        <v>8002</v>
      </c>
      <c r="C21" t="s">
        <v>8003</v>
      </c>
      <c r="D21" t="s">
        <v>8004</v>
      </c>
      <c r="E21" t="s">
        <v>26</v>
      </c>
      <c r="F21">
        <v>30</v>
      </c>
    </row>
    <row r="22" spans="1:6" x14ac:dyDescent="0.25">
      <c r="A22" t="s">
        <v>8005</v>
      </c>
      <c r="B22" t="s">
        <v>8002</v>
      </c>
      <c r="C22" t="s">
        <v>8003</v>
      </c>
      <c r="D22" t="s">
        <v>25</v>
      </c>
      <c r="E22" t="s">
        <v>26</v>
      </c>
      <c r="F22">
        <v>86</v>
      </c>
    </row>
    <row r="23" spans="1:6" x14ac:dyDescent="0.25">
      <c r="A23" t="s">
        <v>8006</v>
      </c>
      <c r="B23" t="s">
        <v>8002</v>
      </c>
      <c r="C23" t="s">
        <v>8003</v>
      </c>
      <c r="D23" t="s">
        <v>8007</v>
      </c>
      <c r="E23" t="s">
        <v>26</v>
      </c>
      <c r="F23">
        <v>41</v>
      </c>
    </row>
    <row r="24" spans="1:6" x14ac:dyDescent="0.25">
      <c r="A24" t="s">
        <v>8008</v>
      </c>
      <c r="B24" t="s">
        <v>8002</v>
      </c>
      <c r="C24" t="s">
        <v>8003</v>
      </c>
      <c r="D24" t="s">
        <v>8009</v>
      </c>
      <c r="E24" t="s">
        <v>26</v>
      </c>
      <c r="F24">
        <v>110</v>
      </c>
    </row>
    <row r="25" spans="1:6" x14ac:dyDescent="0.25">
      <c r="A25" t="s">
        <v>8010</v>
      </c>
      <c r="B25" t="s">
        <v>8002</v>
      </c>
      <c r="C25" t="s">
        <v>8003</v>
      </c>
      <c r="D25" t="s">
        <v>401</v>
      </c>
      <c r="E25" t="s">
        <v>26</v>
      </c>
      <c r="F25">
        <v>43</v>
      </c>
    </row>
    <row r="26" spans="1:6" x14ac:dyDescent="0.25">
      <c r="A26" t="s">
        <v>8011</v>
      </c>
      <c r="B26" t="s">
        <v>8002</v>
      </c>
      <c r="C26" t="s">
        <v>8003</v>
      </c>
      <c r="D26" t="s">
        <v>540</v>
      </c>
      <c r="E26" t="s">
        <v>26</v>
      </c>
      <c r="F26">
        <v>45</v>
      </c>
    </row>
    <row r="27" spans="1:6" x14ac:dyDescent="0.25">
      <c r="A27" t="s">
        <v>8012</v>
      </c>
      <c r="B27" t="s">
        <v>8002</v>
      </c>
      <c r="C27" t="s">
        <v>8003</v>
      </c>
      <c r="D27" t="s">
        <v>661</v>
      </c>
      <c r="E27" t="s">
        <v>26</v>
      </c>
      <c r="F27">
        <v>13</v>
      </c>
    </row>
    <row r="28" spans="1:6" x14ac:dyDescent="0.25">
      <c r="A28" t="s">
        <v>8013</v>
      </c>
      <c r="B28" t="s">
        <v>8002</v>
      </c>
      <c r="C28" t="s">
        <v>8003</v>
      </c>
      <c r="D28" t="s">
        <v>1130</v>
      </c>
      <c r="E28" t="s">
        <v>26</v>
      </c>
      <c r="F28">
        <v>45</v>
      </c>
    </row>
    <row r="29" spans="1:6" x14ac:dyDescent="0.25">
      <c r="A29" t="s">
        <v>8014</v>
      </c>
      <c r="B29" t="s">
        <v>8002</v>
      </c>
      <c r="C29" t="s">
        <v>8003</v>
      </c>
      <c r="D29" t="s">
        <v>737</v>
      </c>
      <c r="E29" t="s">
        <v>26</v>
      </c>
      <c r="F29">
        <v>16</v>
      </c>
    </row>
    <row r="30" spans="1:6" x14ac:dyDescent="0.25">
      <c r="A30" t="s">
        <v>8015</v>
      </c>
      <c r="B30" t="s">
        <v>8002</v>
      </c>
      <c r="C30" t="s">
        <v>8003</v>
      </c>
      <c r="D30" t="s">
        <v>8016</v>
      </c>
      <c r="E30" t="s">
        <v>26</v>
      </c>
      <c r="F30">
        <v>45</v>
      </c>
    </row>
    <row r="31" spans="1:6" x14ac:dyDescent="0.25">
      <c r="A31" t="s">
        <v>8017</v>
      </c>
      <c r="B31" t="s">
        <v>8002</v>
      </c>
      <c r="C31" t="s">
        <v>8003</v>
      </c>
      <c r="D31" t="s">
        <v>8018</v>
      </c>
      <c r="E31" t="s">
        <v>26</v>
      </c>
      <c r="F31">
        <v>13</v>
      </c>
    </row>
    <row r="32" spans="1:6" x14ac:dyDescent="0.25">
      <c r="A32" t="s">
        <v>8019</v>
      </c>
      <c r="B32" t="s">
        <v>8002</v>
      </c>
      <c r="C32" t="s">
        <v>8003</v>
      </c>
      <c r="D32" t="s">
        <v>8020</v>
      </c>
      <c r="E32" t="s">
        <v>26</v>
      </c>
      <c r="F32">
        <v>55</v>
      </c>
    </row>
    <row r="33" spans="1:6" x14ac:dyDescent="0.25">
      <c r="A33" t="s">
        <v>8021</v>
      </c>
      <c r="B33" t="s">
        <v>8002</v>
      </c>
      <c r="C33" t="s">
        <v>8003</v>
      </c>
      <c r="D33" t="s">
        <v>8022</v>
      </c>
      <c r="E33" t="s">
        <v>26</v>
      </c>
      <c r="F33">
        <v>365</v>
      </c>
    </row>
    <row r="34" spans="1:6" x14ac:dyDescent="0.25">
      <c r="A34" t="s">
        <v>8023</v>
      </c>
      <c r="B34" t="s">
        <v>8002</v>
      </c>
      <c r="C34" t="s">
        <v>8003</v>
      </c>
      <c r="D34" t="s">
        <v>8024</v>
      </c>
      <c r="E34" t="s">
        <v>26</v>
      </c>
      <c r="F34">
        <v>93</v>
      </c>
    </row>
    <row r="35" spans="1:6" x14ac:dyDescent="0.25">
      <c r="A35" t="s">
        <v>8025</v>
      </c>
      <c r="B35" t="s">
        <v>8002</v>
      </c>
      <c r="C35" t="s">
        <v>8003</v>
      </c>
      <c r="D35" t="s">
        <v>7970</v>
      </c>
      <c r="E35" t="s">
        <v>26</v>
      </c>
      <c r="F35">
        <v>30</v>
      </c>
    </row>
    <row r="36" spans="1:6" x14ac:dyDescent="0.25">
      <c r="A36" t="s">
        <v>8026</v>
      </c>
      <c r="B36" t="s">
        <v>8002</v>
      </c>
      <c r="C36" t="s">
        <v>8003</v>
      </c>
      <c r="D36" t="s">
        <v>8027</v>
      </c>
      <c r="E36" t="s">
        <v>26</v>
      </c>
      <c r="F36">
        <v>101</v>
      </c>
    </row>
    <row r="37" spans="1:6" x14ac:dyDescent="0.25">
      <c r="A37" t="s">
        <v>8028</v>
      </c>
      <c r="B37" t="s">
        <v>8002</v>
      </c>
      <c r="C37" t="s">
        <v>8003</v>
      </c>
      <c r="D37" t="s">
        <v>8029</v>
      </c>
      <c r="E37" t="s">
        <v>26</v>
      </c>
      <c r="F37">
        <v>31</v>
      </c>
    </row>
    <row r="38" spans="1:6" x14ac:dyDescent="0.25">
      <c r="A38" t="s">
        <v>8030</v>
      </c>
      <c r="B38" t="s">
        <v>8002</v>
      </c>
      <c r="C38" t="s">
        <v>8003</v>
      </c>
      <c r="D38" t="s">
        <v>8031</v>
      </c>
      <c r="E38" t="s">
        <v>26</v>
      </c>
      <c r="F38">
        <v>83</v>
      </c>
    </row>
    <row r="39" spans="1:6" x14ac:dyDescent="0.25">
      <c r="A39" t="s">
        <v>8032</v>
      </c>
      <c r="B39" t="s">
        <v>8033</v>
      </c>
      <c r="C39" t="s">
        <v>8034</v>
      </c>
      <c r="D39" t="s">
        <v>8035</v>
      </c>
      <c r="E39" t="s">
        <v>26</v>
      </c>
      <c r="F39">
        <v>677</v>
      </c>
    </row>
    <row r="40" spans="1:6" x14ac:dyDescent="0.25">
      <c r="A40" t="s">
        <v>8036</v>
      </c>
      <c r="B40" t="s">
        <v>8033</v>
      </c>
      <c r="C40" t="s">
        <v>8034</v>
      </c>
      <c r="D40" t="s">
        <v>8037</v>
      </c>
      <c r="E40" t="s">
        <v>26</v>
      </c>
      <c r="F40">
        <v>450</v>
      </c>
    </row>
    <row r="41" spans="1:6" x14ac:dyDescent="0.25">
      <c r="A41" t="s">
        <v>8038</v>
      </c>
      <c r="B41" t="s">
        <v>8033</v>
      </c>
      <c r="C41" t="s">
        <v>8034</v>
      </c>
      <c r="D41" t="s">
        <v>8039</v>
      </c>
      <c r="E41" t="s">
        <v>26</v>
      </c>
      <c r="F41">
        <v>25</v>
      </c>
    </row>
    <row r="42" spans="1:6" x14ac:dyDescent="0.25">
      <c r="A42" t="s">
        <v>8040</v>
      </c>
      <c r="B42" t="s">
        <v>8033</v>
      </c>
      <c r="C42" t="s">
        <v>8034</v>
      </c>
      <c r="D42" t="s">
        <v>8041</v>
      </c>
      <c r="E42" t="s">
        <v>26</v>
      </c>
      <c r="F42">
        <v>3</v>
      </c>
    </row>
    <row r="43" spans="1:6" x14ac:dyDescent="0.25">
      <c r="A43" t="s">
        <v>8042</v>
      </c>
      <c r="B43" t="s">
        <v>8033</v>
      </c>
      <c r="C43" t="s">
        <v>8034</v>
      </c>
      <c r="D43" t="s">
        <v>25</v>
      </c>
      <c r="E43" t="s">
        <v>26</v>
      </c>
      <c r="F43">
        <v>82</v>
      </c>
    </row>
    <row r="44" spans="1:6" x14ac:dyDescent="0.25">
      <c r="A44" t="s">
        <v>8043</v>
      </c>
      <c r="B44" t="s">
        <v>8033</v>
      </c>
      <c r="C44" t="s">
        <v>8034</v>
      </c>
      <c r="D44" t="s">
        <v>8044</v>
      </c>
      <c r="E44" t="s">
        <v>26</v>
      </c>
      <c r="F44">
        <v>6</v>
      </c>
    </row>
    <row r="45" spans="1:6" x14ac:dyDescent="0.25">
      <c r="A45" t="s">
        <v>8045</v>
      </c>
      <c r="B45" t="s">
        <v>8033</v>
      </c>
      <c r="C45" t="s">
        <v>8034</v>
      </c>
      <c r="D45" t="s">
        <v>8046</v>
      </c>
      <c r="E45" t="s">
        <v>26</v>
      </c>
      <c r="F4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0" customWidth="1"/>
    <col min="3" max="3" width="10" customWidth="1"/>
    <col min="4" max="4" width="14" customWidth="1"/>
    <col min="5" max="5" width="50" customWidth="1"/>
    <col min="7" max="7" width="11" customWidth="1"/>
    <col min="8" max="9" width="16" style="2" customWidth="1"/>
  </cols>
  <sheetData>
    <row r="1" spans="1:9" x14ac:dyDescent="0.25">
      <c r="A1" t="s">
        <v>8047</v>
      </c>
      <c r="B1" t="s">
        <v>4</v>
      </c>
      <c r="C1" t="s">
        <v>8048</v>
      </c>
      <c r="D1" t="s">
        <v>4044</v>
      </c>
      <c r="E1" t="s">
        <v>4045</v>
      </c>
      <c r="F1" t="s">
        <v>5</v>
      </c>
      <c r="G1" t="s">
        <v>4046</v>
      </c>
      <c r="H1" s="2" t="s">
        <v>4047</v>
      </c>
      <c r="I1" s="2" t="s">
        <v>4048</v>
      </c>
    </row>
    <row r="2" spans="1:9" x14ac:dyDescent="0.25">
      <c r="A2" t="s">
        <v>18</v>
      </c>
      <c r="B2" t="s">
        <v>20</v>
      </c>
      <c r="C2" t="s">
        <v>21</v>
      </c>
      <c r="D2" t="s">
        <v>4049</v>
      </c>
      <c r="E2" t="s">
        <v>4050</v>
      </c>
      <c r="F2" t="s">
        <v>4051</v>
      </c>
      <c r="G2">
        <v>0.8</v>
      </c>
      <c r="H2" s="2">
        <v>9037.33</v>
      </c>
      <c r="I2" s="2">
        <v>7229.86</v>
      </c>
    </row>
    <row r="3" spans="1:9" x14ac:dyDescent="0.25">
      <c r="A3" t="s">
        <v>18</v>
      </c>
      <c r="B3" t="s">
        <v>20</v>
      </c>
      <c r="C3" t="s">
        <v>21</v>
      </c>
      <c r="D3" t="s">
        <v>4052</v>
      </c>
      <c r="E3" t="s">
        <v>4053</v>
      </c>
      <c r="F3" t="s">
        <v>4054</v>
      </c>
      <c r="G3">
        <v>3.5</v>
      </c>
      <c r="H3" s="2">
        <v>7229.86</v>
      </c>
      <c r="I3" s="2">
        <v>253.05</v>
      </c>
    </row>
    <row r="4" spans="1:9" x14ac:dyDescent="0.25">
      <c r="A4" t="s">
        <v>32</v>
      </c>
      <c r="B4" t="s">
        <v>33</v>
      </c>
      <c r="C4" t="s">
        <v>34</v>
      </c>
      <c r="D4" t="s">
        <v>4058</v>
      </c>
      <c r="E4" t="s">
        <v>4059</v>
      </c>
      <c r="F4" t="s">
        <v>3545</v>
      </c>
      <c r="G4">
        <v>1.3</v>
      </c>
      <c r="H4" s="2">
        <v>1325</v>
      </c>
      <c r="I4" s="2">
        <v>1722.5</v>
      </c>
    </row>
    <row r="5" spans="1:9" x14ac:dyDescent="0.25">
      <c r="A5" t="s">
        <v>40</v>
      </c>
      <c r="B5" t="s">
        <v>41</v>
      </c>
      <c r="C5" t="s">
        <v>42</v>
      </c>
      <c r="D5" t="s">
        <v>4062</v>
      </c>
      <c r="E5" t="s">
        <v>4063</v>
      </c>
      <c r="F5" t="s">
        <v>231</v>
      </c>
      <c r="G5">
        <v>0.2</v>
      </c>
      <c r="H5" s="2">
        <v>7400</v>
      </c>
      <c r="I5" s="2">
        <v>1480</v>
      </c>
    </row>
    <row r="6" spans="1:9" x14ac:dyDescent="0.25">
      <c r="A6" t="s">
        <v>40</v>
      </c>
      <c r="B6" t="s">
        <v>41</v>
      </c>
      <c r="C6" t="s">
        <v>42</v>
      </c>
      <c r="D6" t="s">
        <v>4062</v>
      </c>
      <c r="E6" t="s">
        <v>4064</v>
      </c>
      <c r="F6" t="s">
        <v>63</v>
      </c>
      <c r="G6">
        <v>0.53</v>
      </c>
      <c r="H6" s="2">
        <v>17200</v>
      </c>
      <c r="I6" s="2">
        <v>9116</v>
      </c>
    </row>
    <row r="7" spans="1:9" x14ac:dyDescent="0.25">
      <c r="A7" t="s">
        <v>40</v>
      </c>
      <c r="B7" t="s">
        <v>41</v>
      </c>
      <c r="C7" t="s">
        <v>42</v>
      </c>
      <c r="D7" t="s">
        <v>4062</v>
      </c>
      <c r="E7" t="s">
        <v>4065</v>
      </c>
      <c r="F7" t="s">
        <v>4066</v>
      </c>
      <c r="G7">
        <v>0.05</v>
      </c>
      <c r="H7" s="2">
        <v>3433</v>
      </c>
      <c r="I7" s="2">
        <v>171.65</v>
      </c>
    </row>
    <row r="8" spans="1:9" x14ac:dyDescent="0.25">
      <c r="A8" t="s">
        <v>40</v>
      </c>
      <c r="B8" t="s">
        <v>41</v>
      </c>
      <c r="C8" t="s">
        <v>42</v>
      </c>
      <c r="D8" t="s">
        <v>4062</v>
      </c>
      <c r="E8" t="s">
        <v>4067</v>
      </c>
      <c r="F8" t="s">
        <v>231</v>
      </c>
      <c r="G8">
        <v>1.5</v>
      </c>
      <c r="H8" s="2">
        <v>7080</v>
      </c>
      <c r="I8" s="2">
        <v>10620</v>
      </c>
    </row>
    <row r="9" spans="1:9" x14ac:dyDescent="0.25">
      <c r="A9" t="s">
        <v>40</v>
      </c>
      <c r="B9" t="s">
        <v>41</v>
      </c>
      <c r="C9" t="s">
        <v>42</v>
      </c>
      <c r="D9" t="s">
        <v>4049</v>
      </c>
      <c r="E9" t="s">
        <v>4050</v>
      </c>
      <c r="F9" t="s">
        <v>4051</v>
      </c>
      <c r="G9">
        <v>1.2</v>
      </c>
      <c r="H9" s="2">
        <v>9037.33</v>
      </c>
      <c r="I9" s="2">
        <v>10844.8</v>
      </c>
    </row>
    <row r="10" spans="1:9" x14ac:dyDescent="0.25">
      <c r="A10" t="s">
        <v>40</v>
      </c>
      <c r="B10" t="s">
        <v>41</v>
      </c>
      <c r="C10" t="s">
        <v>42</v>
      </c>
      <c r="D10" t="s">
        <v>4052</v>
      </c>
      <c r="E10" t="s">
        <v>4053</v>
      </c>
      <c r="F10" t="s">
        <v>4054</v>
      </c>
      <c r="G10">
        <v>5</v>
      </c>
      <c r="H10" s="2">
        <v>10844.8</v>
      </c>
      <c r="I10" s="2">
        <v>542.24</v>
      </c>
    </row>
    <row r="11" spans="1:9" x14ac:dyDescent="0.25">
      <c r="A11" t="s">
        <v>48</v>
      </c>
      <c r="B11" t="s">
        <v>49</v>
      </c>
      <c r="C11" t="s">
        <v>42</v>
      </c>
      <c r="D11" t="s">
        <v>4062</v>
      </c>
      <c r="E11" t="s">
        <v>4070</v>
      </c>
      <c r="F11" t="s">
        <v>42</v>
      </c>
      <c r="G11">
        <v>5.25</v>
      </c>
      <c r="H11" s="2">
        <v>7381.08</v>
      </c>
      <c r="I11" s="2">
        <v>38750.67</v>
      </c>
    </row>
    <row r="12" spans="1:9" x14ac:dyDescent="0.25">
      <c r="A12" t="s">
        <v>48</v>
      </c>
      <c r="B12" t="s">
        <v>49</v>
      </c>
      <c r="C12" t="s">
        <v>42</v>
      </c>
      <c r="D12" t="s">
        <v>4062</v>
      </c>
      <c r="E12" t="s">
        <v>4071</v>
      </c>
      <c r="F12" t="s">
        <v>42</v>
      </c>
      <c r="G12">
        <v>0.32</v>
      </c>
      <c r="H12" s="2">
        <v>2555</v>
      </c>
      <c r="I12" s="2">
        <v>817.6</v>
      </c>
    </row>
    <row r="13" spans="1:9" x14ac:dyDescent="0.25">
      <c r="A13" t="s">
        <v>48</v>
      </c>
      <c r="B13" t="s">
        <v>49</v>
      </c>
      <c r="C13" t="s">
        <v>42</v>
      </c>
      <c r="D13" t="s">
        <v>4062</v>
      </c>
      <c r="E13" t="s">
        <v>4072</v>
      </c>
      <c r="F13" t="s">
        <v>4066</v>
      </c>
      <c r="G13">
        <v>1.05</v>
      </c>
      <c r="H13" s="2">
        <v>3150</v>
      </c>
      <c r="I13" s="2">
        <v>3307.5</v>
      </c>
    </row>
    <row r="14" spans="1:9" x14ac:dyDescent="0.25">
      <c r="A14" t="s">
        <v>48</v>
      </c>
      <c r="B14" t="s">
        <v>49</v>
      </c>
      <c r="C14" t="s">
        <v>42</v>
      </c>
      <c r="D14" t="s">
        <v>4049</v>
      </c>
      <c r="E14" t="s">
        <v>4050</v>
      </c>
      <c r="F14" t="s">
        <v>4051</v>
      </c>
      <c r="G14">
        <v>0.4</v>
      </c>
      <c r="H14" s="2">
        <v>9037.33</v>
      </c>
      <c r="I14" s="2">
        <v>3614.93</v>
      </c>
    </row>
    <row r="15" spans="1:9" x14ac:dyDescent="0.25">
      <c r="A15" t="s">
        <v>48</v>
      </c>
      <c r="B15" t="s">
        <v>49</v>
      </c>
      <c r="C15" t="s">
        <v>42</v>
      </c>
      <c r="D15" t="s">
        <v>4049</v>
      </c>
      <c r="E15" t="s">
        <v>4073</v>
      </c>
      <c r="F15" t="s">
        <v>4051</v>
      </c>
      <c r="G15">
        <v>0.4</v>
      </c>
      <c r="H15" s="2">
        <v>15517.89</v>
      </c>
      <c r="I15" s="2">
        <v>6207.16</v>
      </c>
    </row>
    <row r="16" spans="1:9" x14ac:dyDescent="0.25">
      <c r="A16" t="s">
        <v>48</v>
      </c>
      <c r="B16" t="s">
        <v>49</v>
      </c>
      <c r="C16" t="s">
        <v>42</v>
      </c>
      <c r="D16" t="s">
        <v>4052</v>
      </c>
      <c r="E16" t="s">
        <v>4053</v>
      </c>
      <c r="F16" t="s">
        <v>4054</v>
      </c>
      <c r="G16">
        <v>4</v>
      </c>
      <c r="H16" s="2">
        <v>9822.09</v>
      </c>
      <c r="I16" s="2">
        <v>392.88</v>
      </c>
    </row>
    <row r="17" spans="1:9" x14ac:dyDescent="0.25">
      <c r="A17" t="s">
        <v>51</v>
      </c>
      <c r="B17" t="s">
        <v>52</v>
      </c>
      <c r="C17" t="s">
        <v>21</v>
      </c>
      <c r="D17" t="s">
        <v>4062</v>
      </c>
      <c r="E17" t="s">
        <v>4076</v>
      </c>
      <c r="F17" t="s">
        <v>3963</v>
      </c>
      <c r="G17">
        <v>0.35</v>
      </c>
      <c r="H17" s="2">
        <v>21</v>
      </c>
      <c r="I17" s="2">
        <v>7.35</v>
      </c>
    </row>
    <row r="18" spans="1:9" x14ac:dyDescent="0.25">
      <c r="A18" t="s">
        <v>51</v>
      </c>
      <c r="B18" t="s">
        <v>52</v>
      </c>
      <c r="C18" t="s">
        <v>21</v>
      </c>
      <c r="D18" t="s">
        <v>4049</v>
      </c>
      <c r="E18" t="s">
        <v>4050</v>
      </c>
      <c r="F18" t="s">
        <v>4051</v>
      </c>
      <c r="G18">
        <v>0.02</v>
      </c>
      <c r="H18" s="2">
        <v>9037.33</v>
      </c>
      <c r="I18" s="2">
        <v>180.75</v>
      </c>
    </row>
    <row r="19" spans="1:9" x14ac:dyDescent="0.25">
      <c r="A19" t="s">
        <v>51</v>
      </c>
      <c r="B19" t="s">
        <v>52</v>
      </c>
      <c r="C19" t="s">
        <v>21</v>
      </c>
      <c r="D19" t="s">
        <v>4052</v>
      </c>
      <c r="E19" t="s">
        <v>4077</v>
      </c>
      <c r="F19" t="s">
        <v>287</v>
      </c>
      <c r="G19">
        <v>0</v>
      </c>
      <c r="H19" s="2">
        <v>74712.95</v>
      </c>
      <c r="I19" s="2">
        <v>298.85</v>
      </c>
    </row>
    <row r="20" spans="1:9" x14ac:dyDescent="0.25">
      <c r="A20" t="s">
        <v>51</v>
      </c>
      <c r="B20" t="s">
        <v>52</v>
      </c>
      <c r="C20" t="s">
        <v>21</v>
      </c>
      <c r="D20" t="s">
        <v>4052</v>
      </c>
      <c r="E20" t="s">
        <v>4078</v>
      </c>
      <c r="F20" t="s">
        <v>287</v>
      </c>
      <c r="G20">
        <v>0</v>
      </c>
      <c r="H20" s="2">
        <v>157100</v>
      </c>
      <c r="I20" s="2">
        <v>628.4</v>
      </c>
    </row>
    <row r="21" spans="1:9" x14ac:dyDescent="0.25">
      <c r="A21" t="s">
        <v>55</v>
      </c>
      <c r="B21" t="s">
        <v>56</v>
      </c>
      <c r="C21" t="s">
        <v>21</v>
      </c>
      <c r="D21" t="s">
        <v>4062</v>
      </c>
      <c r="E21" t="s">
        <v>4076</v>
      </c>
      <c r="F21" t="s">
        <v>3963</v>
      </c>
      <c r="G21">
        <v>0.35</v>
      </c>
      <c r="H21" s="2">
        <v>21</v>
      </c>
      <c r="I21" s="2">
        <v>7.35</v>
      </c>
    </row>
    <row r="22" spans="1:9" x14ac:dyDescent="0.25">
      <c r="A22" t="s">
        <v>55</v>
      </c>
      <c r="B22" t="s">
        <v>56</v>
      </c>
      <c r="C22" t="s">
        <v>21</v>
      </c>
      <c r="D22" t="s">
        <v>4049</v>
      </c>
      <c r="E22" t="s">
        <v>4050</v>
      </c>
      <c r="F22" t="s">
        <v>4051</v>
      </c>
      <c r="G22">
        <v>0.24</v>
      </c>
      <c r="H22" s="2">
        <v>9037.33</v>
      </c>
      <c r="I22" s="2">
        <v>2168.96</v>
      </c>
    </row>
    <row r="23" spans="1:9" x14ac:dyDescent="0.25">
      <c r="A23" t="s">
        <v>55</v>
      </c>
      <c r="B23" t="s">
        <v>56</v>
      </c>
      <c r="C23" t="s">
        <v>21</v>
      </c>
      <c r="D23" t="s">
        <v>4049</v>
      </c>
      <c r="E23" t="s">
        <v>4073</v>
      </c>
      <c r="F23" t="s">
        <v>4051</v>
      </c>
      <c r="G23">
        <v>0.08</v>
      </c>
      <c r="H23" s="2">
        <v>15517.89</v>
      </c>
      <c r="I23" s="2">
        <v>1241.43</v>
      </c>
    </row>
    <row r="24" spans="1:9" x14ac:dyDescent="0.25">
      <c r="A24" t="s">
        <v>55</v>
      </c>
      <c r="B24" t="s">
        <v>56</v>
      </c>
      <c r="C24" t="s">
        <v>21</v>
      </c>
      <c r="D24" t="s">
        <v>4052</v>
      </c>
      <c r="E24" t="s">
        <v>4077</v>
      </c>
      <c r="F24" t="s">
        <v>287</v>
      </c>
      <c r="G24">
        <v>0.02</v>
      </c>
      <c r="H24" s="2">
        <v>74712.95</v>
      </c>
      <c r="I24" s="2">
        <v>1195.41</v>
      </c>
    </row>
    <row r="25" spans="1:9" x14ac:dyDescent="0.25">
      <c r="A25" t="s">
        <v>55</v>
      </c>
      <c r="B25" t="s">
        <v>56</v>
      </c>
      <c r="C25" t="s">
        <v>21</v>
      </c>
      <c r="D25" t="s">
        <v>4052</v>
      </c>
      <c r="E25" t="s">
        <v>4078</v>
      </c>
      <c r="F25" t="s">
        <v>287</v>
      </c>
      <c r="G25">
        <v>0.01</v>
      </c>
      <c r="H25" s="2">
        <v>157100</v>
      </c>
      <c r="I25" s="2">
        <v>1099.7</v>
      </c>
    </row>
    <row r="26" spans="1:9" x14ac:dyDescent="0.25">
      <c r="A26" t="s">
        <v>55</v>
      </c>
      <c r="B26" t="s">
        <v>56</v>
      </c>
      <c r="C26" t="s">
        <v>21</v>
      </c>
      <c r="D26" t="s">
        <v>4052</v>
      </c>
      <c r="E26" t="s">
        <v>4081</v>
      </c>
      <c r="F26" t="s">
        <v>287</v>
      </c>
      <c r="G26">
        <v>0.01</v>
      </c>
      <c r="H26" s="2">
        <v>98968.79</v>
      </c>
      <c r="I26" s="2">
        <v>692.78</v>
      </c>
    </row>
    <row r="27" spans="1:9" x14ac:dyDescent="0.25">
      <c r="A27" t="s">
        <v>61</v>
      </c>
      <c r="B27" t="s">
        <v>62</v>
      </c>
      <c r="C27" t="s">
        <v>63</v>
      </c>
      <c r="D27" t="s">
        <v>4049</v>
      </c>
      <c r="E27" t="s">
        <v>4050</v>
      </c>
      <c r="F27" t="s">
        <v>4051</v>
      </c>
      <c r="G27">
        <v>0.5</v>
      </c>
      <c r="H27" s="2">
        <v>9037.33</v>
      </c>
      <c r="I27" s="2">
        <v>4518.66</v>
      </c>
    </row>
    <row r="28" spans="1:9" x14ac:dyDescent="0.25">
      <c r="A28" t="s">
        <v>61</v>
      </c>
      <c r="B28" t="s">
        <v>62</v>
      </c>
      <c r="C28" t="s">
        <v>63</v>
      </c>
      <c r="D28" t="s">
        <v>4049</v>
      </c>
      <c r="E28" t="s">
        <v>4073</v>
      </c>
      <c r="F28" t="s">
        <v>4051</v>
      </c>
      <c r="G28">
        <v>0.5</v>
      </c>
      <c r="H28" s="2">
        <v>15517.89</v>
      </c>
      <c r="I28" s="2">
        <v>7758.94</v>
      </c>
    </row>
    <row r="29" spans="1:9" x14ac:dyDescent="0.25">
      <c r="A29" t="s">
        <v>61</v>
      </c>
      <c r="B29" t="s">
        <v>62</v>
      </c>
      <c r="C29" t="s">
        <v>63</v>
      </c>
      <c r="D29" t="s">
        <v>4052</v>
      </c>
      <c r="E29" t="s">
        <v>4084</v>
      </c>
      <c r="F29" t="s">
        <v>287</v>
      </c>
      <c r="G29">
        <v>0.5</v>
      </c>
      <c r="H29" s="2">
        <v>145366.67</v>
      </c>
      <c r="I29" s="2">
        <v>72683.34</v>
      </c>
    </row>
    <row r="30" spans="1:9" x14ac:dyDescent="0.25">
      <c r="A30" t="s">
        <v>61</v>
      </c>
      <c r="B30" t="s">
        <v>62</v>
      </c>
      <c r="C30" t="s">
        <v>63</v>
      </c>
      <c r="D30" t="s">
        <v>4052</v>
      </c>
      <c r="E30" t="s">
        <v>4085</v>
      </c>
      <c r="F30" t="s">
        <v>287</v>
      </c>
      <c r="G30">
        <v>1</v>
      </c>
      <c r="H30" s="2">
        <v>5732.5</v>
      </c>
      <c r="I30" s="2">
        <v>5732.5</v>
      </c>
    </row>
    <row r="31" spans="1:9" x14ac:dyDescent="0.25">
      <c r="A31" t="s">
        <v>61</v>
      </c>
      <c r="B31" t="s">
        <v>62</v>
      </c>
      <c r="C31" t="s">
        <v>63</v>
      </c>
      <c r="D31" t="s">
        <v>4052</v>
      </c>
      <c r="E31" t="s">
        <v>4053</v>
      </c>
      <c r="F31" t="s">
        <v>4054</v>
      </c>
      <c r="G31">
        <v>1</v>
      </c>
      <c r="H31" s="2">
        <v>12277.6</v>
      </c>
      <c r="I31" s="2">
        <v>122.78</v>
      </c>
    </row>
    <row r="32" spans="1:9" x14ac:dyDescent="0.25">
      <c r="A32" t="s">
        <v>69</v>
      </c>
      <c r="B32" t="s">
        <v>70</v>
      </c>
      <c r="C32" t="s">
        <v>63</v>
      </c>
      <c r="D32" t="s">
        <v>4049</v>
      </c>
      <c r="E32" t="s">
        <v>4050</v>
      </c>
      <c r="F32" t="s">
        <v>4051</v>
      </c>
      <c r="G32">
        <v>0.55</v>
      </c>
      <c r="H32" s="2">
        <v>9037.33</v>
      </c>
      <c r="I32" s="2">
        <v>4970.53</v>
      </c>
    </row>
    <row r="33" spans="1:9" x14ac:dyDescent="0.25">
      <c r="A33" t="s">
        <v>69</v>
      </c>
      <c r="B33" t="s">
        <v>70</v>
      </c>
      <c r="C33" t="s">
        <v>63</v>
      </c>
      <c r="D33" t="s">
        <v>4052</v>
      </c>
      <c r="E33" t="s">
        <v>4053</v>
      </c>
      <c r="F33" t="s">
        <v>4054</v>
      </c>
      <c r="G33">
        <v>5</v>
      </c>
      <c r="H33" s="2">
        <v>4970.53</v>
      </c>
      <c r="I33" s="2">
        <v>248.53</v>
      </c>
    </row>
    <row r="34" spans="1:9" x14ac:dyDescent="0.25">
      <c r="A34" t="s">
        <v>72</v>
      </c>
      <c r="B34" t="s">
        <v>73</v>
      </c>
      <c r="C34" t="s">
        <v>42</v>
      </c>
      <c r="D34" t="s">
        <v>4049</v>
      </c>
      <c r="E34" t="s">
        <v>4050</v>
      </c>
      <c r="F34" t="s">
        <v>4051</v>
      </c>
      <c r="G34">
        <v>1.8</v>
      </c>
      <c r="H34" s="2">
        <v>9037.33</v>
      </c>
      <c r="I34" s="2">
        <v>16267.19</v>
      </c>
    </row>
    <row r="35" spans="1:9" x14ac:dyDescent="0.25">
      <c r="A35" t="s">
        <v>72</v>
      </c>
      <c r="B35" t="s">
        <v>73</v>
      </c>
      <c r="C35" t="s">
        <v>42</v>
      </c>
      <c r="D35" t="s">
        <v>4052</v>
      </c>
      <c r="E35" t="s">
        <v>4053</v>
      </c>
      <c r="F35" t="s">
        <v>4054</v>
      </c>
      <c r="G35">
        <v>5</v>
      </c>
      <c r="H35" s="2">
        <v>16267.19</v>
      </c>
      <c r="I35" s="2">
        <v>813.36</v>
      </c>
    </row>
    <row r="36" spans="1:9" x14ac:dyDescent="0.25">
      <c r="A36" t="s">
        <v>75</v>
      </c>
      <c r="B36" t="s">
        <v>76</v>
      </c>
      <c r="C36" t="s">
        <v>34</v>
      </c>
      <c r="D36" t="s">
        <v>4049</v>
      </c>
      <c r="E36" t="s">
        <v>4050</v>
      </c>
      <c r="F36" t="s">
        <v>4051</v>
      </c>
      <c r="G36">
        <v>2.8</v>
      </c>
      <c r="H36" s="2">
        <v>9037.33</v>
      </c>
      <c r="I36" s="2">
        <v>25304.52</v>
      </c>
    </row>
    <row r="37" spans="1:9" x14ac:dyDescent="0.25">
      <c r="A37" t="s">
        <v>75</v>
      </c>
      <c r="B37" t="s">
        <v>76</v>
      </c>
      <c r="C37" t="s">
        <v>34</v>
      </c>
      <c r="D37" t="s">
        <v>4052</v>
      </c>
      <c r="E37" t="s">
        <v>4092</v>
      </c>
      <c r="F37" t="s">
        <v>287</v>
      </c>
      <c r="G37">
        <v>1.5</v>
      </c>
      <c r="H37" s="2">
        <v>97476</v>
      </c>
      <c r="I37" s="2">
        <v>146214</v>
      </c>
    </row>
    <row r="38" spans="1:9" x14ac:dyDescent="0.25">
      <c r="A38" t="s">
        <v>75</v>
      </c>
      <c r="B38" t="s">
        <v>76</v>
      </c>
      <c r="C38" t="s">
        <v>34</v>
      </c>
      <c r="D38" t="s">
        <v>4052</v>
      </c>
      <c r="E38" t="s">
        <v>4053</v>
      </c>
      <c r="F38" t="s">
        <v>4054</v>
      </c>
      <c r="G38">
        <v>5</v>
      </c>
      <c r="H38" s="2">
        <v>25304.52</v>
      </c>
      <c r="I38" s="2">
        <v>1265.23</v>
      </c>
    </row>
    <row r="39" spans="1:9" x14ac:dyDescent="0.25">
      <c r="A39" t="s">
        <v>80</v>
      </c>
      <c r="B39" t="s">
        <v>81</v>
      </c>
      <c r="C39" t="s">
        <v>42</v>
      </c>
      <c r="D39" t="s">
        <v>4049</v>
      </c>
      <c r="E39" t="s">
        <v>4050</v>
      </c>
      <c r="F39" t="s">
        <v>4051</v>
      </c>
      <c r="G39">
        <v>0.5</v>
      </c>
      <c r="H39" s="2">
        <v>9037.33</v>
      </c>
      <c r="I39" s="2">
        <v>4518.66</v>
      </c>
    </row>
    <row r="40" spans="1:9" x14ac:dyDescent="0.25">
      <c r="A40" t="s">
        <v>80</v>
      </c>
      <c r="B40" t="s">
        <v>81</v>
      </c>
      <c r="C40" t="s">
        <v>42</v>
      </c>
      <c r="D40" t="s">
        <v>4052</v>
      </c>
      <c r="E40" t="s">
        <v>4053</v>
      </c>
      <c r="F40" t="s">
        <v>4054</v>
      </c>
      <c r="G40">
        <v>3.5</v>
      </c>
      <c r="H40" s="2">
        <v>4518.66</v>
      </c>
      <c r="I40" s="2">
        <v>158.15</v>
      </c>
    </row>
    <row r="41" spans="1:9" x14ac:dyDescent="0.25">
      <c r="A41" t="s">
        <v>83</v>
      </c>
      <c r="B41" t="s">
        <v>84</v>
      </c>
      <c r="C41" t="s">
        <v>42</v>
      </c>
      <c r="D41" t="s">
        <v>4049</v>
      </c>
      <c r="E41" t="s">
        <v>4050</v>
      </c>
      <c r="F41" t="s">
        <v>4051</v>
      </c>
      <c r="G41">
        <v>0.35</v>
      </c>
      <c r="H41" s="2">
        <v>9037.33</v>
      </c>
      <c r="I41" s="2">
        <v>3163.07</v>
      </c>
    </row>
    <row r="42" spans="1:9" x14ac:dyDescent="0.25">
      <c r="A42" t="s">
        <v>83</v>
      </c>
      <c r="B42" t="s">
        <v>84</v>
      </c>
      <c r="C42" t="s">
        <v>42</v>
      </c>
      <c r="D42" t="s">
        <v>4052</v>
      </c>
      <c r="E42" t="s">
        <v>4053</v>
      </c>
      <c r="F42" t="s">
        <v>4054</v>
      </c>
      <c r="G42">
        <v>5</v>
      </c>
      <c r="H42" s="2">
        <v>3163.07</v>
      </c>
      <c r="I42" s="2">
        <v>158.15</v>
      </c>
    </row>
    <row r="43" spans="1:9" x14ac:dyDescent="0.25">
      <c r="A43" t="s">
        <v>86</v>
      </c>
      <c r="B43" t="s">
        <v>87</v>
      </c>
      <c r="C43" t="s">
        <v>21</v>
      </c>
      <c r="D43" t="s">
        <v>4049</v>
      </c>
      <c r="E43" t="s">
        <v>4050</v>
      </c>
      <c r="F43" t="s">
        <v>4051</v>
      </c>
      <c r="G43">
        <v>0.14</v>
      </c>
      <c r="H43" s="2">
        <v>9037.33</v>
      </c>
      <c r="I43" s="2">
        <v>1265.23</v>
      </c>
    </row>
    <row r="44" spans="1:9" x14ac:dyDescent="0.25">
      <c r="A44" t="s">
        <v>86</v>
      </c>
      <c r="B44" t="s">
        <v>87</v>
      </c>
      <c r="C44" t="s">
        <v>21</v>
      </c>
      <c r="D44" t="s">
        <v>4049</v>
      </c>
      <c r="E44" t="s">
        <v>4073</v>
      </c>
      <c r="F44" t="s">
        <v>4051</v>
      </c>
      <c r="G44">
        <v>0.14</v>
      </c>
      <c r="H44" s="2">
        <v>15517.89</v>
      </c>
      <c r="I44" s="2">
        <v>2172.5</v>
      </c>
    </row>
    <row r="45" spans="1:9" x14ac:dyDescent="0.25">
      <c r="A45" t="s">
        <v>86</v>
      </c>
      <c r="B45" t="s">
        <v>87</v>
      </c>
      <c r="C45" t="s">
        <v>21</v>
      </c>
      <c r="D45" t="s">
        <v>4052</v>
      </c>
      <c r="E45" t="s">
        <v>4092</v>
      </c>
      <c r="F45" t="s">
        <v>287</v>
      </c>
      <c r="G45">
        <v>0.13</v>
      </c>
      <c r="H45" s="2">
        <v>97476</v>
      </c>
      <c r="I45" s="2">
        <v>12671.88</v>
      </c>
    </row>
    <row r="46" spans="1:9" x14ac:dyDescent="0.25">
      <c r="A46" t="s">
        <v>86</v>
      </c>
      <c r="B46" t="s">
        <v>87</v>
      </c>
      <c r="C46" t="s">
        <v>21</v>
      </c>
      <c r="D46" t="s">
        <v>4052</v>
      </c>
      <c r="E46" t="s">
        <v>4053</v>
      </c>
      <c r="F46" t="s">
        <v>4054</v>
      </c>
      <c r="G46">
        <v>5</v>
      </c>
      <c r="H46" s="2">
        <v>3437.73</v>
      </c>
      <c r="I46" s="2">
        <v>171.89</v>
      </c>
    </row>
    <row r="47" spans="1:9" x14ac:dyDescent="0.25">
      <c r="A47" t="s">
        <v>89</v>
      </c>
      <c r="B47" t="s">
        <v>90</v>
      </c>
      <c r="C47" t="s">
        <v>21</v>
      </c>
      <c r="D47" t="s">
        <v>4049</v>
      </c>
      <c r="E47" t="s">
        <v>4050</v>
      </c>
      <c r="F47" t="s">
        <v>4051</v>
      </c>
      <c r="G47">
        <v>0.09</v>
      </c>
      <c r="H47" s="2">
        <v>9037.33</v>
      </c>
      <c r="I47" s="2">
        <v>813.36</v>
      </c>
    </row>
    <row r="48" spans="1:9" x14ac:dyDescent="0.25">
      <c r="A48" t="s">
        <v>89</v>
      </c>
      <c r="B48" t="s">
        <v>90</v>
      </c>
      <c r="C48" t="s">
        <v>21</v>
      </c>
      <c r="D48" t="s">
        <v>4049</v>
      </c>
      <c r="E48" t="s">
        <v>4073</v>
      </c>
      <c r="F48" t="s">
        <v>4051</v>
      </c>
      <c r="G48">
        <v>0.09</v>
      </c>
      <c r="H48" s="2">
        <v>15517.89</v>
      </c>
      <c r="I48" s="2">
        <v>1396.61</v>
      </c>
    </row>
    <row r="49" spans="1:9" x14ac:dyDescent="0.25">
      <c r="A49" t="s">
        <v>89</v>
      </c>
      <c r="B49" t="s">
        <v>90</v>
      </c>
      <c r="C49" t="s">
        <v>21</v>
      </c>
      <c r="D49" t="s">
        <v>4052</v>
      </c>
      <c r="E49" t="s">
        <v>4092</v>
      </c>
      <c r="F49" t="s">
        <v>287</v>
      </c>
      <c r="G49">
        <v>0.09</v>
      </c>
      <c r="H49" s="2">
        <v>97476</v>
      </c>
      <c r="I49" s="2">
        <v>8772.84</v>
      </c>
    </row>
    <row r="50" spans="1:9" x14ac:dyDescent="0.25">
      <c r="A50" t="s">
        <v>89</v>
      </c>
      <c r="B50" t="s">
        <v>90</v>
      </c>
      <c r="C50" t="s">
        <v>21</v>
      </c>
      <c r="D50" t="s">
        <v>4052</v>
      </c>
      <c r="E50" t="s">
        <v>4053</v>
      </c>
      <c r="F50" t="s">
        <v>4054</v>
      </c>
      <c r="G50">
        <v>5</v>
      </c>
      <c r="H50" s="2">
        <v>2209.97</v>
      </c>
      <c r="I50" s="2">
        <v>110.5</v>
      </c>
    </row>
    <row r="51" spans="1:9" x14ac:dyDescent="0.25">
      <c r="A51" t="s">
        <v>92</v>
      </c>
      <c r="B51" t="s">
        <v>93</v>
      </c>
      <c r="C51" t="s">
        <v>63</v>
      </c>
      <c r="D51" t="s">
        <v>4049</v>
      </c>
      <c r="E51" t="s">
        <v>4050</v>
      </c>
      <c r="F51" t="s">
        <v>4051</v>
      </c>
      <c r="G51">
        <v>1.3</v>
      </c>
      <c r="H51" s="2">
        <v>9037.33</v>
      </c>
      <c r="I51" s="2">
        <v>11748.53</v>
      </c>
    </row>
    <row r="52" spans="1:9" x14ac:dyDescent="0.25">
      <c r="A52" t="s">
        <v>92</v>
      </c>
      <c r="B52" t="s">
        <v>93</v>
      </c>
      <c r="C52" t="s">
        <v>63</v>
      </c>
      <c r="D52" t="s">
        <v>4052</v>
      </c>
      <c r="E52" t="s">
        <v>4053</v>
      </c>
      <c r="F52" t="s">
        <v>4054</v>
      </c>
      <c r="G52">
        <v>5</v>
      </c>
      <c r="H52" s="2">
        <v>11748.53</v>
      </c>
      <c r="I52" s="2">
        <v>587.43</v>
      </c>
    </row>
    <row r="53" spans="1:9" x14ac:dyDescent="0.25">
      <c r="A53" t="s">
        <v>95</v>
      </c>
      <c r="B53" t="s">
        <v>96</v>
      </c>
      <c r="C53" t="s">
        <v>21</v>
      </c>
      <c r="D53" t="s">
        <v>4049</v>
      </c>
      <c r="E53" t="s">
        <v>4050</v>
      </c>
      <c r="F53" t="s">
        <v>4051</v>
      </c>
      <c r="G53">
        <v>0.43</v>
      </c>
      <c r="H53" s="2">
        <v>9037.33</v>
      </c>
      <c r="I53" s="2">
        <v>3886.05</v>
      </c>
    </row>
    <row r="54" spans="1:9" x14ac:dyDescent="0.25">
      <c r="A54" t="s">
        <v>95</v>
      </c>
      <c r="B54" t="s">
        <v>96</v>
      </c>
      <c r="C54" t="s">
        <v>21</v>
      </c>
      <c r="D54" t="s">
        <v>4049</v>
      </c>
      <c r="E54" t="s">
        <v>4073</v>
      </c>
      <c r="F54" t="s">
        <v>4051</v>
      </c>
      <c r="G54">
        <v>0.43</v>
      </c>
      <c r="H54" s="2">
        <v>15517.89</v>
      </c>
      <c r="I54" s="2">
        <v>6672.69</v>
      </c>
    </row>
    <row r="55" spans="1:9" x14ac:dyDescent="0.25">
      <c r="A55" t="s">
        <v>95</v>
      </c>
      <c r="B55" t="s">
        <v>96</v>
      </c>
      <c r="C55" t="s">
        <v>21</v>
      </c>
      <c r="D55" t="s">
        <v>4052</v>
      </c>
      <c r="E55" t="s">
        <v>4105</v>
      </c>
      <c r="F55" t="s">
        <v>4106</v>
      </c>
      <c r="G55">
        <v>0.15</v>
      </c>
      <c r="H55" s="2">
        <v>25125</v>
      </c>
      <c r="I55" s="2">
        <v>3768.75</v>
      </c>
    </row>
    <row r="56" spans="1:9" x14ac:dyDescent="0.25">
      <c r="A56" t="s">
        <v>95</v>
      </c>
      <c r="B56" t="s">
        <v>96</v>
      </c>
      <c r="C56" t="s">
        <v>21</v>
      </c>
      <c r="D56" t="s">
        <v>4052</v>
      </c>
      <c r="E56" t="s">
        <v>4053</v>
      </c>
      <c r="F56" t="s">
        <v>4054</v>
      </c>
      <c r="G56">
        <v>0.5</v>
      </c>
      <c r="H56" s="2">
        <v>10558.74</v>
      </c>
      <c r="I56" s="2">
        <v>52.79</v>
      </c>
    </row>
    <row r="57" spans="1:9" x14ac:dyDescent="0.25">
      <c r="A57" t="s">
        <v>98</v>
      </c>
      <c r="B57" t="s">
        <v>99</v>
      </c>
      <c r="C57" t="s">
        <v>21</v>
      </c>
      <c r="D57" t="s">
        <v>4049</v>
      </c>
      <c r="E57" t="s">
        <v>4050</v>
      </c>
      <c r="F57" t="s">
        <v>4051</v>
      </c>
      <c r="G57">
        <v>0.15</v>
      </c>
      <c r="H57" s="2">
        <v>9037.33</v>
      </c>
      <c r="I57" s="2">
        <v>1355.6</v>
      </c>
    </row>
    <row r="58" spans="1:9" x14ac:dyDescent="0.25">
      <c r="A58" t="s">
        <v>98</v>
      </c>
      <c r="B58" t="s">
        <v>99</v>
      </c>
      <c r="C58" t="s">
        <v>21</v>
      </c>
      <c r="D58" t="s">
        <v>4052</v>
      </c>
      <c r="E58" t="s">
        <v>4105</v>
      </c>
      <c r="F58" t="s">
        <v>4106</v>
      </c>
      <c r="G58">
        <v>0.05</v>
      </c>
      <c r="H58" s="2">
        <v>25125</v>
      </c>
      <c r="I58" s="2">
        <v>1256.25</v>
      </c>
    </row>
    <row r="59" spans="1:9" x14ac:dyDescent="0.25">
      <c r="A59" t="s">
        <v>98</v>
      </c>
      <c r="B59" t="s">
        <v>99</v>
      </c>
      <c r="C59" t="s">
        <v>21</v>
      </c>
      <c r="D59" t="s">
        <v>4052</v>
      </c>
      <c r="E59" t="s">
        <v>4053</v>
      </c>
      <c r="F59" t="s">
        <v>4054</v>
      </c>
      <c r="G59">
        <v>5</v>
      </c>
      <c r="H59" s="2">
        <v>1355.6</v>
      </c>
      <c r="I59" s="2">
        <v>67.78</v>
      </c>
    </row>
    <row r="60" spans="1:9" x14ac:dyDescent="0.25">
      <c r="A60" t="s">
        <v>101</v>
      </c>
      <c r="B60" t="s">
        <v>102</v>
      </c>
      <c r="C60" t="s">
        <v>34</v>
      </c>
      <c r="D60" t="s">
        <v>4049</v>
      </c>
      <c r="E60" t="s">
        <v>4050</v>
      </c>
      <c r="F60" t="s">
        <v>4051</v>
      </c>
      <c r="G60">
        <v>1.7</v>
      </c>
      <c r="H60" s="2">
        <v>9037.33</v>
      </c>
      <c r="I60" s="2">
        <v>15363.46</v>
      </c>
    </row>
    <row r="61" spans="1:9" x14ac:dyDescent="0.25">
      <c r="A61" t="s">
        <v>101</v>
      </c>
      <c r="B61" t="s">
        <v>102</v>
      </c>
      <c r="C61" t="s">
        <v>34</v>
      </c>
      <c r="D61" t="s">
        <v>4049</v>
      </c>
      <c r="E61" t="s">
        <v>4073</v>
      </c>
      <c r="F61" t="s">
        <v>4051</v>
      </c>
      <c r="G61">
        <v>1.7</v>
      </c>
      <c r="H61" s="2">
        <v>15517.89</v>
      </c>
      <c r="I61" s="2">
        <v>26380.41</v>
      </c>
    </row>
    <row r="62" spans="1:9" x14ac:dyDescent="0.25">
      <c r="A62" t="s">
        <v>101</v>
      </c>
      <c r="B62" t="s">
        <v>102</v>
      </c>
      <c r="C62" t="s">
        <v>34</v>
      </c>
      <c r="D62" t="s">
        <v>4052</v>
      </c>
      <c r="E62" t="s">
        <v>4092</v>
      </c>
      <c r="F62" t="s">
        <v>287</v>
      </c>
      <c r="G62">
        <v>1.5</v>
      </c>
      <c r="H62" s="2">
        <v>97476</v>
      </c>
      <c r="I62" s="2">
        <v>146214</v>
      </c>
    </row>
    <row r="63" spans="1:9" x14ac:dyDescent="0.25">
      <c r="A63" t="s">
        <v>101</v>
      </c>
      <c r="B63" t="s">
        <v>102</v>
      </c>
      <c r="C63" t="s">
        <v>34</v>
      </c>
      <c r="D63" t="s">
        <v>4052</v>
      </c>
      <c r="E63" t="s">
        <v>4053</v>
      </c>
      <c r="F63" t="s">
        <v>4054</v>
      </c>
      <c r="G63">
        <v>5</v>
      </c>
      <c r="H63" s="2">
        <v>41743.87</v>
      </c>
      <c r="I63" s="2">
        <v>2087.19</v>
      </c>
    </row>
    <row r="64" spans="1:9" x14ac:dyDescent="0.25">
      <c r="A64" t="s">
        <v>104</v>
      </c>
      <c r="B64" t="s">
        <v>105</v>
      </c>
      <c r="C64" t="s">
        <v>34</v>
      </c>
      <c r="D64" t="s">
        <v>4049</v>
      </c>
      <c r="E64" t="s">
        <v>4050</v>
      </c>
      <c r="F64" t="s">
        <v>4051</v>
      </c>
      <c r="G64">
        <v>3</v>
      </c>
      <c r="H64" s="2">
        <v>9037.33</v>
      </c>
      <c r="I64" s="2">
        <v>27111.99</v>
      </c>
    </row>
    <row r="65" spans="1:9" x14ac:dyDescent="0.25">
      <c r="A65" t="s">
        <v>104</v>
      </c>
      <c r="B65" t="s">
        <v>105</v>
      </c>
      <c r="C65" t="s">
        <v>34</v>
      </c>
      <c r="D65" t="s">
        <v>4052</v>
      </c>
      <c r="E65" t="s">
        <v>4092</v>
      </c>
      <c r="F65" t="s">
        <v>287</v>
      </c>
      <c r="G65">
        <v>1.25</v>
      </c>
      <c r="H65" s="2">
        <v>97476</v>
      </c>
      <c r="I65" s="2">
        <v>121845</v>
      </c>
    </row>
    <row r="66" spans="1:9" x14ac:dyDescent="0.25">
      <c r="A66" t="s">
        <v>104</v>
      </c>
      <c r="B66" t="s">
        <v>105</v>
      </c>
      <c r="C66" t="s">
        <v>34</v>
      </c>
      <c r="D66" t="s">
        <v>4052</v>
      </c>
      <c r="E66" t="s">
        <v>4113</v>
      </c>
      <c r="F66" t="s">
        <v>4106</v>
      </c>
      <c r="G66">
        <v>1</v>
      </c>
      <c r="H66" s="2">
        <v>43805.88</v>
      </c>
      <c r="I66" s="2">
        <v>43805.88</v>
      </c>
    </row>
    <row r="67" spans="1:9" x14ac:dyDescent="0.25">
      <c r="A67" t="s">
        <v>104</v>
      </c>
      <c r="B67" t="s">
        <v>105</v>
      </c>
      <c r="C67" t="s">
        <v>34</v>
      </c>
      <c r="D67" t="s">
        <v>4052</v>
      </c>
      <c r="E67" t="s">
        <v>4053</v>
      </c>
      <c r="F67" t="s">
        <v>4054</v>
      </c>
      <c r="G67">
        <v>5</v>
      </c>
      <c r="H67" s="2">
        <v>27111.99</v>
      </c>
      <c r="I67" s="2">
        <v>1355.6</v>
      </c>
    </row>
    <row r="68" spans="1:9" x14ac:dyDescent="0.25">
      <c r="A68" t="s">
        <v>107</v>
      </c>
      <c r="B68" t="s">
        <v>108</v>
      </c>
      <c r="C68" t="s">
        <v>42</v>
      </c>
      <c r="D68" t="s">
        <v>4049</v>
      </c>
      <c r="E68" t="s">
        <v>4050</v>
      </c>
      <c r="F68" t="s">
        <v>4051</v>
      </c>
      <c r="G68">
        <v>0.55</v>
      </c>
      <c r="H68" s="2">
        <v>9037.33</v>
      </c>
      <c r="I68" s="2">
        <v>4970.53</v>
      </c>
    </row>
    <row r="69" spans="1:9" x14ac:dyDescent="0.25">
      <c r="A69" t="s">
        <v>107</v>
      </c>
      <c r="B69" t="s">
        <v>108</v>
      </c>
      <c r="C69" t="s">
        <v>42</v>
      </c>
      <c r="D69" t="s">
        <v>4052</v>
      </c>
      <c r="E69" t="s">
        <v>4053</v>
      </c>
      <c r="F69" t="s">
        <v>4054</v>
      </c>
      <c r="G69">
        <v>3.7</v>
      </c>
      <c r="H69" s="2">
        <v>4970.53</v>
      </c>
      <c r="I69" s="2">
        <v>183.91</v>
      </c>
    </row>
    <row r="70" spans="1:9" x14ac:dyDescent="0.25">
      <c r="A70" t="s">
        <v>110</v>
      </c>
      <c r="B70" t="s">
        <v>111</v>
      </c>
      <c r="C70" t="s">
        <v>21</v>
      </c>
      <c r="D70" t="s">
        <v>4049</v>
      </c>
      <c r="E70" t="s">
        <v>4050</v>
      </c>
      <c r="F70" t="s">
        <v>4051</v>
      </c>
      <c r="G70">
        <v>0.5</v>
      </c>
      <c r="H70" s="2">
        <v>9037.33</v>
      </c>
      <c r="I70" s="2">
        <v>4518.66</v>
      </c>
    </row>
    <row r="71" spans="1:9" x14ac:dyDescent="0.25">
      <c r="A71" t="s">
        <v>110</v>
      </c>
      <c r="B71" t="s">
        <v>111</v>
      </c>
      <c r="C71" t="s">
        <v>21</v>
      </c>
      <c r="D71" t="s">
        <v>4049</v>
      </c>
      <c r="E71" t="s">
        <v>4073</v>
      </c>
      <c r="F71" t="s">
        <v>4051</v>
      </c>
      <c r="G71">
        <v>0.25</v>
      </c>
      <c r="H71" s="2">
        <v>15517.89</v>
      </c>
      <c r="I71" s="2">
        <v>3879.47</v>
      </c>
    </row>
    <row r="72" spans="1:9" x14ac:dyDescent="0.25">
      <c r="A72" t="s">
        <v>110</v>
      </c>
      <c r="B72" t="s">
        <v>111</v>
      </c>
      <c r="C72" t="s">
        <v>21</v>
      </c>
      <c r="D72" t="s">
        <v>4052</v>
      </c>
      <c r="E72" t="s">
        <v>4092</v>
      </c>
      <c r="F72" t="s">
        <v>287</v>
      </c>
      <c r="G72">
        <v>0.17</v>
      </c>
      <c r="H72" s="2">
        <v>97476</v>
      </c>
      <c r="I72" s="2">
        <v>16570.92</v>
      </c>
    </row>
    <row r="73" spans="1:9" x14ac:dyDescent="0.25">
      <c r="A73" t="s">
        <v>110</v>
      </c>
      <c r="B73" t="s">
        <v>111</v>
      </c>
      <c r="C73" t="s">
        <v>21</v>
      </c>
      <c r="D73" t="s">
        <v>4052</v>
      </c>
      <c r="E73" t="s">
        <v>4118</v>
      </c>
      <c r="F73" t="s">
        <v>287</v>
      </c>
      <c r="G73">
        <v>0.03</v>
      </c>
      <c r="H73" s="2">
        <v>107433.33</v>
      </c>
      <c r="I73" s="2">
        <v>3223</v>
      </c>
    </row>
    <row r="74" spans="1:9" x14ac:dyDescent="0.25">
      <c r="A74" t="s">
        <v>110</v>
      </c>
      <c r="B74" t="s">
        <v>111</v>
      </c>
      <c r="C74" t="s">
        <v>21</v>
      </c>
      <c r="D74" t="s">
        <v>4052</v>
      </c>
      <c r="E74" t="s">
        <v>4053</v>
      </c>
      <c r="F74" t="s">
        <v>4054</v>
      </c>
      <c r="G74">
        <v>5</v>
      </c>
      <c r="H74" s="2">
        <v>8398.13</v>
      </c>
      <c r="I74" s="2">
        <v>419.91</v>
      </c>
    </row>
    <row r="75" spans="1:9" x14ac:dyDescent="0.25">
      <c r="A75" t="s">
        <v>113</v>
      </c>
      <c r="B75" t="s">
        <v>114</v>
      </c>
      <c r="C75" t="s">
        <v>63</v>
      </c>
      <c r="D75" t="s">
        <v>4049</v>
      </c>
      <c r="E75" t="s">
        <v>4050</v>
      </c>
      <c r="F75" t="s">
        <v>4051</v>
      </c>
      <c r="G75">
        <v>0.55</v>
      </c>
      <c r="H75" s="2">
        <v>9037.33</v>
      </c>
      <c r="I75" s="2">
        <v>4970.53</v>
      </c>
    </row>
    <row r="76" spans="1:9" x14ac:dyDescent="0.25">
      <c r="A76" t="s">
        <v>113</v>
      </c>
      <c r="B76" t="s">
        <v>114</v>
      </c>
      <c r="C76" t="s">
        <v>63</v>
      </c>
      <c r="D76" t="s">
        <v>4052</v>
      </c>
      <c r="E76" t="s">
        <v>4092</v>
      </c>
      <c r="F76" t="s">
        <v>287</v>
      </c>
      <c r="G76">
        <v>0.14</v>
      </c>
      <c r="H76" s="2">
        <v>97476</v>
      </c>
      <c r="I76" s="2">
        <v>13646.64</v>
      </c>
    </row>
    <row r="77" spans="1:9" x14ac:dyDescent="0.25">
      <c r="A77" t="s">
        <v>113</v>
      </c>
      <c r="B77" t="s">
        <v>114</v>
      </c>
      <c r="C77" t="s">
        <v>63</v>
      </c>
      <c r="D77" t="s">
        <v>4052</v>
      </c>
      <c r="E77" t="s">
        <v>4053</v>
      </c>
      <c r="F77" t="s">
        <v>4054</v>
      </c>
      <c r="G77">
        <v>3.7</v>
      </c>
      <c r="H77" s="2">
        <v>4970.53</v>
      </c>
      <c r="I77" s="2">
        <v>183.91</v>
      </c>
    </row>
    <row r="78" spans="1:9" x14ac:dyDescent="0.25">
      <c r="A78" t="s">
        <v>116</v>
      </c>
      <c r="B78" t="s">
        <v>117</v>
      </c>
      <c r="C78" t="s">
        <v>21</v>
      </c>
      <c r="D78" t="s">
        <v>4049</v>
      </c>
      <c r="E78" t="s">
        <v>4050</v>
      </c>
      <c r="F78" t="s">
        <v>4051</v>
      </c>
      <c r="G78">
        <v>2.1</v>
      </c>
      <c r="H78" s="2">
        <v>9037.33</v>
      </c>
      <c r="I78" s="2">
        <v>18978.39</v>
      </c>
    </row>
    <row r="79" spans="1:9" x14ac:dyDescent="0.25">
      <c r="A79" t="s">
        <v>116</v>
      </c>
      <c r="B79" t="s">
        <v>117</v>
      </c>
      <c r="C79" t="s">
        <v>21</v>
      </c>
      <c r="D79" t="s">
        <v>4049</v>
      </c>
      <c r="E79" t="s">
        <v>4073</v>
      </c>
      <c r="F79" t="s">
        <v>4051</v>
      </c>
      <c r="G79">
        <v>0.5</v>
      </c>
      <c r="H79" s="2">
        <v>15517.89</v>
      </c>
      <c r="I79" s="2">
        <v>7758.94</v>
      </c>
    </row>
    <row r="80" spans="1:9" x14ac:dyDescent="0.25">
      <c r="A80" t="s">
        <v>116</v>
      </c>
      <c r="B80" t="s">
        <v>117</v>
      </c>
      <c r="C80" t="s">
        <v>21</v>
      </c>
      <c r="D80" t="s">
        <v>4052</v>
      </c>
      <c r="E80" t="s">
        <v>4123</v>
      </c>
      <c r="F80" t="s">
        <v>287</v>
      </c>
      <c r="G80">
        <v>0.05</v>
      </c>
      <c r="H80" s="2">
        <v>62400</v>
      </c>
      <c r="I80" s="2">
        <v>3120</v>
      </c>
    </row>
    <row r="81" spans="1:9" x14ac:dyDescent="0.25">
      <c r="A81" t="s">
        <v>116</v>
      </c>
      <c r="B81" t="s">
        <v>117</v>
      </c>
      <c r="C81" t="s">
        <v>21</v>
      </c>
      <c r="D81" t="s">
        <v>4052</v>
      </c>
      <c r="E81" t="s">
        <v>4124</v>
      </c>
      <c r="F81" t="s">
        <v>287</v>
      </c>
      <c r="G81">
        <v>0.05</v>
      </c>
      <c r="H81" s="2">
        <v>13993</v>
      </c>
      <c r="I81" s="2">
        <v>699.65</v>
      </c>
    </row>
    <row r="82" spans="1:9" x14ac:dyDescent="0.25">
      <c r="A82" t="s">
        <v>116</v>
      </c>
      <c r="B82" t="s">
        <v>117</v>
      </c>
      <c r="C82" t="s">
        <v>21</v>
      </c>
      <c r="D82" t="s">
        <v>4052</v>
      </c>
      <c r="E82" t="s">
        <v>4105</v>
      </c>
      <c r="F82" t="s">
        <v>4106</v>
      </c>
      <c r="G82">
        <v>0.2</v>
      </c>
      <c r="H82" s="2">
        <v>25125</v>
      </c>
      <c r="I82" s="2">
        <v>5025</v>
      </c>
    </row>
    <row r="83" spans="1:9" x14ac:dyDescent="0.25">
      <c r="A83" t="s">
        <v>116</v>
      </c>
      <c r="B83" t="s">
        <v>117</v>
      </c>
      <c r="C83" t="s">
        <v>21</v>
      </c>
      <c r="D83" t="s">
        <v>4052</v>
      </c>
      <c r="E83" t="s">
        <v>4053</v>
      </c>
      <c r="F83" t="s">
        <v>4054</v>
      </c>
      <c r="G83">
        <v>5</v>
      </c>
      <c r="H83" s="2">
        <v>26737.33</v>
      </c>
      <c r="I83" s="2">
        <v>1336.87</v>
      </c>
    </row>
    <row r="84" spans="1:9" x14ac:dyDescent="0.25">
      <c r="A84" t="s">
        <v>119</v>
      </c>
      <c r="B84" t="s">
        <v>120</v>
      </c>
      <c r="C84" t="s">
        <v>21</v>
      </c>
      <c r="D84" t="s">
        <v>4049</v>
      </c>
      <c r="E84" t="s">
        <v>4050</v>
      </c>
      <c r="F84" t="s">
        <v>4051</v>
      </c>
      <c r="G84">
        <v>0.78</v>
      </c>
      <c r="H84" s="2">
        <v>9037.33</v>
      </c>
      <c r="I84" s="2">
        <v>7049.12</v>
      </c>
    </row>
    <row r="85" spans="1:9" x14ac:dyDescent="0.25">
      <c r="A85" t="s">
        <v>119</v>
      </c>
      <c r="B85" t="s">
        <v>120</v>
      </c>
      <c r="C85" t="s">
        <v>21</v>
      </c>
      <c r="D85" t="s">
        <v>4052</v>
      </c>
      <c r="E85" t="s">
        <v>4053</v>
      </c>
      <c r="F85" t="s">
        <v>4054</v>
      </c>
      <c r="G85">
        <v>2.5</v>
      </c>
      <c r="H85" s="2">
        <v>7049.12</v>
      </c>
      <c r="I85" s="2">
        <v>176.23</v>
      </c>
    </row>
    <row r="86" spans="1:9" x14ac:dyDescent="0.25">
      <c r="A86" t="s">
        <v>122</v>
      </c>
      <c r="B86" t="s">
        <v>123</v>
      </c>
      <c r="C86" t="s">
        <v>34</v>
      </c>
      <c r="D86" t="s">
        <v>4049</v>
      </c>
      <c r="E86" t="s">
        <v>4050</v>
      </c>
      <c r="F86" t="s">
        <v>4051</v>
      </c>
      <c r="G86">
        <v>0.96</v>
      </c>
      <c r="H86" s="2">
        <v>9037.33</v>
      </c>
      <c r="I86" s="2">
        <v>8675.84</v>
      </c>
    </row>
    <row r="87" spans="1:9" x14ac:dyDescent="0.25">
      <c r="A87" t="s">
        <v>122</v>
      </c>
      <c r="B87" t="s">
        <v>123</v>
      </c>
      <c r="C87" t="s">
        <v>34</v>
      </c>
      <c r="D87" t="s">
        <v>4052</v>
      </c>
      <c r="E87" t="s">
        <v>4092</v>
      </c>
      <c r="F87" t="s">
        <v>287</v>
      </c>
      <c r="G87">
        <v>0.23</v>
      </c>
      <c r="H87" s="2">
        <v>97476</v>
      </c>
      <c r="I87" s="2">
        <v>22419.48</v>
      </c>
    </row>
    <row r="88" spans="1:9" x14ac:dyDescent="0.25">
      <c r="A88" t="s">
        <v>122</v>
      </c>
      <c r="B88" t="s">
        <v>123</v>
      </c>
      <c r="C88" t="s">
        <v>34</v>
      </c>
      <c r="D88" t="s">
        <v>4052</v>
      </c>
      <c r="E88" t="s">
        <v>4053</v>
      </c>
      <c r="F88" t="s">
        <v>4054</v>
      </c>
      <c r="G88">
        <v>5</v>
      </c>
      <c r="H88" s="2">
        <v>8675.84</v>
      </c>
      <c r="I88" s="2">
        <v>433.79</v>
      </c>
    </row>
    <row r="89" spans="1:9" x14ac:dyDescent="0.25">
      <c r="A89" t="s">
        <v>125</v>
      </c>
      <c r="B89" t="s">
        <v>126</v>
      </c>
      <c r="C89" t="s">
        <v>42</v>
      </c>
      <c r="D89" t="s">
        <v>4049</v>
      </c>
      <c r="E89" t="s">
        <v>4050</v>
      </c>
      <c r="F89" t="s">
        <v>4051</v>
      </c>
      <c r="G89">
        <v>0.2</v>
      </c>
      <c r="H89" s="2">
        <v>9037.33</v>
      </c>
      <c r="I89" s="2">
        <v>1807.47</v>
      </c>
    </row>
    <row r="90" spans="1:9" x14ac:dyDescent="0.25">
      <c r="A90" t="s">
        <v>125</v>
      </c>
      <c r="B90" t="s">
        <v>126</v>
      </c>
      <c r="C90" t="s">
        <v>42</v>
      </c>
      <c r="D90" t="s">
        <v>4052</v>
      </c>
      <c r="E90" t="s">
        <v>4053</v>
      </c>
      <c r="F90" t="s">
        <v>4054</v>
      </c>
      <c r="G90">
        <v>1</v>
      </c>
      <c r="H90" s="2">
        <v>1807.47</v>
      </c>
      <c r="I90" s="2">
        <v>18.07</v>
      </c>
    </row>
    <row r="91" spans="1:9" x14ac:dyDescent="0.25">
      <c r="A91" t="s">
        <v>128</v>
      </c>
      <c r="B91" t="s">
        <v>129</v>
      </c>
      <c r="C91" t="s">
        <v>63</v>
      </c>
      <c r="D91" t="s">
        <v>4049</v>
      </c>
      <c r="E91" t="s">
        <v>4050</v>
      </c>
      <c r="F91" t="s">
        <v>4051</v>
      </c>
      <c r="G91">
        <v>3.85</v>
      </c>
      <c r="H91" s="2">
        <v>9037.33</v>
      </c>
      <c r="I91" s="2">
        <v>34793.72</v>
      </c>
    </row>
    <row r="92" spans="1:9" x14ac:dyDescent="0.25">
      <c r="A92" t="s">
        <v>128</v>
      </c>
      <c r="B92" t="s">
        <v>129</v>
      </c>
      <c r="C92" t="s">
        <v>63</v>
      </c>
      <c r="D92" t="s">
        <v>4052</v>
      </c>
      <c r="E92" t="s">
        <v>4053</v>
      </c>
      <c r="F92" t="s">
        <v>4054</v>
      </c>
      <c r="G92">
        <v>4</v>
      </c>
      <c r="H92" s="2">
        <v>34793.72</v>
      </c>
      <c r="I92" s="2">
        <v>1391.75</v>
      </c>
    </row>
    <row r="93" spans="1:9" x14ac:dyDescent="0.25">
      <c r="A93" t="s">
        <v>131</v>
      </c>
      <c r="B93" t="s">
        <v>132</v>
      </c>
      <c r="C93" t="s">
        <v>21</v>
      </c>
      <c r="D93" t="s">
        <v>4049</v>
      </c>
      <c r="E93" t="s">
        <v>4050</v>
      </c>
      <c r="F93" t="s">
        <v>4051</v>
      </c>
      <c r="G93">
        <v>2.7</v>
      </c>
      <c r="H93" s="2">
        <v>9037.33</v>
      </c>
      <c r="I93" s="2">
        <v>24400.79</v>
      </c>
    </row>
    <row r="94" spans="1:9" x14ac:dyDescent="0.25">
      <c r="A94" t="s">
        <v>131</v>
      </c>
      <c r="B94" t="s">
        <v>132</v>
      </c>
      <c r="C94" t="s">
        <v>21</v>
      </c>
      <c r="D94" t="s">
        <v>4052</v>
      </c>
      <c r="E94" t="s">
        <v>4053</v>
      </c>
      <c r="F94" t="s">
        <v>4054</v>
      </c>
      <c r="G94">
        <v>3.5</v>
      </c>
      <c r="H94" s="2">
        <v>24400.79</v>
      </c>
      <c r="I94" s="2">
        <v>854.03</v>
      </c>
    </row>
    <row r="95" spans="1:9" x14ac:dyDescent="0.25">
      <c r="A95" t="s">
        <v>134</v>
      </c>
      <c r="B95" t="s">
        <v>135</v>
      </c>
      <c r="C95" t="s">
        <v>21</v>
      </c>
      <c r="D95" t="s">
        <v>4049</v>
      </c>
      <c r="E95" t="s">
        <v>4050</v>
      </c>
      <c r="F95" t="s">
        <v>4051</v>
      </c>
      <c r="G95">
        <v>0.25</v>
      </c>
      <c r="H95" s="2">
        <v>9037.33</v>
      </c>
      <c r="I95" s="2">
        <v>2259.33</v>
      </c>
    </row>
    <row r="96" spans="1:9" x14ac:dyDescent="0.25">
      <c r="A96" t="s">
        <v>134</v>
      </c>
      <c r="B96" t="s">
        <v>135</v>
      </c>
      <c r="C96" t="s">
        <v>21</v>
      </c>
      <c r="D96" t="s">
        <v>4052</v>
      </c>
      <c r="E96" t="s">
        <v>4053</v>
      </c>
      <c r="F96" t="s">
        <v>4054</v>
      </c>
      <c r="G96">
        <v>5</v>
      </c>
      <c r="H96" s="2">
        <v>2259.33</v>
      </c>
      <c r="I96" s="2">
        <v>112.97</v>
      </c>
    </row>
    <row r="97" spans="1:9" x14ac:dyDescent="0.25">
      <c r="A97" t="s">
        <v>137</v>
      </c>
      <c r="B97" t="s">
        <v>138</v>
      </c>
      <c r="C97" t="s">
        <v>21</v>
      </c>
      <c r="D97" t="s">
        <v>4049</v>
      </c>
      <c r="E97" t="s">
        <v>4050</v>
      </c>
      <c r="F97" t="s">
        <v>4051</v>
      </c>
      <c r="G97">
        <v>1</v>
      </c>
      <c r="H97" s="2">
        <v>9037.33</v>
      </c>
      <c r="I97" s="2">
        <v>9037.33</v>
      </c>
    </row>
    <row r="98" spans="1:9" x14ac:dyDescent="0.25">
      <c r="A98" t="s">
        <v>137</v>
      </c>
      <c r="B98" t="s">
        <v>138</v>
      </c>
      <c r="C98" t="s">
        <v>21</v>
      </c>
      <c r="D98" t="s">
        <v>4049</v>
      </c>
      <c r="E98" t="s">
        <v>4073</v>
      </c>
      <c r="F98" t="s">
        <v>4051</v>
      </c>
      <c r="G98">
        <v>0.5</v>
      </c>
      <c r="H98" s="2">
        <v>15517.89</v>
      </c>
      <c r="I98" s="2">
        <v>7758.94</v>
      </c>
    </row>
    <row r="99" spans="1:9" x14ac:dyDescent="0.25">
      <c r="A99" t="s">
        <v>137</v>
      </c>
      <c r="B99" t="s">
        <v>138</v>
      </c>
      <c r="C99" t="s">
        <v>21</v>
      </c>
      <c r="D99" t="s">
        <v>4052</v>
      </c>
      <c r="E99" t="s">
        <v>4092</v>
      </c>
      <c r="F99" t="s">
        <v>287</v>
      </c>
      <c r="G99">
        <v>0.5</v>
      </c>
      <c r="H99" s="2">
        <v>97476</v>
      </c>
      <c r="I99" s="2">
        <v>48738</v>
      </c>
    </row>
    <row r="100" spans="1:9" x14ac:dyDescent="0.25">
      <c r="A100" t="s">
        <v>137</v>
      </c>
      <c r="B100" t="s">
        <v>138</v>
      </c>
      <c r="C100" t="s">
        <v>21</v>
      </c>
      <c r="D100" t="s">
        <v>4052</v>
      </c>
      <c r="E100" t="s">
        <v>4053</v>
      </c>
      <c r="F100" t="s">
        <v>4054</v>
      </c>
      <c r="G100">
        <v>5</v>
      </c>
      <c r="H100" s="2">
        <v>16796.27</v>
      </c>
      <c r="I100" s="2">
        <v>839.81</v>
      </c>
    </row>
    <row r="101" spans="1:9" x14ac:dyDescent="0.25">
      <c r="A101" t="s">
        <v>140</v>
      </c>
      <c r="B101" t="s">
        <v>141</v>
      </c>
      <c r="C101" t="s">
        <v>21</v>
      </c>
      <c r="D101" t="s">
        <v>4049</v>
      </c>
      <c r="E101" t="s">
        <v>4050</v>
      </c>
      <c r="F101" t="s">
        <v>4051</v>
      </c>
      <c r="G101">
        <v>0.8</v>
      </c>
      <c r="H101" s="2">
        <v>9037.33</v>
      </c>
      <c r="I101" s="2">
        <v>7229.86</v>
      </c>
    </row>
    <row r="102" spans="1:9" x14ac:dyDescent="0.25">
      <c r="A102" t="s">
        <v>140</v>
      </c>
      <c r="B102" t="s">
        <v>141</v>
      </c>
      <c r="C102" t="s">
        <v>21</v>
      </c>
      <c r="D102" t="s">
        <v>4049</v>
      </c>
      <c r="E102" t="s">
        <v>4073</v>
      </c>
      <c r="F102" t="s">
        <v>4051</v>
      </c>
      <c r="G102">
        <v>0.1</v>
      </c>
      <c r="H102" s="2">
        <v>15517.89</v>
      </c>
      <c r="I102" s="2">
        <v>1551.79</v>
      </c>
    </row>
    <row r="103" spans="1:9" x14ac:dyDescent="0.25">
      <c r="A103" t="s">
        <v>140</v>
      </c>
      <c r="B103" t="s">
        <v>141</v>
      </c>
      <c r="C103" t="s">
        <v>21</v>
      </c>
      <c r="D103" t="s">
        <v>4052</v>
      </c>
      <c r="E103" t="s">
        <v>4092</v>
      </c>
      <c r="F103" t="s">
        <v>287</v>
      </c>
      <c r="G103">
        <v>0.22</v>
      </c>
      <c r="H103" s="2">
        <v>97476</v>
      </c>
      <c r="I103" s="2">
        <v>21444.72</v>
      </c>
    </row>
    <row r="104" spans="1:9" x14ac:dyDescent="0.25">
      <c r="A104" t="s">
        <v>140</v>
      </c>
      <c r="B104" t="s">
        <v>141</v>
      </c>
      <c r="C104" t="s">
        <v>21</v>
      </c>
      <c r="D104" t="s">
        <v>4052</v>
      </c>
      <c r="E104" t="s">
        <v>4053</v>
      </c>
      <c r="F104" t="s">
        <v>4054</v>
      </c>
      <c r="G104">
        <v>4</v>
      </c>
      <c r="H104" s="2">
        <v>8781.65</v>
      </c>
      <c r="I104" s="2">
        <v>351.27</v>
      </c>
    </row>
    <row r="105" spans="1:9" x14ac:dyDescent="0.25">
      <c r="A105" t="s">
        <v>143</v>
      </c>
      <c r="B105" t="s">
        <v>144</v>
      </c>
      <c r="C105" t="s">
        <v>21</v>
      </c>
      <c r="D105" t="s">
        <v>4049</v>
      </c>
      <c r="E105" t="s">
        <v>4050</v>
      </c>
      <c r="F105" t="s">
        <v>4051</v>
      </c>
      <c r="G105">
        <v>0.46</v>
      </c>
      <c r="H105" s="2">
        <v>9037.33</v>
      </c>
      <c r="I105" s="2">
        <v>4157.17</v>
      </c>
    </row>
    <row r="106" spans="1:9" x14ac:dyDescent="0.25">
      <c r="A106" t="s">
        <v>143</v>
      </c>
      <c r="B106" t="s">
        <v>144</v>
      </c>
      <c r="C106" t="s">
        <v>21</v>
      </c>
      <c r="D106" t="s">
        <v>4049</v>
      </c>
      <c r="E106" t="s">
        <v>4073</v>
      </c>
      <c r="F106" t="s">
        <v>4051</v>
      </c>
      <c r="G106">
        <v>0.46</v>
      </c>
      <c r="H106" s="2">
        <v>15517.89</v>
      </c>
      <c r="I106" s="2">
        <v>7138.23</v>
      </c>
    </row>
    <row r="107" spans="1:9" x14ac:dyDescent="0.25">
      <c r="A107" t="s">
        <v>143</v>
      </c>
      <c r="B107" t="s">
        <v>144</v>
      </c>
      <c r="C107" t="s">
        <v>21</v>
      </c>
      <c r="D107" t="s">
        <v>4052</v>
      </c>
      <c r="E107" t="s">
        <v>4053</v>
      </c>
      <c r="F107" t="s">
        <v>4054</v>
      </c>
      <c r="G107">
        <v>5</v>
      </c>
      <c r="H107" s="2">
        <v>11295.4</v>
      </c>
      <c r="I107" s="2">
        <v>564.77</v>
      </c>
    </row>
    <row r="108" spans="1:9" x14ac:dyDescent="0.25">
      <c r="A108" t="s">
        <v>146</v>
      </c>
      <c r="B108" t="s">
        <v>147</v>
      </c>
      <c r="C108" t="s">
        <v>21</v>
      </c>
      <c r="D108" t="s">
        <v>4049</v>
      </c>
      <c r="E108" t="s">
        <v>4050</v>
      </c>
      <c r="F108" t="s">
        <v>4051</v>
      </c>
      <c r="G108">
        <v>0.4</v>
      </c>
      <c r="H108" s="2">
        <v>9037.33</v>
      </c>
      <c r="I108" s="2">
        <v>3614.93</v>
      </c>
    </row>
    <row r="109" spans="1:9" x14ac:dyDescent="0.25">
      <c r="A109" t="s">
        <v>146</v>
      </c>
      <c r="B109" t="s">
        <v>147</v>
      </c>
      <c r="C109" t="s">
        <v>21</v>
      </c>
      <c r="D109" t="s">
        <v>4049</v>
      </c>
      <c r="E109" t="s">
        <v>4073</v>
      </c>
      <c r="F109" t="s">
        <v>4051</v>
      </c>
      <c r="G109">
        <v>0.4</v>
      </c>
      <c r="H109" s="2">
        <v>15517.89</v>
      </c>
      <c r="I109" s="2">
        <v>6207.16</v>
      </c>
    </row>
    <row r="110" spans="1:9" x14ac:dyDescent="0.25">
      <c r="A110" t="s">
        <v>146</v>
      </c>
      <c r="B110" t="s">
        <v>147</v>
      </c>
      <c r="C110" t="s">
        <v>21</v>
      </c>
      <c r="D110" t="s">
        <v>4052</v>
      </c>
      <c r="E110" t="s">
        <v>4053</v>
      </c>
      <c r="F110" t="s">
        <v>4054</v>
      </c>
      <c r="G110">
        <v>5</v>
      </c>
      <c r="H110" s="2">
        <v>9822.09</v>
      </c>
      <c r="I110" s="2">
        <v>491.1</v>
      </c>
    </row>
    <row r="111" spans="1:9" x14ac:dyDescent="0.25">
      <c r="A111" t="s">
        <v>149</v>
      </c>
      <c r="B111" t="s">
        <v>150</v>
      </c>
      <c r="C111" t="s">
        <v>21</v>
      </c>
      <c r="D111" t="s">
        <v>4049</v>
      </c>
      <c r="E111" t="s">
        <v>4050</v>
      </c>
      <c r="F111" t="s">
        <v>4051</v>
      </c>
      <c r="G111">
        <v>0.5</v>
      </c>
      <c r="H111" s="2">
        <v>9037.33</v>
      </c>
      <c r="I111" s="2">
        <v>4518.66</v>
      </c>
    </row>
    <row r="112" spans="1:9" x14ac:dyDescent="0.25">
      <c r="A112" t="s">
        <v>149</v>
      </c>
      <c r="B112" t="s">
        <v>150</v>
      </c>
      <c r="C112" t="s">
        <v>21</v>
      </c>
      <c r="D112" t="s">
        <v>4052</v>
      </c>
      <c r="E112" t="s">
        <v>4053</v>
      </c>
      <c r="F112" t="s">
        <v>4054</v>
      </c>
      <c r="G112">
        <v>2</v>
      </c>
      <c r="H112" s="2">
        <v>4518.66</v>
      </c>
      <c r="I112" s="2">
        <v>90.37</v>
      </c>
    </row>
    <row r="113" spans="1:9" x14ac:dyDescent="0.25">
      <c r="A113" t="s">
        <v>152</v>
      </c>
      <c r="B113" t="s">
        <v>153</v>
      </c>
      <c r="C113" t="s">
        <v>21</v>
      </c>
      <c r="D113" t="s">
        <v>4049</v>
      </c>
      <c r="E113" t="s">
        <v>4050</v>
      </c>
      <c r="F113" t="s">
        <v>4051</v>
      </c>
      <c r="G113">
        <v>0.55</v>
      </c>
      <c r="H113" s="2">
        <v>9037.33</v>
      </c>
      <c r="I113" s="2">
        <v>4970.53</v>
      </c>
    </row>
    <row r="114" spans="1:9" x14ac:dyDescent="0.25">
      <c r="A114" t="s">
        <v>152</v>
      </c>
      <c r="B114" t="s">
        <v>153</v>
      </c>
      <c r="C114" t="s">
        <v>21</v>
      </c>
      <c r="D114" t="s">
        <v>4052</v>
      </c>
      <c r="E114" t="s">
        <v>4053</v>
      </c>
      <c r="F114" t="s">
        <v>4054</v>
      </c>
      <c r="G114">
        <v>2</v>
      </c>
      <c r="H114" s="2">
        <v>4970.53</v>
      </c>
      <c r="I114" s="2">
        <v>99.41</v>
      </c>
    </row>
    <row r="115" spans="1:9" x14ac:dyDescent="0.25">
      <c r="A115" t="s">
        <v>155</v>
      </c>
      <c r="B115" t="s">
        <v>156</v>
      </c>
      <c r="C115" t="s">
        <v>21</v>
      </c>
      <c r="D115" t="s">
        <v>4049</v>
      </c>
      <c r="E115" t="s">
        <v>4050</v>
      </c>
      <c r="F115" t="s">
        <v>4051</v>
      </c>
      <c r="G115">
        <v>0.25</v>
      </c>
      <c r="H115" s="2">
        <v>9037.33</v>
      </c>
      <c r="I115" s="2">
        <v>2259.33</v>
      </c>
    </row>
    <row r="116" spans="1:9" x14ac:dyDescent="0.25">
      <c r="A116" t="s">
        <v>155</v>
      </c>
      <c r="B116" t="s">
        <v>156</v>
      </c>
      <c r="C116" t="s">
        <v>21</v>
      </c>
      <c r="D116" t="s">
        <v>4052</v>
      </c>
      <c r="E116" t="s">
        <v>4053</v>
      </c>
      <c r="F116" t="s">
        <v>4054</v>
      </c>
      <c r="G116">
        <v>5</v>
      </c>
      <c r="H116" s="2">
        <v>2259.33</v>
      </c>
      <c r="I116" s="2">
        <v>112.97</v>
      </c>
    </row>
    <row r="117" spans="1:9" x14ac:dyDescent="0.25">
      <c r="A117" t="s">
        <v>157</v>
      </c>
      <c r="B117" t="s">
        <v>158</v>
      </c>
      <c r="C117" t="s">
        <v>21</v>
      </c>
      <c r="D117" t="s">
        <v>4049</v>
      </c>
      <c r="E117" t="s">
        <v>4050</v>
      </c>
      <c r="F117" t="s">
        <v>4051</v>
      </c>
      <c r="G117">
        <v>0.37</v>
      </c>
      <c r="H117" s="2">
        <v>9037.33</v>
      </c>
      <c r="I117" s="2">
        <v>3343.81</v>
      </c>
    </row>
    <row r="118" spans="1:9" x14ac:dyDescent="0.25">
      <c r="A118" t="s">
        <v>157</v>
      </c>
      <c r="B118" t="s">
        <v>158</v>
      </c>
      <c r="C118" t="s">
        <v>21</v>
      </c>
      <c r="D118" t="s">
        <v>4052</v>
      </c>
      <c r="E118" t="s">
        <v>4053</v>
      </c>
      <c r="F118" t="s">
        <v>4054</v>
      </c>
      <c r="G118">
        <v>3</v>
      </c>
      <c r="H118" s="2">
        <v>3343.81</v>
      </c>
      <c r="I118" s="2">
        <v>100.31</v>
      </c>
    </row>
    <row r="119" spans="1:9" x14ac:dyDescent="0.25">
      <c r="A119" t="s">
        <v>160</v>
      </c>
      <c r="B119" t="s">
        <v>161</v>
      </c>
      <c r="C119" t="s">
        <v>21</v>
      </c>
      <c r="D119" t="s">
        <v>4049</v>
      </c>
      <c r="E119" t="s">
        <v>4050</v>
      </c>
      <c r="F119" t="s">
        <v>4051</v>
      </c>
      <c r="G119">
        <v>1</v>
      </c>
      <c r="H119" s="2">
        <v>9037.33</v>
      </c>
      <c r="I119" s="2">
        <v>9037.33</v>
      </c>
    </row>
    <row r="120" spans="1:9" x14ac:dyDescent="0.25">
      <c r="A120" t="s">
        <v>160</v>
      </c>
      <c r="B120" t="s">
        <v>161</v>
      </c>
      <c r="C120" t="s">
        <v>21</v>
      </c>
      <c r="D120" t="s">
        <v>4049</v>
      </c>
      <c r="E120" t="s">
        <v>4073</v>
      </c>
      <c r="F120" t="s">
        <v>4051</v>
      </c>
      <c r="G120">
        <v>0.5</v>
      </c>
      <c r="H120" s="2">
        <v>15517.89</v>
      </c>
      <c r="I120" s="2">
        <v>7758.94</v>
      </c>
    </row>
    <row r="121" spans="1:9" x14ac:dyDescent="0.25">
      <c r="A121" t="s">
        <v>160</v>
      </c>
      <c r="B121" t="s">
        <v>161</v>
      </c>
      <c r="C121" t="s">
        <v>21</v>
      </c>
      <c r="D121" t="s">
        <v>4052</v>
      </c>
      <c r="E121" t="s">
        <v>4092</v>
      </c>
      <c r="F121" t="s">
        <v>287</v>
      </c>
      <c r="G121">
        <v>0.3</v>
      </c>
      <c r="H121" s="2">
        <v>97476</v>
      </c>
      <c r="I121" s="2">
        <v>29242.8</v>
      </c>
    </row>
    <row r="122" spans="1:9" x14ac:dyDescent="0.25">
      <c r="A122" t="s">
        <v>160</v>
      </c>
      <c r="B122" t="s">
        <v>161</v>
      </c>
      <c r="C122" t="s">
        <v>21</v>
      </c>
      <c r="D122" t="s">
        <v>4052</v>
      </c>
      <c r="E122" t="s">
        <v>4053</v>
      </c>
      <c r="F122" t="s">
        <v>4054</v>
      </c>
      <c r="G122">
        <v>5</v>
      </c>
      <c r="H122" s="2">
        <v>16796.27</v>
      </c>
      <c r="I122" s="2">
        <v>839.81</v>
      </c>
    </row>
    <row r="123" spans="1:9" x14ac:dyDescent="0.25">
      <c r="A123" t="s">
        <v>163</v>
      </c>
      <c r="B123" t="s">
        <v>164</v>
      </c>
      <c r="C123" t="s">
        <v>21</v>
      </c>
      <c r="D123" t="s">
        <v>4049</v>
      </c>
      <c r="E123" t="s">
        <v>4050</v>
      </c>
      <c r="F123" t="s">
        <v>4051</v>
      </c>
      <c r="G123">
        <v>0.8</v>
      </c>
      <c r="H123" s="2">
        <v>9037.33</v>
      </c>
      <c r="I123" s="2">
        <v>7229.86</v>
      </c>
    </row>
    <row r="124" spans="1:9" x14ac:dyDescent="0.25">
      <c r="A124" t="s">
        <v>163</v>
      </c>
      <c r="B124" t="s">
        <v>164</v>
      </c>
      <c r="C124" t="s">
        <v>21</v>
      </c>
      <c r="D124" t="s">
        <v>4049</v>
      </c>
      <c r="E124" t="s">
        <v>4073</v>
      </c>
      <c r="F124" t="s">
        <v>4051</v>
      </c>
      <c r="G124">
        <v>0.05</v>
      </c>
      <c r="H124" s="2">
        <v>15517.89</v>
      </c>
      <c r="I124" s="2">
        <v>775.89</v>
      </c>
    </row>
    <row r="125" spans="1:9" x14ac:dyDescent="0.25">
      <c r="A125" t="s">
        <v>163</v>
      </c>
      <c r="B125" t="s">
        <v>164</v>
      </c>
      <c r="C125" t="s">
        <v>21</v>
      </c>
      <c r="D125" t="s">
        <v>4052</v>
      </c>
      <c r="E125" t="s">
        <v>4092</v>
      </c>
      <c r="F125" t="s">
        <v>287</v>
      </c>
      <c r="G125">
        <v>0.19</v>
      </c>
      <c r="H125" s="2">
        <v>97476</v>
      </c>
      <c r="I125" s="2">
        <v>18520.44</v>
      </c>
    </row>
    <row r="126" spans="1:9" x14ac:dyDescent="0.25">
      <c r="A126" t="s">
        <v>163</v>
      </c>
      <c r="B126" t="s">
        <v>164</v>
      </c>
      <c r="C126" t="s">
        <v>21</v>
      </c>
      <c r="D126" t="s">
        <v>4052</v>
      </c>
      <c r="E126" t="s">
        <v>4053</v>
      </c>
      <c r="F126" t="s">
        <v>4054</v>
      </c>
      <c r="G126">
        <v>2</v>
      </c>
      <c r="H126" s="2">
        <v>8005.75</v>
      </c>
      <c r="I126" s="2">
        <v>160.12</v>
      </c>
    </row>
    <row r="127" spans="1:9" x14ac:dyDescent="0.25">
      <c r="A127" t="s">
        <v>166</v>
      </c>
      <c r="B127" t="s">
        <v>167</v>
      </c>
      <c r="C127" t="s">
        <v>21</v>
      </c>
      <c r="D127" t="s">
        <v>4049</v>
      </c>
      <c r="E127" t="s">
        <v>4050</v>
      </c>
      <c r="F127" t="s">
        <v>4051</v>
      </c>
      <c r="G127">
        <v>1</v>
      </c>
      <c r="H127" s="2">
        <v>9037.33</v>
      </c>
      <c r="I127" s="2">
        <v>9037.33</v>
      </c>
    </row>
    <row r="128" spans="1:9" x14ac:dyDescent="0.25">
      <c r="A128" t="s">
        <v>166</v>
      </c>
      <c r="B128" t="s">
        <v>167</v>
      </c>
      <c r="C128" t="s">
        <v>21</v>
      </c>
      <c r="D128" t="s">
        <v>4049</v>
      </c>
      <c r="E128" t="s">
        <v>4073</v>
      </c>
      <c r="F128" t="s">
        <v>4051</v>
      </c>
      <c r="G128">
        <v>0.05</v>
      </c>
      <c r="H128" s="2">
        <v>15517.89</v>
      </c>
      <c r="I128" s="2">
        <v>775.89</v>
      </c>
    </row>
    <row r="129" spans="1:9" x14ac:dyDescent="0.25">
      <c r="A129" t="s">
        <v>166</v>
      </c>
      <c r="B129" t="s">
        <v>167</v>
      </c>
      <c r="C129" t="s">
        <v>21</v>
      </c>
      <c r="D129" t="s">
        <v>4052</v>
      </c>
      <c r="E129" t="s">
        <v>4092</v>
      </c>
      <c r="F129" t="s">
        <v>287</v>
      </c>
      <c r="G129">
        <v>0.35</v>
      </c>
      <c r="H129" s="2">
        <v>97476</v>
      </c>
      <c r="I129" s="2">
        <v>34116.6</v>
      </c>
    </row>
    <row r="130" spans="1:9" x14ac:dyDescent="0.25">
      <c r="A130" t="s">
        <v>166</v>
      </c>
      <c r="B130" t="s">
        <v>167</v>
      </c>
      <c r="C130" t="s">
        <v>21</v>
      </c>
      <c r="D130" t="s">
        <v>4052</v>
      </c>
      <c r="E130" t="s">
        <v>4053</v>
      </c>
      <c r="F130" t="s">
        <v>4054</v>
      </c>
      <c r="G130">
        <v>2.2</v>
      </c>
      <c r="H130" s="2">
        <v>9813.22</v>
      </c>
      <c r="I130" s="2">
        <v>215.89</v>
      </c>
    </row>
    <row r="131" spans="1:9" x14ac:dyDescent="0.25">
      <c r="A131" t="s">
        <v>169</v>
      </c>
      <c r="B131" t="s">
        <v>170</v>
      </c>
      <c r="C131" t="s">
        <v>21</v>
      </c>
      <c r="D131" t="s">
        <v>4049</v>
      </c>
      <c r="E131" t="s">
        <v>4050</v>
      </c>
      <c r="F131" t="s">
        <v>4051</v>
      </c>
      <c r="G131">
        <v>0.4</v>
      </c>
      <c r="H131" s="2">
        <v>9037.33</v>
      </c>
      <c r="I131" s="2">
        <v>3614.93</v>
      </c>
    </row>
    <row r="132" spans="1:9" x14ac:dyDescent="0.25">
      <c r="A132" t="s">
        <v>169</v>
      </c>
      <c r="B132" t="s">
        <v>170</v>
      </c>
      <c r="C132" t="s">
        <v>21</v>
      </c>
      <c r="D132" t="s">
        <v>4049</v>
      </c>
      <c r="E132" t="s">
        <v>4073</v>
      </c>
      <c r="F132" t="s">
        <v>4051</v>
      </c>
      <c r="G132">
        <v>0.2</v>
      </c>
      <c r="H132" s="2">
        <v>15517.89</v>
      </c>
      <c r="I132" s="2">
        <v>3103.58</v>
      </c>
    </row>
    <row r="133" spans="1:9" x14ac:dyDescent="0.25">
      <c r="A133" t="s">
        <v>169</v>
      </c>
      <c r="B133" t="s">
        <v>170</v>
      </c>
      <c r="C133" t="s">
        <v>21</v>
      </c>
      <c r="D133" t="s">
        <v>4052</v>
      </c>
      <c r="E133" t="s">
        <v>4092</v>
      </c>
      <c r="F133" t="s">
        <v>287</v>
      </c>
      <c r="G133">
        <v>0.3</v>
      </c>
      <c r="H133" s="2">
        <v>97476</v>
      </c>
      <c r="I133" s="2">
        <v>29242.8</v>
      </c>
    </row>
    <row r="134" spans="1:9" x14ac:dyDescent="0.25">
      <c r="A134" t="s">
        <v>169</v>
      </c>
      <c r="B134" t="s">
        <v>170</v>
      </c>
      <c r="C134" t="s">
        <v>21</v>
      </c>
      <c r="D134" t="s">
        <v>4052</v>
      </c>
      <c r="E134" t="s">
        <v>4053</v>
      </c>
      <c r="F134" t="s">
        <v>4054</v>
      </c>
      <c r="G134">
        <v>5</v>
      </c>
      <c r="H134" s="2">
        <v>6718.51</v>
      </c>
      <c r="I134" s="2">
        <v>335.93</v>
      </c>
    </row>
    <row r="135" spans="1:9" x14ac:dyDescent="0.25">
      <c r="A135" t="s">
        <v>172</v>
      </c>
      <c r="B135" t="s">
        <v>173</v>
      </c>
      <c r="C135" t="s">
        <v>42</v>
      </c>
      <c r="D135" t="s">
        <v>4049</v>
      </c>
      <c r="E135" t="s">
        <v>4050</v>
      </c>
      <c r="F135" t="s">
        <v>4051</v>
      </c>
      <c r="G135">
        <v>0.3</v>
      </c>
      <c r="H135" s="2">
        <v>9037.33</v>
      </c>
      <c r="I135" s="2">
        <v>2711.2</v>
      </c>
    </row>
    <row r="136" spans="1:9" x14ac:dyDescent="0.25">
      <c r="A136" t="s">
        <v>172</v>
      </c>
      <c r="B136" t="s">
        <v>173</v>
      </c>
      <c r="C136" t="s">
        <v>42</v>
      </c>
      <c r="D136" t="s">
        <v>4049</v>
      </c>
      <c r="E136" t="s">
        <v>4073</v>
      </c>
      <c r="F136" t="s">
        <v>4051</v>
      </c>
      <c r="G136">
        <v>0.05</v>
      </c>
      <c r="H136" s="2">
        <v>15517.89</v>
      </c>
      <c r="I136" s="2">
        <v>775.89</v>
      </c>
    </row>
    <row r="137" spans="1:9" x14ac:dyDescent="0.25">
      <c r="A137" t="s">
        <v>172</v>
      </c>
      <c r="B137" t="s">
        <v>173</v>
      </c>
      <c r="C137" t="s">
        <v>42</v>
      </c>
      <c r="D137" t="s">
        <v>4052</v>
      </c>
      <c r="E137" t="s">
        <v>4092</v>
      </c>
      <c r="F137" t="s">
        <v>287</v>
      </c>
      <c r="G137">
        <v>0.02</v>
      </c>
      <c r="H137" s="2">
        <v>97476</v>
      </c>
      <c r="I137" s="2">
        <v>1949.52</v>
      </c>
    </row>
    <row r="138" spans="1:9" x14ac:dyDescent="0.25">
      <c r="A138" t="s">
        <v>172</v>
      </c>
      <c r="B138" t="s">
        <v>173</v>
      </c>
      <c r="C138" t="s">
        <v>42</v>
      </c>
      <c r="D138" t="s">
        <v>4052</v>
      </c>
      <c r="E138" t="s">
        <v>4053</v>
      </c>
      <c r="F138" t="s">
        <v>4054</v>
      </c>
      <c r="G138">
        <v>5</v>
      </c>
      <c r="H138" s="2">
        <v>3487.09</v>
      </c>
      <c r="I138" s="2">
        <v>174.35</v>
      </c>
    </row>
    <row r="139" spans="1:9" x14ac:dyDescent="0.25">
      <c r="A139" t="s">
        <v>175</v>
      </c>
      <c r="B139" t="s">
        <v>176</v>
      </c>
      <c r="C139" t="s">
        <v>42</v>
      </c>
      <c r="D139" t="s">
        <v>4049</v>
      </c>
      <c r="E139" t="s">
        <v>4050</v>
      </c>
      <c r="F139" t="s">
        <v>4051</v>
      </c>
      <c r="G139">
        <v>1.2</v>
      </c>
      <c r="H139" s="2">
        <v>9037.33</v>
      </c>
      <c r="I139" s="2">
        <v>10844.8</v>
      </c>
    </row>
    <row r="140" spans="1:9" x14ac:dyDescent="0.25">
      <c r="A140" t="s">
        <v>175</v>
      </c>
      <c r="B140" t="s">
        <v>176</v>
      </c>
      <c r="C140" t="s">
        <v>42</v>
      </c>
      <c r="D140" t="s">
        <v>4049</v>
      </c>
      <c r="E140" t="s">
        <v>4073</v>
      </c>
      <c r="F140" t="s">
        <v>4051</v>
      </c>
      <c r="G140">
        <v>0.2</v>
      </c>
      <c r="H140" s="2">
        <v>15517.89</v>
      </c>
      <c r="I140" s="2">
        <v>3103.58</v>
      </c>
    </row>
    <row r="141" spans="1:9" x14ac:dyDescent="0.25">
      <c r="A141" t="s">
        <v>175</v>
      </c>
      <c r="B141" t="s">
        <v>176</v>
      </c>
      <c r="C141" t="s">
        <v>42</v>
      </c>
      <c r="D141" t="s">
        <v>4052</v>
      </c>
      <c r="E141" t="s">
        <v>4092</v>
      </c>
      <c r="F141" t="s">
        <v>287</v>
      </c>
      <c r="G141">
        <v>0.02</v>
      </c>
      <c r="H141" s="2">
        <v>97476</v>
      </c>
      <c r="I141" s="2">
        <v>1462.14</v>
      </c>
    </row>
    <row r="142" spans="1:9" x14ac:dyDescent="0.25">
      <c r="A142" t="s">
        <v>175</v>
      </c>
      <c r="B142" t="s">
        <v>176</v>
      </c>
      <c r="C142" t="s">
        <v>42</v>
      </c>
      <c r="D142" t="s">
        <v>4052</v>
      </c>
      <c r="E142" t="s">
        <v>4053</v>
      </c>
      <c r="F142" t="s">
        <v>4054</v>
      </c>
      <c r="G142">
        <v>5</v>
      </c>
      <c r="H142" s="2">
        <v>13948.38</v>
      </c>
      <c r="I142" s="2">
        <v>697.42</v>
      </c>
    </row>
    <row r="143" spans="1:9" x14ac:dyDescent="0.25">
      <c r="A143" t="s">
        <v>178</v>
      </c>
      <c r="B143" t="s">
        <v>179</v>
      </c>
      <c r="C143" t="s">
        <v>42</v>
      </c>
      <c r="D143" t="s">
        <v>4049</v>
      </c>
      <c r="E143" t="s">
        <v>4050</v>
      </c>
      <c r="F143" t="s">
        <v>4051</v>
      </c>
      <c r="G143">
        <v>0.25</v>
      </c>
      <c r="H143" s="2">
        <v>9037.33</v>
      </c>
      <c r="I143" s="2">
        <v>2259.33</v>
      </c>
    </row>
    <row r="144" spans="1:9" x14ac:dyDescent="0.25">
      <c r="A144" t="s">
        <v>178</v>
      </c>
      <c r="B144" t="s">
        <v>179</v>
      </c>
      <c r="C144" t="s">
        <v>42</v>
      </c>
      <c r="D144" t="s">
        <v>4049</v>
      </c>
      <c r="E144" t="s">
        <v>4073</v>
      </c>
      <c r="F144" t="s">
        <v>4051</v>
      </c>
      <c r="G144">
        <v>0.1</v>
      </c>
      <c r="H144" s="2">
        <v>15517.89</v>
      </c>
      <c r="I144" s="2">
        <v>1551.79</v>
      </c>
    </row>
    <row r="145" spans="1:9" x14ac:dyDescent="0.25">
      <c r="A145" t="s">
        <v>178</v>
      </c>
      <c r="B145" t="s">
        <v>179</v>
      </c>
      <c r="C145" t="s">
        <v>42</v>
      </c>
      <c r="D145" t="s">
        <v>4052</v>
      </c>
      <c r="E145" t="s">
        <v>4092</v>
      </c>
      <c r="F145" t="s">
        <v>287</v>
      </c>
      <c r="G145">
        <v>0.02</v>
      </c>
      <c r="H145" s="2">
        <v>97476</v>
      </c>
      <c r="I145" s="2">
        <v>1949.52</v>
      </c>
    </row>
    <row r="146" spans="1:9" x14ac:dyDescent="0.25">
      <c r="A146" t="s">
        <v>178</v>
      </c>
      <c r="B146" t="s">
        <v>179</v>
      </c>
      <c r="C146" t="s">
        <v>42</v>
      </c>
      <c r="D146" t="s">
        <v>4052</v>
      </c>
      <c r="E146" t="s">
        <v>4053</v>
      </c>
      <c r="F146" t="s">
        <v>4054</v>
      </c>
      <c r="G146">
        <v>5</v>
      </c>
      <c r="H146" s="2">
        <v>3811.12</v>
      </c>
      <c r="I146" s="2">
        <v>190.56</v>
      </c>
    </row>
    <row r="147" spans="1:9" x14ac:dyDescent="0.25">
      <c r="A147" t="s">
        <v>181</v>
      </c>
      <c r="B147" t="s">
        <v>182</v>
      </c>
      <c r="C147" t="s">
        <v>42</v>
      </c>
      <c r="D147" t="s">
        <v>4049</v>
      </c>
      <c r="E147" t="s">
        <v>4050</v>
      </c>
      <c r="F147" t="s">
        <v>4051</v>
      </c>
      <c r="G147">
        <v>0.35</v>
      </c>
      <c r="H147" s="2">
        <v>9037.33</v>
      </c>
      <c r="I147" s="2">
        <v>3163.07</v>
      </c>
    </row>
    <row r="148" spans="1:9" x14ac:dyDescent="0.25">
      <c r="A148" t="s">
        <v>181</v>
      </c>
      <c r="B148" t="s">
        <v>182</v>
      </c>
      <c r="C148" t="s">
        <v>42</v>
      </c>
      <c r="D148" t="s">
        <v>4049</v>
      </c>
      <c r="E148" t="s">
        <v>4073</v>
      </c>
      <c r="F148" t="s">
        <v>4051</v>
      </c>
      <c r="G148">
        <v>0.1</v>
      </c>
      <c r="H148" s="2">
        <v>15517.89</v>
      </c>
      <c r="I148" s="2">
        <v>1551.79</v>
      </c>
    </row>
    <row r="149" spans="1:9" x14ac:dyDescent="0.25">
      <c r="A149" t="s">
        <v>181</v>
      </c>
      <c r="B149" t="s">
        <v>182</v>
      </c>
      <c r="C149" t="s">
        <v>42</v>
      </c>
      <c r="D149" t="s">
        <v>4052</v>
      </c>
      <c r="E149" t="s">
        <v>4092</v>
      </c>
      <c r="F149" t="s">
        <v>287</v>
      </c>
      <c r="G149">
        <v>0.04</v>
      </c>
      <c r="H149" s="2">
        <v>97476</v>
      </c>
      <c r="I149" s="2">
        <v>3899.04</v>
      </c>
    </row>
    <row r="150" spans="1:9" x14ac:dyDescent="0.25">
      <c r="A150" t="s">
        <v>181</v>
      </c>
      <c r="B150" t="s">
        <v>182</v>
      </c>
      <c r="C150" t="s">
        <v>42</v>
      </c>
      <c r="D150" t="s">
        <v>4052</v>
      </c>
      <c r="E150" t="s">
        <v>4053</v>
      </c>
      <c r="F150" t="s">
        <v>4054</v>
      </c>
      <c r="G150">
        <v>5</v>
      </c>
      <c r="H150" s="2">
        <v>4714.86</v>
      </c>
      <c r="I150" s="2">
        <v>235.74</v>
      </c>
    </row>
    <row r="151" spans="1:9" x14ac:dyDescent="0.25">
      <c r="A151" t="s">
        <v>184</v>
      </c>
      <c r="B151" t="s">
        <v>185</v>
      </c>
      <c r="C151" t="s">
        <v>21</v>
      </c>
      <c r="D151" t="s">
        <v>4062</v>
      </c>
      <c r="E151" t="s">
        <v>3544</v>
      </c>
      <c r="F151" t="s">
        <v>3545</v>
      </c>
      <c r="G151">
        <v>0.2</v>
      </c>
      <c r="H151" s="2">
        <v>1325</v>
      </c>
      <c r="I151" s="2">
        <v>265</v>
      </c>
    </row>
    <row r="152" spans="1:9" x14ac:dyDescent="0.25">
      <c r="A152" t="s">
        <v>184</v>
      </c>
      <c r="B152" t="s">
        <v>185</v>
      </c>
      <c r="C152" t="s">
        <v>21</v>
      </c>
      <c r="D152" t="s">
        <v>4062</v>
      </c>
      <c r="E152" t="s">
        <v>4170</v>
      </c>
      <c r="F152" t="s">
        <v>4171</v>
      </c>
      <c r="G152">
        <v>1</v>
      </c>
      <c r="H152" s="2">
        <v>2631.13</v>
      </c>
      <c r="I152" s="2">
        <v>2631.13</v>
      </c>
    </row>
    <row r="153" spans="1:9" x14ac:dyDescent="0.25">
      <c r="A153" t="s">
        <v>184</v>
      </c>
      <c r="B153" t="s">
        <v>185</v>
      </c>
      <c r="C153" t="s">
        <v>21</v>
      </c>
      <c r="D153" t="s">
        <v>4049</v>
      </c>
      <c r="E153" t="s">
        <v>4050</v>
      </c>
      <c r="F153" t="s">
        <v>4051</v>
      </c>
      <c r="G153">
        <v>0.2</v>
      </c>
      <c r="H153" s="2">
        <v>9037.33</v>
      </c>
      <c r="I153" s="2">
        <v>1807.47</v>
      </c>
    </row>
    <row r="154" spans="1:9" x14ac:dyDescent="0.25">
      <c r="A154" t="s">
        <v>184</v>
      </c>
      <c r="B154" t="s">
        <v>185</v>
      </c>
      <c r="C154" t="s">
        <v>21</v>
      </c>
      <c r="D154" t="s">
        <v>4049</v>
      </c>
      <c r="E154" t="s">
        <v>4073</v>
      </c>
      <c r="F154" t="s">
        <v>4051</v>
      </c>
      <c r="G154">
        <v>0.2</v>
      </c>
      <c r="H154" s="2">
        <v>15517.89</v>
      </c>
      <c r="I154" s="2">
        <v>3103.58</v>
      </c>
    </row>
    <row r="155" spans="1:9" x14ac:dyDescent="0.25">
      <c r="A155" t="s">
        <v>184</v>
      </c>
      <c r="B155" t="s">
        <v>185</v>
      </c>
      <c r="C155" t="s">
        <v>21</v>
      </c>
      <c r="D155" t="s">
        <v>4052</v>
      </c>
      <c r="E155" t="s">
        <v>4053</v>
      </c>
      <c r="F155" t="s">
        <v>4054</v>
      </c>
      <c r="G155">
        <v>5</v>
      </c>
      <c r="H155" s="2">
        <v>4911.05</v>
      </c>
      <c r="I155" s="2">
        <v>245.55</v>
      </c>
    </row>
    <row r="156" spans="1:9" x14ac:dyDescent="0.25">
      <c r="A156" t="s">
        <v>187</v>
      </c>
      <c r="B156" t="s">
        <v>188</v>
      </c>
      <c r="C156" t="s">
        <v>21</v>
      </c>
      <c r="D156" t="s">
        <v>4049</v>
      </c>
      <c r="E156" t="s">
        <v>4050</v>
      </c>
      <c r="F156" t="s">
        <v>4051</v>
      </c>
      <c r="G156">
        <v>0.38</v>
      </c>
      <c r="H156" s="2">
        <v>9037.33</v>
      </c>
      <c r="I156" s="2">
        <v>3434.19</v>
      </c>
    </row>
    <row r="157" spans="1:9" x14ac:dyDescent="0.25">
      <c r="A157" t="s">
        <v>187</v>
      </c>
      <c r="B157" t="s">
        <v>188</v>
      </c>
      <c r="C157" t="s">
        <v>21</v>
      </c>
      <c r="D157" t="s">
        <v>4052</v>
      </c>
      <c r="E157" t="s">
        <v>4053</v>
      </c>
      <c r="F157" t="s">
        <v>4054</v>
      </c>
      <c r="G157">
        <v>4.5</v>
      </c>
      <c r="H157" s="2">
        <v>3434.19</v>
      </c>
      <c r="I157" s="2">
        <v>154.54</v>
      </c>
    </row>
    <row r="158" spans="1:9" x14ac:dyDescent="0.25">
      <c r="A158" t="s">
        <v>190</v>
      </c>
      <c r="B158" t="s">
        <v>191</v>
      </c>
      <c r="C158" t="s">
        <v>42</v>
      </c>
      <c r="D158" t="s">
        <v>4049</v>
      </c>
      <c r="E158" t="s">
        <v>4176</v>
      </c>
      <c r="F158" t="s">
        <v>4177</v>
      </c>
      <c r="G158">
        <v>0.1</v>
      </c>
      <c r="H158" s="2">
        <v>72300.17</v>
      </c>
      <c r="I158" s="2">
        <v>7230.02</v>
      </c>
    </row>
    <row r="159" spans="1:9" x14ac:dyDescent="0.25">
      <c r="A159" t="s">
        <v>190</v>
      </c>
      <c r="B159" t="s">
        <v>191</v>
      </c>
      <c r="C159" t="s">
        <v>42</v>
      </c>
      <c r="D159" t="s">
        <v>4052</v>
      </c>
      <c r="E159" t="s">
        <v>4053</v>
      </c>
      <c r="F159" t="s">
        <v>4054</v>
      </c>
      <c r="G159">
        <v>5</v>
      </c>
      <c r="H159" s="2">
        <v>7230.02</v>
      </c>
      <c r="I159" s="2">
        <v>361.5</v>
      </c>
    </row>
    <row r="160" spans="1:9" x14ac:dyDescent="0.25">
      <c r="A160" t="s">
        <v>193</v>
      </c>
      <c r="B160" t="s">
        <v>194</v>
      </c>
      <c r="C160" t="s">
        <v>42</v>
      </c>
      <c r="D160" t="s">
        <v>4049</v>
      </c>
      <c r="E160" t="s">
        <v>4050</v>
      </c>
      <c r="F160" t="s">
        <v>4051</v>
      </c>
      <c r="G160">
        <v>0.1</v>
      </c>
      <c r="H160" s="2">
        <v>9037.33</v>
      </c>
      <c r="I160" s="2">
        <v>903.73</v>
      </c>
    </row>
    <row r="161" spans="1:9" x14ac:dyDescent="0.25">
      <c r="A161" t="s">
        <v>193</v>
      </c>
      <c r="B161" t="s">
        <v>194</v>
      </c>
      <c r="C161" t="s">
        <v>42</v>
      </c>
      <c r="D161" t="s">
        <v>4049</v>
      </c>
      <c r="E161" t="s">
        <v>4073</v>
      </c>
      <c r="F161" t="s">
        <v>4051</v>
      </c>
      <c r="G161">
        <v>0.1</v>
      </c>
      <c r="H161" s="2">
        <v>15517.89</v>
      </c>
      <c r="I161" s="2">
        <v>1551.79</v>
      </c>
    </row>
    <row r="162" spans="1:9" x14ac:dyDescent="0.25">
      <c r="A162" t="s">
        <v>193</v>
      </c>
      <c r="B162" t="s">
        <v>194</v>
      </c>
      <c r="C162" t="s">
        <v>42</v>
      </c>
      <c r="D162" t="s">
        <v>4052</v>
      </c>
      <c r="E162" t="s">
        <v>4105</v>
      </c>
      <c r="F162" t="s">
        <v>4106</v>
      </c>
      <c r="G162">
        <v>0.1</v>
      </c>
      <c r="H162" s="2">
        <v>25125</v>
      </c>
      <c r="I162" s="2">
        <v>2512.5</v>
      </c>
    </row>
    <row r="163" spans="1:9" x14ac:dyDescent="0.25">
      <c r="A163" t="s">
        <v>193</v>
      </c>
      <c r="B163" t="s">
        <v>194</v>
      </c>
      <c r="C163" t="s">
        <v>42</v>
      </c>
      <c r="D163" t="s">
        <v>4052</v>
      </c>
      <c r="E163" t="s">
        <v>4053</v>
      </c>
      <c r="F163" t="s">
        <v>4054</v>
      </c>
      <c r="G163">
        <v>2</v>
      </c>
      <c r="H163" s="2">
        <v>2455.52</v>
      </c>
      <c r="I163" s="2">
        <v>49.11</v>
      </c>
    </row>
    <row r="164" spans="1:9" x14ac:dyDescent="0.25">
      <c r="A164" t="s">
        <v>196</v>
      </c>
      <c r="B164" t="s">
        <v>197</v>
      </c>
      <c r="C164" t="s">
        <v>21</v>
      </c>
      <c r="D164" t="s">
        <v>4049</v>
      </c>
      <c r="E164" t="s">
        <v>4182</v>
      </c>
      <c r="F164" t="s">
        <v>4051</v>
      </c>
      <c r="G164">
        <v>0.2</v>
      </c>
      <c r="H164" s="2">
        <v>10845.1</v>
      </c>
      <c r="I164" s="2">
        <v>2169.02</v>
      </c>
    </row>
    <row r="165" spans="1:9" x14ac:dyDescent="0.25">
      <c r="A165" t="s">
        <v>196</v>
      </c>
      <c r="B165" t="s">
        <v>197</v>
      </c>
      <c r="C165" t="s">
        <v>21</v>
      </c>
      <c r="D165" t="s">
        <v>4049</v>
      </c>
      <c r="E165" t="s">
        <v>4183</v>
      </c>
      <c r="F165" t="s">
        <v>4051</v>
      </c>
      <c r="G165">
        <v>0.05</v>
      </c>
      <c r="H165" s="2">
        <v>18621.17</v>
      </c>
      <c r="I165" s="2">
        <v>931.06</v>
      </c>
    </row>
    <row r="166" spans="1:9" x14ac:dyDescent="0.25">
      <c r="A166" t="s">
        <v>196</v>
      </c>
      <c r="B166" t="s">
        <v>197</v>
      </c>
      <c r="C166" t="s">
        <v>21</v>
      </c>
      <c r="D166" t="s">
        <v>4052</v>
      </c>
      <c r="E166" t="s">
        <v>4105</v>
      </c>
      <c r="F166" t="s">
        <v>4106</v>
      </c>
      <c r="G166">
        <v>0.1</v>
      </c>
      <c r="H166" s="2">
        <v>25125</v>
      </c>
      <c r="I166" s="2">
        <v>2512.5</v>
      </c>
    </row>
    <row r="167" spans="1:9" x14ac:dyDescent="0.25">
      <c r="A167" t="s">
        <v>196</v>
      </c>
      <c r="B167" t="s">
        <v>197</v>
      </c>
      <c r="C167" t="s">
        <v>21</v>
      </c>
      <c r="D167" t="s">
        <v>4052</v>
      </c>
      <c r="E167" t="s">
        <v>4053</v>
      </c>
      <c r="F167" t="s">
        <v>4054</v>
      </c>
      <c r="G167">
        <v>2</v>
      </c>
      <c r="H167" s="2">
        <v>3100.08</v>
      </c>
      <c r="I167" s="2">
        <v>62</v>
      </c>
    </row>
    <row r="168" spans="1:9" x14ac:dyDescent="0.25">
      <c r="A168" t="s">
        <v>199</v>
      </c>
      <c r="B168" t="s">
        <v>200</v>
      </c>
      <c r="C168" t="s">
        <v>42</v>
      </c>
      <c r="D168" t="s">
        <v>4049</v>
      </c>
      <c r="E168" t="s">
        <v>4050</v>
      </c>
      <c r="F168" t="s">
        <v>4051</v>
      </c>
      <c r="G168">
        <v>0.25</v>
      </c>
      <c r="H168" s="2">
        <v>9037.33</v>
      </c>
      <c r="I168" s="2">
        <v>2259.33</v>
      </c>
    </row>
    <row r="169" spans="1:9" x14ac:dyDescent="0.25">
      <c r="A169" t="s">
        <v>199</v>
      </c>
      <c r="B169" t="s">
        <v>200</v>
      </c>
      <c r="C169" t="s">
        <v>42</v>
      </c>
      <c r="D169" t="s">
        <v>4052</v>
      </c>
      <c r="E169" t="s">
        <v>4105</v>
      </c>
      <c r="F169" t="s">
        <v>4106</v>
      </c>
      <c r="G169">
        <v>0.1</v>
      </c>
      <c r="H169" s="2">
        <v>25125</v>
      </c>
      <c r="I169" s="2">
        <v>2512.5</v>
      </c>
    </row>
    <row r="170" spans="1:9" x14ac:dyDescent="0.25">
      <c r="A170" t="s">
        <v>199</v>
      </c>
      <c r="B170" t="s">
        <v>200</v>
      </c>
      <c r="C170" t="s">
        <v>42</v>
      </c>
      <c r="D170" t="s">
        <v>4052</v>
      </c>
      <c r="E170" t="s">
        <v>4053</v>
      </c>
      <c r="F170" t="s">
        <v>4054</v>
      </c>
      <c r="G170">
        <v>2</v>
      </c>
      <c r="H170" s="2">
        <v>2259.33</v>
      </c>
      <c r="I170" s="2">
        <v>45.19</v>
      </c>
    </row>
    <row r="171" spans="1:9" x14ac:dyDescent="0.25">
      <c r="A171" t="s">
        <v>202</v>
      </c>
      <c r="B171" t="s">
        <v>203</v>
      </c>
      <c r="C171" t="s">
        <v>42</v>
      </c>
      <c r="D171" t="s">
        <v>4049</v>
      </c>
      <c r="E171" t="s">
        <v>4050</v>
      </c>
      <c r="F171" t="s">
        <v>4051</v>
      </c>
      <c r="G171">
        <v>0.35</v>
      </c>
      <c r="H171" s="2">
        <v>9037.33</v>
      </c>
      <c r="I171" s="2">
        <v>3163.07</v>
      </c>
    </row>
    <row r="172" spans="1:9" x14ac:dyDescent="0.25">
      <c r="A172" t="s">
        <v>202</v>
      </c>
      <c r="B172" t="s">
        <v>203</v>
      </c>
      <c r="C172" t="s">
        <v>42</v>
      </c>
      <c r="D172" t="s">
        <v>4052</v>
      </c>
      <c r="E172" t="s">
        <v>4105</v>
      </c>
      <c r="F172" t="s">
        <v>4106</v>
      </c>
      <c r="G172">
        <v>0.06</v>
      </c>
      <c r="H172" s="2">
        <v>25125</v>
      </c>
      <c r="I172" s="2">
        <v>1507.5</v>
      </c>
    </row>
    <row r="173" spans="1:9" x14ac:dyDescent="0.25">
      <c r="A173" t="s">
        <v>202</v>
      </c>
      <c r="B173" t="s">
        <v>203</v>
      </c>
      <c r="C173" t="s">
        <v>42</v>
      </c>
      <c r="D173" t="s">
        <v>4052</v>
      </c>
      <c r="E173" t="s">
        <v>4053</v>
      </c>
      <c r="F173" t="s">
        <v>4054</v>
      </c>
      <c r="G173">
        <v>2</v>
      </c>
      <c r="H173" s="2">
        <v>3163.07</v>
      </c>
      <c r="I173" s="2">
        <v>63.26</v>
      </c>
    </row>
    <row r="174" spans="1:9" x14ac:dyDescent="0.25">
      <c r="A174" t="s">
        <v>205</v>
      </c>
      <c r="B174" t="s">
        <v>206</v>
      </c>
      <c r="C174" t="s">
        <v>21</v>
      </c>
      <c r="D174" t="s">
        <v>4049</v>
      </c>
      <c r="E174" t="s">
        <v>4050</v>
      </c>
      <c r="F174" t="s">
        <v>4051</v>
      </c>
      <c r="G174">
        <v>1</v>
      </c>
      <c r="H174" s="2">
        <v>9037.33</v>
      </c>
      <c r="I174" s="2">
        <v>9037.33</v>
      </c>
    </row>
    <row r="175" spans="1:9" x14ac:dyDescent="0.25">
      <c r="A175" t="s">
        <v>205</v>
      </c>
      <c r="B175" t="s">
        <v>206</v>
      </c>
      <c r="C175" t="s">
        <v>21</v>
      </c>
      <c r="D175" t="s">
        <v>4049</v>
      </c>
      <c r="E175" t="s">
        <v>4073</v>
      </c>
      <c r="F175" t="s">
        <v>4051</v>
      </c>
      <c r="G175">
        <v>1</v>
      </c>
      <c r="H175" s="2">
        <v>15517.89</v>
      </c>
      <c r="I175" s="2">
        <v>15517.89</v>
      </c>
    </row>
    <row r="176" spans="1:9" x14ac:dyDescent="0.25">
      <c r="A176" t="s">
        <v>205</v>
      </c>
      <c r="B176" t="s">
        <v>206</v>
      </c>
      <c r="C176" t="s">
        <v>21</v>
      </c>
      <c r="D176" t="s">
        <v>4052</v>
      </c>
      <c r="E176" t="s">
        <v>4105</v>
      </c>
      <c r="F176" t="s">
        <v>4106</v>
      </c>
      <c r="G176">
        <v>0.1</v>
      </c>
      <c r="H176" s="2">
        <v>25125</v>
      </c>
      <c r="I176" s="2">
        <v>2512.5</v>
      </c>
    </row>
    <row r="177" spans="1:9" x14ac:dyDescent="0.25">
      <c r="A177" t="s">
        <v>205</v>
      </c>
      <c r="B177" t="s">
        <v>206</v>
      </c>
      <c r="C177" t="s">
        <v>21</v>
      </c>
      <c r="D177" t="s">
        <v>4052</v>
      </c>
      <c r="E177" t="s">
        <v>4053</v>
      </c>
      <c r="F177" t="s">
        <v>4054</v>
      </c>
      <c r="G177">
        <v>5</v>
      </c>
      <c r="H177" s="2">
        <v>24555.22</v>
      </c>
      <c r="I177" s="2">
        <v>1227.76</v>
      </c>
    </row>
    <row r="178" spans="1:9" x14ac:dyDescent="0.25">
      <c r="A178" t="s">
        <v>208</v>
      </c>
      <c r="B178" t="s">
        <v>209</v>
      </c>
      <c r="C178" t="s">
        <v>21</v>
      </c>
      <c r="D178" t="s">
        <v>4049</v>
      </c>
      <c r="E178" t="s">
        <v>4050</v>
      </c>
      <c r="F178" t="s">
        <v>4051</v>
      </c>
      <c r="G178">
        <v>0.3</v>
      </c>
      <c r="H178" s="2">
        <v>9037.33</v>
      </c>
      <c r="I178" s="2">
        <v>2711.2</v>
      </c>
    </row>
    <row r="179" spans="1:9" x14ac:dyDescent="0.25">
      <c r="A179" t="s">
        <v>208</v>
      </c>
      <c r="B179" t="s">
        <v>209</v>
      </c>
      <c r="C179" t="s">
        <v>21</v>
      </c>
      <c r="D179" t="s">
        <v>4049</v>
      </c>
      <c r="E179" t="s">
        <v>4073</v>
      </c>
      <c r="F179" t="s">
        <v>4051</v>
      </c>
      <c r="G179">
        <v>0.3</v>
      </c>
      <c r="H179" s="2">
        <v>15517.89</v>
      </c>
      <c r="I179" s="2">
        <v>4655.37</v>
      </c>
    </row>
    <row r="180" spans="1:9" x14ac:dyDescent="0.25">
      <c r="A180" t="s">
        <v>208</v>
      </c>
      <c r="B180" t="s">
        <v>209</v>
      </c>
      <c r="C180" t="s">
        <v>21</v>
      </c>
      <c r="D180" t="s">
        <v>4052</v>
      </c>
      <c r="E180" t="s">
        <v>4105</v>
      </c>
      <c r="F180" t="s">
        <v>4106</v>
      </c>
      <c r="G180">
        <v>0.08</v>
      </c>
      <c r="H180" s="2">
        <v>25125</v>
      </c>
      <c r="I180" s="2">
        <v>2010</v>
      </c>
    </row>
    <row r="181" spans="1:9" x14ac:dyDescent="0.25">
      <c r="A181" t="s">
        <v>208</v>
      </c>
      <c r="B181" t="s">
        <v>209</v>
      </c>
      <c r="C181" t="s">
        <v>21</v>
      </c>
      <c r="D181" t="s">
        <v>4052</v>
      </c>
      <c r="E181" t="s">
        <v>4053</v>
      </c>
      <c r="F181" t="s">
        <v>4054</v>
      </c>
      <c r="G181">
        <v>2</v>
      </c>
      <c r="H181" s="2">
        <v>7366.57</v>
      </c>
      <c r="I181" s="2">
        <v>147.33</v>
      </c>
    </row>
    <row r="182" spans="1:9" x14ac:dyDescent="0.25">
      <c r="A182" t="s">
        <v>211</v>
      </c>
      <c r="B182" t="s">
        <v>212</v>
      </c>
      <c r="C182" t="s">
        <v>21</v>
      </c>
      <c r="D182" t="s">
        <v>4049</v>
      </c>
      <c r="E182" t="s">
        <v>4050</v>
      </c>
      <c r="F182" t="s">
        <v>4051</v>
      </c>
      <c r="G182">
        <v>0.3</v>
      </c>
      <c r="H182" s="2">
        <v>9037.33</v>
      </c>
      <c r="I182" s="2">
        <v>2711.2</v>
      </c>
    </row>
    <row r="183" spans="1:9" x14ac:dyDescent="0.25">
      <c r="A183" t="s">
        <v>211</v>
      </c>
      <c r="B183" t="s">
        <v>212</v>
      </c>
      <c r="C183" t="s">
        <v>21</v>
      </c>
      <c r="D183" t="s">
        <v>4049</v>
      </c>
      <c r="E183" t="s">
        <v>4073</v>
      </c>
      <c r="F183" t="s">
        <v>4051</v>
      </c>
      <c r="G183">
        <v>0.15</v>
      </c>
      <c r="H183" s="2">
        <v>15517.89</v>
      </c>
      <c r="I183" s="2">
        <v>2327.68</v>
      </c>
    </row>
    <row r="184" spans="1:9" x14ac:dyDescent="0.25">
      <c r="A184" t="s">
        <v>211</v>
      </c>
      <c r="B184" t="s">
        <v>212</v>
      </c>
      <c r="C184" t="s">
        <v>21</v>
      </c>
      <c r="D184" t="s">
        <v>4052</v>
      </c>
      <c r="E184" t="s">
        <v>4105</v>
      </c>
      <c r="F184" t="s">
        <v>4106</v>
      </c>
      <c r="G184">
        <v>0.08</v>
      </c>
      <c r="H184" s="2">
        <v>25125</v>
      </c>
      <c r="I184" s="2">
        <v>2010</v>
      </c>
    </row>
    <row r="185" spans="1:9" x14ac:dyDescent="0.25">
      <c r="A185" t="s">
        <v>211</v>
      </c>
      <c r="B185" t="s">
        <v>212</v>
      </c>
      <c r="C185" t="s">
        <v>21</v>
      </c>
      <c r="D185" t="s">
        <v>4052</v>
      </c>
      <c r="E185" t="s">
        <v>4053</v>
      </c>
      <c r="F185" t="s">
        <v>4054</v>
      </c>
      <c r="G185">
        <v>2</v>
      </c>
      <c r="H185" s="2">
        <v>5038.88</v>
      </c>
      <c r="I185" s="2">
        <v>100.78</v>
      </c>
    </row>
    <row r="186" spans="1:9" x14ac:dyDescent="0.25">
      <c r="A186" t="s">
        <v>214</v>
      </c>
      <c r="B186" t="s">
        <v>215</v>
      </c>
      <c r="C186" t="s">
        <v>21</v>
      </c>
      <c r="D186" t="s">
        <v>4049</v>
      </c>
      <c r="E186" t="s">
        <v>4182</v>
      </c>
      <c r="F186" t="s">
        <v>4051</v>
      </c>
      <c r="G186">
        <v>0.5</v>
      </c>
      <c r="H186" s="2">
        <v>10845.1</v>
      </c>
      <c r="I186" s="2">
        <v>5422.55</v>
      </c>
    </row>
    <row r="187" spans="1:9" x14ac:dyDescent="0.25">
      <c r="A187" t="s">
        <v>214</v>
      </c>
      <c r="B187" t="s">
        <v>215</v>
      </c>
      <c r="C187" t="s">
        <v>21</v>
      </c>
      <c r="D187" t="s">
        <v>4049</v>
      </c>
      <c r="E187" t="s">
        <v>4183</v>
      </c>
      <c r="F187" t="s">
        <v>4051</v>
      </c>
      <c r="G187">
        <v>0.3</v>
      </c>
      <c r="H187" s="2">
        <v>18621.17</v>
      </c>
      <c r="I187" s="2">
        <v>5586.35</v>
      </c>
    </row>
    <row r="188" spans="1:9" x14ac:dyDescent="0.25">
      <c r="A188" t="s">
        <v>214</v>
      </c>
      <c r="B188" t="s">
        <v>215</v>
      </c>
      <c r="C188" t="s">
        <v>21</v>
      </c>
      <c r="D188" t="s">
        <v>4052</v>
      </c>
      <c r="E188" t="s">
        <v>4105</v>
      </c>
      <c r="F188" t="s">
        <v>4106</v>
      </c>
      <c r="G188">
        <v>0.1</v>
      </c>
      <c r="H188" s="2">
        <v>25125</v>
      </c>
      <c r="I188" s="2">
        <v>2512.5</v>
      </c>
    </row>
    <row r="189" spans="1:9" x14ac:dyDescent="0.25">
      <c r="A189" t="s">
        <v>214</v>
      </c>
      <c r="B189" t="s">
        <v>215</v>
      </c>
      <c r="C189" t="s">
        <v>21</v>
      </c>
      <c r="D189" t="s">
        <v>4052</v>
      </c>
      <c r="E189" t="s">
        <v>4053</v>
      </c>
      <c r="F189" t="s">
        <v>4054</v>
      </c>
      <c r="G189">
        <v>2</v>
      </c>
      <c r="H189" s="2">
        <v>11008.9</v>
      </c>
      <c r="I189" s="2">
        <v>220.18</v>
      </c>
    </row>
    <row r="190" spans="1:9" x14ac:dyDescent="0.25">
      <c r="A190" t="s">
        <v>217</v>
      </c>
      <c r="B190" t="s">
        <v>218</v>
      </c>
      <c r="C190" t="s">
        <v>21</v>
      </c>
      <c r="D190" t="s">
        <v>4049</v>
      </c>
      <c r="E190" t="s">
        <v>4050</v>
      </c>
      <c r="F190" t="s">
        <v>4051</v>
      </c>
      <c r="G190">
        <v>0.48</v>
      </c>
      <c r="H190" s="2">
        <v>9037.33</v>
      </c>
      <c r="I190" s="2">
        <v>4337.92</v>
      </c>
    </row>
    <row r="191" spans="1:9" x14ac:dyDescent="0.25">
      <c r="A191" t="s">
        <v>217</v>
      </c>
      <c r="B191" t="s">
        <v>218</v>
      </c>
      <c r="C191" t="s">
        <v>21</v>
      </c>
      <c r="D191" t="s">
        <v>4052</v>
      </c>
      <c r="E191" t="s">
        <v>4053</v>
      </c>
      <c r="F191" t="s">
        <v>4054</v>
      </c>
      <c r="G191">
        <v>6</v>
      </c>
      <c r="H191" s="2">
        <v>4337.92</v>
      </c>
      <c r="I191" s="2">
        <v>260.28</v>
      </c>
    </row>
    <row r="192" spans="1:9" x14ac:dyDescent="0.25">
      <c r="A192" t="s">
        <v>220</v>
      </c>
      <c r="B192" t="s">
        <v>221</v>
      </c>
      <c r="C192" t="s">
        <v>21</v>
      </c>
      <c r="D192" t="s">
        <v>4049</v>
      </c>
      <c r="E192" t="s">
        <v>4050</v>
      </c>
      <c r="F192" t="s">
        <v>4051</v>
      </c>
      <c r="G192">
        <v>0.2</v>
      </c>
      <c r="H192" s="2">
        <v>9037.33</v>
      </c>
      <c r="I192" s="2">
        <v>1807.47</v>
      </c>
    </row>
    <row r="193" spans="1:9" x14ac:dyDescent="0.25">
      <c r="A193" t="s">
        <v>220</v>
      </c>
      <c r="B193" t="s">
        <v>221</v>
      </c>
      <c r="C193" t="s">
        <v>21</v>
      </c>
      <c r="D193" t="s">
        <v>4049</v>
      </c>
      <c r="E193" t="s">
        <v>4073</v>
      </c>
      <c r="F193" t="s">
        <v>4051</v>
      </c>
      <c r="G193">
        <v>0.1</v>
      </c>
      <c r="H193" s="2">
        <v>15517.89</v>
      </c>
      <c r="I193" s="2">
        <v>1551.79</v>
      </c>
    </row>
    <row r="194" spans="1:9" x14ac:dyDescent="0.25">
      <c r="A194" t="s">
        <v>220</v>
      </c>
      <c r="B194" t="s">
        <v>221</v>
      </c>
      <c r="C194" t="s">
        <v>21</v>
      </c>
      <c r="D194" t="s">
        <v>4052</v>
      </c>
      <c r="E194" t="s">
        <v>4105</v>
      </c>
      <c r="F194" t="s">
        <v>4106</v>
      </c>
      <c r="G194">
        <v>0.1</v>
      </c>
      <c r="H194" s="2">
        <v>25125</v>
      </c>
      <c r="I194" s="2">
        <v>2512.5</v>
      </c>
    </row>
    <row r="195" spans="1:9" x14ac:dyDescent="0.25">
      <c r="A195" t="s">
        <v>220</v>
      </c>
      <c r="B195" t="s">
        <v>221</v>
      </c>
      <c r="C195" t="s">
        <v>21</v>
      </c>
      <c r="D195" t="s">
        <v>4052</v>
      </c>
      <c r="E195" t="s">
        <v>4053</v>
      </c>
      <c r="F195" t="s">
        <v>4054</v>
      </c>
      <c r="G195">
        <v>2</v>
      </c>
      <c r="H195" s="2">
        <v>3359.26</v>
      </c>
      <c r="I195" s="2">
        <v>67.19</v>
      </c>
    </row>
    <row r="196" spans="1:9" x14ac:dyDescent="0.25">
      <c r="A196" t="s">
        <v>223</v>
      </c>
      <c r="B196" t="s">
        <v>224</v>
      </c>
      <c r="C196" t="s">
        <v>21</v>
      </c>
      <c r="D196" t="s">
        <v>4049</v>
      </c>
      <c r="E196" t="s">
        <v>4050</v>
      </c>
      <c r="F196" t="s">
        <v>4051</v>
      </c>
      <c r="G196">
        <v>0.35</v>
      </c>
      <c r="H196" s="2">
        <v>9037.33</v>
      </c>
      <c r="I196" s="2">
        <v>3163.07</v>
      </c>
    </row>
    <row r="197" spans="1:9" x14ac:dyDescent="0.25">
      <c r="A197" t="s">
        <v>223</v>
      </c>
      <c r="B197" t="s">
        <v>224</v>
      </c>
      <c r="C197" t="s">
        <v>21</v>
      </c>
      <c r="D197" t="s">
        <v>4049</v>
      </c>
      <c r="E197" t="s">
        <v>4073</v>
      </c>
      <c r="F197" t="s">
        <v>4051</v>
      </c>
      <c r="G197">
        <v>0.15</v>
      </c>
      <c r="H197" s="2">
        <v>15517.89</v>
      </c>
      <c r="I197" s="2">
        <v>2327.68</v>
      </c>
    </row>
    <row r="198" spans="1:9" x14ac:dyDescent="0.25">
      <c r="A198" t="s">
        <v>223</v>
      </c>
      <c r="B198" t="s">
        <v>224</v>
      </c>
      <c r="C198" t="s">
        <v>21</v>
      </c>
      <c r="D198" t="s">
        <v>4052</v>
      </c>
      <c r="E198" t="s">
        <v>4105</v>
      </c>
      <c r="F198" t="s">
        <v>4106</v>
      </c>
      <c r="G198">
        <v>0.1</v>
      </c>
      <c r="H198" s="2">
        <v>25125</v>
      </c>
      <c r="I198" s="2">
        <v>2512.5</v>
      </c>
    </row>
    <row r="199" spans="1:9" x14ac:dyDescent="0.25">
      <c r="A199" t="s">
        <v>223</v>
      </c>
      <c r="B199" t="s">
        <v>224</v>
      </c>
      <c r="C199" t="s">
        <v>21</v>
      </c>
      <c r="D199" t="s">
        <v>4052</v>
      </c>
      <c r="E199" t="s">
        <v>4053</v>
      </c>
      <c r="F199" t="s">
        <v>4054</v>
      </c>
      <c r="G199">
        <v>2</v>
      </c>
      <c r="H199" s="2">
        <v>5490.75</v>
      </c>
      <c r="I199" s="2">
        <v>109.81</v>
      </c>
    </row>
    <row r="200" spans="1:9" x14ac:dyDescent="0.25">
      <c r="A200" t="s">
        <v>226</v>
      </c>
      <c r="B200" t="s">
        <v>227</v>
      </c>
      <c r="C200" t="s">
        <v>21</v>
      </c>
      <c r="D200" t="s">
        <v>4049</v>
      </c>
      <c r="E200" t="s">
        <v>4050</v>
      </c>
      <c r="F200" t="s">
        <v>4051</v>
      </c>
      <c r="G200">
        <v>0.4</v>
      </c>
      <c r="H200" s="2">
        <v>9037.33</v>
      </c>
      <c r="I200" s="2">
        <v>3614.93</v>
      </c>
    </row>
    <row r="201" spans="1:9" x14ac:dyDescent="0.25">
      <c r="A201" t="s">
        <v>226</v>
      </c>
      <c r="B201" t="s">
        <v>227</v>
      </c>
      <c r="C201" t="s">
        <v>21</v>
      </c>
      <c r="D201" t="s">
        <v>4049</v>
      </c>
      <c r="E201" t="s">
        <v>4073</v>
      </c>
      <c r="F201" t="s">
        <v>4051</v>
      </c>
      <c r="G201">
        <v>0.2</v>
      </c>
      <c r="H201" s="2">
        <v>15517.89</v>
      </c>
      <c r="I201" s="2">
        <v>3103.58</v>
      </c>
    </row>
    <row r="202" spans="1:9" x14ac:dyDescent="0.25">
      <c r="A202" t="s">
        <v>226</v>
      </c>
      <c r="B202" t="s">
        <v>227</v>
      </c>
      <c r="C202" t="s">
        <v>21</v>
      </c>
      <c r="D202" t="s">
        <v>4052</v>
      </c>
      <c r="E202" t="s">
        <v>4105</v>
      </c>
      <c r="F202" t="s">
        <v>4106</v>
      </c>
      <c r="G202">
        <v>0.25</v>
      </c>
      <c r="H202" s="2">
        <v>25125</v>
      </c>
      <c r="I202" s="2">
        <v>6281.25</v>
      </c>
    </row>
    <row r="203" spans="1:9" x14ac:dyDescent="0.25">
      <c r="A203" t="s">
        <v>226</v>
      </c>
      <c r="B203" t="s">
        <v>227</v>
      </c>
      <c r="C203" t="s">
        <v>21</v>
      </c>
      <c r="D203" t="s">
        <v>4052</v>
      </c>
      <c r="E203" t="s">
        <v>4053</v>
      </c>
      <c r="F203" t="s">
        <v>4054</v>
      </c>
      <c r="G203">
        <v>2</v>
      </c>
      <c r="H203" s="2">
        <v>6718.51</v>
      </c>
      <c r="I203" s="2">
        <v>134.37</v>
      </c>
    </row>
    <row r="204" spans="1:9" x14ac:dyDescent="0.25">
      <c r="A204" t="s">
        <v>229</v>
      </c>
      <c r="B204" t="s">
        <v>230</v>
      </c>
      <c r="C204" t="s">
        <v>231</v>
      </c>
      <c r="D204" t="s">
        <v>4049</v>
      </c>
      <c r="E204" t="s">
        <v>4050</v>
      </c>
      <c r="F204" t="s">
        <v>4051</v>
      </c>
      <c r="G204">
        <v>0.1</v>
      </c>
      <c r="H204" s="2">
        <v>9037.33</v>
      </c>
      <c r="I204" s="2">
        <v>903.73</v>
      </c>
    </row>
    <row r="205" spans="1:9" x14ac:dyDescent="0.25">
      <c r="A205" t="s">
        <v>229</v>
      </c>
      <c r="B205" t="s">
        <v>230</v>
      </c>
      <c r="C205" t="s">
        <v>231</v>
      </c>
      <c r="D205" t="s">
        <v>4049</v>
      </c>
      <c r="E205" t="s">
        <v>4182</v>
      </c>
      <c r="F205" t="s">
        <v>4051</v>
      </c>
      <c r="G205">
        <v>0</v>
      </c>
      <c r="H205" s="2">
        <v>10845.1</v>
      </c>
      <c r="I205" s="2">
        <v>43.38</v>
      </c>
    </row>
    <row r="206" spans="1:9" x14ac:dyDescent="0.25">
      <c r="A206" t="s">
        <v>229</v>
      </c>
      <c r="B206" t="s">
        <v>230</v>
      </c>
      <c r="C206" t="s">
        <v>231</v>
      </c>
      <c r="D206" t="s">
        <v>4049</v>
      </c>
      <c r="E206" t="s">
        <v>4183</v>
      </c>
      <c r="F206" t="s">
        <v>4051</v>
      </c>
      <c r="G206">
        <v>0</v>
      </c>
      <c r="H206" s="2">
        <v>18621.17</v>
      </c>
      <c r="I206" s="2">
        <v>74.48</v>
      </c>
    </row>
    <row r="207" spans="1:9" x14ac:dyDescent="0.25">
      <c r="A207" t="s">
        <v>229</v>
      </c>
      <c r="B207" t="s">
        <v>230</v>
      </c>
      <c r="C207" t="s">
        <v>231</v>
      </c>
      <c r="D207" t="s">
        <v>4052</v>
      </c>
      <c r="E207" t="s">
        <v>4206</v>
      </c>
      <c r="F207" t="s">
        <v>4106</v>
      </c>
      <c r="G207">
        <v>0.01</v>
      </c>
      <c r="H207" s="2">
        <v>34243</v>
      </c>
      <c r="I207" s="2">
        <v>342.43</v>
      </c>
    </row>
    <row r="208" spans="1:9" x14ac:dyDescent="0.25">
      <c r="A208" t="s">
        <v>229</v>
      </c>
      <c r="B208" t="s">
        <v>230</v>
      </c>
      <c r="C208" t="s">
        <v>231</v>
      </c>
      <c r="D208" t="s">
        <v>4052</v>
      </c>
      <c r="E208" t="s">
        <v>4105</v>
      </c>
      <c r="F208" t="s">
        <v>4106</v>
      </c>
      <c r="G208">
        <v>0.08</v>
      </c>
      <c r="H208" s="2">
        <v>25125</v>
      </c>
      <c r="I208" s="2">
        <v>2010</v>
      </c>
    </row>
    <row r="209" spans="1:9" x14ac:dyDescent="0.25">
      <c r="A209" t="s">
        <v>229</v>
      </c>
      <c r="B209" t="s">
        <v>230</v>
      </c>
      <c r="C209" t="s">
        <v>231</v>
      </c>
      <c r="D209" t="s">
        <v>4052</v>
      </c>
      <c r="E209" t="s">
        <v>4053</v>
      </c>
      <c r="F209" t="s">
        <v>4054</v>
      </c>
      <c r="G209">
        <v>2</v>
      </c>
      <c r="H209" s="2">
        <v>1021.59</v>
      </c>
      <c r="I209" s="2">
        <v>20.43</v>
      </c>
    </row>
    <row r="210" spans="1:9" x14ac:dyDescent="0.25">
      <c r="A210" t="s">
        <v>234</v>
      </c>
      <c r="B210" t="s">
        <v>235</v>
      </c>
      <c r="C210" t="s">
        <v>42</v>
      </c>
      <c r="D210" t="s">
        <v>4049</v>
      </c>
      <c r="E210" t="s">
        <v>4050</v>
      </c>
      <c r="F210" t="s">
        <v>4051</v>
      </c>
      <c r="G210">
        <v>0.4</v>
      </c>
      <c r="H210" s="2">
        <v>9037.33</v>
      </c>
      <c r="I210" s="2">
        <v>3614.93</v>
      </c>
    </row>
    <row r="211" spans="1:9" x14ac:dyDescent="0.25">
      <c r="A211" t="s">
        <v>234</v>
      </c>
      <c r="B211" t="s">
        <v>235</v>
      </c>
      <c r="C211" t="s">
        <v>42</v>
      </c>
      <c r="D211" t="s">
        <v>4052</v>
      </c>
      <c r="E211" t="s">
        <v>4053</v>
      </c>
      <c r="F211" t="s">
        <v>4054</v>
      </c>
      <c r="G211">
        <v>2</v>
      </c>
      <c r="H211" s="2">
        <v>3614.93</v>
      </c>
      <c r="I211" s="2">
        <v>72.3</v>
      </c>
    </row>
    <row r="212" spans="1:9" x14ac:dyDescent="0.25">
      <c r="A212" t="s">
        <v>237</v>
      </c>
      <c r="B212" t="s">
        <v>238</v>
      </c>
      <c r="C212" t="s">
        <v>21</v>
      </c>
      <c r="D212" t="s">
        <v>4049</v>
      </c>
      <c r="E212" t="s">
        <v>4050</v>
      </c>
      <c r="F212" t="s">
        <v>4051</v>
      </c>
      <c r="G212">
        <v>0.4</v>
      </c>
      <c r="H212" s="2">
        <v>9037.33</v>
      </c>
      <c r="I212" s="2">
        <v>3614.93</v>
      </c>
    </row>
    <row r="213" spans="1:9" x14ac:dyDescent="0.25">
      <c r="A213" t="s">
        <v>237</v>
      </c>
      <c r="B213" t="s">
        <v>238</v>
      </c>
      <c r="C213" t="s">
        <v>21</v>
      </c>
      <c r="D213" t="s">
        <v>4049</v>
      </c>
      <c r="E213" t="s">
        <v>4073</v>
      </c>
      <c r="F213" t="s">
        <v>4051</v>
      </c>
      <c r="G213">
        <v>0.4</v>
      </c>
      <c r="H213" s="2">
        <v>15517.89</v>
      </c>
      <c r="I213" s="2">
        <v>6207.16</v>
      </c>
    </row>
    <row r="214" spans="1:9" x14ac:dyDescent="0.25">
      <c r="A214" t="s">
        <v>237</v>
      </c>
      <c r="B214" t="s">
        <v>238</v>
      </c>
      <c r="C214" t="s">
        <v>21</v>
      </c>
      <c r="D214" t="s">
        <v>4052</v>
      </c>
      <c r="E214" t="s">
        <v>4053</v>
      </c>
      <c r="F214" t="s">
        <v>4054</v>
      </c>
      <c r="G214">
        <v>5</v>
      </c>
      <c r="H214" s="2">
        <v>9822.09</v>
      </c>
      <c r="I214" s="2">
        <v>491.1</v>
      </c>
    </row>
    <row r="215" spans="1:9" x14ac:dyDescent="0.25">
      <c r="A215" t="s">
        <v>239</v>
      </c>
      <c r="B215" t="s">
        <v>240</v>
      </c>
      <c r="C215" t="s">
        <v>21</v>
      </c>
      <c r="D215" t="s">
        <v>4049</v>
      </c>
      <c r="E215" t="s">
        <v>4050</v>
      </c>
      <c r="F215" t="s">
        <v>4051</v>
      </c>
      <c r="G215">
        <v>1.15</v>
      </c>
      <c r="H215" s="2">
        <v>9037.33</v>
      </c>
      <c r="I215" s="2">
        <v>10392.93</v>
      </c>
    </row>
    <row r="216" spans="1:9" x14ac:dyDescent="0.25">
      <c r="A216" t="s">
        <v>239</v>
      </c>
      <c r="B216" t="s">
        <v>240</v>
      </c>
      <c r="C216" t="s">
        <v>21</v>
      </c>
      <c r="D216" t="s">
        <v>4052</v>
      </c>
      <c r="E216" t="s">
        <v>4053</v>
      </c>
      <c r="F216" t="s">
        <v>4054</v>
      </c>
      <c r="G216">
        <v>5</v>
      </c>
      <c r="H216" s="2">
        <v>10392.93</v>
      </c>
      <c r="I216" s="2">
        <v>519.65</v>
      </c>
    </row>
    <row r="217" spans="1:9" x14ac:dyDescent="0.25">
      <c r="A217" t="s">
        <v>242</v>
      </c>
      <c r="B217" t="s">
        <v>243</v>
      </c>
      <c r="C217" t="s">
        <v>21</v>
      </c>
      <c r="D217" t="s">
        <v>4049</v>
      </c>
      <c r="E217" t="s">
        <v>4050</v>
      </c>
      <c r="F217" t="s">
        <v>4051</v>
      </c>
      <c r="G217">
        <v>0.25</v>
      </c>
      <c r="H217" s="2">
        <v>9037.33</v>
      </c>
      <c r="I217" s="2">
        <v>2259.33</v>
      </c>
    </row>
    <row r="218" spans="1:9" x14ac:dyDescent="0.25">
      <c r="A218" t="s">
        <v>242</v>
      </c>
      <c r="B218" t="s">
        <v>243</v>
      </c>
      <c r="C218" t="s">
        <v>21</v>
      </c>
      <c r="D218" t="s">
        <v>4052</v>
      </c>
      <c r="E218" t="s">
        <v>4053</v>
      </c>
      <c r="F218" t="s">
        <v>4054</v>
      </c>
      <c r="G218">
        <v>2</v>
      </c>
      <c r="H218" s="2">
        <v>2259.33</v>
      </c>
      <c r="I218" s="2">
        <v>45.19</v>
      </c>
    </row>
    <row r="219" spans="1:9" x14ac:dyDescent="0.25">
      <c r="A219" t="s">
        <v>245</v>
      </c>
      <c r="B219" t="s">
        <v>246</v>
      </c>
      <c r="C219" t="s">
        <v>247</v>
      </c>
      <c r="D219" t="s">
        <v>4062</v>
      </c>
      <c r="E219" t="s">
        <v>4216</v>
      </c>
      <c r="F219" t="s">
        <v>247</v>
      </c>
      <c r="G219">
        <v>1</v>
      </c>
      <c r="H219" s="2">
        <v>92000</v>
      </c>
      <c r="I219" s="2">
        <v>92000</v>
      </c>
    </row>
    <row r="220" spans="1:9" x14ac:dyDescent="0.25">
      <c r="A220" t="s">
        <v>254</v>
      </c>
      <c r="B220" t="s">
        <v>255</v>
      </c>
      <c r="C220" t="s">
        <v>247</v>
      </c>
      <c r="D220" t="s">
        <v>4062</v>
      </c>
      <c r="E220" t="s">
        <v>4219</v>
      </c>
      <c r="F220" t="s">
        <v>247</v>
      </c>
      <c r="G220">
        <v>1</v>
      </c>
      <c r="H220" s="2">
        <v>103500</v>
      </c>
      <c r="I220" s="2">
        <v>103500</v>
      </c>
    </row>
    <row r="221" spans="1:9" x14ac:dyDescent="0.25">
      <c r="A221" t="s">
        <v>260</v>
      </c>
      <c r="B221" t="s">
        <v>261</v>
      </c>
      <c r="C221" t="s">
        <v>21</v>
      </c>
      <c r="D221" t="s">
        <v>4062</v>
      </c>
      <c r="E221" t="s">
        <v>4222</v>
      </c>
      <c r="F221" t="s">
        <v>42</v>
      </c>
      <c r="G221">
        <v>0.26</v>
      </c>
      <c r="H221" s="2">
        <v>1803.55</v>
      </c>
      <c r="I221" s="2">
        <v>468.92</v>
      </c>
    </row>
    <row r="222" spans="1:9" x14ac:dyDescent="0.25">
      <c r="A222" t="s">
        <v>260</v>
      </c>
      <c r="B222" t="s">
        <v>261</v>
      </c>
      <c r="C222" t="s">
        <v>21</v>
      </c>
      <c r="D222" t="s">
        <v>4062</v>
      </c>
      <c r="E222" t="s">
        <v>4072</v>
      </c>
      <c r="F222" t="s">
        <v>4066</v>
      </c>
      <c r="G222">
        <v>0.02</v>
      </c>
      <c r="H222" s="2">
        <v>3150</v>
      </c>
      <c r="I222" s="2">
        <v>63</v>
      </c>
    </row>
    <row r="223" spans="1:9" x14ac:dyDescent="0.25">
      <c r="A223" t="s">
        <v>260</v>
      </c>
      <c r="B223" t="s">
        <v>261</v>
      </c>
      <c r="C223" t="s">
        <v>21</v>
      </c>
      <c r="D223" t="s">
        <v>4049</v>
      </c>
      <c r="E223" t="s">
        <v>4050</v>
      </c>
      <c r="F223" t="s">
        <v>4051</v>
      </c>
      <c r="G223">
        <v>0.14</v>
      </c>
      <c r="H223" s="2">
        <v>9037.33</v>
      </c>
      <c r="I223" s="2">
        <v>1265.23</v>
      </c>
    </row>
    <row r="224" spans="1:9" x14ac:dyDescent="0.25">
      <c r="A224" t="s">
        <v>260</v>
      </c>
      <c r="B224" t="s">
        <v>261</v>
      </c>
      <c r="C224" t="s">
        <v>21</v>
      </c>
      <c r="D224" t="s">
        <v>4049</v>
      </c>
      <c r="E224" t="s">
        <v>4223</v>
      </c>
      <c r="F224" t="s">
        <v>4051</v>
      </c>
      <c r="G224">
        <v>0.02</v>
      </c>
      <c r="H224" s="2">
        <v>52807.59</v>
      </c>
      <c r="I224" s="2">
        <v>792.11</v>
      </c>
    </row>
    <row r="225" spans="1:9" x14ac:dyDescent="0.25">
      <c r="A225" t="s">
        <v>260</v>
      </c>
      <c r="B225" t="s">
        <v>261</v>
      </c>
      <c r="C225" t="s">
        <v>21</v>
      </c>
      <c r="D225" t="s">
        <v>4049</v>
      </c>
      <c r="E225" t="s">
        <v>4073</v>
      </c>
      <c r="F225" t="s">
        <v>4051</v>
      </c>
      <c r="G225">
        <v>0.14</v>
      </c>
      <c r="H225" s="2">
        <v>15517.89</v>
      </c>
      <c r="I225" s="2">
        <v>2172.5</v>
      </c>
    </row>
    <row r="226" spans="1:9" x14ac:dyDescent="0.25">
      <c r="A226" t="s">
        <v>260</v>
      </c>
      <c r="B226" t="s">
        <v>261</v>
      </c>
      <c r="C226" t="s">
        <v>21</v>
      </c>
      <c r="D226" t="s">
        <v>4052</v>
      </c>
      <c r="E226" t="s">
        <v>4053</v>
      </c>
      <c r="F226" t="s">
        <v>4054</v>
      </c>
      <c r="G226">
        <v>1.6</v>
      </c>
      <c r="H226" s="2">
        <v>4229.84</v>
      </c>
      <c r="I226" s="2">
        <v>67.68</v>
      </c>
    </row>
    <row r="227" spans="1:9" x14ac:dyDescent="0.25">
      <c r="A227" t="s">
        <v>263</v>
      </c>
      <c r="B227" t="s">
        <v>264</v>
      </c>
      <c r="C227" t="s">
        <v>21</v>
      </c>
      <c r="D227" t="s">
        <v>4062</v>
      </c>
      <c r="E227" t="s">
        <v>4222</v>
      </c>
      <c r="F227" t="s">
        <v>42</v>
      </c>
      <c r="G227">
        <v>0.03</v>
      </c>
      <c r="H227" s="2">
        <v>1803.55</v>
      </c>
      <c r="I227" s="2">
        <v>54.11</v>
      </c>
    </row>
    <row r="228" spans="1:9" x14ac:dyDescent="0.25">
      <c r="A228" t="s">
        <v>263</v>
      </c>
      <c r="B228" t="s">
        <v>264</v>
      </c>
      <c r="C228" t="s">
        <v>21</v>
      </c>
      <c r="D228" t="s">
        <v>4062</v>
      </c>
      <c r="E228" t="s">
        <v>4072</v>
      </c>
      <c r="F228" t="s">
        <v>4066</v>
      </c>
      <c r="G228">
        <v>0.01</v>
      </c>
      <c r="H228" s="2">
        <v>3150</v>
      </c>
      <c r="I228" s="2">
        <v>31.5</v>
      </c>
    </row>
    <row r="229" spans="1:9" x14ac:dyDescent="0.25">
      <c r="A229" t="s">
        <v>263</v>
      </c>
      <c r="B229" t="s">
        <v>264</v>
      </c>
      <c r="C229" t="s">
        <v>21</v>
      </c>
      <c r="D229" t="s">
        <v>4049</v>
      </c>
      <c r="E229" t="s">
        <v>4176</v>
      </c>
      <c r="F229" t="s">
        <v>4177</v>
      </c>
      <c r="G229">
        <v>0.03</v>
      </c>
      <c r="H229" s="2">
        <v>72300.17</v>
      </c>
      <c r="I229" s="2">
        <v>2169.01</v>
      </c>
    </row>
    <row r="230" spans="1:9" x14ac:dyDescent="0.25">
      <c r="A230" t="s">
        <v>263</v>
      </c>
      <c r="B230" t="s">
        <v>264</v>
      </c>
      <c r="C230" t="s">
        <v>21</v>
      </c>
      <c r="D230" t="s">
        <v>4049</v>
      </c>
      <c r="E230" t="s">
        <v>4223</v>
      </c>
      <c r="F230" t="s">
        <v>4051</v>
      </c>
      <c r="G230">
        <v>0.02</v>
      </c>
      <c r="H230" s="2">
        <v>52807.59</v>
      </c>
      <c r="I230" s="2">
        <v>792.11</v>
      </c>
    </row>
    <row r="231" spans="1:9" x14ac:dyDescent="0.25">
      <c r="A231" t="s">
        <v>263</v>
      </c>
      <c r="B231" t="s">
        <v>264</v>
      </c>
      <c r="C231" t="s">
        <v>21</v>
      </c>
      <c r="D231" t="s">
        <v>4049</v>
      </c>
      <c r="E231" t="s">
        <v>4073</v>
      </c>
      <c r="F231" t="s">
        <v>4051</v>
      </c>
      <c r="G231">
        <v>0.02</v>
      </c>
      <c r="H231" s="2">
        <v>15517.89</v>
      </c>
      <c r="I231" s="2">
        <v>232.77</v>
      </c>
    </row>
    <row r="232" spans="1:9" x14ac:dyDescent="0.25">
      <c r="A232" t="s">
        <v>263</v>
      </c>
      <c r="B232" t="s">
        <v>264</v>
      </c>
      <c r="C232" t="s">
        <v>21</v>
      </c>
      <c r="D232" t="s">
        <v>4052</v>
      </c>
      <c r="E232" t="s">
        <v>4053</v>
      </c>
      <c r="F232" t="s">
        <v>4054</v>
      </c>
      <c r="G232">
        <v>3.7</v>
      </c>
      <c r="H232" s="2">
        <v>3193.89</v>
      </c>
      <c r="I232" s="2">
        <v>118.17</v>
      </c>
    </row>
    <row r="233" spans="1:9" x14ac:dyDescent="0.25">
      <c r="A233" t="s">
        <v>266</v>
      </c>
      <c r="B233" t="s">
        <v>267</v>
      </c>
      <c r="C233" t="s">
        <v>63</v>
      </c>
      <c r="D233" t="s">
        <v>4062</v>
      </c>
      <c r="E233" t="s">
        <v>4228</v>
      </c>
      <c r="F233" t="s">
        <v>63</v>
      </c>
      <c r="G233">
        <v>4</v>
      </c>
      <c r="H233" s="2">
        <v>9712</v>
      </c>
      <c r="I233" s="2">
        <v>38848</v>
      </c>
    </row>
    <row r="234" spans="1:9" x14ac:dyDescent="0.25">
      <c r="A234" t="s">
        <v>266</v>
      </c>
      <c r="B234" t="s">
        <v>267</v>
      </c>
      <c r="C234" t="s">
        <v>63</v>
      </c>
      <c r="D234" t="s">
        <v>4062</v>
      </c>
      <c r="E234" t="s">
        <v>4229</v>
      </c>
      <c r="F234" t="s">
        <v>63</v>
      </c>
      <c r="G234">
        <v>5</v>
      </c>
      <c r="H234" s="2">
        <v>16467</v>
      </c>
      <c r="I234" s="2">
        <v>82335</v>
      </c>
    </row>
    <row r="235" spans="1:9" x14ac:dyDescent="0.25">
      <c r="A235" t="s">
        <v>266</v>
      </c>
      <c r="B235" t="s">
        <v>267</v>
      </c>
      <c r="C235" t="s">
        <v>63</v>
      </c>
      <c r="D235" t="s">
        <v>4062</v>
      </c>
      <c r="E235" t="s">
        <v>4230</v>
      </c>
      <c r="F235" t="s">
        <v>42</v>
      </c>
      <c r="G235">
        <v>35</v>
      </c>
      <c r="H235" s="2">
        <v>2654</v>
      </c>
      <c r="I235" s="2">
        <v>92890</v>
      </c>
    </row>
    <row r="236" spans="1:9" x14ac:dyDescent="0.25">
      <c r="A236" t="s">
        <v>266</v>
      </c>
      <c r="B236" t="s">
        <v>267</v>
      </c>
      <c r="C236" t="s">
        <v>63</v>
      </c>
      <c r="D236" t="s">
        <v>4062</v>
      </c>
      <c r="E236" t="s">
        <v>4231</v>
      </c>
      <c r="F236" t="s">
        <v>42</v>
      </c>
      <c r="G236">
        <v>130</v>
      </c>
      <c r="H236" s="2">
        <v>5405</v>
      </c>
      <c r="I236" s="2">
        <v>702650</v>
      </c>
    </row>
    <row r="237" spans="1:9" x14ac:dyDescent="0.25">
      <c r="A237" t="s">
        <v>266</v>
      </c>
      <c r="B237" t="s">
        <v>267</v>
      </c>
      <c r="C237" t="s">
        <v>63</v>
      </c>
      <c r="D237" t="s">
        <v>4062</v>
      </c>
      <c r="E237" t="s">
        <v>4232</v>
      </c>
      <c r="F237" t="s">
        <v>42</v>
      </c>
      <c r="G237">
        <v>65</v>
      </c>
      <c r="H237" s="2">
        <v>6026</v>
      </c>
      <c r="I237" s="2">
        <v>391690</v>
      </c>
    </row>
    <row r="238" spans="1:9" x14ac:dyDescent="0.25">
      <c r="A238" t="s">
        <v>266</v>
      </c>
      <c r="B238" t="s">
        <v>267</v>
      </c>
      <c r="C238" t="s">
        <v>63</v>
      </c>
      <c r="D238" t="s">
        <v>4062</v>
      </c>
      <c r="E238" t="s">
        <v>4233</v>
      </c>
      <c r="F238" t="s">
        <v>63</v>
      </c>
      <c r="G238">
        <v>1</v>
      </c>
      <c r="H238" s="2">
        <v>33950</v>
      </c>
      <c r="I238" s="2">
        <v>33950</v>
      </c>
    </row>
    <row r="239" spans="1:9" x14ac:dyDescent="0.25">
      <c r="A239" t="s">
        <v>266</v>
      </c>
      <c r="B239" t="s">
        <v>267</v>
      </c>
      <c r="C239" t="s">
        <v>63</v>
      </c>
      <c r="D239" t="s">
        <v>4062</v>
      </c>
      <c r="E239" t="s">
        <v>4234</v>
      </c>
      <c r="F239" t="s">
        <v>42</v>
      </c>
      <c r="G239">
        <v>5</v>
      </c>
      <c r="H239" s="2">
        <v>5365</v>
      </c>
      <c r="I239" s="2">
        <v>26825</v>
      </c>
    </row>
    <row r="240" spans="1:9" x14ac:dyDescent="0.25">
      <c r="A240" t="s">
        <v>266</v>
      </c>
      <c r="B240" t="s">
        <v>267</v>
      </c>
      <c r="C240" t="s">
        <v>63</v>
      </c>
      <c r="D240" t="s">
        <v>4049</v>
      </c>
      <c r="E240" t="s">
        <v>4235</v>
      </c>
      <c r="F240" t="s">
        <v>4236</v>
      </c>
      <c r="G240">
        <v>20</v>
      </c>
      <c r="H240" s="2">
        <v>27010.74</v>
      </c>
      <c r="I240" s="2">
        <v>540214.8</v>
      </c>
    </row>
    <row r="241" spans="1:9" x14ac:dyDescent="0.25">
      <c r="A241" t="s">
        <v>266</v>
      </c>
      <c r="B241" t="s">
        <v>267</v>
      </c>
      <c r="C241" t="s">
        <v>63</v>
      </c>
      <c r="D241" t="s">
        <v>4052</v>
      </c>
      <c r="E241" t="s">
        <v>4053</v>
      </c>
      <c r="F241" t="s">
        <v>4054</v>
      </c>
      <c r="G241">
        <v>35</v>
      </c>
      <c r="H241" s="2">
        <v>540214.8</v>
      </c>
      <c r="I241" s="2">
        <v>189075.18</v>
      </c>
    </row>
    <row r="242" spans="1:9" x14ac:dyDescent="0.25">
      <c r="A242" t="s">
        <v>270</v>
      </c>
      <c r="B242" t="s">
        <v>271</v>
      </c>
      <c r="C242" t="s">
        <v>42</v>
      </c>
      <c r="D242" t="s">
        <v>4049</v>
      </c>
      <c r="E242" t="s">
        <v>4050</v>
      </c>
      <c r="F242" t="s">
        <v>4051</v>
      </c>
      <c r="G242">
        <v>0.17</v>
      </c>
      <c r="H242" s="2">
        <v>9037.33</v>
      </c>
      <c r="I242" s="2">
        <v>1536.35</v>
      </c>
    </row>
    <row r="243" spans="1:9" x14ac:dyDescent="0.25">
      <c r="A243" t="s">
        <v>270</v>
      </c>
      <c r="B243" t="s">
        <v>271</v>
      </c>
      <c r="C243" t="s">
        <v>42</v>
      </c>
      <c r="D243" t="s">
        <v>4052</v>
      </c>
      <c r="E243" t="s">
        <v>4053</v>
      </c>
      <c r="F243" t="s">
        <v>4054</v>
      </c>
      <c r="G243">
        <v>4</v>
      </c>
      <c r="H243" s="2">
        <v>1536.35</v>
      </c>
      <c r="I243" s="2">
        <v>61.45</v>
      </c>
    </row>
    <row r="244" spans="1:9" x14ac:dyDescent="0.25">
      <c r="A244" t="s">
        <v>273</v>
      </c>
      <c r="B244" t="s">
        <v>274</v>
      </c>
      <c r="C244" t="s">
        <v>42</v>
      </c>
      <c r="D244" t="s">
        <v>4049</v>
      </c>
      <c r="E244" t="s">
        <v>4241</v>
      </c>
      <c r="F244" t="s">
        <v>4051</v>
      </c>
      <c r="G244">
        <v>0.08</v>
      </c>
      <c r="H244" s="2">
        <v>9941.22</v>
      </c>
      <c r="I244" s="2">
        <v>795.3</v>
      </c>
    </row>
    <row r="245" spans="1:9" x14ac:dyDescent="0.25">
      <c r="A245" t="s">
        <v>273</v>
      </c>
      <c r="B245" t="s">
        <v>274</v>
      </c>
      <c r="C245" t="s">
        <v>42</v>
      </c>
      <c r="D245" t="s">
        <v>4049</v>
      </c>
      <c r="E245" t="s">
        <v>4242</v>
      </c>
      <c r="F245" t="s">
        <v>4051</v>
      </c>
      <c r="G245">
        <v>0.08</v>
      </c>
      <c r="H245" s="2">
        <v>17069.53</v>
      </c>
      <c r="I245" s="2">
        <v>1365.56</v>
      </c>
    </row>
    <row r="246" spans="1:9" x14ac:dyDescent="0.25">
      <c r="A246" t="s">
        <v>273</v>
      </c>
      <c r="B246" t="s">
        <v>274</v>
      </c>
      <c r="C246" t="s">
        <v>42</v>
      </c>
      <c r="D246" t="s">
        <v>4052</v>
      </c>
      <c r="E246" t="s">
        <v>4053</v>
      </c>
      <c r="F246" t="s">
        <v>4054</v>
      </c>
      <c r="G246">
        <v>5</v>
      </c>
      <c r="H246" s="2">
        <v>2160.86</v>
      </c>
      <c r="I246" s="2">
        <v>108.04</v>
      </c>
    </row>
    <row r="247" spans="1:9" x14ac:dyDescent="0.25">
      <c r="A247" t="s">
        <v>276</v>
      </c>
      <c r="B247" t="s">
        <v>277</v>
      </c>
      <c r="C247" t="s">
        <v>42</v>
      </c>
      <c r="D247" t="s">
        <v>4049</v>
      </c>
      <c r="E247" t="s">
        <v>4050</v>
      </c>
      <c r="F247" t="s">
        <v>4051</v>
      </c>
      <c r="G247">
        <v>0.5</v>
      </c>
      <c r="H247" s="2">
        <v>9037.33</v>
      </c>
      <c r="I247" s="2">
        <v>4518.66</v>
      </c>
    </row>
    <row r="248" spans="1:9" x14ac:dyDescent="0.25">
      <c r="A248" t="s">
        <v>276</v>
      </c>
      <c r="B248" t="s">
        <v>277</v>
      </c>
      <c r="C248" t="s">
        <v>42</v>
      </c>
      <c r="D248" t="s">
        <v>4052</v>
      </c>
      <c r="E248" t="s">
        <v>4053</v>
      </c>
      <c r="F248" t="s">
        <v>4054</v>
      </c>
      <c r="G248">
        <v>3</v>
      </c>
      <c r="H248" s="2">
        <v>4518.66</v>
      </c>
      <c r="I248" s="2">
        <v>135.56</v>
      </c>
    </row>
    <row r="249" spans="1:9" x14ac:dyDescent="0.25">
      <c r="A249" t="s">
        <v>279</v>
      </c>
      <c r="B249" t="s">
        <v>280</v>
      </c>
      <c r="C249" t="s">
        <v>42</v>
      </c>
      <c r="D249" t="s">
        <v>4049</v>
      </c>
      <c r="E249" t="s">
        <v>4050</v>
      </c>
      <c r="F249" t="s">
        <v>4051</v>
      </c>
      <c r="G249">
        <v>1.5</v>
      </c>
      <c r="H249" s="2">
        <v>9037.33</v>
      </c>
      <c r="I249" s="2">
        <v>13555.99</v>
      </c>
    </row>
    <row r="250" spans="1:9" x14ac:dyDescent="0.25">
      <c r="A250" t="s">
        <v>279</v>
      </c>
      <c r="B250" t="s">
        <v>280</v>
      </c>
      <c r="C250" t="s">
        <v>42</v>
      </c>
      <c r="D250" t="s">
        <v>4052</v>
      </c>
      <c r="E250" t="s">
        <v>4118</v>
      </c>
      <c r="F250" t="s">
        <v>287</v>
      </c>
      <c r="G250">
        <v>0.03</v>
      </c>
      <c r="H250" s="2">
        <v>107433.33</v>
      </c>
      <c r="I250" s="2">
        <v>3223</v>
      </c>
    </row>
    <row r="251" spans="1:9" x14ac:dyDescent="0.25">
      <c r="A251" t="s">
        <v>279</v>
      </c>
      <c r="B251" t="s">
        <v>280</v>
      </c>
      <c r="C251" t="s">
        <v>42</v>
      </c>
      <c r="D251" t="s">
        <v>4052</v>
      </c>
      <c r="E251" t="s">
        <v>4053</v>
      </c>
      <c r="F251" t="s">
        <v>4054</v>
      </c>
      <c r="G251">
        <v>5</v>
      </c>
      <c r="H251" s="2">
        <v>13555.99</v>
      </c>
      <c r="I251" s="2">
        <v>677.8</v>
      </c>
    </row>
    <row r="252" spans="1:9" x14ac:dyDescent="0.25">
      <c r="A252" t="s">
        <v>282</v>
      </c>
      <c r="B252" t="s">
        <v>283</v>
      </c>
      <c r="C252" t="s">
        <v>21</v>
      </c>
      <c r="D252" t="s">
        <v>4049</v>
      </c>
      <c r="E252" t="s">
        <v>4050</v>
      </c>
      <c r="F252" t="s">
        <v>4051</v>
      </c>
      <c r="G252">
        <v>0.8</v>
      </c>
      <c r="H252" s="2">
        <v>9037.33</v>
      </c>
      <c r="I252" s="2">
        <v>7229.86</v>
      </c>
    </row>
    <row r="253" spans="1:9" x14ac:dyDescent="0.25">
      <c r="A253" t="s">
        <v>282</v>
      </c>
      <c r="B253" t="s">
        <v>283</v>
      </c>
      <c r="C253" t="s">
        <v>21</v>
      </c>
      <c r="D253" t="s">
        <v>4052</v>
      </c>
      <c r="E253" t="s">
        <v>4053</v>
      </c>
      <c r="F253" t="s">
        <v>4054</v>
      </c>
      <c r="G253">
        <v>8</v>
      </c>
      <c r="H253" s="2">
        <v>7229.86</v>
      </c>
      <c r="I253" s="2">
        <v>578.39</v>
      </c>
    </row>
    <row r="254" spans="1:9" x14ac:dyDescent="0.25">
      <c r="A254" t="s">
        <v>285</v>
      </c>
      <c r="B254" t="s">
        <v>286</v>
      </c>
      <c r="C254" t="s">
        <v>287</v>
      </c>
      <c r="D254" t="s">
        <v>4049</v>
      </c>
      <c r="E254" t="s">
        <v>4050</v>
      </c>
      <c r="F254" t="s">
        <v>4051</v>
      </c>
      <c r="G254">
        <v>1</v>
      </c>
      <c r="H254" s="2">
        <v>9037.33</v>
      </c>
      <c r="I254" s="2">
        <v>9037.33</v>
      </c>
    </row>
    <row r="255" spans="1:9" x14ac:dyDescent="0.25">
      <c r="A255" t="s">
        <v>285</v>
      </c>
      <c r="B255" t="s">
        <v>286</v>
      </c>
      <c r="C255" t="s">
        <v>287</v>
      </c>
      <c r="D255" t="s">
        <v>4052</v>
      </c>
      <c r="E255" t="s">
        <v>4251</v>
      </c>
      <c r="F255" t="s">
        <v>287</v>
      </c>
      <c r="G255">
        <v>1</v>
      </c>
      <c r="H255" s="2">
        <v>48758.93</v>
      </c>
      <c r="I255" s="2">
        <v>48758.93</v>
      </c>
    </row>
    <row r="256" spans="1:9" x14ac:dyDescent="0.25">
      <c r="A256" t="s">
        <v>292</v>
      </c>
      <c r="B256" t="s">
        <v>293</v>
      </c>
      <c r="C256" t="s">
        <v>287</v>
      </c>
      <c r="D256" t="s">
        <v>4049</v>
      </c>
      <c r="E256" t="s">
        <v>4050</v>
      </c>
      <c r="F256" t="s">
        <v>4051</v>
      </c>
      <c r="G256">
        <v>1</v>
      </c>
      <c r="H256" s="2">
        <v>9037.33</v>
      </c>
      <c r="I256" s="2">
        <v>9037.33</v>
      </c>
    </row>
    <row r="257" spans="1:9" x14ac:dyDescent="0.25">
      <c r="A257" t="s">
        <v>292</v>
      </c>
      <c r="B257" t="s">
        <v>293</v>
      </c>
      <c r="C257" t="s">
        <v>287</v>
      </c>
      <c r="D257" t="s">
        <v>4052</v>
      </c>
      <c r="E257" t="s">
        <v>4254</v>
      </c>
      <c r="F257" t="s">
        <v>287</v>
      </c>
      <c r="G257">
        <v>1</v>
      </c>
      <c r="H257" s="2">
        <v>54539.62</v>
      </c>
      <c r="I257" s="2">
        <v>54539.62</v>
      </c>
    </row>
    <row r="258" spans="1:9" x14ac:dyDescent="0.25">
      <c r="A258" t="s">
        <v>295</v>
      </c>
      <c r="B258" t="s">
        <v>297</v>
      </c>
      <c r="C258" t="s">
        <v>21</v>
      </c>
      <c r="D258" t="s">
        <v>4062</v>
      </c>
      <c r="E258" t="s">
        <v>4004</v>
      </c>
      <c r="F258" t="s">
        <v>34</v>
      </c>
      <c r="G258">
        <v>0.05</v>
      </c>
      <c r="H258" s="2">
        <v>426702.51</v>
      </c>
      <c r="I258" s="2">
        <v>21335.13</v>
      </c>
    </row>
    <row r="259" spans="1:9" x14ac:dyDescent="0.25">
      <c r="A259" t="s">
        <v>295</v>
      </c>
      <c r="B259" t="s">
        <v>297</v>
      </c>
      <c r="C259" t="s">
        <v>21</v>
      </c>
      <c r="D259" t="s">
        <v>4049</v>
      </c>
      <c r="E259" t="s">
        <v>4050</v>
      </c>
      <c r="F259" t="s">
        <v>4051</v>
      </c>
      <c r="G259">
        <v>0.35</v>
      </c>
      <c r="H259" s="2">
        <v>9037.33</v>
      </c>
      <c r="I259" s="2">
        <v>3163.07</v>
      </c>
    </row>
    <row r="260" spans="1:9" x14ac:dyDescent="0.25">
      <c r="A260" t="s">
        <v>295</v>
      </c>
      <c r="B260" t="s">
        <v>297</v>
      </c>
      <c r="C260" t="s">
        <v>21</v>
      </c>
      <c r="D260" t="s">
        <v>4049</v>
      </c>
      <c r="E260" t="s">
        <v>4073</v>
      </c>
      <c r="F260" t="s">
        <v>4051</v>
      </c>
      <c r="G260">
        <v>0.35</v>
      </c>
      <c r="H260" s="2">
        <v>15517.89</v>
      </c>
      <c r="I260" s="2">
        <v>5431.26</v>
      </c>
    </row>
    <row r="261" spans="1:9" x14ac:dyDescent="0.25">
      <c r="A261" t="s">
        <v>295</v>
      </c>
      <c r="B261" t="s">
        <v>297</v>
      </c>
      <c r="C261" t="s">
        <v>21</v>
      </c>
      <c r="D261" t="s">
        <v>4052</v>
      </c>
      <c r="E261" t="s">
        <v>4053</v>
      </c>
      <c r="F261" t="s">
        <v>4054</v>
      </c>
      <c r="G261">
        <v>0.01</v>
      </c>
      <c r="H261" s="2">
        <v>8594.33</v>
      </c>
      <c r="I261" s="2">
        <v>0.86</v>
      </c>
    </row>
    <row r="262" spans="1:9" x14ac:dyDescent="0.25">
      <c r="A262" t="s">
        <v>304</v>
      </c>
      <c r="B262" t="s">
        <v>305</v>
      </c>
      <c r="C262" t="s">
        <v>63</v>
      </c>
      <c r="D262" t="s">
        <v>4062</v>
      </c>
      <c r="E262" t="s">
        <v>3975</v>
      </c>
      <c r="F262" t="s">
        <v>34</v>
      </c>
      <c r="G262">
        <v>0.18</v>
      </c>
      <c r="H262" s="2">
        <v>586929.15</v>
      </c>
      <c r="I262" s="2">
        <v>105647.25</v>
      </c>
    </row>
    <row r="263" spans="1:9" x14ac:dyDescent="0.25">
      <c r="A263" t="s">
        <v>304</v>
      </c>
      <c r="B263" t="s">
        <v>305</v>
      </c>
      <c r="C263" t="s">
        <v>63</v>
      </c>
      <c r="D263" t="s">
        <v>4062</v>
      </c>
      <c r="E263" t="s">
        <v>4261</v>
      </c>
      <c r="F263" t="s">
        <v>231</v>
      </c>
      <c r="G263">
        <v>6.83</v>
      </c>
      <c r="H263" s="2">
        <v>2982</v>
      </c>
      <c r="I263" s="2">
        <v>20367.06</v>
      </c>
    </row>
    <row r="264" spans="1:9" x14ac:dyDescent="0.25">
      <c r="A264" t="s">
        <v>304</v>
      </c>
      <c r="B264" t="s">
        <v>305</v>
      </c>
      <c r="C264" t="s">
        <v>63</v>
      </c>
      <c r="D264" t="s">
        <v>4062</v>
      </c>
      <c r="E264" t="s">
        <v>4262</v>
      </c>
      <c r="F264" t="s">
        <v>63</v>
      </c>
      <c r="G264">
        <v>244</v>
      </c>
      <c r="H264" s="2">
        <v>415</v>
      </c>
      <c r="I264" s="2">
        <v>101260</v>
      </c>
    </row>
    <row r="265" spans="1:9" x14ac:dyDescent="0.25">
      <c r="A265" t="s">
        <v>304</v>
      </c>
      <c r="B265" t="s">
        <v>305</v>
      </c>
      <c r="C265" t="s">
        <v>63</v>
      </c>
      <c r="D265" t="s">
        <v>4062</v>
      </c>
      <c r="E265" t="s">
        <v>4263</v>
      </c>
      <c r="F265" t="s">
        <v>63</v>
      </c>
      <c r="G265">
        <v>1</v>
      </c>
      <c r="H265" s="2">
        <v>266509.88</v>
      </c>
      <c r="I265" s="2">
        <v>266509.88</v>
      </c>
    </row>
    <row r="266" spans="1:9" x14ac:dyDescent="0.25">
      <c r="A266" t="s">
        <v>304</v>
      </c>
      <c r="B266" t="s">
        <v>305</v>
      </c>
      <c r="C266" t="s">
        <v>63</v>
      </c>
      <c r="D266" t="s">
        <v>4062</v>
      </c>
      <c r="E266" t="s">
        <v>4264</v>
      </c>
      <c r="F266" t="s">
        <v>21</v>
      </c>
      <c r="G266">
        <v>0.18</v>
      </c>
      <c r="H266" s="2">
        <v>29930.32</v>
      </c>
      <c r="I266" s="2">
        <v>5387.46</v>
      </c>
    </row>
    <row r="267" spans="1:9" x14ac:dyDescent="0.25">
      <c r="A267" t="s">
        <v>304</v>
      </c>
      <c r="B267" t="s">
        <v>305</v>
      </c>
      <c r="C267" t="s">
        <v>63</v>
      </c>
      <c r="D267" t="s">
        <v>4062</v>
      </c>
      <c r="E267" t="s">
        <v>4265</v>
      </c>
      <c r="F267" t="s">
        <v>34</v>
      </c>
      <c r="G267">
        <v>0.2</v>
      </c>
      <c r="H267" s="2">
        <v>35700</v>
      </c>
      <c r="I267" s="2">
        <v>7140</v>
      </c>
    </row>
    <row r="268" spans="1:9" x14ac:dyDescent="0.25">
      <c r="A268" t="s">
        <v>304</v>
      </c>
      <c r="B268" t="s">
        <v>305</v>
      </c>
      <c r="C268" t="s">
        <v>63</v>
      </c>
      <c r="D268" t="s">
        <v>4049</v>
      </c>
      <c r="E268" t="s">
        <v>4050</v>
      </c>
      <c r="F268" t="s">
        <v>4051</v>
      </c>
      <c r="G268">
        <v>3.5</v>
      </c>
      <c r="H268" s="2">
        <v>9037.33</v>
      </c>
      <c r="I268" s="2">
        <v>31630.65</v>
      </c>
    </row>
    <row r="269" spans="1:9" x14ac:dyDescent="0.25">
      <c r="A269" t="s">
        <v>304</v>
      </c>
      <c r="B269" t="s">
        <v>305</v>
      </c>
      <c r="C269" t="s">
        <v>63</v>
      </c>
      <c r="D269" t="s">
        <v>4049</v>
      </c>
      <c r="E269" t="s">
        <v>4073</v>
      </c>
      <c r="F269" t="s">
        <v>4051</v>
      </c>
      <c r="G269">
        <v>3.5</v>
      </c>
      <c r="H269" s="2">
        <v>15517.89</v>
      </c>
      <c r="I269" s="2">
        <v>54312.61</v>
      </c>
    </row>
    <row r="270" spans="1:9" x14ac:dyDescent="0.25">
      <c r="A270" t="s">
        <v>304</v>
      </c>
      <c r="B270" t="s">
        <v>305</v>
      </c>
      <c r="C270" t="s">
        <v>63</v>
      </c>
      <c r="D270" t="s">
        <v>4052</v>
      </c>
      <c r="E270" t="s">
        <v>4053</v>
      </c>
      <c r="F270" t="s">
        <v>4054</v>
      </c>
      <c r="G270">
        <v>1</v>
      </c>
      <c r="H270" s="2">
        <v>85943.26</v>
      </c>
      <c r="I270" s="2">
        <v>859.43</v>
      </c>
    </row>
    <row r="271" spans="1:9" x14ac:dyDescent="0.25">
      <c r="A271" t="s">
        <v>311</v>
      </c>
      <c r="B271" t="s">
        <v>312</v>
      </c>
      <c r="C271" t="s">
        <v>63</v>
      </c>
      <c r="D271" t="s">
        <v>4062</v>
      </c>
      <c r="E271" t="s">
        <v>3975</v>
      </c>
      <c r="F271" t="s">
        <v>34</v>
      </c>
      <c r="G271">
        <v>0.14</v>
      </c>
      <c r="H271" s="2">
        <v>586929.15</v>
      </c>
      <c r="I271" s="2">
        <v>84517.8</v>
      </c>
    </row>
    <row r="272" spans="1:9" x14ac:dyDescent="0.25">
      <c r="A272" t="s">
        <v>311</v>
      </c>
      <c r="B272" t="s">
        <v>312</v>
      </c>
      <c r="C272" t="s">
        <v>63</v>
      </c>
      <c r="D272" t="s">
        <v>4062</v>
      </c>
      <c r="E272" t="s">
        <v>4261</v>
      </c>
      <c r="F272" t="s">
        <v>231</v>
      </c>
      <c r="G272">
        <v>8.2</v>
      </c>
      <c r="H272" s="2">
        <v>2982</v>
      </c>
      <c r="I272" s="2">
        <v>24440.47</v>
      </c>
    </row>
    <row r="273" spans="1:9" x14ac:dyDescent="0.25">
      <c r="A273" t="s">
        <v>311</v>
      </c>
      <c r="B273" t="s">
        <v>312</v>
      </c>
      <c r="C273" t="s">
        <v>63</v>
      </c>
      <c r="D273" t="s">
        <v>4062</v>
      </c>
      <c r="E273" t="s">
        <v>4262</v>
      </c>
      <c r="F273" t="s">
        <v>63</v>
      </c>
      <c r="G273">
        <v>292.8</v>
      </c>
      <c r="H273" s="2">
        <v>415</v>
      </c>
      <c r="I273" s="2">
        <v>121512</v>
      </c>
    </row>
    <row r="274" spans="1:9" x14ac:dyDescent="0.25">
      <c r="A274" t="s">
        <v>311</v>
      </c>
      <c r="B274" t="s">
        <v>312</v>
      </c>
      <c r="C274" t="s">
        <v>63</v>
      </c>
      <c r="D274" t="s">
        <v>4062</v>
      </c>
      <c r="E274" t="s">
        <v>4268</v>
      </c>
      <c r="F274" t="s">
        <v>63</v>
      </c>
      <c r="G274">
        <v>1</v>
      </c>
      <c r="H274" s="2">
        <v>406210.81</v>
      </c>
      <c r="I274" s="2">
        <v>406210.81</v>
      </c>
    </row>
    <row r="275" spans="1:9" x14ac:dyDescent="0.25">
      <c r="A275" t="s">
        <v>311</v>
      </c>
      <c r="B275" t="s">
        <v>312</v>
      </c>
      <c r="C275" t="s">
        <v>63</v>
      </c>
      <c r="D275" t="s">
        <v>4062</v>
      </c>
      <c r="E275" t="s">
        <v>4264</v>
      </c>
      <c r="F275" t="s">
        <v>21</v>
      </c>
      <c r="G275">
        <v>1.44</v>
      </c>
      <c r="H275" s="2">
        <v>29930.32</v>
      </c>
      <c r="I275" s="2">
        <v>43099.66</v>
      </c>
    </row>
    <row r="276" spans="1:9" x14ac:dyDescent="0.25">
      <c r="A276" t="s">
        <v>311</v>
      </c>
      <c r="B276" t="s">
        <v>312</v>
      </c>
      <c r="C276" t="s">
        <v>63</v>
      </c>
      <c r="D276" t="s">
        <v>4062</v>
      </c>
      <c r="E276" t="s">
        <v>4265</v>
      </c>
      <c r="F276" t="s">
        <v>34</v>
      </c>
      <c r="G276">
        <v>0.24</v>
      </c>
      <c r="H276" s="2">
        <v>35700</v>
      </c>
      <c r="I276" s="2">
        <v>8568</v>
      </c>
    </row>
    <row r="277" spans="1:9" x14ac:dyDescent="0.25">
      <c r="A277" t="s">
        <v>311</v>
      </c>
      <c r="B277" t="s">
        <v>312</v>
      </c>
      <c r="C277" t="s">
        <v>63</v>
      </c>
      <c r="D277" t="s">
        <v>4049</v>
      </c>
      <c r="E277" t="s">
        <v>4050</v>
      </c>
      <c r="F277" t="s">
        <v>4051</v>
      </c>
      <c r="G277">
        <v>4</v>
      </c>
      <c r="H277" s="2">
        <v>9037.33</v>
      </c>
      <c r="I277" s="2">
        <v>36149.32</v>
      </c>
    </row>
    <row r="278" spans="1:9" x14ac:dyDescent="0.25">
      <c r="A278" t="s">
        <v>311</v>
      </c>
      <c r="B278" t="s">
        <v>312</v>
      </c>
      <c r="C278" t="s">
        <v>63</v>
      </c>
      <c r="D278" t="s">
        <v>4049</v>
      </c>
      <c r="E278" t="s">
        <v>4073</v>
      </c>
      <c r="F278" t="s">
        <v>4051</v>
      </c>
      <c r="G278">
        <v>4</v>
      </c>
      <c r="H278" s="2">
        <v>15517.89</v>
      </c>
      <c r="I278" s="2">
        <v>62071.56</v>
      </c>
    </row>
    <row r="279" spans="1:9" x14ac:dyDescent="0.25">
      <c r="A279" t="s">
        <v>311</v>
      </c>
      <c r="B279" t="s">
        <v>312</v>
      </c>
      <c r="C279" t="s">
        <v>63</v>
      </c>
      <c r="D279" t="s">
        <v>4052</v>
      </c>
      <c r="E279" t="s">
        <v>4053</v>
      </c>
      <c r="F279" t="s">
        <v>4054</v>
      </c>
      <c r="G279">
        <v>1</v>
      </c>
      <c r="H279" s="2">
        <v>98220.88</v>
      </c>
      <c r="I279" s="2">
        <v>982.21</v>
      </c>
    </row>
    <row r="280" spans="1:9" x14ac:dyDescent="0.25">
      <c r="A280" t="s">
        <v>314</v>
      </c>
      <c r="B280" t="s">
        <v>315</v>
      </c>
      <c r="C280" t="s">
        <v>63</v>
      </c>
      <c r="D280" t="s">
        <v>4062</v>
      </c>
      <c r="E280" t="s">
        <v>3975</v>
      </c>
      <c r="F280" t="s">
        <v>34</v>
      </c>
      <c r="G280">
        <v>0.05</v>
      </c>
      <c r="H280" s="2">
        <v>586929.15</v>
      </c>
      <c r="I280" s="2">
        <v>31694.17</v>
      </c>
    </row>
    <row r="281" spans="1:9" x14ac:dyDescent="0.25">
      <c r="A281" t="s">
        <v>314</v>
      </c>
      <c r="B281" t="s">
        <v>315</v>
      </c>
      <c r="C281" t="s">
        <v>63</v>
      </c>
      <c r="D281" t="s">
        <v>4062</v>
      </c>
      <c r="E281" t="s">
        <v>4261</v>
      </c>
      <c r="F281" t="s">
        <v>231</v>
      </c>
      <c r="G281">
        <v>0.9</v>
      </c>
      <c r="H281" s="2">
        <v>2982</v>
      </c>
      <c r="I281" s="2">
        <v>2683.8</v>
      </c>
    </row>
    <row r="282" spans="1:9" x14ac:dyDescent="0.25">
      <c r="A282" t="s">
        <v>314</v>
      </c>
      <c r="B282" t="s">
        <v>315</v>
      </c>
      <c r="C282" t="s">
        <v>63</v>
      </c>
      <c r="D282" t="s">
        <v>4062</v>
      </c>
      <c r="E282" t="s">
        <v>4262</v>
      </c>
      <c r="F282" t="s">
        <v>63</v>
      </c>
      <c r="G282">
        <v>93</v>
      </c>
      <c r="H282" s="2">
        <v>415</v>
      </c>
      <c r="I282" s="2">
        <v>38595</v>
      </c>
    </row>
    <row r="283" spans="1:9" x14ac:dyDescent="0.25">
      <c r="A283" t="s">
        <v>314</v>
      </c>
      <c r="B283" t="s">
        <v>315</v>
      </c>
      <c r="C283" t="s">
        <v>63</v>
      </c>
      <c r="D283" t="s">
        <v>4062</v>
      </c>
      <c r="E283" t="s">
        <v>4271</v>
      </c>
      <c r="F283" t="s">
        <v>63</v>
      </c>
      <c r="G283">
        <v>1</v>
      </c>
      <c r="H283" s="2">
        <v>152934.14</v>
      </c>
      <c r="I283" s="2">
        <v>152934.14</v>
      </c>
    </row>
    <row r="284" spans="1:9" x14ac:dyDescent="0.25">
      <c r="A284" t="s">
        <v>314</v>
      </c>
      <c r="B284" t="s">
        <v>315</v>
      </c>
      <c r="C284" t="s">
        <v>63</v>
      </c>
      <c r="D284" t="s">
        <v>4062</v>
      </c>
      <c r="E284" t="s">
        <v>4264</v>
      </c>
      <c r="F284" t="s">
        <v>21</v>
      </c>
      <c r="G284">
        <v>0.36</v>
      </c>
      <c r="H284" s="2">
        <v>29930.32</v>
      </c>
      <c r="I284" s="2">
        <v>10774.92</v>
      </c>
    </row>
    <row r="285" spans="1:9" x14ac:dyDescent="0.25">
      <c r="A285" t="s">
        <v>314</v>
      </c>
      <c r="B285" t="s">
        <v>315</v>
      </c>
      <c r="C285" t="s">
        <v>63</v>
      </c>
      <c r="D285" t="s">
        <v>4062</v>
      </c>
      <c r="E285" t="s">
        <v>4265</v>
      </c>
      <c r="F285" t="s">
        <v>34</v>
      </c>
      <c r="G285">
        <v>0.11</v>
      </c>
      <c r="H285" s="2">
        <v>35700</v>
      </c>
      <c r="I285" s="2">
        <v>3927</v>
      </c>
    </row>
    <row r="286" spans="1:9" x14ac:dyDescent="0.25">
      <c r="A286" t="s">
        <v>314</v>
      </c>
      <c r="B286" t="s">
        <v>315</v>
      </c>
      <c r="C286" t="s">
        <v>63</v>
      </c>
      <c r="D286" t="s">
        <v>4049</v>
      </c>
      <c r="E286" t="s">
        <v>4050</v>
      </c>
      <c r="F286" t="s">
        <v>4051</v>
      </c>
      <c r="G286">
        <v>5.1</v>
      </c>
      <c r="H286" s="2">
        <v>9037.33</v>
      </c>
      <c r="I286" s="2">
        <v>46090.38</v>
      </c>
    </row>
    <row r="287" spans="1:9" x14ac:dyDescent="0.25">
      <c r="A287" t="s">
        <v>314</v>
      </c>
      <c r="B287" t="s">
        <v>315</v>
      </c>
      <c r="C287" t="s">
        <v>63</v>
      </c>
      <c r="D287" t="s">
        <v>4049</v>
      </c>
      <c r="E287" t="s">
        <v>4073</v>
      </c>
      <c r="F287" t="s">
        <v>4051</v>
      </c>
      <c r="G287">
        <v>3.5</v>
      </c>
      <c r="H287" s="2">
        <v>15517.89</v>
      </c>
      <c r="I287" s="2">
        <v>54312.61</v>
      </c>
    </row>
    <row r="288" spans="1:9" x14ac:dyDescent="0.25">
      <c r="A288" t="s">
        <v>314</v>
      </c>
      <c r="B288" t="s">
        <v>315</v>
      </c>
      <c r="C288" t="s">
        <v>63</v>
      </c>
      <c r="D288" t="s">
        <v>4052</v>
      </c>
      <c r="E288" t="s">
        <v>4053</v>
      </c>
      <c r="F288" t="s">
        <v>4054</v>
      </c>
      <c r="G288">
        <v>1</v>
      </c>
      <c r="H288" s="2">
        <v>100402.99</v>
      </c>
      <c r="I288" s="2">
        <v>1004.03</v>
      </c>
    </row>
    <row r="289" spans="1:9" x14ac:dyDescent="0.25">
      <c r="A289" t="s">
        <v>317</v>
      </c>
      <c r="B289" t="s">
        <v>318</v>
      </c>
      <c r="C289" t="s">
        <v>63</v>
      </c>
      <c r="D289" t="s">
        <v>4062</v>
      </c>
      <c r="E289" t="s">
        <v>3975</v>
      </c>
      <c r="F289" t="s">
        <v>34</v>
      </c>
      <c r="G289">
        <v>0.1</v>
      </c>
      <c r="H289" s="2">
        <v>586929.15</v>
      </c>
      <c r="I289" s="2">
        <v>56345.2</v>
      </c>
    </row>
    <row r="290" spans="1:9" x14ac:dyDescent="0.25">
      <c r="A290" t="s">
        <v>317</v>
      </c>
      <c r="B290" t="s">
        <v>318</v>
      </c>
      <c r="C290" t="s">
        <v>63</v>
      </c>
      <c r="D290" t="s">
        <v>4062</v>
      </c>
      <c r="E290" t="s">
        <v>4261</v>
      </c>
      <c r="F290" t="s">
        <v>231</v>
      </c>
      <c r="G290">
        <v>4.57</v>
      </c>
      <c r="H290" s="2">
        <v>2982</v>
      </c>
      <c r="I290" s="2">
        <v>13627.74</v>
      </c>
    </row>
    <row r="291" spans="1:9" x14ac:dyDescent="0.25">
      <c r="A291" t="s">
        <v>317</v>
      </c>
      <c r="B291" t="s">
        <v>318</v>
      </c>
      <c r="C291" t="s">
        <v>63</v>
      </c>
      <c r="D291" t="s">
        <v>4062</v>
      </c>
      <c r="E291" t="s">
        <v>4262</v>
      </c>
      <c r="F291" t="s">
        <v>63</v>
      </c>
      <c r="G291">
        <v>188.6</v>
      </c>
      <c r="H291" s="2">
        <v>415</v>
      </c>
      <c r="I291" s="2">
        <v>78269</v>
      </c>
    </row>
    <row r="292" spans="1:9" x14ac:dyDescent="0.25">
      <c r="A292" t="s">
        <v>317</v>
      </c>
      <c r="B292" t="s">
        <v>318</v>
      </c>
      <c r="C292" t="s">
        <v>63</v>
      </c>
      <c r="D292" t="s">
        <v>4062</v>
      </c>
      <c r="E292" t="s">
        <v>4274</v>
      </c>
      <c r="F292" t="s">
        <v>63</v>
      </c>
      <c r="G292">
        <v>1</v>
      </c>
      <c r="H292" s="2">
        <v>215241.22</v>
      </c>
      <c r="I292" s="2">
        <v>215241.22</v>
      </c>
    </row>
    <row r="293" spans="1:9" x14ac:dyDescent="0.25">
      <c r="A293" t="s">
        <v>317</v>
      </c>
      <c r="B293" t="s">
        <v>318</v>
      </c>
      <c r="C293" t="s">
        <v>63</v>
      </c>
      <c r="D293" t="s">
        <v>4062</v>
      </c>
      <c r="E293" t="s">
        <v>4264</v>
      </c>
      <c r="F293" t="s">
        <v>21</v>
      </c>
      <c r="G293">
        <v>0.64</v>
      </c>
      <c r="H293" s="2">
        <v>29930.32</v>
      </c>
      <c r="I293" s="2">
        <v>19155.4</v>
      </c>
    </row>
    <row r="294" spans="1:9" x14ac:dyDescent="0.25">
      <c r="A294" t="s">
        <v>317</v>
      </c>
      <c r="B294" t="s">
        <v>318</v>
      </c>
      <c r="C294" t="s">
        <v>63</v>
      </c>
      <c r="D294" t="s">
        <v>4062</v>
      </c>
      <c r="E294" t="s">
        <v>4265</v>
      </c>
      <c r="F294" t="s">
        <v>34</v>
      </c>
      <c r="G294">
        <v>0.16</v>
      </c>
      <c r="H294" s="2">
        <v>35700</v>
      </c>
      <c r="I294" s="2">
        <v>5712</v>
      </c>
    </row>
    <row r="295" spans="1:9" x14ac:dyDescent="0.25">
      <c r="A295" t="s">
        <v>317</v>
      </c>
      <c r="B295" t="s">
        <v>318</v>
      </c>
      <c r="C295" t="s">
        <v>63</v>
      </c>
      <c r="D295" t="s">
        <v>4049</v>
      </c>
      <c r="E295" t="s">
        <v>4050</v>
      </c>
      <c r="F295" t="s">
        <v>4051</v>
      </c>
      <c r="G295">
        <v>5.4</v>
      </c>
      <c r="H295" s="2">
        <v>9037.33</v>
      </c>
      <c r="I295" s="2">
        <v>48801.58</v>
      </c>
    </row>
    <row r="296" spans="1:9" x14ac:dyDescent="0.25">
      <c r="A296" t="s">
        <v>317</v>
      </c>
      <c r="B296" t="s">
        <v>318</v>
      </c>
      <c r="C296" t="s">
        <v>63</v>
      </c>
      <c r="D296" t="s">
        <v>4049</v>
      </c>
      <c r="E296" t="s">
        <v>4073</v>
      </c>
      <c r="F296" t="s">
        <v>4051</v>
      </c>
      <c r="G296">
        <v>3.5</v>
      </c>
      <c r="H296" s="2">
        <v>15517.89</v>
      </c>
      <c r="I296" s="2">
        <v>54312.61</v>
      </c>
    </row>
    <row r="297" spans="1:9" x14ac:dyDescent="0.25">
      <c r="A297" t="s">
        <v>317</v>
      </c>
      <c r="B297" t="s">
        <v>318</v>
      </c>
      <c r="C297" t="s">
        <v>63</v>
      </c>
      <c r="D297" t="s">
        <v>4052</v>
      </c>
      <c r="E297" t="s">
        <v>4053</v>
      </c>
      <c r="F297" t="s">
        <v>4054</v>
      </c>
      <c r="G297">
        <v>1</v>
      </c>
      <c r="H297" s="2">
        <v>103114.19</v>
      </c>
      <c r="I297" s="2">
        <v>1031.14</v>
      </c>
    </row>
    <row r="298" spans="1:9" x14ac:dyDescent="0.25">
      <c r="A298" t="s">
        <v>320</v>
      </c>
      <c r="B298" t="s">
        <v>321</v>
      </c>
      <c r="C298" t="s">
        <v>34</v>
      </c>
      <c r="D298" t="s">
        <v>4062</v>
      </c>
      <c r="E298" t="s">
        <v>4007</v>
      </c>
      <c r="F298" t="s">
        <v>34</v>
      </c>
      <c r="G298">
        <v>0.6</v>
      </c>
      <c r="H298" s="2">
        <v>378413.54</v>
      </c>
      <c r="I298" s="2">
        <v>227048.12</v>
      </c>
    </row>
    <row r="299" spans="1:9" x14ac:dyDescent="0.25">
      <c r="A299" t="s">
        <v>320</v>
      </c>
      <c r="B299" t="s">
        <v>321</v>
      </c>
      <c r="C299" t="s">
        <v>34</v>
      </c>
      <c r="D299" t="s">
        <v>4062</v>
      </c>
      <c r="E299" t="s">
        <v>4277</v>
      </c>
      <c r="F299" t="s">
        <v>34</v>
      </c>
      <c r="G299">
        <v>0.4</v>
      </c>
      <c r="H299" s="2">
        <v>50575</v>
      </c>
      <c r="I299" s="2">
        <v>20230</v>
      </c>
    </row>
    <row r="300" spans="1:9" x14ac:dyDescent="0.25">
      <c r="A300" t="s">
        <v>320</v>
      </c>
      <c r="B300" t="s">
        <v>321</v>
      </c>
      <c r="C300" t="s">
        <v>34</v>
      </c>
      <c r="D300" t="s">
        <v>4049</v>
      </c>
      <c r="E300" t="s">
        <v>4050</v>
      </c>
      <c r="F300" t="s">
        <v>4051</v>
      </c>
      <c r="G300">
        <v>6</v>
      </c>
      <c r="H300" s="2">
        <v>9037.33</v>
      </c>
      <c r="I300" s="2">
        <v>54223.98</v>
      </c>
    </row>
    <row r="301" spans="1:9" x14ac:dyDescent="0.25">
      <c r="A301" t="s">
        <v>320</v>
      </c>
      <c r="B301" t="s">
        <v>321</v>
      </c>
      <c r="C301" t="s">
        <v>34</v>
      </c>
      <c r="D301" t="s">
        <v>4049</v>
      </c>
      <c r="E301" t="s">
        <v>4073</v>
      </c>
      <c r="F301" t="s">
        <v>4051</v>
      </c>
      <c r="G301">
        <v>2</v>
      </c>
      <c r="H301" s="2">
        <v>15517.89</v>
      </c>
      <c r="I301" s="2">
        <v>31035.78</v>
      </c>
    </row>
    <row r="302" spans="1:9" x14ac:dyDescent="0.25">
      <c r="A302" t="s">
        <v>320</v>
      </c>
      <c r="B302" t="s">
        <v>321</v>
      </c>
      <c r="C302" t="s">
        <v>34</v>
      </c>
      <c r="D302" t="s">
        <v>4052</v>
      </c>
      <c r="E302" t="s">
        <v>4053</v>
      </c>
      <c r="F302" t="s">
        <v>4054</v>
      </c>
      <c r="G302">
        <v>3</v>
      </c>
      <c r="H302" s="2">
        <v>85259.76</v>
      </c>
      <c r="I302" s="2">
        <v>2557.79</v>
      </c>
    </row>
    <row r="303" spans="1:9" x14ac:dyDescent="0.25">
      <c r="A303" t="s">
        <v>320</v>
      </c>
      <c r="B303" t="s">
        <v>321</v>
      </c>
      <c r="C303" t="s">
        <v>34</v>
      </c>
      <c r="D303" t="s">
        <v>4058</v>
      </c>
      <c r="E303" t="s">
        <v>4059</v>
      </c>
      <c r="F303" t="s">
        <v>3545</v>
      </c>
      <c r="G303">
        <v>1</v>
      </c>
      <c r="H303" s="2">
        <v>1325</v>
      </c>
      <c r="I303" s="2">
        <v>1325</v>
      </c>
    </row>
    <row r="304" spans="1:9" x14ac:dyDescent="0.25">
      <c r="A304" t="s">
        <v>323</v>
      </c>
      <c r="B304" t="s">
        <v>324</v>
      </c>
      <c r="C304" t="s">
        <v>34</v>
      </c>
      <c r="D304" t="s">
        <v>4062</v>
      </c>
      <c r="E304" t="s">
        <v>4004</v>
      </c>
      <c r="F304" t="s">
        <v>34</v>
      </c>
      <c r="G304">
        <v>0.6</v>
      </c>
      <c r="H304" s="2">
        <v>426702.51</v>
      </c>
      <c r="I304" s="2">
        <v>256021.51</v>
      </c>
    </row>
    <row r="305" spans="1:9" x14ac:dyDescent="0.25">
      <c r="A305" t="s">
        <v>323</v>
      </c>
      <c r="B305" t="s">
        <v>324</v>
      </c>
      <c r="C305" t="s">
        <v>34</v>
      </c>
      <c r="D305" t="s">
        <v>4062</v>
      </c>
      <c r="E305" t="s">
        <v>4277</v>
      </c>
      <c r="F305" t="s">
        <v>34</v>
      </c>
      <c r="G305">
        <v>0.4</v>
      </c>
      <c r="H305" s="2">
        <v>50575</v>
      </c>
      <c r="I305" s="2">
        <v>20230</v>
      </c>
    </row>
    <row r="306" spans="1:9" x14ac:dyDescent="0.25">
      <c r="A306" t="s">
        <v>323</v>
      </c>
      <c r="B306" t="s">
        <v>324</v>
      </c>
      <c r="C306" t="s">
        <v>34</v>
      </c>
      <c r="D306" t="s">
        <v>4049</v>
      </c>
      <c r="E306" t="s">
        <v>4050</v>
      </c>
      <c r="F306" t="s">
        <v>4051</v>
      </c>
      <c r="G306">
        <v>7.8</v>
      </c>
      <c r="H306" s="2">
        <v>9037.33</v>
      </c>
      <c r="I306" s="2">
        <v>70491.17</v>
      </c>
    </row>
    <row r="307" spans="1:9" x14ac:dyDescent="0.25">
      <c r="A307" t="s">
        <v>323</v>
      </c>
      <c r="B307" t="s">
        <v>324</v>
      </c>
      <c r="C307" t="s">
        <v>34</v>
      </c>
      <c r="D307" t="s">
        <v>4049</v>
      </c>
      <c r="E307" t="s">
        <v>4073</v>
      </c>
      <c r="F307" t="s">
        <v>4051</v>
      </c>
      <c r="G307">
        <v>2.6</v>
      </c>
      <c r="H307" s="2">
        <v>15517.89</v>
      </c>
      <c r="I307" s="2">
        <v>40346.51</v>
      </c>
    </row>
    <row r="308" spans="1:9" x14ac:dyDescent="0.25">
      <c r="A308" t="s">
        <v>323</v>
      </c>
      <c r="B308" t="s">
        <v>324</v>
      </c>
      <c r="C308" t="s">
        <v>34</v>
      </c>
      <c r="D308" t="s">
        <v>4052</v>
      </c>
      <c r="E308" t="s">
        <v>4053</v>
      </c>
      <c r="F308" t="s">
        <v>4054</v>
      </c>
      <c r="G308">
        <v>1</v>
      </c>
      <c r="H308" s="2">
        <v>110837.68</v>
      </c>
      <c r="I308" s="2">
        <v>1108.38</v>
      </c>
    </row>
    <row r="309" spans="1:9" x14ac:dyDescent="0.25">
      <c r="A309" t="s">
        <v>323</v>
      </c>
      <c r="B309" t="s">
        <v>324</v>
      </c>
      <c r="C309" t="s">
        <v>34</v>
      </c>
      <c r="D309" t="s">
        <v>4058</v>
      </c>
      <c r="E309" t="s">
        <v>4059</v>
      </c>
      <c r="F309" t="s">
        <v>3545</v>
      </c>
      <c r="G309">
        <v>1</v>
      </c>
      <c r="H309" s="2">
        <v>1325</v>
      </c>
      <c r="I309" s="2">
        <v>1325</v>
      </c>
    </row>
    <row r="310" spans="1:9" x14ac:dyDescent="0.25">
      <c r="A310" t="s">
        <v>326</v>
      </c>
      <c r="B310" t="s">
        <v>327</v>
      </c>
      <c r="C310" t="s">
        <v>34</v>
      </c>
      <c r="D310" t="s">
        <v>4062</v>
      </c>
      <c r="E310" t="s">
        <v>4001</v>
      </c>
      <c r="F310" t="s">
        <v>34</v>
      </c>
      <c r="G310">
        <v>0.6</v>
      </c>
      <c r="H310" s="2">
        <v>450245.66</v>
      </c>
      <c r="I310" s="2">
        <v>270147.4</v>
      </c>
    </row>
    <row r="311" spans="1:9" x14ac:dyDescent="0.25">
      <c r="A311" t="s">
        <v>326</v>
      </c>
      <c r="B311" t="s">
        <v>327</v>
      </c>
      <c r="C311" t="s">
        <v>34</v>
      </c>
      <c r="D311" t="s">
        <v>4062</v>
      </c>
      <c r="E311" t="s">
        <v>4277</v>
      </c>
      <c r="F311" t="s">
        <v>34</v>
      </c>
      <c r="G311">
        <v>0.4</v>
      </c>
      <c r="H311" s="2">
        <v>50575</v>
      </c>
      <c r="I311" s="2">
        <v>20230</v>
      </c>
    </row>
    <row r="312" spans="1:9" x14ac:dyDescent="0.25">
      <c r="A312" t="s">
        <v>326</v>
      </c>
      <c r="B312" t="s">
        <v>327</v>
      </c>
      <c r="C312" t="s">
        <v>34</v>
      </c>
      <c r="D312" t="s">
        <v>4049</v>
      </c>
      <c r="E312" t="s">
        <v>4050</v>
      </c>
      <c r="F312" t="s">
        <v>4051</v>
      </c>
      <c r="G312">
        <v>7.8</v>
      </c>
      <c r="H312" s="2">
        <v>9037.33</v>
      </c>
      <c r="I312" s="2">
        <v>70491.17</v>
      </c>
    </row>
    <row r="313" spans="1:9" x14ac:dyDescent="0.25">
      <c r="A313" t="s">
        <v>326</v>
      </c>
      <c r="B313" t="s">
        <v>327</v>
      </c>
      <c r="C313" t="s">
        <v>34</v>
      </c>
      <c r="D313" t="s">
        <v>4049</v>
      </c>
      <c r="E313" t="s">
        <v>4073</v>
      </c>
      <c r="F313" t="s">
        <v>4051</v>
      </c>
      <c r="G313">
        <v>2.6</v>
      </c>
      <c r="H313" s="2">
        <v>15517.89</v>
      </c>
      <c r="I313" s="2">
        <v>40346.51</v>
      </c>
    </row>
    <row r="314" spans="1:9" x14ac:dyDescent="0.25">
      <c r="A314" t="s">
        <v>326</v>
      </c>
      <c r="B314" t="s">
        <v>327</v>
      </c>
      <c r="C314" t="s">
        <v>34</v>
      </c>
      <c r="D314" t="s">
        <v>4052</v>
      </c>
      <c r="E314" t="s">
        <v>4053</v>
      </c>
      <c r="F314" t="s">
        <v>4054</v>
      </c>
      <c r="G314">
        <v>3</v>
      </c>
      <c r="H314" s="2">
        <v>110837.68</v>
      </c>
      <c r="I314" s="2">
        <v>3325.13</v>
      </c>
    </row>
    <row r="315" spans="1:9" x14ac:dyDescent="0.25">
      <c r="A315" t="s">
        <v>326</v>
      </c>
      <c r="B315" t="s">
        <v>327</v>
      </c>
      <c r="C315" t="s">
        <v>34</v>
      </c>
      <c r="D315" t="s">
        <v>4058</v>
      </c>
      <c r="E315" t="s">
        <v>4059</v>
      </c>
      <c r="F315" t="s">
        <v>3545</v>
      </c>
      <c r="G315">
        <v>1</v>
      </c>
      <c r="H315" s="2">
        <v>1325</v>
      </c>
      <c r="I315" s="2">
        <v>1325</v>
      </c>
    </row>
    <row r="316" spans="1:9" x14ac:dyDescent="0.25">
      <c r="A316" t="s">
        <v>329</v>
      </c>
      <c r="B316" t="s">
        <v>330</v>
      </c>
      <c r="C316" t="s">
        <v>34</v>
      </c>
      <c r="D316" t="s">
        <v>4062</v>
      </c>
      <c r="E316" t="s">
        <v>4012</v>
      </c>
      <c r="F316" t="s">
        <v>34</v>
      </c>
      <c r="G316">
        <v>0.6</v>
      </c>
      <c r="H316" s="2">
        <v>475506.98</v>
      </c>
      <c r="I316" s="2">
        <v>285304.19</v>
      </c>
    </row>
    <row r="317" spans="1:9" x14ac:dyDescent="0.25">
      <c r="A317" t="s">
        <v>329</v>
      </c>
      <c r="B317" t="s">
        <v>330</v>
      </c>
      <c r="C317" t="s">
        <v>34</v>
      </c>
      <c r="D317" t="s">
        <v>4062</v>
      </c>
      <c r="E317" t="s">
        <v>4277</v>
      </c>
      <c r="F317" t="s">
        <v>34</v>
      </c>
      <c r="G317">
        <v>0.4</v>
      </c>
      <c r="H317" s="2">
        <v>50575</v>
      </c>
      <c r="I317" s="2">
        <v>20230</v>
      </c>
    </row>
    <row r="318" spans="1:9" x14ac:dyDescent="0.25">
      <c r="A318" t="s">
        <v>329</v>
      </c>
      <c r="B318" t="s">
        <v>330</v>
      </c>
      <c r="C318" t="s">
        <v>34</v>
      </c>
      <c r="D318" t="s">
        <v>4049</v>
      </c>
      <c r="E318" t="s">
        <v>4050</v>
      </c>
      <c r="F318" t="s">
        <v>4051</v>
      </c>
      <c r="G318">
        <v>7.8</v>
      </c>
      <c r="H318" s="2">
        <v>9037.33</v>
      </c>
      <c r="I318" s="2">
        <v>70491.17</v>
      </c>
    </row>
    <row r="319" spans="1:9" x14ac:dyDescent="0.25">
      <c r="A319" t="s">
        <v>329</v>
      </c>
      <c r="B319" t="s">
        <v>330</v>
      </c>
      <c r="C319" t="s">
        <v>34</v>
      </c>
      <c r="D319" t="s">
        <v>4049</v>
      </c>
      <c r="E319" t="s">
        <v>4073</v>
      </c>
      <c r="F319" t="s">
        <v>4051</v>
      </c>
      <c r="G319">
        <v>2.6</v>
      </c>
      <c r="H319" s="2">
        <v>15517.89</v>
      </c>
      <c r="I319" s="2">
        <v>40346.51</v>
      </c>
    </row>
    <row r="320" spans="1:9" x14ac:dyDescent="0.25">
      <c r="A320" t="s">
        <v>329</v>
      </c>
      <c r="B320" t="s">
        <v>330</v>
      </c>
      <c r="C320" t="s">
        <v>34</v>
      </c>
      <c r="D320" t="s">
        <v>4052</v>
      </c>
      <c r="E320" t="s">
        <v>4053</v>
      </c>
      <c r="F320" t="s">
        <v>4054</v>
      </c>
      <c r="G320">
        <v>3</v>
      </c>
      <c r="H320" s="2">
        <v>110837.68</v>
      </c>
      <c r="I320" s="2">
        <v>3325.13</v>
      </c>
    </row>
    <row r="321" spans="1:9" x14ac:dyDescent="0.25">
      <c r="A321" t="s">
        <v>329</v>
      </c>
      <c r="B321" t="s">
        <v>330</v>
      </c>
      <c r="C321" t="s">
        <v>34</v>
      </c>
      <c r="D321" t="s">
        <v>4058</v>
      </c>
      <c r="E321" t="s">
        <v>4059</v>
      </c>
      <c r="F321" t="s">
        <v>3545</v>
      </c>
      <c r="G321">
        <v>1</v>
      </c>
      <c r="H321" s="2">
        <v>1325</v>
      </c>
      <c r="I321" s="2">
        <v>1325</v>
      </c>
    </row>
    <row r="322" spans="1:9" x14ac:dyDescent="0.25">
      <c r="A322" t="s">
        <v>332</v>
      </c>
      <c r="B322" t="s">
        <v>333</v>
      </c>
      <c r="C322" t="s">
        <v>34</v>
      </c>
      <c r="D322" t="s">
        <v>4062</v>
      </c>
      <c r="E322" t="s">
        <v>4012</v>
      </c>
      <c r="F322" t="s">
        <v>34</v>
      </c>
      <c r="G322">
        <v>1.05</v>
      </c>
      <c r="H322" s="2">
        <v>475506.98</v>
      </c>
      <c r="I322" s="2">
        <v>499282.33</v>
      </c>
    </row>
    <row r="323" spans="1:9" x14ac:dyDescent="0.25">
      <c r="A323" t="s">
        <v>332</v>
      </c>
      <c r="B323" t="s">
        <v>333</v>
      </c>
      <c r="C323" t="s">
        <v>34</v>
      </c>
      <c r="D323" t="s">
        <v>4049</v>
      </c>
      <c r="E323" t="s">
        <v>4286</v>
      </c>
      <c r="F323" t="s">
        <v>4106</v>
      </c>
      <c r="G323">
        <v>0.03</v>
      </c>
      <c r="H323" s="2">
        <v>73333.33</v>
      </c>
      <c r="I323" s="2">
        <v>2273.33</v>
      </c>
    </row>
    <row r="324" spans="1:9" x14ac:dyDescent="0.25">
      <c r="A324" t="s">
        <v>332</v>
      </c>
      <c r="B324" t="s">
        <v>333</v>
      </c>
      <c r="C324" t="s">
        <v>34</v>
      </c>
      <c r="D324" t="s">
        <v>4049</v>
      </c>
      <c r="E324" t="s">
        <v>4050</v>
      </c>
      <c r="F324" t="s">
        <v>4051</v>
      </c>
      <c r="G324">
        <v>7.7</v>
      </c>
      <c r="H324" s="2">
        <v>9037.33</v>
      </c>
      <c r="I324" s="2">
        <v>69587.44</v>
      </c>
    </row>
    <row r="325" spans="1:9" x14ac:dyDescent="0.25">
      <c r="A325" t="s">
        <v>332</v>
      </c>
      <c r="B325" t="s">
        <v>333</v>
      </c>
      <c r="C325" t="s">
        <v>34</v>
      </c>
      <c r="D325" t="s">
        <v>4049</v>
      </c>
      <c r="E325" t="s">
        <v>4073</v>
      </c>
      <c r="F325" t="s">
        <v>4051</v>
      </c>
      <c r="G325">
        <v>7.7</v>
      </c>
      <c r="H325" s="2">
        <v>15517.89</v>
      </c>
      <c r="I325" s="2">
        <v>119487.75</v>
      </c>
    </row>
    <row r="326" spans="1:9" x14ac:dyDescent="0.25">
      <c r="A326" t="s">
        <v>332</v>
      </c>
      <c r="B326" t="s">
        <v>333</v>
      </c>
      <c r="C326" t="s">
        <v>34</v>
      </c>
      <c r="D326" t="s">
        <v>4052</v>
      </c>
      <c r="E326" t="s">
        <v>4053</v>
      </c>
      <c r="F326" t="s">
        <v>4054</v>
      </c>
      <c r="G326">
        <v>5</v>
      </c>
      <c r="H326" s="2">
        <v>189075.19</v>
      </c>
      <c r="I326" s="2">
        <v>9453.76</v>
      </c>
    </row>
    <row r="327" spans="1:9" x14ac:dyDescent="0.25">
      <c r="A327" t="s">
        <v>335</v>
      </c>
      <c r="B327" t="s">
        <v>336</v>
      </c>
      <c r="C327" t="s">
        <v>34</v>
      </c>
      <c r="D327" t="s">
        <v>4062</v>
      </c>
      <c r="E327" t="s">
        <v>4289</v>
      </c>
      <c r="F327" t="s">
        <v>63</v>
      </c>
      <c r="G327">
        <v>3.05</v>
      </c>
      <c r="H327" s="2">
        <v>5028.78</v>
      </c>
      <c r="I327" s="2">
        <v>15337.78</v>
      </c>
    </row>
    <row r="328" spans="1:9" x14ac:dyDescent="0.25">
      <c r="A328" t="s">
        <v>335</v>
      </c>
      <c r="B328" t="s">
        <v>336</v>
      </c>
      <c r="C328" t="s">
        <v>34</v>
      </c>
      <c r="D328" t="s">
        <v>4062</v>
      </c>
      <c r="E328" t="s">
        <v>4012</v>
      </c>
      <c r="F328" t="s">
        <v>34</v>
      </c>
      <c r="G328">
        <v>1.05</v>
      </c>
      <c r="H328" s="2">
        <v>475506.98</v>
      </c>
      <c r="I328" s="2">
        <v>499282.33</v>
      </c>
    </row>
    <row r="329" spans="1:9" x14ac:dyDescent="0.25">
      <c r="A329" t="s">
        <v>335</v>
      </c>
      <c r="B329" t="s">
        <v>336</v>
      </c>
      <c r="C329" t="s">
        <v>34</v>
      </c>
      <c r="D329" t="s">
        <v>4062</v>
      </c>
      <c r="E329" t="s">
        <v>4290</v>
      </c>
      <c r="F329" t="s">
        <v>42</v>
      </c>
      <c r="G329">
        <v>1.03</v>
      </c>
      <c r="H329" s="2">
        <v>4500</v>
      </c>
      <c r="I329" s="2">
        <v>4635</v>
      </c>
    </row>
    <row r="330" spans="1:9" x14ac:dyDescent="0.25">
      <c r="A330" t="s">
        <v>335</v>
      </c>
      <c r="B330" t="s">
        <v>336</v>
      </c>
      <c r="C330" t="s">
        <v>34</v>
      </c>
      <c r="D330" t="s">
        <v>4062</v>
      </c>
      <c r="E330" t="s">
        <v>4065</v>
      </c>
      <c r="F330" t="s">
        <v>4066</v>
      </c>
      <c r="G330">
        <v>0.1</v>
      </c>
      <c r="H330" s="2">
        <v>3433</v>
      </c>
      <c r="I330" s="2">
        <v>343.3</v>
      </c>
    </row>
    <row r="331" spans="1:9" x14ac:dyDescent="0.25">
      <c r="A331" t="s">
        <v>335</v>
      </c>
      <c r="B331" t="s">
        <v>336</v>
      </c>
      <c r="C331" t="s">
        <v>34</v>
      </c>
      <c r="D331" t="s">
        <v>4049</v>
      </c>
      <c r="E331" t="s">
        <v>4050</v>
      </c>
      <c r="F331" t="s">
        <v>4051</v>
      </c>
      <c r="G331">
        <v>7.77</v>
      </c>
      <c r="H331" s="2">
        <v>9037.33</v>
      </c>
      <c r="I331" s="2">
        <v>70220.05</v>
      </c>
    </row>
    <row r="332" spans="1:9" x14ac:dyDescent="0.25">
      <c r="A332" t="s">
        <v>335</v>
      </c>
      <c r="B332" t="s">
        <v>336</v>
      </c>
      <c r="C332" t="s">
        <v>34</v>
      </c>
      <c r="D332" t="s">
        <v>4049</v>
      </c>
      <c r="E332" t="s">
        <v>4073</v>
      </c>
      <c r="F332" t="s">
        <v>4051</v>
      </c>
      <c r="G332">
        <v>7.77</v>
      </c>
      <c r="H332" s="2">
        <v>15517.89</v>
      </c>
      <c r="I332" s="2">
        <v>120574.01</v>
      </c>
    </row>
    <row r="333" spans="1:9" x14ac:dyDescent="0.25">
      <c r="A333" t="s">
        <v>335</v>
      </c>
      <c r="B333" t="s">
        <v>336</v>
      </c>
      <c r="C333" t="s">
        <v>34</v>
      </c>
      <c r="D333" t="s">
        <v>4052</v>
      </c>
      <c r="E333" t="s">
        <v>4286</v>
      </c>
      <c r="F333" t="s">
        <v>4106</v>
      </c>
      <c r="G333">
        <v>0.03</v>
      </c>
      <c r="H333" s="2">
        <v>73333.33</v>
      </c>
      <c r="I333" s="2">
        <v>2273.33</v>
      </c>
    </row>
    <row r="334" spans="1:9" x14ac:dyDescent="0.25">
      <c r="A334" t="s">
        <v>335</v>
      </c>
      <c r="B334" t="s">
        <v>336</v>
      </c>
      <c r="C334" t="s">
        <v>34</v>
      </c>
      <c r="D334" t="s">
        <v>4052</v>
      </c>
      <c r="E334" t="s">
        <v>4053</v>
      </c>
      <c r="F334" t="s">
        <v>4054</v>
      </c>
      <c r="G334">
        <v>0.05</v>
      </c>
      <c r="H334" s="2">
        <v>190794.06</v>
      </c>
      <c r="I334" s="2">
        <v>95.4</v>
      </c>
    </row>
    <row r="335" spans="1:9" x14ac:dyDescent="0.25">
      <c r="A335" t="s">
        <v>338</v>
      </c>
      <c r="B335" t="s">
        <v>339</v>
      </c>
      <c r="C335" t="s">
        <v>34</v>
      </c>
      <c r="D335" t="s">
        <v>4062</v>
      </c>
      <c r="E335" t="s">
        <v>4289</v>
      </c>
      <c r="F335" t="s">
        <v>63</v>
      </c>
      <c r="G335">
        <v>3.5</v>
      </c>
      <c r="H335" s="2">
        <v>5028.78</v>
      </c>
      <c r="I335" s="2">
        <v>17600.73</v>
      </c>
    </row>
    <row r="336" spans="1:9" x14ac:dyDescent="0.25">
      <c r="A336" t="s">
        <v>338</v>
      </c>
      <c r="B336" t="s">
        <v>339</v>
      </c>
      <c r="C336" t="s">
        <v>34</v>
      </c>
      <c r="D336" t="s">
        <v>4062</v>
      </c>
      <c r="E336" t="s">
        <v>4293</v>
      </c>
      <c r="F336" t="s">
        <v>63</v>
      </c>
      <c r="G336">
        <v>1.03</v>
      </c>
      <c r="H336" s="2">
        <v>4718.97</v>
      </c>
      <c r="I336" s="2">
        <v>4860.54</v>
      </c>
    </row>
    <row r="337" spans="1:9" x14ac:dyDescent="0.25">
      <c r="A337" t="s">
        <v>338</v>
      </c>
      <c r="B337" t="s">
        <v>339</v>
      </c>
      <c r="C337" t="s">
        <v>34</v>
      </c>
      <c r="D337" t="s">
        <v>4062</v>
      </c>
      <c r="E337" t="s">
        <v>4012</v>
      </c>
      <c r="F337" t="s">
        <v>34</v>
      </c>
      <c r="G337">
        <v>1.05</v>
      </c>
      <c r="H337" s="2">
        <v>475506.98</v>
      </c>
      <c r="I337" s="2">
        <v>499282.33</v>
      </c>
    </row>
    <row r="338" spans="1:9" x14ac:dyDescent="0.25">
      <c r="A338" t="s">
        <v>338</v>
      </c>
      <c r="B338" t="s">
        <v>339</v>
      </c>
      <c r="C338" t="s">
        <v>34</v>
      </c>
      <c r="D338" t="s">
        <v>4062</v>
      </c>
      <c r="E338" t="s">
        <v>4065</v>
      </c>
      <c r="F338" t="s">
        <v>4066</v>
      </c>
      <c r="G338">
        <v>1.5</v>
      </c>
      <c r="H338" s="2">
        <v>3433</v>
      </c>
      <c r="I338" s="2">
        <v>5149.5</v>
      </c>
    </row>
    <row r="339" spans="1:9" x14ac:dyDescent="0.25">
      <c r="A339" t="s">
        <v>338</v>
      </c>
      <c r="B339" t="s">
        <v>339</v>
      </c>
      <c r="C339" t="s">
        <v>34</v>
      </c>
      <c r="D339" t="s">
        <v>4049</v>
      </c>
      <c r="E339" t="s">
        <v>4050</v>
      </c>
      <c r="F339" t="s">
        <v>4051</v>
      </c>
      <c r="G339">
        <v>6.5</v>
      </c>
      <c r="H339" s="2">
        <v>9037.33</v>
      </c>
      <c r="I339" s="2">
        <v>58742.64</v>
      </c>
    </row>
    <row r="340" spans="1:9" x14ac:dyDescent="0.25">
      <c r="A340" t="s">
        <v>338</v>
      </c>
      <c r="B340" t="s">
        <v>339</v>
      </c>
      <c r="C340" t="s">
        <v>34</v>
      </c>
      <c r="D340" t="s">
        <v>4049</v>
      </c>
      <c r="E340" t="s">
        <v>4073</v>
      </c>
      <c r="F340" t="s">
        <v>4051</v>
      </c>
      <c r="G340">
        <v>6.5</v>
      </c>
      <c r="H340" s="2">
        <v>15517.89</v>
      </c>
      <c r="I340" s="2">
        <v>100866.29</v>
      </c>
    </row>
    <row r="341" spans="1:9" x14ac:dyDescent="0.25">
      <c r="A341" t="s">
        <v>338</v>
      </c>
      <c r="B341" t="s">
        <v>339</v>
      </c>
      <c r="C341" t="s">
        <v>34</v>
      </c>
      <c r="D341" t="s">
        <v>4052</v>
      </c>
      <c r="E341" t="s">
        <v>4286</v>
      </c>
      <c r="F341" t="s">
        <v>4106</v>
      </c>
      <c r="G341">
        <v>0.03</v>
      </c>
      <c r="H341" s="2">
        <v>73333.33</v>
      </c>
      <c r="I341" s="2">
        <v>2273.33</v>
      </c>
    </row>
    <row r="342" spans="1:9" x14ac:dyDescent="0.25">
      <c r="A342" t="s">
        <v>338</v>
      </c>
      <c r="B342" t="s">
        <v>339</v>
      </c>
      <c r="C342" t="s">
        <v>34</v>
      </c>
      <c r="D342" t="s">
        <v>4052</v>
      </c>
      <c r="E342" t="s">
        <v>4053</v>
      </c>
      <c r="F342" t="s">
        <v>4054</v>
      </c>
      <c r="G342">
        <v>5</v>
      </c>
      <c r="H342" s="2">
        <v>159608.93</v>
      </c>
      <c r="I342" s="2">
        <v>7980.45</v>
      </c>
    </row>
    <row r="343" spans="1:9" x14ac:dyDescent="0.25">
      <c r="A343" t="s">
        <v>338</v>
      </c>
      <c r="B343" t="s">
        <v>339</v>
      </c>
      <c r="C343" t="s">
        <v>34</v>
      </c>
      <c r="D343" t="s">
        <v>4058</v>
      </c>
      <c r="E343" t="s">
        <v>4059</v>
      </c>
      <c r="F343" t="s">
        <v>3545</v>
      </c>
      <c r="G343">
        <v>1</v>
      </c>
      <c r="H343" s="2">
        <v>1325</v>
      </c>
      <c r="I343" s="2">
        <v>1325</v>
      </c>
    </row>
    <row r="344" spans="1:9" x14ac:dyDescent="0.25">
      <c r="A344" t="s">
        <v>341</v>
      </c>
      <c r="B344" t="s">
        <v>342</v>
      </c>
      <c r="C344" t="s">
        <v>34</v>
      </c>
      <c r="D344" t="s">
        <v>4062</v>
      </c>
      <c r="E344" t="s">
        <v>4289</v>
      </c>
      <c r="F344" t="s">
        <v>63</v>
      </c>
      <c r="G344">
        <v>3.5</v>
      </c>
      <c r="H344" s="2">
        <v>5028.78</v>
      </c>
      <c r="I344" s="2">
        <v>17600.73</v>
      </c>
    </row>
    <row r="345" spans="1:9" x14ac:dyDescent="0.25">
      <c r="A345" t="s">
        <v>341</v>
      </c>
      <c r="B345" t="s">
        <v>342</v>
      </c>
      <c r="C345" t="s">
        <v>34</v>
      </c>
      <c r="D345" t="s">
        <v>4062</v>
      </c>
      <c r="E345" t="s">
        <v>4293</v>
      </c>
      <c r="F345" t="s">
        <v>63</v>
      </c>
      <c r="G345">
        <v>1.3</v>
      </c>
      <c r="H345" s="2">
        <v>4718.97</v>
      </c>
      <c r="I345" s="2">
        <v>6134.66</v>
      </c>
    </row>
    <row r="346" spans="1:9" x14ac:dyDescent="0.25">
      <c r="A346" t="s">
        <v>341</v>
      </c>
      <c r="B346" t="s">
        <v>342</v>
      </c>
      <c r="C346" t="s">
        <v>34</v>
      </c>
      <c r="D346" t="s">
        <v>4062</v>
      </c>
      <c r="E346" t="s">
        <v>4012</v>
      </c>
      <c r="F346" t="s">
        <v>34</v>
      </c>
      <c r="G346">
        <v>1.05</v>
      </c>
      <c r="H346" s="2">
        <v>475506.98</v>
      </c>
      <c r="I346" s="2">
        <v>499282.33</v>
      </c>
    </row>
    <row r="347" spans="1:9" x14ac:dyDescent="0.25">
      <c r="A347" t="s">
        <v>341</v>
      </c>
      <c r="B347" t="s">
        <v>342</v>
      </c>
      <c r="C347" t="s">
        <v>34</v>
      </c>
      <c r="D347" t="s">
        <v>4062</v>
      </c>
      <c r="E347" t="s">
        <v>4065</v>
      </c>
      <c r="F347" t="s">
        <v>4066</v>
      </c>
      <c r="G347">
        <v>1</v>
      </c>
      <c r="H347" s="2">
        <v>3433</v>
      </c>
      <c r="I347" s="2">
        <v>3433</v>
      </c>
    </row>
    <row r="348" spans="1:9" x14ac:dyDescent="0.25">
      <c r="A348" t="s">
        <v>341</v>
      </c>
      <c r="B348" t="s">
        <v>342</v>
      </c>
      <c r="C348" t="s">
        <v>34</v>
      </c>
      <c r="D348" t="s">
        <v>4049</v>
      </c>
      <c r="E348" t="s">
        <v>4050</v>
      </c>
      <c r="F348" t="s">
        <v>4051</v>
      </c>
      <c r="G348">
        <v>5.9</v>
      </c>
      <c r="H348" s="2">
        <v>9037.33</v>
      </c>
      <c r="I348" s="2">
        <v>53320.25</v>
      </c>
    </row>
    <row r="349" spans="1:9" x14ac:dyDescent="0.25">
      <c r="A349" t="s">
        <v>341</v>
      </c>
      <c r="B349" t="s">
        <v>342</v>
      </c>
      <c r="C349" t="s">
        <v>34</v>
      </c>
      <c r="D349" t="s">
        <v>4049</v>
      </c>
      <c r="E349" t="s">
        <v>4073</v>
      </c>
      <c r="F349" t="s">
        <v>4051</v>
      </c>
      <c r="G349">
        <v>5.9</v>
      </c>
      <c r="H349" s="2">
        <v>15517.89</v>
      </c>
      <c r="I349" s="2">
        <v>91555.55</v>
      </c>
    </row>
    <row r="350" spans="1:9" x14ac:dyDescent="0.25">
      <c r="A350" t="s">
        <v>341</v>
      </c>
      <c r="B350" t="s">
        <v>342</v>
      </c>
      <c r="C350" t="s">
        <v>34</v>
      </c>
      <c r="D350" t="s">
        <v>4052</v>
      </c>
      <c r="E350" t="s">
        <v>4286</v>
      </c>
      <c r="F350" t="s">
        <v>4106</v>
      </c>
      <c r="G350">
        <v>0.03</v>
      </c>
      <c r="H350" s="2">
        <v>73333.33</v>
      </c>
      <c r="I350" s="2">
        <v>2273.33</v>
      </c>
    </row>
    <row r="351" spans="1:9" x14ac:dyDescent="0.25">
      <c r="A351" t="s">
        <v>341</v>
      </c>
      <c r="B351" t="s">
        <v>342</v>
      </c>
      <c r="C351" t="s">
        <v>34</v>
      </c>
      <c r="D351" t="s">
        <v>4052</v>
      </c>
      <c r="E351" t="s">
        <v>4053</v>
      </c>
      <c r="F351" t="s">
        <v>4054</v>
      </c>
      <c r="G351">
        <v>5</v>
      </c>
      <c r="H351" s="2">
        <v>144875.8</v>
      </c>
      <c r="I351" s="2">
        <v>7243.79</v>
      </c>
    </row>
    <row r="352" spans="1:9" x14ac:dyDescent="0.25">
      <c r="A352" t="s">
        <v>341</v>
      </c>
      <c r="B352" t="s">
        <v>342</v>
      </c>
      <c r="C352" t="s">
        <v>34</v>
      </c>
      <c r="D352" t="s">
        <v>4058</v>
      </c>
      <c r="E352" t="s">
        <v>4059</v>
      </c>
      <c r="F352" t="s">
        <v>3545</v>
      </c>
      <c r="G352">
        <v>1</v>
      </c>
      <c r="H352" s="2">
        <v>1325</v>
      </c>
      <c r="I352" s="2">
        <v>1325</v>
      </c>
    </row>
    <row r="353" spans="1:9" x14ac:dyDescent="0.25">
      <c r="A353" t="s">
        <v>344</v>
      </c>
      <c r="B353" t="s">
        <v>345</v>
      </c>
      <c r="C353" t="s">
        <v>34</v>
      </c>
      <c r="D353" t="s">
        <v>4062</v>
      </c>
      <c r="E353" t="s">
        <v>4298</v>
      </c>
      <c r="F353" t="s">
        <v>42</v>
      </c>
      <c r="G353">
        <v>5</v>
      </c>
      <c r="H353" s="2">
        <v>6466.67</v>
      </c>
      <c r="I353" s="2">
        <v>32333.35</v>
      </c>
    </row>
    <row r="354" spans="1:9" x14ac:dyDescent="0.25">
      <c r="A354" t="s">
        <v>344</v>
      </c>
      <c r="B354" t="s">
        <v>345</v>
      </c>
      <c r="C354" t="s">
        <v>34</v>
      </c>
      <c r="D354" t="s">
        <v>4062</v>
      </c>
      <c r="E354" t="s">
        <v>4299</v>
      </c>
      <c r="F354" t="s">
        <v>63</v>
      </c>
      <c r="G354">
        <v>0.4</v>
      </c>
      <c r="H354" s="2">
        <v>9284.05</v>
      </c>
      <c r="I354" s="2">
        <v>3713.62</v>
      </c>
    </row>
    <row r="355" spans="1:9" x14ac:dyDescent="0.25">
      <c r="A355" t="s">
        <v>344</v>
      </c>
      <c r="B355" t="s">
        <v>345</v>
      </c>
      <c r="C355" t="s">
        <v>34</v>
      </c>
      <c r="D355" t="s">
        <v>4062</v>
      </c>
      <c r="E355" t="s">
        <v>4300</v>
      </c>
      <c r="F355" t="s">
        <v>63</v>
      </c>
      <c r="G355">
        <v>0.5</v>
      </c>
      <c r="H355" s="2">
        <v>107814</v>
      </c>
      <c r="I355" s="2">
        <v>53907</v>
      </c>
    </row>
    <row r="356" spans="1:9" x14ac:dyDescent="0.25">
      <c r="A356" t="s">
        <v>344</v>
      </c>
      <c r="B356" t="s">
        <v>345</v>
      </c>
      <c r="C356" t="s">
        <v>34</v>
      </c>
      <c r="D356" t="s">
        <v>4062</v>
      </c>
      <c r="E356" t="s">
        <v>4277</v>
      </c>
      <c r="F356" t="s">
        <v>34</v>
      </c>
      <c r="G356">
        <v>1.2</v>
      </c>
      <c r="H356" s="2">
        <v>50575</v>
      </c>
      <c r="I356" s="2">
        <v>60690</v>
      </c>
    </row>
    <row r="357" spans="1:9" x14ac:dyDescent="0.25">
      <c r="A357" t="s">
        <v>344</v>
      </c>
      <c r="B357" t="s">
        <v>345</v>
      </c>
      <c r="C357" t="s">
        <v>34</v>
      </c>
      <c r="D357" t="s">
        <v>4062</v>
      </c>
      <c r="E357" t="s">
        <v>4065</v>
      </c>
      <c r="F357" t="s">
        <v>4066</v>
      </c>
      <c r="G357">
        <v>0.3</v>
      </c>
      <c r="H357" s="2">
        <v>3433</v>
      </c>
      <c r="I357" s="2">
        <v>1029.9</v>
      </c>
    </row>
    <row r="358" spans="1:9" x14ac:dyDescent="0.25">
      <c r="A358" t="s">
        <v>344</v>
      </c>
      <c r="B358" t="s">
        <v>345</v>
      </c>
      <c r="C358" t="s">
        <v>34</v>
      </c>
      <c r="D358" t="s">
        <v>4062</v>
      </c>
      <c r="E358" t="s">
        <v>4301</v>
      </c>
      <c r="F358" t="s">
        <v>231</v>
      </c>
      <c r="G358">
        <v>1.4</v>
      </c>
      <c r="H358" s="2">
        <v>4850</v>
      </c>
      <c r="I358" s="2">
        <v>6790</v>
      </c>
    </row>
    <row r="359" spans="1:9" x14ac:dyDescent="0.25">
      <c r="A359" t="s">
        <v>344</v>
      </c>
      <c r="B359" t="s">
        <v>345</v>
      </c>
      <c r="C359" t="s">
        <v>34</v>
      </c>
      <c r="D359" t="s">
        <v>4049</v>
      </c>
      <c r="E359" t="s">
        <v>4050</v>
      </c>
      <c r="F359" t="s">
        <v>4051</v>
      </c>
      <c r="G359">
        <v>4.25</v>
      </c>
      <c r="H359" s="2">
        <v>9037.33</v>
      </c>
      <c r="I359" s="2">
        <v>38408.65</v>
      </c>
    </row>
    <row r="360" spans="1:9" x14ac:dyDescent="0.25">
      <c r="A360" t="s">
        <v>344</v>
      </c>
      <c r="B360" t="s">
        <v>345</v>
      </c>
      <c r="C360" t="s">
        <v>34</v>
      </c>
      <c r="D360" t="s">
        <v>4049</v>
      </c>
      <c r="E360" t="s">
        <v>4073</v>
      </c>
      <c r="F360" t="s">
        <v>4051</v>
      </c>
      <c r="G360">
        <v>0.85</v>
      </c>
      <c r="H360" s="2">
        <v>15517.89</v>
      </c>
      <c r="I360" s="2">
        <v>13190.21</v>
      </c>
    </row>
    <row r="361" spans="1:9" x14ac:dyDescent="0.25">
      <c r="A361" t="s">
        <v>344</v>
      </c>
      <c r="B361" t="s">
        <v>345</v>
      </c>
      <c r="C361" t="s">
        <v>34</v>
      </c>
      <c r="D361" t="s">
        <v>4052</v>
      </c>
      <c r="E361" t="s">
        <v>4053</v>
      </c>
      <c r="F361" t="s">
        <v>4054</v>
      </c>
      <c r="G361">
        <v>3</v>
      </c>
      <c r="H361" s="2">
        <v>51598.86</v>
      </c>
      <c r="I361" s="2">
        <v>1547.97</v>
      </c>
    </row>
    <row r="362" spans="1:9" x14ac:dyDescent="0.25">
      <c r="A362" t="s">
        <v>348</v>
      </c>
      <c r="B362" t="s">
        <v>349</v>
      </c>
      <c r="C362" t="s">
        <v>34</v>
      </c>
      <c r="D362" t="s">
        <v>4049</v>
      </c>
      <c r="E362" t="s">
        <v>4176</v>
      </c>
      <c r="F362" t="s">
        <v>4177</v>
      </c>
      <c r="G362">
        <v>0.01</v>
      </c>
      <c r="H362" s="2">
        <v>72300.17</v>
      </c>
      <c r="I362" s="2">
        <v>361.5</v>
      </c>
    </row>
    <row r="363" spans="1:9" x14ac:dyDescent="0.25">
      <c r="A363" t="s">
        <v>348</v>
      </c>
      <c r="B363" t="s">
        <v>349</v>
      </c>
      <c r="C363" t="s">
        <v>34</v>
      </c>
      <c r="D363" t="s">
        <v>4049</v>
      </c>
      <c r="E363" t="s">
        <v>4304</v>
      </c>
      <c r="F363" t="s">
        <v>4177</v>
      </c>
      <c r="G363">
        <v>0.01</v>
      </c>
      <c r="H363" s="2">
        <v>50188.55</v>
      </c>
      <c r="I363" s="2">
        <v>250.94</v>
      </c>
    </row>
    <row r="364" spans="1:9" x14ac:dyDescent="0.25">
      <c r="A364" t="s">
        <v>348</v>
      </c>
      <c r="B364" t="s">
        <v>349</v>
      </c>
      <c r="C364" t="s">
        <v>34</v>
      </c>
      <c r="D364" t="s">
        <v>4052</v>
      </c>
      <c r="E364" t="s">
        <v>4305</v>
      </c>
      <c r="F364" t="s">
        <v>287</v>
      </c>
      <c r="G364">
        <v>0.01</v>
      </c>
      <c r="H364" s="2">
        <v>166043.14</v>
      </c>
      <c r="I364" s="2">
        <v>1992.52</v>
      </c>
    </row>
    <row r="365" spans="1:9" x14ac:dyDescent="0.25">
      <c r="A365" t="s">
        <v>348</v>
      </c>
      <c r="B365" t="s">
        <v>349</v>
      </c>
      <c r="C365" t="s">
        <v>34</v>
      </c>
      <c r="D365" t="s">
        <v>4052</v>
      </c>
      <c r="E365" t="s">
        <v>4306</v>
      </c>
      <c r="F365" t="s">
        <v>287</v>
      </c>
      <c r="G365">
        <v>0.08</v>
      </c>
      <c r="H365" s="2">
        <v>155433.33</v>
      </c>
      <c r="I365" s="2">
        <v>12434.67</v>
      </c>
    </row>
    <row r="366" spans="1:9" x14ac:dyDescent="0.25">
      <c r="A366" t="s">
        <v>348</v>
      </c>
      <c r="B366" t="s">
        <v>349</v>
      </c>
      <c r="C366" t="s">
        <v>34</v>
      </c>
      <c r="D366" t="s">
        <v>4052</v>
      </c>
      <c r="E366" t="s">
        <v>4053</v>
      </c>
      <c r="F366" t="s">
        <v>4054</v>
      </c>
      <c r="G366">
        <v>5</v>
      </c>
      <c r="H366" s="2">
        <v>612.44</v>
      </c>
      <c r="I366" s="2">
        <v>30.62</v>
      </c>
    </row>
    <row r="367" spans="1:9" x14ac:dyDescent="0.25">
      <c r="A367" t="s">
        <v>348</v>
      </c>
      <c r="B367" t="s">
        <v>349</v>
      </c>
      <c r="C367" t="s">
        <v>34</v>
      </c>
      <c r="D367" t="s">
        <v>4058</v>
      </c>
      <c r="E367" t="s">
        <v>4307</v>
      </c>
      <c r="F367" t="s">
        <v>34</v>
      </c>
      <c r="G367">
        <v>1</v>
      </c>
      <c r="H367" s="2">
        <v>1250</v>
      </c>
      <c r="I367" s="2">
        <v>1250</v>
      </c>
    </row>
    <row r="368" spans="1:9" x14ac:dyDescent="0.25">
      <c r="A368" t="s">
        <v>354</v>
      </c>
      <c r="B368" t="s">
        <v>355</v>
      </c>
      <c r="C368" t="s">
        <v>34</v>
      </c>
      <c r="D368" t="s">
        <v>4052</v>
      </c>
      <c r="E368" t="s">
        <v>4305</v>
      </c>
      <c r="F368" t="s">
        <v>287</v>
      </c>
      <c r="G368">
        <v>0.01</v>
      </c>
      <c r="H368" s="2">
        <v>166043.14</v>
      </c>
      <c r="I368" s="2">
        <v>1992.52</v>
      </c>
    </row>
    <row r="369" spans="1:9" x14ac:dyDescent="0.25">
      <c r="A369" t="s">
        <v>354</v>
      </c>
      <c r="B369" t="s">
        <v>355</v>
      </c>
      <c r="C369" t="s">
        <v>34</v>
      </c>
      <c r="D369" t="s">
        <v>4052</v>
      </c>
      <c r="E369" t="s">
        <v>4306</v>
      </c>
      <c r="F369" t="s">
        <v>287</v>
      </c>
      <c r="G369">
        <v>0.01</v>
      </c>
      <c r="H369" s="2">
        <v>155433.33</v>
      </c>
      <c r="I369" s="2">
        <v>2020.63</v>
      </c>
    </row>
    <row r="370" spans="1:9" x14ac:dyDescent="0.25">
      <c r="A370" t="s">
        <v>354</v>
      </c>
      <c r="B370" t="s">
        <v>355</v>
      </c>
      <c r="C370" t="s">
        <v>34</v>
      </c>
      <c r="D370" t="s">
        <v>4058</v>
      </c>
      <c r="E370" t="s">
        <v>4310</v>
      </c>
      <c r="F370" t="s">
        <v>3545</v>
      </c>
      <c r="G370">
        <v>6.25</v>
      </c>
      <c r="H370" s="2">
        <v>1350</v>
      </c>
      <c r="I370" s="2">
        <v>8437.5</v>
      </c>
    </row>
    <row r="371" spans="1:9" x14ac:dyDescent="0.25">
      <c r="A371" t="s">
        <v>357</v>
      </c>
      <c r="B371" t="s">
        <v>358</v>
      </c>
      <c r="C371" t="s">
        <v>34</v>
      </c>
      <c r="D371" t="s">
        <v>4049</v>
      </c>
      <c r="E371" t="s">
        <v>4176</v>
      </c>
      <c r="F371" t="s">
        <v>4177</v>
      </c>
      <c r="G371">
        <v>0.4</v>
      </c>
      <c r="H371" s="2">
        <v>72300.17</v>
      </c>
      <c r="I371" s="2">
        <v>28920.07</v>
      </c>
    </row>
    <row r="372" spans="1:9" x14ac:dyDescent="0.25">
      <c r="A372" t="s">
        <v>357</v>
      </c>
      <c r="B372" t="s">
        <v>358</v>
      </c>
      <c r="C372" t="s">
        <v>34</v>
      </c>
      <c r="D372" t="s">
        <v>4049</v>
      </c>
      <c r="E372" t="s">
        <v>4313</v>
      </c>
      <c r="F372" t="s">
        <v>4177</v>
      </c>
      <c r="G372">
        <v>0.2</v>
      </c>
      <c r="H372" s="2">
        <v>124137.15</v>
      </c>
      <c r="I372" s="2">
        <v>24827.43</v>
      </c>
    </row>
    <row r="373" spans="1:9" x14ac:dyDescent="0.25">
      <c r="A373" t="s">
        <v>357</v>
      </c>
      <c r="B373" t="s">
        <v>358</v>
      </c>
      <c r="C373" t="s">
        <v>34</v>
      </c>
      <c r="D373" t="s">
        <v>4052</v>
      </c>
      <c r="E373" t="s">
        <v>4053</v>
      </c>
      <c r="F373" t="s">
        <v>4054</v>
      </c>
      <c r="G373">
        <v>3.3</v>
      </c>
      <c r="H373" s="2">
        <v>53747.5</v>
      </c>
      <c r="I373" s="2">
        <v>1773.67</v>
      </c>
    </row>
    <row r="374" spans="1:9" x14ac:dyDescent="0.25">
      <c r="A374" t="s">
        <v>357</v>
      </c>
      <c r="B374" t="s">
        <v>358</v>
      </c>
      <c r="C374" t="s">
        <v>34</v>
      </c>
      <c r="D374" t="s">
        <v>4058</v>
      </c>
      <c r="E374" t="s">
        <v>4314</v>
      </c>
      <c r="F374" t="s">
        <v>34</v>
      </c>
      <c r="G374">
        <v>0.17</v>
      </c>
      <c r="H374" s="2">
        <v>63714</v>
      </c>
      <c r="I374" s="2">
        <v>10621.12</v>
      </c>
    </row>
    <row r="375" spans="1:9" x14ac:dyDescent="0.25">
      <c r="A375" t="s">
        <v>361</v>
      </c>
      <c r="B375" t="s">
        <v>362</v>
      </c>
      <c r="C375" t="s">
        <v>34</v>
      </c>
      <c r="D375" t="s">
        <v>4049</v>
      </c>
      <c r="E375" t="s">
        <v>4176</v>
      </c>
      <c r="F375" t="s">
        <v>4177</v>
      </c>
      <c r="G375">
        <v>0.03</v>
      </c>
      <c r="H375" s="2">
        <v>72300.17</v>
      </c>
      <c r="I375" s="2">
        <v>1807.5</v>
      </c>
    </row>
    <row r="376" spans="1:9" x14ac:dyDescent="0.25">
      <c r="A376" t="s">
        <v>361</v>
      </c>
      <c r="B376" t="s">
        <v>362</v>
      </c>
      <c r="C376" t="s">
        <v>34</v>
      </c>
      <c r="D376" t="s">
        <v>4049</v>
      </c>
      <c r="E376" t="s">
        <v>4304</v>
      </c>
      <c r="F376" t="s">
        <v>4177</v>
      </c>
      <c r="G376">
        <v>0.01</v>
      </c>
      <c r="H376" s="2">
        <v>50188.55</v>
      </c>
      <c r="I376" s="2">
        <v>627.36</v>
      </c>
    </row>
    <row r="377" spans="1:9" x14ac:dyDescent="0.25">
      <c r="A377" t="s">
        <v>361</v>
      </c>
      <c r="B377" t="s">
        <v>362</v>
      </c>
      <c r="C377" t="s">
        <v>34</v>
      </c>
      <c r="D377" t="s">
        <v>4052</v>
      </c>
      <c r="E377" t="s">
        <v>4317</v>
      </c>
      <c r="F377" t="s">
        <v>287</v>
      </c>
      <c r="G377">
        <v>0.25</v>
      </c>
      <c r="H377" s="2">
        <v>280401.54</v>
      </c>
      <c r="I377" s="2">
        <v>70100.38</v>
      </c>
    </row>
    <row r="378" spans="1:9" x14ac:dyDescent="0.25">
      <c r="A378" t="s">
        <v>361</v>
      </c>
      <c r="B378" t="s">
        <v>362</v>
      </c>
      <c r="C378" t="s">
        <v>34</v>
      </c>
      <c r="D378" t="s">
        <v>4052</v>
      </c>
      <c r="E378" t="s">
        <v>4306</v>
      </c>
      <c r="F378" t="s">
        <v>287</v>
      </c>
      <c r="G378">
        <v>0.25</v>
      </c>
      <c r="H378" s="2">
        <v>155433.33</v>
      </c>
      <c r="I378" s="2">
        <v>38858.33</v>
      </c>
    </row>
    <row r="379" spans="1:9" x14ac:dyDescent="0.25">
      <c r="A379" t="s">
        <v>361</v>
      </c>
      <c r="B379" t="s">
        <v>362</v>
      </c>
      <c r="C379" t="s">
        <v>34</v>
      </c>
      <c r="D379" t="s">
        <v>4052</v>
      </c>
      <c r="E379" t="s">
        <v>4053</v>
      </c>
      <c r="F379" t="s">
        <v>4054</v>
      </c>
      <c r="G379">
        <v>1</v>
      </c>
      <c r="H379" s="2">
        <v>122014.69</v>
      </c>
      <c r="I379" s="2">
        <v>1220.15</v>
      </c>
    </row>
    <row r="380" spans="1:9" x14ac:dyDescent="0.25">
      <c r="A380" t="s">
        <v>361</v>
      </c>
      <c r="B380" t="s">
        <v>362</v>
      </c>
      <c r="C380" t="s">
        <v>34</v>
      </c>
      <c r="D380" t="s">
        <v>4058</v>
      </c>
      <c r="E380" t="s">
        <v>4314</v>
      </c>
      <c r="F380" t="s">
        <v>34</v>
      </c>
      <c r="G380">
        <v>0.17</v>
      </c>
      <c r="H380" s="2">
        <v>63714</v>
      </c>
      <c r="I380" s="2">
        <v>10621.12</v>
      </c>
    </row>
    <row r="381" spans="1:9" x14ac:dyDescent="0.25">
      <c r="A381" t="s">
        <v>364</v>
      </c>
      <c r="B381" t="s">
        <v>365</v>
      </c>
      <c r="C381" t="s">
        <v>21</v>
      </c>
      <c r="D381" t="s">
        <v>4062</v>
      </c>
      <c r="E381" t="s">
        <v>4012</v>
      </c>
      <c r="F381" t="s">
        <v>34</v>
      </c>
      <c r="G381">
        <v>0.05</v>
      </c>
      <c r="H381" s="2">
        <v>475506.98</v>
      </c>
      <c r="I381" s="2">
        <v>23775.35</v>
      </c>
    </row>
    <row r="382" spans="1:9" x14ac:dyDescent="0.25">
      <c r="A382" t="s">
        <v>364</v>
      </c>
      <c r="B382" t="s">
        <v>365</v>
      </c>
      <c r="C382" t="s">
        <v>21</v>
      </c>
      <c r="D382" t="s">
        <v>4062</v>
      </c>
      <c r="E382" t="s">
        <v>4320</v>
      </c>
      <c r="F382" t="s">
        <v>42</v>
      </c>
      <c r="G382">
        <v>0.06</v>
      </c>
      <c r="H382" s="2">
        <v>6222.23</v>
      </c>
      <c r="I382" s="2">
        <v>373.33</v>
      </c>
    </row>
    <row r="383" spans="1:9" x14ac:dyDescent="0.25">
      <c r="A383" t="s">
        <v>364</v>
      </c>
      <c r="B383" t="s">
        <v>365</v>
      </c>
      <c r="C383" t="s">
        <v>21</v>
      </c>
      <c r="D383" t="s">
        <v>4062</v>
      </c>
      <c r="E383" t="s">
        <v>4321</v>
      </c>
      <c r="F383" t="s">
        <v>21</v>
      </c>
      <c r="G383">
        <v>1.1</v>
      </c>
      <c r="H383" s="2">
        <v>8777.33</v>
      </c>
      <c r="I383" s="2">
        <v>9655.06</v>
      </c>
    </row>
    <row r="384" spans="1:9" x14ac:dyDescent="0.25">
      <c r="A384" t="s">
        <v>364</v>
      </c>
      <c r="B384" t="s">
        <v>365</v>
      </c>
      <c r="C384" t="s">
        <v>21</v>
      </c>
      <c r="D384" t="s">
        <v>4062</v>
      </c>
      <c r="E384" t="s">
        <v>4072</v>
      </c>
      <c r="F384" t="s">
        <v>4066</v>
      </c>
      <c r="G384">
        <v>0.02</v>
      </c>
      <c r="H384" s="2">
        <v>3150</v>
      </c>
      <c r="I384" s="2">
        <v>63</v>
      </c>
    </row>
    <row r="385" spans="1:9" x14ac:dyDescent="0.25">
      <c r="A385" t="s">
        <v>364</v>
      </c>
      <c r="B385" t="s">
        <v>365</v>
      </c>
      <c r="C385" t="s">
        <v>21</v>
      </c>
      <c r="D385" t="s">
        <v>4062</v>
      </c>
      <c r="E385" t="s">
        <v>4322</v>
      </c>
      <c r="F385" t="s">
        <v>42</v>
      </c>
      <c r="G385">
        <v>0.05</v>
      </c>
      <c r="H385" s="2">
        <v>5304</v>
      </c>
      <c r="I385" s="2">
        <v>265.2</v>
      </c>
    </row>
    <row r="386" spans="1:9" x14ac:dyDescent="0.25">
      <c r="A386" t="s">
        <v>364</v>
      </c>
      <c r="B386" t="s">
        <v>365</v>
      </c>
      <c r="C386" t="s">
        <v>21</v>
      </c>
      <c r="D386" t="s">
        <v>4049</v>
      </c>
      <c r="E386" t="s">
        <v>4050</v>
      </c>
      <c r="F386" t="s">
        <v>4051</v>
      </c>
      <c r="G386">
        <v>3.88</v>
      </c>
      <c r="H386" s="2">
        <v>9037.33</v>
      </c>
      <c r="I386" s="2">
        <v>35064.84</v>
      </c>
    </row>
    <row r="387" spans="1:9" x14ac:dyDescent="0.25">
      <c r="A387" t="s">
        <v>364</v>
      </c>
      <c r="B387" t="s">
        <v>365</v>
      </c>
      <c r="C387" t="s">
        <v>21</v>
      </c>
      <c r="D387" t="s">
        <v>4049</v>
      </c>
      <c r="E387" t="s">
        <v>4073</v>
      </c>
      <c r="F387" t="s">
        <v>4051</v>
      </c>
      <c r="G387">
        <v>3.88</v>
      </c>
      <c r="H387" s="2">
        <v>15517.89</v>
      </c>
      <c r="I387" s="2">
        <v>60209.41</v>
      </c>
    </row>
    <row r="388" spans="1:9" x14ac:dyDescent="0.25">
      <c r="A388" t="s">
        <v>364</v>
      </c>
      <c r="B388" t="s">
        <v>365</v>
      </c>
      <c r="C388" t="s">
        <v>21</v>
      </c>
      <c r="D388" t="s">
        <v>4049</v>
      </c>
      <c r="E388" t="s">
        <v>4059</v>
      </c>
      <c r="F388" t="s">
        <v>3545</v>
      </c>
      <c r="G388">
        <v>0.55</v>
      </c>
      <c r="H388" s="2">
        <v>1325</v>
      </c>
      <c r="I388" s="2">
        <v>728.75</v>
      </c>
    </row>
    <row r="389" spans="1:9" x14ac:dyDescent="0.25">
      <c r="A389" t="s">
        <v>364</v>
      </c>
      <c r="B389" t="s">
        <v>365</v>
      </c>
      <c r="C389" t="s">
        <v>21</v>
      </c>
      <c r="D389" t="s">
        <v>4052</v>
      </c>
      <c r="E389" t="s">
        <v>4286</v>
      </c>
      <c r="F389" t="s">
        <v>4106</v>
      </c>
      <c r="G389">
        <v>0.02</v>
      </c>
      <c r="H389" s="2">
        <v>73333.33</v>
      </c>
      <c r="I389" s="2">
        <v>1466.67</v>
      </c>
    </row>
    <row r="390" spans="1:9" x14ac:dyDescent="0.25">
      <c r="A390" t="s">
        <v>364</v>
      </c>
      <c r="B390" t="s">
        <v>365</v>
      </c>
      <c r="C390" t="s">
        <v>21</v>
      </c>
      <c r="D390" t="s">
        <v>4052</v>
      </c>
      <c r="E390" t="s">
        <v>4053</v>
      </c>
      <c r="F390" t="s">
        <v>4054</v>
      </c>
      <c r="G390">
        <v>1</v>
      </c>
      <c r="H390" s="2">
        <v>95274.25</v>
      </c>
      <c r="I390" s="2">
        <v>952.74</v>
      </c>
    </row>
    <row r="391" spans="1:9" x14ac:dyDescent="0.25">
      <c r="A391" t="s">
        <v>367</v>
      </c>
      <c r="B391" t="s">
        <v>368</v>
      </c>
      <c r="C391" t="s">
        <v>21</v>
      </c>
      <c r="D391" t="s">
        <v>4062</v>
      </c>
      <c r="E391" t="s">
        <v>4012</v>
      </c>
      <c r="F391" t="s">
        <v>34</v>
      </c>
      <c r="G391">
        <v>0.1</v>
      </c>
      <c r="H391" s="2">
        <v>475506.98</v>
      </c>
      <c r="I391" s="2">
        <v>47550.7</v>
      </c>
    </row>
    <row r="392" spans="1:9" x14ac:dyDescent="0.25">
      <c r="A392" t="s">
        <v>367</v>
      </c>
      <c r="B392" t="s">
        <v>368</v>
      </c>
      <c r="C392" t="s">
        <v>21</v>
      </c>
      <c r="D392" t="s">
        <v>4062</v>
      </c>
      <c r="E392" t="s">
        <v>4325</v>
      </c>
      <c r="F392" t="s">
        <v>42</v>
      </c>
      <c r="G392">
        <v>0.4</v>
      </c>
      <c r="H392" s="2">
        <v>4947</v>
      </c>
      <c r="I392" s="2">
        <v>1978.8</v>
      </c>
    </row>
    <row r="393" spans="1:9" x14ac:dyDescent="0.25">
      <c r="A393" t="s">
        <v>367</v>
      </c>
      <c r="B393" t="s">
        <v>368</v>
      </c>
      <c r="C393" t="s">
        <v>21</v>
      </c>
      <c r="D393" t="s">
        <v>4062</v>
      </c>
      <c r="E393" t="s">
        <v>4290</v>
      </c>
      <c r="F393" t="s">
        <v>42</v>
      </c>
      <c r="G393">
        <v>2</v>
      </c>
      <c r="H393" s="2">
        <v>4500</v>
      </c>
      <c r="I393" s="2">
        <v>9000</v>
      </c>
    </row>
    <row r="394" spans="1:9" x14ac:dyDescent="0.25">
      <c r="A394" t="s">
        <v>367</v>
      </c>
      <c r="B394" t="s">
        <v>368</v>
      </c>
      <c r="C394" t="s">
        <v>21</v>
      </c>
      <c r="D394" t="s">
        <v>4062</v>
      </c>
      <c r="E394" t="s">
        <v>4065</v>
      </c>
      <c r="F394" t="s">
        <v>4066</v>
      </c>
      <c r="G394">
        <v>0.15</v>
      </c>
      <c r="H394" s="2">
        <v>3433</v>
      </c>
      <c r="I394" s="2">
        <v>514.95</v>
      </c>
    </row>
    <row r="395" spans="1:9" x14ac:dyDescent="0.25">
      <c r="A395" t="s">
        <v>367</v>
      </c>
      <c r="B395" t="s">
        <v>368</v>
      </c>
      <c r="C395" t="s">
        <v>21</v>
      </c>
      <c r="D395" t="s">
        <v>4049</v>
      </c>
      <c r="E395" t="s">
        <v>4050</v>
      </c>
      <c r="F395" t="s">
        <v>4051</v>
      </c>
      <c r="G395">
        <v>1.5</v>
      </c>
      <c r="H395" s="2">
        <v>9037.33</v>
      </c>
      <c r="I395" s="2">
        <v>13555.99</v>
      </c>
    </row>
    <row r="396" spans="1:9" x14ac:dyDescent="0.25">
      <c r="A396" t="s">
        <v>367</v>
      </c>
      <c r="B396" t="s">
        <v>368</v>
      </c>
      <c r="C396" t="s">
        <v>21</v>
      </c>
      <c r="D396" t="s">
        <v>4049</v>
      </c>
      <c r="E396" t="s">
        <v>4073</v>
      </c>
      <c r="F396" t="s">
        <v>4051</v>
      </c>
      <c r="G396">
        <v>0.5</v>
      </c>
      <c r="H396" s="2">
        <v>15517.89</v>
      </c>
      <c r="I396" s="2">
        <v>7758.94</v>
      </c>
    </row>
    <row r="397" spans="1:9" x14ac:dyDescent="0.25">
      <c r="A397" t="s">
        <v>367</v>
      </c>
      <c r="B397" t="s">
        <v>368</v>
      </c>
      <c r="C397" t="s">
        <v>21</v>
      </c>
      <c r="D397" t="s">
        <v>4052</v>
      </c>
      <c r="E397" t="s">
        <v>4286</v>
      </c>
      <c r="F397" t="s">
        <v>4106</v>
      </c>
      <c r="G397">
        <v>0.02</v>
      </c>
      <c r="H397" s="2">
        <v>73333.33</v>
      </c>
      <c r="I397" s="2">
        <v>1466.67</v>
      </c>
    </row>
    <row r="398" spans="1:9" x14ac:dyDescent="0.25">
      <c r="A398" t="s">
        <v>367</v>
      </c>
      <c r="B398" t="s">
        <v>368</v>
      </c>
      <c r="C398" t="s">
        <v>21</v>
      </c>
      <c r="D398" t="s">
        <v>4052</v>
      </c>
      <c r="E398" t="s">
        <v>4053</v>
      </c>
      <c r="F398" t="s">
        <v>4054</v>
      </c>
      <c r="G398">
        <v>1</v>
      </c>
      <c r="H398" s="2">
        <v>21314.93</v>
      </c>
      <c r="I398" s="2">
        <v>213.15</v>
      </c>
    </row>
    <row r="399" spans="1:9" x14ac:dyDescent="0.25">
      <c r="A399" t="s">
        <v>367</v>
      </c>
      <c r="B399" t="s">
        <v>368</v>
      </c>
      <c r="C399" t="s">
        <v>21</v>
      </c>
      <c r="D399" t="s">
        <v>4058</v>
      </c>
      <c r="E399" t="s">
        <v>4059</v>
      </c>
      <c r="F399" t="s">
        <v>3545</v>
      </c>
      <c r="G399">
        <v>1</v>
      </c>
      <c r="H399" s="2">
        <v>1325</v>
      </c>
      <c r="I399" s="2">
        <v>1325</v>
      </c>
    </row>
    <row r="400" spans="1:9" x14ac:dyDescent="0.25">
      <c r="A400" t="s">
        <v>370</v>
      </c>
      <c r="B400" t="s">
        <v>371</v>
      </c>
      <c r="C400" t="s">
        <v>21</v>
      </c>
      <c r="D400" t="s">
        <v>4062</v>
      </c>
      <c r="E400" t="s">
        <v>4012</v>
      </c>
      <c r="F400" t="s">
        <v>34</v>
      </c>
      <c r="G400">
        <v>0.15</v>
      </c>
      <c r="H400" s="2">
        <v>475506.98</v>
      </c>
      <c r="I400" s="2">
        <v>71326.05</v>
      </c>
    </row>
    <row r="401" spans="1:9" x14ac:dyDescent="0.25">
      <c r="A401" t="s">
        <v>370</v>
      </c>
      <c r="B401" t="s">
        <v>371</v>
      </c>
      <c r="C401" t="s">
        <v>21</v>
      </c>
      <c r="D401" t="s">
        <v>4062</v>
      </c>
      <c r="E401" t="s">
        <v>4325</v>
      </c>
      <c r="F401" t="s">
        <v>42</v>
      </c>
      <c r="G401">
        <v>0.4</v>
      </c>
      <c r="H401" s="2">
        <v>4947</v>
      </c>
      <c r="I401" s="2">
        <v>1978.8</v>
      </c>
    </row>
    <row r="402" spans="1:9" x14ac:dyDescent="0.25">
      <c r="A402" t="s">
        <v>370</v>
      </c>
      <c r="B402" t="s">
        <v>371</v>
      </c>
      <c r="C402" t="s">
        <v>21</v>
      </c>
      <c r="D402" t="s">
        <v>4062</v>
      </c>
      <c r="E402" t="s">
        <v>4290</v>
      </c>
      <c r="F402" t="s">
        <v>42</v>
      </c>
      <c r="G402">
        <v>1</v>
      </c>
      <c r="H402" s="2">
        <v>4500</v>
      </c>
      <c r="I402" s="2">
        <v>4500</v>
      </c>
    </row>
    <row r="403" spans="1:9" x14ac:dyDescent="0.25">
      <c r="A403" t="s">
        <v>370</v>
      </c>
      <c r="B403" t="s">
        <v>371</v>
      </c>
      <c r="C403" t="s">
        <v>21</v>
      </c>
      <c r="D403" t="s">
        <v>4062</v>
      </c>
      <c r="E403" t="s">
        <v>4065</v>
      </c>
      <c r="F403" t="s">
        <v>4066</v>
      </c>
      <c r="G403">
        <v>0.17</v>
      </c>
      <c r="H403" s="2">
        <v>3433</v>
      </c>
      <c r="I403" s="2">
        <v>583.61</v>
      </c>
    </row>
    <row r="404" spans="1:9" x14ac:dyDescent="0.25">
      <c r="A404" t="s">
        <v>370</v>
      </c>
      <c r="B404" t="s">
        <v>371</v>
      </c>
      <c r="C404" t="s">
        <v>21</v>
      </c>
      <c r="D404" t="s">
        <v>4049</v>
      </c>
      <c r="E404" t="s">
        <v>4050</v>
      </c>
      <c r="F404" t="s">
        <v>4051</v>
      </c>
      <c r="G404">
        <v>1.65</v>
      </c>
      <c r="H404" s="2">
        <v>9037.33</v>
      </c>
      <c r="I404" s="2">
        <v>14911.59</v>
      </c>
    </row>
    <row r="405" spans="1:9" x14ac:dyDescent="0.25">
      <c r="A405" t="s">
        <v>370</v>
      </c>
      <c r="B405" t="s">
        <v>371</v>
      </c>
      <c r="C405" t="s">
        <v>21</v>
      </c>
      <c r="D405" t="s">
        <v>4049</v>
      </c>
      <c r="E405" t="s">
        <v>4073</v>
      </c>
      <c r="F405" t="s">
        <v>4051</v>
      </c>
      <c r="G405">
        <v>0.55</v>
      </c>
      <c r="H405" s="2">
        <v>15517.89</v>
      </c>
      <c r="I405" s="2">
        <v>8534.84</v>
      </c>
    </row>
    <row r="406" spans="1:9" x14ac:dyDescent="0.25">
      <c r="A406" t="s">
        <v>370</v>
      </c>
      <c r="B406" t="s">
        <v>371</v>
      </c>
      <c r="C406" t="s">
        <v>21</v>
      </c>
      <c r="D406" t="s">
        <v>4052</v>
      </c>
      <c r="E406" t="s">
        <v>4286</v>
      </c>
      <c r="F406" t="s">
        <v>4106</v>
      </c>
      <c r="G406">
        <v>0.02</v>
      </c>
      <c r="H406" s="2">
        <v>73333.33</v>
      </c>
      <c r="I406" s="2">
        <v>1466.67</v>
      </c>
    </row>
    <row r="407" spans="1:9" x14ac:dyDescent="0.25">
      <c r="A407" t="s">
        <v>370</v>
      </c>
      <c r="B407" t="s">
        <v>371</v>
      </c>
      <c r="C407" t="s">
        <v>21</v>
      </c>
      <c r="D407" t="s">
        <v>4052</v>
      </c>
      <c r="E407" t="s">
        <v>4053</v>
      </c>
      <c r="F407" t="s">
        <v>4054</v>
      </c>
      <c r="G407">
        <v>5</v>
      </c>
      <c r="H407" s="2">
        <v>23446.43</v>
      </c>
      <c r="I407" s="2">
        <v>1172.32</v>
      </c>
    </row>
    <row r="408" spans="1:9" x14ac:dyDescent="0.25">
      <c r="A408" t="s">
        <v>370</v>
      </c>
      <c r="B408" t="s">
        <v>371</v>
      </c>
      <c r="C408" t="s">
        <v>21</v>
      </c>
      <c r="D408" t="s">
        <v>4058</v>
      </c>
      <c r="E408" t="s">
        <v>4059</v>
      </c>
      <c r="F408" t="s">
        <v>3545</v>
      </c>
      <c r="G408">
        <v>1</v>
      </c>
      <c r="H408" s="2">
        <v>1325</v>
      </c>
      <c r="I408" s="2">
        <v>1325</v>
      </c>
    </row>
    <row r="409" spans="1:9" x14ac:dyDescent="0.25">
      <c r="A409" t="s">
        <v>373</v>
      </c>
      <c r="B409" t="s">
        <v>374</v>
      </c>
      <c r="C409" t="s">
        <v>21</v>
      </c>
      <c r="D409" t="s">
        <v>4062</v>
      </c>
      <c r="E409" t="s">
        <v>4012</v>
      </c>
      <c r="F409" t="s">
        <v>34</v>
      </c>
      <c r="G409">
        <v>0.2</v>
      </c>
      <c r="H409" s="2">
        <v>475506.98</v>
      </c>
      <c r="I409" s="2">
        <v>95101.4</v>
      </c>
    </row>
    <row r="410" spans="1:9" x14ac:dyDescent="0.25">
      <c r="A410" t="s">
        <v>373</v>
      </c>
      <c r="B410" t="s">
        <v>374</v>
      </c>
      <c r="C410" t="s">
        <v>21</v>
      </c>
      <c r="D410" t="s">
        <v>4062</v>
      </c>
      <c r="E410" t="s">
        <v>4325</v>
      </c>
      <c r="F410" t="s">
        <v>42</v>
      </c>
      <c r="G410">
        <v>1</v>
      </c>
      <c r="H410" s="2">
        <v>4947</v>
      </c>
      <c r="I410" s="2">
        <v>4947</v>
      </c>
    </row>
    <row r="411" spans="1:9" x14ac:dyDescent="0.25">
      <c r="A411" t="s">
        <v>373</v>
      </c>
      <c r="B411" t="s">
        <v>374</v>
      </c>
      <c r="C411" t="s">
        <v>21</v>
      </c>
      <c r="D411" t="s">
        <v>4062</v>
      </c>
      <c r="E411" t="s">
        <v>4290</v>
      </c>
      <c r="F411" t="s">
        <v>42</v>
      </c>
      <c r="G411">
        <v>1</v>
      </c>
      <c r="H411" s="2">
        <v>4500</v>
      </c>
      <c r="I411" s="2">
        <v>4500</v>
      </c>
    </row>
    <row r="412" spans="1:9" x14ac:dyDescent="0.25">
      <c r="A412" t="s">
        <v>373</v>
      </c>
      <c r="B412" t="s">
        <v>374</v>
      </c>
      <c r="C412" t="s">
        <v>21</v>
      </c>
      <c r="D412" t="s">
        <v>4062</v>
      </c>
      <c r="E412" t="s">
        <v>4065</v>
      </c>
      <c r="F412" t="s">
        <v>4066</v>
      </c>
      <c r="G412">
        <v>0.17</v>
      </c>
      <c r="H412" s="2">
        <v>3433</v>
      </c>
      <c r="I412" s="2">
        <v>583.61</v>
      </c>
    </row>
    <row r="413" spans="1:9" x14ac:dyDescent="0.25">
      <c r="A413" t="s">
        <v>373</v>
      </c>
      <c r="B413" t="s">
        <v>374</v>
      </c>
      <c r="C413" t="s">
        <v>21</v>
      </c>
      <c r="D413" t="s">
        <v>4049</v>
      </c>
      <c r="E413" t="s">
        <v>4050</v>
      </c>
      <c r="F413" t="s">
        <v>4051</v>
      </c>
      <c r="G413">
        <v>1.8</v>
      </c>
      <c r="H413" s="2">
        <v>9037.33</v>
      </c>
      <c r="I413" s="2">
        <v>16267.19</v>
      </c>
    </row>
    <row r="414" spans="1:9" x14ac:dyDescent="0.25">
      <c r="A414" t="s">
        <v>373</v>
      </c>
      <c r="B414" t="s">
        <v>374</v>
      </c>
      <c r="C414" t="s">
        <v>21</v>
      </c>
      <c r="D414" t="s">
        <v>4049</v>
      </c>
      <c r="E414" t="s">
        <v>4073</v>
      </c>
      <c r="F414" t="s">
        <v>4051</v>
      </c>
      <c r="G414">
        <v>0.6</v>
      </c>
      <c r="H414" s="2">
        <v>15517.89</v>
      </c>
      <c r="I414" s="2">
        <v>9310.73</v>
      </c>
    </row>
    <row r="415" spans="1:9" x14ac:dyDescent="0.25">
      <c r="A415" t="s">
        <v>373</v>
      </c>
      <c r="B415" t="s">
        <v>374</v>
      </c>
      <c r="C415" t="s">
        <v>21</v>
      </c>
      <c r="D415" t="s">
        <v>4052</v>
      </c>
      <c r="E415" t="s">
        <v>4286</v>
      </c>
      <c r="F415" t="s">
        <v>4106</v>
      </c>
      <c r="G415">
        <v>0.02</v>
      </c>
      <c r="H415" s="2">
        <v>73333.33</v>
      </c>
      <c r="I415" s="2">
        <v>1466.67</v>
      </c>
    </row>
    <row r="416" spans="1:9" x14ac:dyDescent="0.25">
      <c r="A416" t="s">
        <v>373</v>
      </c>
      <c r="B416" t="s">
        <v>374</v>
      </c>
      <c r="C416" t="s">
        <v>21</v>
      </c>
      <c r="D416" t="s">
        <v>4052</v>
      </c>
      <c r="E416" t="s">
        <v>4053</v>
      </c>
      <c r="F416" t="s">
        <v>4054</v>
      </c>
      <c r="G416">
        <v>5</v>
      </c>
      <c r="H416" s="2">
        <v>25577.92</v>
      </c>
      <c r="I416" s="2">
        <v>1278.9</v>
      </c>
    </row>
    <row r="417" spans="1:9" x14ac:dyDescent="0.25">
      <c r="A417" t="s">
        <v>373</v>
      </c>
      <c r="B417" t="s">
        <v>374</v>
      </c>
      <c r="C417" t="s">
        <v>21</v>
      </c>
      <c r="D417" t="s">
        <v>4058</v>
      </c>
      <c r="E417" t="s">
        <v>4059</v>
      </c>
      <c r="F417" t="s">
        <v>3545</v>
      </c>
      <c r="G417">
        <v>2.2</v>
      </c>
      <c r="H417" s="2">
        <v>1325</v>
      </c>
      <c r="I417" s="2">
        <v>2915</v>
      </c>
    </row>
    <row r="418" spans="1:9" x14ac:dyDescent="0.25">
      <c r="A418" t="s">
        <v>376</v>
      </c>
      <c r="B418" t="s">
        <v>377</v>
      </c>
      <c r="C418" t="s">
        <v>34</v>
      </c>
      <c r="D418" t="s">
        <v>4062</v>
      </c>
      <c r="E418" t="s">
        <v>4289</v>
      </c>
      <c r="F418" t="s">
        <v>63</v>
      </c>
      <c r="G418">
        <v>1</v>
      </c>
      <c r="H418" s="2">
        <v>5028.78</v>
      </c>
      <c r="I418" s="2">
        <v>5028.78</v>
      </c>
    </row>
    <row r="419" spans="1:9" x14ac:dyDescent="0.25">
      <c r="A419" t="s">
        <v>376</v>
      </c>
      <c r="B419" t="s">
        <v>377</v>
      </c>
      <c r="C419" t="s">
        <v>34</v>
      </c>
      <c r="D419" t="s">
        <v>4062</v>
      </c>
      <c r="E419" t="s">
        <v>4012</v>
      </c>
      <c r="F419" t="s">
        <v>34</v>
      </c>
      <c r="G419">
        <v>0.6</v>
      </c>
      <c r="H419" s="2">
        <v>475506.98</v>
      </c>
      <c r="I419" s="2">
        <v>285304.19</v>
      </c>
    </row>
    <row r="420" spans="1:9" x14ac:dyDescent="0.25">
      <c r="A420" t="s">
        <v>376</v>
      </c>
      <c r="B420" t="s">
        <v>377</v>
      </c>
      <c r="C420" t="s">
        <v>34</v>
      </c>
      <c r="D420" t="s">
        <v>4062</v>
      </c>
      <c r="E420" t="s">
        <v>4332</v>
      </c>
      <c r="F420" t="s">
        <v>4106</v>
      </c>
      <c r="G420">
        <v>16</v>
      </c>
      <c r="H420" s="2">
        <v>207.67</v>
      </c>
      <c r="I420" s="2">
        <v>3322.72</v>
      </c>
    </row>
    <row r="421" spans="1:9" x14ac:dyDescent="0.25">
      <c r="A421" t="s">
        <v>376</v>
      </c>
      <c r="B421" t="s">
        <v>377</v>
      </c>
      <c r="C421" t="s">
        <v>34</v>
      </c>
      <c r="D421" t="s">
        <v>4062</v>
      </c>
      <c r="E421" t="s">
        <v>4290</v>
      </c>
      <c r="F421" t="s">
        <v>42</v>
      </c>
      <c r="G421">
        <v>6</v>
      </c>
      <c r="H421" s="2">
        <v>4500</v>
      </c>
      <c r="I421" s="2">
        <v>27000</v>
      </c>
    </row>
    <row r="422" spans="1:9" x14ac:dyDescent="0.25">
      <c r="A422" t="s">
        <v>376</v>
      </c>
      <c r="B422" t="s">
        <v>377</v>
      </c>
      <c r="C422" t="s">
        <v>34</v>
      </c>
      <c r="D422" t="s">
        <v>4062</v>
      </c>
      <c r="E422" t="s">
        <v>4277</v>
      </c>
      <c r="F422" t="s">
        <v>34</v>
      </c>
      <c r="G422">
        <v>0.4</v>
      </c>
      <c r="H422" s="2">
        <v>50575</v>
      </c>
      <c r="I422" s="2">
        <v>20230</v>
      </c>
    </row>
    <row r="423" spans="1:9" x14ac:dyDescent="0.25">
      <c r="A423" t="s">
        <v>376</v>
      </c>
      <c r="B423" t="s">
        <v>377</v>
      </c>
      <c r="C423" t="s">
        <v>34</v>
      </c>
      <c r="D423" t="s">
        <v>4062</v>
      </c>
      <c r="E423" t="s">
        <v>4065</v>
      </c>
      <c r="F423" t="s">
        <v>4066</v>
      </c>
      <c r="G423">
        <v>0.1</v>
      </c>
      <c r="H423" s="2">
        <v>3433</v>
      </c>
      <c r="I423" s="2">
        <v>343.3</v>
      </c>
    </row>
    <row r="424" spans="1:9" x14ac:dyDescent="0.25">
      <c r="A424" t="s">
        <v>376</v>
      </c>
      <c r="B424" t="s">
        <v>377</v>
      </c>
      <c r="C424" t="s">
        <v>34</v>
      </c>
      <c r="D424" t="s">
        <v>4049</v>
      </c>
      <c r="E424" t="s">
        <v>4050</v>
      </c>
      <c r="F424" t="s">
        <v>4051</v>
      </c>
      <c r="G424">
        <v>7</v>
      </c>
      <c r="H424" s="2">
        <v>9037.33</v>
      </c>
      <c r="I424" s="2">
        <v>63261.31</v>
      </c>
    </row>
    <row r="425" spans="1:9" x14ac:dyDescent="0.25">
      <c r="A425" t="s">
        <v>376</v>
      </c>
      <c r="B425" t="s">
        <v>377</v>
      </c>
      <c r="C425" t="s">
        <v>34</v>
      </c>
      <c r="D425" t="s">
        <v>4049</v>
      </c>
      <c r="E425" t="s">
        <v>4073</v>
      </c>
      <c r="F425" t="s">
        <v>4051</v>
      </c>
      <c r="G425">
        <v>7</v>
      </c>
      <c r="H425" s="2">
        <v>15517.89</v>
      </c>
      <c r="I425" s="2">
        <v>108625.23</v>
      </c>
    </row>
    <row r="426" spans="1:9" x14ac:dyDescent="0.25">
      <c r="A426" t="s">
        <v>376</v>
      </c>
      <c r="B426" t="s">
        <v>377</v>
      </c>
      <c r="C426" t="s">
        <v>34</v>
      </c>
      <c r="D426" t="s">
        <v>4052</v>
      </c>
      <c r="E426" t="s">
        <v>4105</v>
      </c>
      <c r="F426" t="s">
        <v>4106</v>
      </c>
      <c r="G426">
        <v>2.8</v>
      </c>
      <c r="H426" s="2">
        <v>25125</v>
      </c>
      <c r="I426" s="2">
        <v>70350</v>
      </c>
    </row>
    <row r="427" spans="1:9" x14ac:dyDescent="0.25">
      <c r="A427" t="s">
        <v>376</v>
      </c>
      <c r="B427" t="s">
        <v>377</v>
      </c>
      <c r="C427" t="s">
        <v>34</v>
      </c>
      <c r="D427" t="s">
        <v>4052</v>
      </c>
      <c r="E427" t="s">
        <v>4053</v>
      </c>
      <c r="F427" t="s">
        <v>4054</v>
      </c>
      <c r="G427">
        <v>5</v>
      </c>
      <c r="H427" s="2">
        <v>171886.54</v>
      </c>
      <c r="I427" s="2">
        <v>8594.33</v>
      </c>
    </row>
    <row r="428" spans="1:9" x14ac:dyDescent="0.25">
      <c r="A428" t="s">
        <v>376</v>
      </c>
      <c r="B428" t="s">
        <v>377</v>
      </c>
      <c r="C428" t="s">
        <v>34</v>
      </c>
      <c r="D428" t="s">
        <v>4058</v>
      </c>
      <c r="E428" t="s">
        <v>4059</v>
      </c>
      <c r="F428" t="s">
        <v>3545</v>
      </c>
      <c r="G428">
        <v>1</v>
      </c>
      <c r="H428" s="2">
        <v>1325</v>
      </c>
      <c r="I428" s="2">
        <v>1325</v>
      </c>
    </row>
    <row r="429" spans="1:9" x14ac:dyDescent="0.25">
      <c r="A429" t="s">
        <v>379</v>
      </c>
      <c r="B429" t="s">
        <v>380</v>
      </c>
      <c r="C429" t="s">
        <v>34</v>
      </c>
      <c r="D429" t="s">
        <v>4062</v>
      </c>
      <c r="E429" t="s">
        <v>4289</v>
      </c>
      <c r="F429" t="s">
        <v>63</v>
      </c>
      <c r="G429">
        <v>0.2</v>
      </c>
      <c r="H429" s="2">
        <v>5028.78</v>
      </c>
      <c r="I429" s="2">
        <v>1005.76</v>
      </c>
    </row>
    <row r="430" spans="1:9" x14ac:dyDescent="0.25">
      <c r="A430" t="s">
        <v>379</v>
      </c>
      <c r="B430" t="s">
        <v>380</v>
      </c>
      <c r="C430" t="s">
        <v>34</v>
      </c>
      <c r="D430" t="s">
        <v>4062</v>
      </c>
      <c r="E430" t="s">
        <v>4012</v>
      </c>
      <c r="F430" t="s">
        <v>34</v>
      </c>
      <c r="G430">
        <v>1.05</v>
      </c>
      <c r="H430" s="2">
        <v>475506.98</v>
      </c>
      <c r="I430" s="2">
        <v>499282.33</v>
      </c>
    </row>
    <row r="431" spans="1:9" x14ac:dyDescent="0.25">
      <c r="A431" t="s">
        <v>379</v>
      </c>
      <c r="B431" t="s">
        <v>380</v>
      </c>
      <c r="C431" t="s">
        <v>34</v>
      </c>
      <c r="D431" t="s">
        <v>4062</v>
      </c>
      <c r="E431" t="s">
        <v>4332</v>
      </c>
      <c r="F431" t="s">
        <v>4106</v>
      </c>
      <c r="G431">
        <v>7.33</v>
      </c>
      <c r="H431" s="2">
        <v>207.67</v>
      </c>
      <c r="I431" s="2">
        <v>1522.22</v>
      </c>
    </row>
    <row r="432" spans="1:9" x14ac:dyDescent="0.25">
      <c r="A432" t="s">
        <v>379</v>
      </c>
      <c r="B432" t="s">
        <v>380</v>
      </c>
      <c r="C432" t="s">
        <v>34</v>
      </c>
      <c r="D432" t="s">
        <v>4062</v>
      </c>
      <c r="E432" t="s">
        <v>4290</v>
      </c>
      <c r="F432" t="s">
        <v>42</v>
      </c>
      <c r="G432">
        <v>0.1</v>
      </c>
      <c r="H432" s="2">
        <v>4500</v>
      </c>
      <c r="I432" s="2">
        <v>450</v>
      </c>
    </row>
    <row r="433" spans="1:9" x14ac:dyDescent="0.25">
      <c r="A433" t="s">
        <v>379</v>
      </c>
      <c r="B433" t="s">
        <v>380</v>
      </c>
      <c r="C433" t="s">
        <v>34</v>
      </c>
      <c r="D433" t="s">
        <v>4062</v>
      </c>
      <c r="E433" t="s">
        <v>4335</v>
      </c>
      <c r="F433" t="s">
        <v>231</v>
      </c>
      <c r="G433">
        <v>1.88</v>
      </c>
      <c r="H433" s="2">
        <v>15447</v>
      </c>
      <c r="I433" s="2">
        <v>29040.36</v>
      </c>
    </row>
    <row r="434" spans="1:9" x14ac:dyDescent="0.25">
      <c r="A434" t="s">
        <v>379</v>
      </c>
      <c r="B434" t="s">
        <v>380</v>
      </c>
      <c r="C434" t="s">
        <v>34</v>
      </c>
      <c r="D434" t="s">
        <v>4062</v>
      </c>
      <c r="E434" t="s">
        <v>4065</v>
      </c>
      <c r="F434" t="s">
        <v>4066</v>
      </c>
      <c r="G434">
        <v>0.1</v>
      </c>
      <c r="H434" s="2">
        <v>3433</v>
      </c>
      <c r="I434" s="2">
        <v>343.3</v>
      </c>
    </row>
    <row r="435" spans="1:9" x14ac:dyDescent="0.25">
      <c r="A435" t="s">
        <v>379</v>
      </c>
      <c r="B435" t="s">
        <v>380</v>
      </c>
      <c r="C435" t="s">
        <v>34</v>
      </c>
      <c r="D435" t="s">
        <v>4049</v>
      </c>
      <c r="E435" t="s">
        <v>4050</v>
      </c>
      <c r="F435" t="s">
        <v>4051</v>
      </c>
      <c r="G435">
        <v>18</v>
      </c>
      <c r="H435" s="2">
        <v>9037.33</v>
      </c>
      <c r="I435" s="2">
        <v>162671.94</v>
      </c>
    </row>
    <row r="436" spans="1:9" x14ac:dyDescent="0.25">
      <c r="A436" t="s">
        <v>379</v>
      </c>
      <c r="B436" t="s">
        <v>380</v>
      </c>
      <c r="C436" t="s">
        <v>34</v>
      </c>
      <c r="D436" t="s">
        <v>4049</v>
      </c>
      <c r="E436" t="s">
        <v>4073</v>
      </c>
      <c r="F436" t="s">
        <v>4051</v>
      </c>
      <c r="G436">
        <v>6</v>
      </c>
      <c r="H436" s="2">
        <v>15517.89</v>
      </c>
      <c r="I436" s="2">
        <v>93107.34</v>
      </c>
    </row>
    <row r="437" spans="1:9" x14ac:dyDescent="0.25">
      <c r="A437" t="s">
        <v>379</v>
      </c>
      <c r="B437" t="s">
        <v>380</v>
      </c>
      <c r="C437" t="s">
        <v>34</v>
      </c>
      <c r="D437" t="s">
        <v>4052</v>
      </c>
      <c r="E437" t="s">
        <v>4286</v>
      </c>
      <c r="F437" t="s">
        <v>4106</v>
      </c>
      <c r="G437">
        <v>0.03</v>
      </c>
      <c r="H437" s="2">
        <v>73333.33</v>
      </c>
      <c r="I437" s="2">
        <v>2200</v>
      </c>
    </row>
    <row r="438" spans="1:9" x14ac:dyDescent="0.25">
      <c r="A438" t="s">
        <v>379</v>
      </c>
      <c r="B438" t="s">
        <v>380</v>
      </c>
      <c r="C438" t="s">
        <v>34</v>
      </c>
      <c r="D438" t="s">
        <v>4052</v>
      </c>
      <c r="E438" t="s">
        <v>4053</v>
      </c>
      <c r="F438" t="s">
        <v>4054</v>
      </c>
      <c r="G438">
        <v>5</v>
      </c>
      <c r="H438" s="2">
        <v>255779.28</v>
      </c>
      <c r="I438" s="2">
        <v>12788.96</v>
      </c>
    </row>
    <row r="439" spans="1:9" x14ac:dyDescent="0.25">
      <c r="A439" t="s">
        <v>379</v>
      </c>
      <c r="B439" t="s">
        <v>380</v>
      </c>
      <c r="C439" t="s">
        <v>34</v>
      </c>
      <c r="D439" t="s">
        <v>4058</v>
      </c>
      <c r="E439" t="s">
        <v>4059</v>
      </c>
      <c r="F439" t="s">
        <v>3545</v>
      </c>
      <c r="G439">
        <v>11</v>
      </c>
      <c r="H439" s="2">
        <v>1325</v>
      </c>
      <c r="I439" s="2">
        <v>14575</v>
      </c>
    </row>
    <row r="440" spans="1:9" x14ac:dyDescent="0.25">
      <c r="A440" t="s">
        <v>382</v>
      </c>
      <c r="B440" t="s">
        <v>383</v>
      </c>
      <c r="C440" t="s">
        <v>34</v>
      </c>
      <c r="D440" t="s">
        <v>4062</v>
      </c>
      <c r="E440" t="s">
        <v>4289</v>
      </c>
      <c r="F440" t="s">
        <v>63</v>
      </c>
      <c r="G440">
        <v>0.2</v>
      </c>
      <c r="H440" s="2">
        <v>5028.78</v>
      </c>
      <c r="I440" s="2">
        <v>1005.76</v>
      </c>
    </row>
    <row r="441" spans="1:9" x14ac:dyDescent="0.25">
      <c r="A441" t="s">
        <v>382</v>
      </c>
      <c r="B441" t="s">
        <v>383</v>
      </c>
      <c r="C441" t="s">
        <v>34</v>
      </c>
      <c r="D441" t="s">
        <v>4062</v>
      </c>
      <c r="E441" t="s">
        <v>4012</v>
      </c>
      <c r="F441" t="s">
        <v>34</v>
      </c>
      <c r="G441">
        <v>1.05</v>
      </c>
      <c r="H441" s="2">
        <v>475506.98</v>
      </c>
      <c r="I441" s="2">
        <v>499282.33</v>
      </c>
    </row>
    <row r="442" spans="1:9" x14ac:dyDescent="0.25">
      <c r="A442" t="s">
        <v>382</v>
      </c>
      <c r="B442" t="s">
        <v>383</v>
      </c>
      <c r="C442" t="s">
        <v>34</v>
      </c>
      <c r="D442" t="s">
        <v>4062</v>
      </c>
      <c r="E442" t="s">
        <v>4332</v>
      </c>
      <c r="F442" t="s">
        <v>4106</v>
      </c>
      <c r="G442">
        <v>8</v>
      </c>
      <c r="H442" s="2">
        <v>207.67</v>
      </c>
      <c r="I442" s="2">
        <v>1661.36</v>
      </c>
    </row>
    <row r="443" spans="1:9" x14ac:dyDescent="0.25">
      <c r="A443" t="s">
        <v>382</v>
      </c>
      <c r="B443" t="s">
        <v>383</v>
      </c>
      <c r="C443" t="s">
        <v>34</v>
      </c>
      <c r="D443" t="s">
        <v>4062</v>
      </c>
      <c r="E443" t="s">
        <v>4290</v>
      </c>
      <c r="F443" t="s">
        <v>42</v>
      </c>
      <c r="G443">
        <v>0.3</v>
      </c>
      <c r="H443" s="2">
        <v>4500</v>
      </c>
      <c r="I443" s="2">
        <v>1350</v>
      </c>
    </row>
    <row r="444" spans="1:9" x14ac:dyDescent="0.25">
      <c r="A444" t="s">
        <v>382</v>
      </c>
      <c r="B444" t="s">
        <v>383</v>
      </c>
      <c r="C444" t="s">
        <v>34</v>
      </c>
      <c r="D444" t="s">
        <v>4062</v>
      </c>
      <c r="E444" t="s">
        <v>4335</v>
      </c>
      <c r="F444" t="s">
        <v>231</v>
      </c>
      <c r="G444">
        <v>2.8</v>
      </c>
      <c r="H444" s="2">
        <v>15447</v>
      </c>
      <c r="I444" s="2">
        <v>43251.6</v>
      </c>
    </row>
    <row r="445" spans="1:9" x14ac:dyDescent="0.25">
      <c r="A445" t="s">
        <v>382</v>
      </c>
      <c r="B445" t="s">
        <v>383</v>
      </c>
      <c r="C445" t="s">
        <v>34</v>
      </c>
      <c r="D445" t="s">
        <v>4062</v>
      </c>
      <c r="E445" t="s">
        <v>4065</v>
      </c>
      <c r="F445" t="s">
        <v>4066</v>
      </c>
      <c r="G445">
        <v>0.3</v>
      </c>
      <c r="H445" s="2">
        <v>3433</v>
      </c>
      <c r="I445" s="2">
        <v>1029.9</v>
      </c>
    </row>
    <row r="446" spans="1:9" x14ac:dyDescent="0.25">
      <c r="A446" t="s">
        <v>382</v>
      </c>
      <c r="B446" t="s">
        <v>383</v>
      </c>
      <c r="C446" t="s">
        <v>34</v>
      </c>
      <c r="D446" t="s">
        <v>4049</v>
      </c>
      <c r="E446" t="s">
        <v>4050</v>
      </c>
      <c r="F446" t="s">
        <v>4051</v>
      </c>
      <c r="G446">
        <v>18</v>
      </c>
      <c r="H446" s="2">
        <v>9037.33</v>
      </c>
      <c r="I446" s="2">
        <v>162671.94</v>
      </c>
    </row>
    <row r="447" spans="1:9" x14ac:dyDescent="0.25">
      <c r="A447" t="s">
        <v>382</v>
      </c>
      <c r="B447" t="s">
        <v>383</v>
      </c>
      <c r="C447" t="s">
        <v>34</v>
      </c>
      <c r="D447" t="s">
        <v>4049</v>
      </c>
      <c r="E447" t="s">
        <v>4073</v>
      </c>
      <c r="F447" t="s">
        <v>4051</v>
      </c>
      <c r="G447">
        <v>6</v>
      </c>
      <c r="H447" s="2">
        <v>15517.89</v>
      </c>
      <c r="I447" s="2">
        <v>93107.34</v>
      </c>
    </row>
    <row r="448" spans="1:9" x14ac:dyDescent="0.25">
      <c r="A448" t="s">
        <v>382</v>
      </c>
      <c r="B448" t="s">
        <v>383</v>
      </c>
      <c r="C448" t="s">
        <v>34</v>
      </c>
      <c r="D448" t="s">
        <v>4052</v>
      </c>
      <c r="E448" t="s">
        <v>4286</v>
      </c>
      <c r="F448" t="s">
        <v>4106</v>
      </c>
      <c r="G448">
        <v>0.04</v>
      </c>
      <c r="H448" s="2">
        <v>73333.33</v>
      </c>
      <c r="I448" s="2">
        <v>2933.33</v>
      </c>
    </row>
    <row r="449" spans="1:9" x14ac:dyDescent="0.25">
      <c r="A449" t="s">
        <v>382</v>
      </c>
      <c r="B449" t="s">
        <v>383</v>
      </c>
      <c r="C449" t="s">
        <v>34</v>
      </c>
      <c r="D449" t="s">
        <v>4052</v>
      </c>
      <c r="E449" t="s">
        <v>4105</v>
      </c>
      <c r="F449" t="s">
        <v>4106</v>
      </c>
      <c r="G449">
        <v>1.8</v>
      </c>
      <c r="H449" s="2">
        <v>25125</v>
      </c>
      <c r="I449" s="2">
        <v>45225</v>
      </c>
    </row>
    <row r="450" spans="1:9" x14ac:dyDescent="0.25">
      <c r="A450" t="s">
        <v>382</v>
      </c>
      <c r="B450" t="s">
        <v>383</v>
      </c>
      <c r="C450" t="s">
        <v>34</v>
      </c>
      <c r="D450" t="s">
        <v>4052</v>
      </c>
      <c r="E450" t="s">
        <v>4053</v>
      </c>
      <c r="F450" t="s">
        <v>4054</v>
      </c>
      <c r="G450">
        <v>0.01</v>
      </c>
      <c r="H450" s="2">
        <v>255779.28</v>
      </c>
      <c r="I450" s="2">
        <v>25.58</v>
      </c>
    </row>
    <row r="451" spans="1:9" x14ac:dyDescent="0.25">
      <c r="A451" t="s">
        <v>382</v>
      </c>
      <c r="B451" t="s">
        <v>383</v>
      </c>
      <c r="C451" t="s">
        <v>34</v>
      </c>
      <c r="D451" t="s">
        <v>4058</v>
      </c>
      <c r="E451" t="s">
        <v>4059</v>
      </c>
      <c r="F451" t="s">
        <v>3545</v>
      </c>
      <c r="G451">
        <v>11</v>
      </c>
      <c r="H451" s="2">
        <v>1325</v>
      </c>
      <c r="I451" s="2">
        <v>14575</v>
      </c>
    </row>
    <row r="452" spans="1:9" x14ac:dyDescent="0.25">
      <c r="A452" t="s">
        <v>385</v>
      </c>
      <c r="B452" t="s">
        <v>386</v>
      </c>
      <c r="C452" t="s">
        <v>34</v>
      </c>
      <c r="D452" t="s">
        <v>4062</v>
      </c>
      <c r="E452" t="s">
        <v>4289</v>
      </c>
      <c r="F452" t="s">
        <v>63</v>
      </c>
      <c r="G452">
        <v>2.67</v>
      </c>
      <c r="H452" s="2">
        <v>5028.78</v>
      </c>
      <c r="I452" s="2">
        <v>13411.76</v>
      </c>
    </row>
    <row r="453" spans="1:9" x14ac:dyDescent="0.25">
      <c r="A453" t="s">
        <v>385</v>
      </c>
      <c r="B453" t="s">
        <v>386</v>
      </c>
      <c r="C453" t="s">
        <v>34</v>
      </c>
      <c r="D453" t="s">
        <v>4062</v>
      </c>
      <c r="E453" t="s">
        <v>4012</v>
      </c>
      <c r="F453" t="s">
        <v>34</v>
      </c>
      <c r="G453">
        <v>1.05</v>
      </c>
      <c r="H453" s="2">
        <v>475506.98</v>
      </c>
      <c r="I453" s="2">
        <v>499282.33</v>
      </c>
    </row>
    <row r="454" spans="1:9" x14ac:dyDescent="0.25">
      <c r="A454" t="s">
        <v>385</v>
      </c>
      <c r="B454" t="s">
        <v>386</v>
      </c>
      <c r="C454" t="s">
        <v>34</v>
      </c>
      <c r="D454" t="s">
        <v>4062</v>
      </c>
      <c r="E454" t="s">
        <v>4290</v>
      </c>
      <c r="F454" t="s">
        <v>42</v>
      </c>
      <c r="G454">
        <v>4</v>
      </c>
      <c r="H454" s="2">
        <v>4500</v>
      </c>
      <c r="I454" s="2">
        <v>18000</v>
      </c>
    </row>
    <row r="455" spans="1:9" x14ac:dyDescent="0.25">
      <c r="A455" t="s">
        <v>385</v>
      </c>
      <c r="B455" t="s">
        <v>386</v>
      </c>
      <c r="C455" t="s">
        <v>34</v>
      </c>
      <c r="D455" t="s">
        <v>4062</v>
      </c>
      <c r="E455" t="s">
        <v>4065</v>
      </c>
      <c r="F455" t="s">
        <v>4066</v>
      </c>
      <c r="G455">
        <v>2</v>
      </c>
      <c r="H455" s="2">
        <v>3433</v>
      </c>
      <c r="I455" s="2">
        <v>6866</v>
      </c>
    </row>
    <row r="456" spans="1:9" x14ac:dyDescent="0.25">
      <c r="A456" t="s">
        <v>385</v>
      </c>
      <c r="B456" t="s">
        <v>386</v>
      </c>
      <c r="C456" t="s">
        <v>34</v>
      </c>
      <c r="D456" t="s">
        <v>4049</v>
      </c>
      <c r="E456" t="s">
        <v>4050</v>
      </c>
      <c r="F456" t="s">
        <v>4051</v>
      </c>
      <c r="G456">
        <v>3</v>
      </c>
      <c r="H456" s="2">
        <v>9037.33</v>
      </c>
      <c r="I456" s="2">
        <v>27111.99</v>
      </c>
    </row>
    <row r="457" spans="1:9" x14ac:dyDescent="0.25">
      <c r="A457" t="s">
        <v>385</v>
      </c>
      <c r="B457" t="s">
        <v>386</v>
      </c>
      <c r="C457" t="s">
        <v>34</v>
      </c>
      <c r="D457" t="s">
        <v>4049</v>
      </c>
      <c r="E457" t="s">
        <v>4073</v>
      </c>
      <c r="F457" t="s">
        <v>4051</v>
      </c>
      <c r="G457">
        <v>3</v>
      </c>
      <c r="H457" s="2">
        <v>15517.89</v>
      </c>
      <c r="I457" s="2">
        <v>46553.67</v>
      </c>
    </row>
    <row r="458" spans="1:9" x14ac:dyDescent="0.25">
      <c r="A458" t="s">
        <v>385</v>
      </c>
      <c r="B458" t="s">
        <v>386</v>
      </c>
      <c r="C458" t="s">
        <v>34</v>
      </c>
      <c r="D458" t="s">
        <v>4052</v>
      </c>
      <c r="E458" t="s">
        <v>4053</v>
      </c>
      <c r="F458" t="s">
        <v>4054</v>
      </c>
      <c r="G458">
        <v>0.05</v>
      </c>
      <c r="H458" s="2">
        <v>73665.66</v>
      </c>
      <c r="I458" s="2">
        <v>36.83</v>
      </c>
    </row>
    <row r="459" spans="1:9" x14ac:dyDescent="0.25">
      <c r="A459" t="s">
        <v>385</v>
      </c>
      <c r="B459" t="s">
        <v>386</v>
      </c>
      <c r="C459" t="s">
        <v>34</v>
      </c>
      <c r="D459" t="s">
        <v>4058</v>
      </c>
      <c r="E459" t="s">
        <v>4286</v>
      </c>
      <c r="F459" t="s">
        <v>4106</v>
      </c>
      <c r="G459">
        <v>0.05</v>
      </c>
      <c r="H459" s="2">
        <v>73333.33</v>
      </c>
      <c r="I459" s="2">
        <v>3666.67</v>
      </c>
    </row>
    <row r="460" spans="1:9" x14ac:dyDescent="0.25">
      <c r="A460" t="s">
        <v>385</v>
      </c>
      <c r="B460" t="s">
        <v>386</v>
      </c>
      <c r="C460" t="s">
        <v>34</v>
      </c>
      <c r="D460" t="s">
        <v>4058</v>
      </c>
      <c r="E460" t="s">
        <v>4059</v>
      </c>
      <c r="F460" t="s">
        <v>3545</v>
      </c>
      <c r="G460">
        <v>11</v>
      </c>
      <c r="H460" s="2">
        <v>1325</v>
      </c>
      <c r="I460" s="2">
        <v>14575</v>
      </c>
    </row>
    <row r="461" spans="1:9" x14ac:dyDescent="0.25">
      <c r="A461" t="s">
        <v>388</v>
      </c>
      <c r="B461" t="s">
        <v>389</v>
      </c>
      <c r="C461" t="s">
        <v>34</v>
      </c>
      <c r="D461" t="s">
        <v>4062</v>
      </c>
      <c r="E461" t="s">
        <v>4076</v>
      </c>
      <c r="F461" t="s">
        <v>3963</v>
      </c>
      <c r="G461">
        <v>10</v>
      </c>
      <c r="H461" s="2">
        <v>21</v>
      </c>
      <c r="I461" s="2">
        <v>210</v>
      </c>
    </row>
    <row r="462" spans="1:9" x14ac:dyDescent="0.25">
      <c r="A462" t="s">
        <v>388</v>
      </c>
      <c r="B462" t="s">
        <v>389</v>
      </c>
      <c r="C462" t="s">
        <v>34</v>
      </c>
      <c r="D462" t="s">
        <v>4049</v>
      </c>
      <c r="E462" t="s">
        <v>4050</v>
      </c>
      <c r="F462" t="s">
        <v>4051</v>
      </c>
      <c r="G462">
        <v>1.1</v>
      </c>
      <c r="H462" s="2">
        <v>9037.33</v>
      </c>
      <c r="I462" s="2">
        <v>9941.06</v>
      </c>
    </row>
    <row r="463" spans="1:9" x14ac:dyDescent="0.25">
      <c r="A463" t="s">
        <v>388</v>
      </c>
      <c r="B463" t="s">
        <v>389</v>
      </c>
      <c r="C463" t="s">
        <v>34</v>
      </c>
      <c r="D463" t="s">
        <v>4052</v>
      </c>
      <c r="E463" t="s">
        <v>4342</v>
      </c>
      <c r="F463" t="s">
        <v>4106</v>
      </c>
      <c r="G463">
        <v>0.13</v>
      </c>
      <c r="H463" s="2">
        <v>66666.67</v>
      </c>
      <c r="I463" s="2">
        <v>8333.33</v>
      </c>
    </row>
    <row r="464" spans="1:9" x14ac:dyDescent="0.25">
      <c r="A464" t="s">
        <v>388</v>
      </c>
      <c r="B464" t="s">
        <v>389</v>
      </c>
      <c r="C464" t="s">
        <v>34</v>
      </c>
      <c r="D464" t="s">
        <v>4052</v>
      </c>
      <c r="E464" t="s">
        <v>4053</v>
      </c>
      <c r="F464" t="s">
        <v>4054</v>
      </c>
      <c r="G464">
        <v>5</v>
      </c>
      <c r="H464" s="2">
        <v>9941.06</v>
      </c>
      <c r="I464" s="2">
        <v>497.05</v>
      </c>
    </row>
    <row r="465" spans="1:9" x14ac:dyDescent="0.25">
      <c r="A465" t="s">
        <v>392</v>
      </c>
      <c r="B465" t="s">
        <v>393</v>
      </c>
      <c r="C465" t="s">
        <v>21</v>
      </c>
      <c r="D465" t="s">
        <v>4062</v>
      </c>
      <c r="E465" t="s">
        <v>4015</v>
      </c>
      <c r="F465" t="s">
        <v>34</v>
      </c>
      <c r="G465">
        <v>0.05</v>
      </c>
      <c r="H465" s="2">
        <v>426702.51</v>
      </c>
      <c r="I465" s="2">
        <v>21335.13</v>
      </c>
    </row>
    <row r="466" spans="1:9" x14ac:dyDescent="0.25">
      <c r="A466" t="s">
        <v>392</v>
      </c>
      <c r="B466" t="s">
        <v>393</v>
      </c>
      <c r="C466" t="s">
        <v>21</v>
      </c>
      <c r="D466" t="s">
        <v>4049</v>
      </c>
      <c r="E466" t="s">
        <v>4050</v>
      </c>
      <c r="F466" t="s">
        <v>4051</v>
      </c>
      <c r="G466">
        <v>0.3</v>
      </c>
      <c r="H466" s="2">
        <v>9037.33</v>
      </c>
      <c r="I466" s="2">
        <v>2711.2</v>
      </c>
    </row>
    <row r="467" spans="1:9" x14ac:dyDescent="0.25">
      <c r="A467" t="s">
        <v>392</v>
      </c>
      <c r="B467" t="s">
        <v>393</v>
      </c>
      <c r="C467" t="s">
        <v>21</v>
      </c>
      <c r="D467" t="s">
        <v>4049</v>
      </c>
      <c r="E467" t="s">
        <v>4073</v>
      </c>
      <c r="F467" t="s">
        <v>4051</v>
      </c>
      <c r="G467">
        <v>0.3</v>
      </c>
      <c r="H467" s="2">
        <v>15517.89</v>
      </c>
      <c r="I467" s="2">
        <v>4655.37</v>
      </c>
    </row>
    <row r="468" spans="1:9" x14ac:dyDescent="0.25">
      <c r="A468" t="s">
        <v>392</v>
      </c>
      <c r="B468" t="s">
        <v>393</v>
      </c>
      <c r="C468" t="s">
        <v>21</v>
      </c>
      <c r="D468" t="s">
        <v>4052</v>
      </c>
      <c r="E468" t="s">
        <v>4053</v>
      </c>
      <c r="F468" t="s">
        <v>4054</v>
      </c>
      <c r="G468">
        <v>0.2</v>
      </c>
      <c r="H468" s="2">
        <v>7366.57</v>
      </c>
      <c r="I468" s="2">
        <v>14.73</v>
      </c>
    </row>
    <row r="469" spans="1:9" x14ac:dyDescent="0.25">
      <c r="A469" t="s">
        <v>395</v>
      </c>
      <c r="B469" t="s">
        <v>396</v>
      </c>
      <c r="C469" t="s">
        <v>21</v>
      </c>
      <c r="D469" t="s">
        <v>4062</v>
      </c>
      <c r="E469" t="s">
        <v>4015</v>
      </c>
      <c r="F469" t="s">
        <v>34</v>
      </c>
      <c r="G469">
        <v>0.07</v>
      </c>
      <c r="H469" s="2">
        <v>426702.51</v>
      </c>
      <c r="I469" s="2">
        <v>29869.18</v>
      </c>
    </row>
    <row r="470" spans="1:9" x14ac:dyDescent="0.25">
      <c r="A470" t="s">
        <v>395</v>
      </c>
      <c r="B470" t="s">
        <v>396</v>
      </c>
      <c r="C470" t="s">
        <v>21</v>
      </c>
      <c r="D470" t="s">
        <v>4049</v>
      </c>
      <c r="E470" t="s">
        <v>4050</v>
      </c>
      <c r="F470" t="s">
        <v>4051</v>
      </c>
      <c r="G470">
        <v>0.3</v>
      </c>
      <c r="H470" s="2">
        <v>9037.33</v>
      </c>
      <c r="I470" s="2">
        <v>2711.2</v>
      </c>
    </row>
    <row r="471" spans="1:9" x14ac:dyDescent="0.25">
      <c r="A471" t="s">
        <v>395</v>
      </c>
      <c r="B471" t="s">
        <v>396</v>
      </c>
      <c r="C471" t="s">
        <v>21</v>
      </c>
      <c r="D471" t="s">
        <v>4049</v>
      </c>
      <c r="E471" t="s">
        <v>4073</v>
      </c>
      <c r="F471" t="s">
        <v>4051</v>
      </c>
      <c r="G471">
        <v>0.3</v>
      </c>
      <c r="H471" s="2">
        <v>15517.89</v>
      </c>
      <c r="I471" s="2">
        <v>4655.37</v>
      </c>
    </row>
    <row r="472" spans="1:9" x14ac:dyDescent="0.25">
      <c r="A472" t="s">
        <v>395</v>
      </c>
      <c r="B472" t="s">
        <v>396</v>
      </c>
      <c r="C472" t="s">
        <v>21</v>
      </c>
      <c r="D472" t="s">
        <v>4052</v>
      </c>
      <c r="E472" t="s">
        <v>4053</v>
      </c>
      <c r="F472" t="s">
        <v>4054</v>
      </c>
      <c r="G472">
        <v>0.2</v>
      </c>
      <c r="H472" s="2">
        <v>7366.57</v>
      </c>
      <c r="I472" s="2">
        <v>14.73</v>
      </c>
    </row>
    <row r="473" spans="1:9" x14ac:dyDescent="0.25">
      <c r="A473" t="s">
        <v>398</v>
      </c>
      <c r="B473" t="s">
        <v>399</v>
      </c>
      <c r="C473" t="s">
        <v>231</v>
      </c>
      <c r="D473" t="s">
        <v>4062</v>
      </c>
      <c r="E473" t="s">
        <v>4349</v>
      </c>
      <c r="F473" t="s">
        <v>231</v>
      </c>
      <c r="G473">
        <v>1.05</v>
      </c>
      <c r="H473" s="2">
        <v>3849.42</v>
      </c>
      <c r="I473" s="2">
        <v>4041.89</v>
      </c>
    </row>
    <row r="474" spans="1:9" x14ac:dyDescent="0.25">
      <c r="A474" t="s">
        <v>398</v>
      </c>
      <c r="B474" t="s">
        <v>399</v>
      </c>
      <c r="C474" t="s">
        <v>231</v>
      </c>
      <c r="D474" t="s">
        <v>4049</v>
      </c>
      <c r="E474" t="s">
        <v>4050</v>
      </c>
      <c r="F474" t="s">
        <v>4051</v>
      </c>
      <c r="G474">
        <v>0.03</v>
      </c>
      <c r="H474" s="2">
        <v>9037.33</v>
      </c>
      <c r="I474" s="2">
        <v>271.12</v>
      </c>
    </row>
    <row r="475" spans="1:9" x14ac:dyDescent="0.25">
      <c r="A475" t="s">
        <v>398</v>
      </c>
      <c r="B475" t="s">
        <v>399</v>
      </c>
      <c r="C475" t="s">
        <v>231</v>
      </c>
      <c r="D475" t="s">
        <v>4049</v>
      </c>
      <c r="E475" t="s">
        <v>4073</v>
      </c>
      <c r="F475" t="s">
        <v>4051</v>
      </c>
      <c r="G475">
        <v>0.06</v>
      </c>
      <c r="H475" s="2">
        <v>15517.89</v>
      </c>
      <c r="I475" s="2">
        <v>931.07</v>
      </c>
    </row>
    <row r="476" spans="1:9" x14ac:dyDescent="0.25">
      <c r="A476" t="s">
        <v>398</v>
      </c>
      <c r="B476" t="s">
        <v>399</v>
      </c>
      <c r="C476" t="s">
        <v>231</v>
      </c>
      <c r="D476" t="s">
        <v>4052</v>
      </c>
      <c r="E476" t="s">
        <v>4053</v>
      </c>
      <c r="F476" t="s">
        <v>4054</v>
      </c>
      <c r="G476">
        <v>77</v>
      </c>
      <c r="H476" s="2">
        <v>1202.19</v>
      </c>
      <c r="I476" s="2">
        <v>925.69</v>
      </c>
    </row>
    <row r="477" spans="1:9" x14ac:dyDescent="0.25">
      <c r="A477" t="s">
        <v>405</v>
      </c>
      <c r="B477" t="s">
        <v>406</v>
      </c>
      <c r="C477" t="s">
        <v>42</v>
      </c>
      <c r="D477" t="s">
        <v>4062</v>
      </c>
      <c r="E477" t="s">
        <v>4352</v>
      </c>
      <c r="F477" t="s">
        <v>42</v>
      </c>
      <c r="G477">
        <v>1.05</v>
      </c>
      <c r="H477" s="2">
        <v>31353</v>
      </c>
      <c r="I477" s="2">
        <v>32920.65</v>
      </c>
    </row>
    <row r="478" spans="1:9" x14ac:dyDescent="0.25">
      <c r="A478" t="s">
        <v>405</v>
      </c>
      <c r="B478" t="s">
        <v>406</v>
      </c>
      <c r="C478" t="s">
        <v>42</v>
      </c>
      <c r="D478" t="s">
        <v>4062</v>
      </c>
      <c r="E478" t="s">
        <v>4353</v>
      </c>
      <c r="F478" t="s">
        <v>63</v>
      </c>
      <c r="G478">
        <v>0.17</v>
      </c>
      <c r="H478" s="2">
        <v>27711</v>
      </c>
      <c r="I478" s="2">
        <v>4710.87</v>
      </c>
    </row>
    <row r="479" spans="1:9" x14ac:dyDescent="0.25">
      <c r="A479" t="s">
        <v>405</v>
      </c>
      <c r="B479" t="s">
        <v>406</v>
      </c>
      <c r="C479" t="s">
        <v>42</v>
      </c>
      <c r="D479" t="s">
        <v>4062</v>
      </c>
      <c r="E479" t="s">
        <v>4354</v>
      </c>
      <c r="F479" t="s">
        <v>4171</v>
      </c>
      <c r="G479">
        <v>1.5</v>
      </c>
      <c r="H479" s="2">
        <v>1148</v>
      </c>
      <c r="I479" s="2">
        <v>1722</v>
      </c>
    </row>
    <row r="480" spans="1:9" x14ac:dyDescent="0.25">
      <c r="A480" t="s">
        <v>405</v>
      </c>
      <c r="B480" t="s">
        <v>406</v>
      </c>
      <c r="C480" t="s">
        <v>42</v>
      </c>
      <c r="D480" t="s">
        <v>4049</v>
      </c>
      <c r="E480" t="s">
        <v>4176</v>
      </c>
      <c r="F480" t="s">
        <v>4177</v>
      </c>
      <c r="G480">
        <v>0.05</v>
      </c>
      <c r="H480" s="2">
        <v>72300.17</v>
      </c>
      <c r="I480" s="2">
        <v>3759.61</v>
      </c>
    </row>
    <row r="481" spans="1:9" x14ac:dyDescent="0.25">
      <c r="A481" t="s">
        <v>405</v>
      </c>
      <c r="B481" t="s">
        <v>406</v>
      </c>
      <c r="C481" t="s">
        <v>42</v>
      </c>
      <c r="D481" t="s">
        <v>4049</v>
      </c>
      <c r="E481" t="s">
        <v>4223</v>
      </c>
      <c r="F481" t="s">
        <v>4051</v>
      </c>
      <c r="G481">
        <v>0.01</v>
      </c>
      <c r="H481" s="2">
        <v>52807.59</v>
      </c>
      <c r="I481" s="2">
        <v>528.08</v>
      </c>
    </row>
    <row r="482" spans="1:9" x14ac:dyDescent="0.25">
      <c r="A482" t="s">
        <v>405</v>
      </c>
      <c r="B482" t="s">
        <v>406</v>
      </c>
      <c r="C482" t="s">
        <v>42</v>
      </c>
      <c r="D482" t="s">
        <v>4049</v>
      </c>
      <c r="E482" t="s">
        <v>4313</v>
      </c>
      <c r="F482" t="s">
        <v>4177</v>
      </c>
      <c r="G482">
        <v>0.05</v>
      </c>
      <c r="H482" s="2">
        <v>124137.15</v>
      </c>
      <c r="I482" s="2">
        <v>6455.13</v>
      </c>
    </row>
    <row r="483" spans="1:9" x14ac:dyDescent="0.25">
      <c r="A483" t="s">
        <v>405</v>
      </c>
      <c r="B483" t="s">
        <v>406</v>
      </c>
      <c r="C483" t="s">
        <v>42</v>
      </c>
      <c r="D483" t="s">
        <v>4052</v>
      </c>
      <c r="E483" t="s">
        <v>4053</v>
      </c>
      <c r="F483" t="s">
        <v>4054</v>
      </c>
      <c r="G483">
        <v>5</v>
      </c>
      <c r="H483" s="2">
        <v>10742.82</v>
      </c>
      <c r="I483" s="2">
        <v>537.14</v>
      </c>
    </row>
    <row r="484" spans="1:9" x14ac:dyDescent="0.25">
      <c r="A484" t="s">
        <v>409</v>
      </c>
      <c r="B484" t="s">
        <v>410</v>
      </c>
      <c r="C484" t="s">
        <v>42</v>
      </c>
      <c r="D484" t="s">
        <v>4062</v>
      </c>
      <c r="E484" t="s">
        <v>4357</v>
      </c>
      <c r="F484" t="s">
        <v>42</v>
      </c>
      <c r="G484">
        <v>1.03</v>
      </c>
      <c r="H484" s="2">
        <v>16806.55</v>
      </c>
      <c r="I484" s="2">
        <v>17310.75</v>
      </c>
    </row>
    <row r="485" spans="1:9" x14ac:dyDescent="0.25">
      <c r="A485" t="s">
        <v>409</v>
      </c>
      <c r="B485" t="s">
        <v>410</v>
      </c>
      <c r="C485" t="s">
        <v>42</v>
      </c>
      <c r="D485" t="s">
        <v>4062</v>
      </c>
      <c r="E485" t="s">
        <v>4358</v>
      </c>
      <c r="F485" t="s">
        <v>4359</v>
      </c>
      <c r="G485">
        <v>0.17</v>
      </c>
      <c r="H485" s="2">
        <v>11434</v>
      </c>
      <c r="I485" s="2">
        <v>1906.05</v>
      </c>
    </row>
    <row r="486" spans="1:9" x14ac:dyDescent="0.25">
      <c r="A486" t="s">
        <v>409</v>
      </c>
      <c r="B486" t="s">
        <v>410</v>
      </c>
      <c r="C486" t="s">
        <v>42</v>
      </c>
      <c r="D486" t="s">
        <v>4062</v>
      </c>
      <c r="E486" t="s">
        <v>4354</v>
      </c>
      <c r="F486" t="s">
        <v>4171</v>
      </c>
      <c r="G486">
        <v>1.1</v>
      </c>
      <c r="H486" s="2">
        <v>1148</v>
      </c>
      <c r="I486" s="2">
        <v>1262.8</v>
      </c>
    </row>
    <row r="487" spans="1:9" x14ac:dyDescent="0.25">
      <c r="A487" t="s">
        <v>409</v>
      </c>
      <c r="B487" t="s">
        <v>410</v>
      </c>
      <c r="C487" t="s">
        <v>42</v>
      </c>
      <c r="D487" t="s">
        <v>4049</v>
      </c>
      <c r="E487" t="s">
        <v>4176</v>
      </c>
      <c r="F487" t="s">
        <v>4177</v>
      </c>
      <c r="G487">
        <v>0.04</v>
      </c>
      <c r="H487" s="2">
        <v>72300.17</v>
      </c>
      <c r="I487" s="2">
        <v>2530.51</v>
      </c>
    </row>
    <row r="488" spans="1:9" x14ac:dyDescent="0.25">
      <c r="A488" t="s">
        <v>409</v>
      </c>
      <c r="B488" t="s">
        <v>410</v>
      </c>
      <c r="C488" t="s">
        <v>42</v>
      </c>
      <c r="D488" t="s">
        <v>4049</v>
      </c>
      <c r="E488" t="s">
        <v>4223</v>
      </c>
      <c r="F488" t="s">
        <v>4051</v>
      </c>
      <c r="G488">
        <v>0.01</v>
      </c>
      <c r="H488" s="2">
        <v>52807.59</v>
      </c>
      <c r="I488" s="2">
        <v>528.08</v>
      </c>
    </row>
    <row r="489" spans="1:9" x14ac:dyDescent="0.25">
      <c r="A489" t="s">
        <v>409</v>
      </c>
      <c r="B489" t="s">
        <v>410</v>
      </c>
      <c r="C489" t="s">
        <v>42</v>
      </c>
      <c r="D489" t="s">
        <v>4049</v>
      </c>
      <c r="E489" t="s">
        <v>4313</v>
      </c>
      <c r="F489" t="s">
        <v>4177</v>
      </c>
      <c r="G489">
        <v>0.04</v>
      </c>
      <c r="H489" s="2">
        <v>124137.15</v>
      </c>
      <c r="I489" s="2">
        <v>4344.8</v>
      </c>
    </row>
    <row r="490" spans="1:9" x14ac:dyDescent="0.25">
      <c r="A490" t="s">
        <v>409</v>
      </c>
      <c r="B490" t="s">
        <v>410</v>
      </c>
      <c r="C490" t="s">
        <v>42</v>
      </c>
      <c r="D490" t="s">
        <v>4052</v>
      </c>
      <c r="E490" t="s">
        <v>4053</v>
      </c>
      <c r="F490" t="s">
        <v>4054</v>
      </c>
      <c r="G490">
        <v>3.4</v>
      </c>
      <c r="H490" s="2">
        <v>7403.39</v>
      </c>
      <c r="I490" s="2">
        <v>251.72</v>
      </c>
    </row>
    <row r="491" spans="1:9" x14ac:dyDescent="0.25">
      <c r="A491" t="s">
        <v>412</v>
      </c>
      <c r="B491" t="s">
        <v>413</v>
      </c>
      <c r="C491" t="s">
        <v>42</v>
      </c>
      <c r="D491" t="s">
        <v>4062</v>
      </c>
      <c r="E491" t="s">
        <v>4362</v>
      </c>
      <c r="F491" t="s">
        <v>42</v>
      </c>
      <c r="G491">
        <v>1</v>
      </c>
      <c r="H491" s="2">
        <v>19040</v>
      </c>
      <c r="I491" s="2">
        <v>19040</v>
      </c>
    </row>
    <row r="492" spans="1:9" x14ac:dyDescent="0.25">
      <c r="A492" t="s">
        <v>412</v>
      </c>
      <c r="B492" t="s">
        <v>413</v>
      </c>
      <c r="C492" t="s">
        <v>42</v>
      </c>
      <c r="D492" t="s">
        <v>4049</v>
      </c>
      <c r="E492" t="s">
        <v>4241</v>
      </c>
      <c r="F492" t="s">
        <v>4051</v>
      </c>
      <c r="G492">
        <v>0.2</v>
      </c>
      <c r="H492" s="2">
        <v>9941.22</v>
      </c>
      <c r="I492" s="2">
        <v>1988.24</v>
      </c>
    </row>
    <row r="493" spans="1:9" x14ac:dyDescent="0.25">
      <c r="A493" t="s">
        <v>412</v>
      </c>
      <c r="B493" t="s">
        <v>413</v>
      </c>
      <c r="C493" t="s">
        <v>42</v>
      </c>
      <c r="D493" t="s">
        <v>4049</v>
      </c>
      <c r="E493" t="s">
        <v>4242</v>
      </c>
      <c r="F493" t="s">
        <v>4051</v>
      </c>
      <c r="G493">
        <v>0.2</v>
      </c>
      <c r="H493" s="2">
        <v>17069.53</v>
      </c>
      <c r="I493" s="2">
        <v>3413.91</v>
      </c>
    </row>
    <row r="494" spans="1:9" x14ac:dyDescent="0.25">
      <c r="A494" t="s">
        <v>412</v>
      </c>
      <c r="B494" t="s">
        <v>413</v>
      </c>
      <c r="C494" t="s">
        <v>42</v>
      </c>
      <c r="D494" t="s">
        <v>4052</v>
      </c>
      <c r="E494" t="s">
        <v>4053</v>
      </c>
      <c r="F494" t="s">
        <v>4054</v>
      </c>
      <c r="G494">
        <v>3</v>
      </c>
      <c r="H494" s="2">
        <v>5402.15</v>
      </c>
      <c r="I494" s="2">
        <v>162.06</v>
      </c>
    </row>
    <row r="495" spans="1:9" x14ac:dyDescent="0.25">
      <c r="A495" t="s">
        <v>415</v>
      </c>
      <c r="B495" t="s">
        <v>416</v>
      </c>
      <c r="C495" t="s">
        <v>42</v>
      </c>
      <c r="D495" t="s">
        <v>4062</v>
      </c>
      <c r="E495" t="s">
        <v>4365</v>
      </c>
      <c r="F495" t="s">
        <v>42</v>
      </c>
      <c r="G495">
        <v>1</v>
      </c>
      <c r="H495" s="2">
        <v>37531</v>
      </c>
      <c r="I495" s="2">
        <v>37531</v>
      </c>
    </row>
    <row r="496" spans="1:9" x14ac:dyDescent="0.25">
      <c r="A496" t="s">
        <v>415</v>
      </c>
      <c r="B496" t="s">
        <v>416</v>
      </c>
      <c r="C496" t="s">
        <v>42</v>
      </c>
      <c r="D496" t="s">
        <v>4049</v>
      </c>
      <c r="E496" t="s">
        <v>4241</v>
      </c>
      <c r="F496" t="s">
        <v>4051</v>
      </c>
      <c r="G496">
        <v>0.2</v>
      </c>
      <c r="H496" s="2">
        <v>9941.22</v>
      </c>
      <c r="I496" s="2">
        <v>1988.24</v>
      </c>
    </row>
    <row r="497" spans="1:9" x14ac:dyDescent="0.25">
      <c r="A497" t="s">
        <v>415</v>
      </c>
      <c r="B497" t="s">
        <v>416</v>
      </c>
      <c r="C497" t="s">
        <v>42</v>
      </c>
      <c r="D497" t="s">
        <v>4049</v>
      </c>
      <c r="E497" t="s">
        <v>4242</v>
      </c>
      <c r="F497" t="s">
        <v>4051</v>
      </c>
      <c r="G497">
        <v>0.2</v>
      </c>
      <c r="H497" s="2">
        <v>17069.53</v>
      </c>
      <c r="I497" s="2">
        <v>3413.91</v>
      </c>
    </row>
    <row r="498" spans="1:9" x14ac:dyDescent="0.25">
      <c r="A498" t="s">
        <v>415</v>
      </c>
      <c r="B498" t="s">
        <v>416</v>
      </c>
      <c r="C498" t="s">
        <v>42</v>
      </c>
      <c r="D498" t="s">
        <v>4052</v>
      </c>
      <c r="E498" t="s">
        <v>4053</v>
      </c>
      <c r="F498" t="s">
        <v>4054</v>
      </c>
      <c r="G498">
        <v>3</v>
      </c>
      <c r="H498" s="2">
        <v>5402.15</v>
      </c>
      <c r="I498" s="2">
        <v>162.06</v>
      </c>
    </row>
    <row r="499" spans="1:9" x14ac:dyDescent="0.25">
      <c r="A499" t="s">
        <v>418</v>
      </c>
      <c r="B499" t="s">
        <v>419</v>
      </c>
      <c r="C499" t="s">
        <v>42</v>
      </c>
      <c r="D499" t="s">
        <v>4062</v>
      </c>
      <c r="E499" t="s">
        <v>4368</v>
      </c>
      <c r="F499" t="s">
        <v>42</v>
      </c>
      <c r="G499">
        <v>1</v>
      </c>
      <c r="H499" s="2">
        <v>59480</v>
      </c>
      <c r="I499" s="2">
        <v>59480</v>
      </c>
    </row>
    <row r="500" spans="1:9" x14ac:dyDescent="0.25">
      <c r="A500" t="s">
        <v>418</v>
      </c>
      <c r="B500" t="s">
        <v>419</v>
      </c>
      <c r="C500" t="s">
        <v>42</v>
      </c>
      <c r="D500" t="s">
        <v>4062</v>
      </c>
      <c r="E500" t="s">
        <v>4369</v>
      </c>
      <c r="F500" t="s">
        <v>34</v>
      </c>
      <c r="G500">
        <v>0.04</v>
      </c>
      <c r="H500" s="2">
        <v>89250</v>
      </c>
      <c r="I500" s="2">
        <v>3927</v>
      </c>
    </row>
    <row r="501" spans="1:9" x14ac:dyDescent="0.25">
      <c r="A501" t="s">
        <v>418</v>
      </c>
      <c r="B501" t="s">
        <v>419</v>
      </c>
      <c r="C501" t="s">
        <v>42</v>
      </c>
      <c r="D501" t="s">
        <v>4049</v>
      </c>
      <c r="E501" t="s">
        <v>4241</v>
      </c>
      <c r="F501" t="s">
        <v>4051</v>
      </c>
      <c r="G501">
        <v>0.4</v>
      </c>
      <c r="H501" s="2">
        <v>9941.22</v>
      </c>
      <c r="I501" s="2">
        <v>3976.49</v>
      </c>
    </row>
    <row r="502" spans="1:9" x14ac:dyDescent="0.25">
      <c r="A502" t="s">
        <v>418</v>
      </c>
      <c r="B502" t="s">
        <v>419</v>
      </c>
      <c r="C502" t="s">
        <v>42</v>
      </c>
      <c r="D502" t="s">
        <v>4049</v>
      </c>
      <c r="E502" t="s">
        <v>4242</v>
      </c>
      <c r="F502" t="s">
        <v>4051</v>
      </c>
      <c r="G502">
        <v>0.4</v>
      </c>
      <c r="H502" s="2">
        <v>17069.53</v>
      </c>
      <c r="I502" s="2">
        <v>6827.81</v>
      </c>
    </row>
    <row r="503" spans="1:9" x14ac:dyDescent="0.25">
      <c r="A503" t="s">
        <v>418</v>
      </c>
      <c r="B503" t="s">
        <v>419</v>
      </c>
      <c r="C503" t="s">
        <v>42</v>
      </c>
      <c r="D503" t="s">
        <v>4052</v>
      </c>
      <c r="E503" t="s">
        <v>4053</v>
      </c>
      <c r="F503" t="s">
        <v>4054</v>
      </c>
      <c r="G503">
        <v>3</v>
      </c>
      <c r="H503" s="2">
        <v>10804.3</v>
      </c>
      <c r="I503" s="2">
        <v>324.13</v>
      </c>
    </row>
    <row r="504" spans="1:9" x14ac:dyDescent="0.25">
      <c r="A504" t="s">
        <v>421</v>
      </c>
      <c r="B504" t="s">
        <v>422</v>
      </c>
      <c r="C504" t="s">
        <v>42</v>
      </c>
      <c r="D504" t="s">
        <v>4062</v>
      </c>
      <c r="E504" t="s">
        <v>4368</v>
      </c>
      <c r="F504" t="s">
        <v>42</v>
      </c>
      <c r="G504">
        <v>1</v>
      </c>
      <c r="H504" s="2">
        <v>59480</v>
      </c>
      <c r="I504" s="2">
        <v>59480</v>
      </c>
    </row>
    <row r="505" spans="1:9" x14ac:dyDescent="0.25">
      <c r="A505" t="s">
        <v>421</v>
      </c>
      <c r="B505" t="s">
        <v>422</v>
      </c>
      <c r="C505" t="s">
        <v>42</v>
      </c>
      <c r="D505" t="s">
        <v>4049</v>
      </c>
      <c r="E505" t="s">
        <v>4241</v>
      </c>
      <c r="F505" t="s">
        <v>4051</v>
      </c>
      <c r="G505">
        <v>0.4</v>
      </c>
      <c r="H505" s="2">
        <v>9941.22</v>
      </c>
      <c r="I505" s="2">
        <v>3976.49</v>
      </c>
    </row>
    <row r="506" spans="1:9" x14ac:dyDescent="0.25">
      <c r="A506" t="s">
        <v>421</v>
      </c>
      <c r="B506" t="s">
        <v>422</v>
      </c>
      <c r="C506" t="s">
        <v>42</v>
      </c>
      <c r="D506" t="s">
        <v>4049</v>
      </c>
      <c r="E506" t="s">
        <v>4242</v>
      </c>
      <c r="F506" t="s">
        <v>4051</v>
      </c>
      <c r="G506">
        <v>0.4</v>
      </c>
      <c r="H506" s="2">
        <v>17069.53</v>
      </c>
      <c r="I506" s="2">
        <v>6827.81</v>
      </c>
    </row>
    <row r="507" spans="1:9" x14ac:dyDescent="0.25">
      <c r="A507" t="s">
        <v>421</v>
      </c>
      <c r="B507" t="s">
        <v>422</v>
      </c>
      <c r="C507" t="s">
        <v>42</v>
      </c>
      <c r="D507" t="s">
        <v>4052</v>
      </c>
      <c r="E507" t="s">
        <v>4053</v>
      </c>
      <c r="F507" t="s">
        <v>4054</v>
      </c>
      <c r="G507">
        <v>3</v>
      </c>
      <c r="H507" s="2">
        <v>10804.3</v>
      </c>
      <c r="I507" s="2">
        <v>324.13</v>
      </c>
    </row>
    <row r="508" spans="1:9" x14ac:dyDescent="0.25">
      <c r="A508" t="s">
        <v>424</v>
      </c>
      <c r="B508" t="s">
        <v>425</v>
      </c>
      <c r="C508" t="s">
        <v>42</v>
      </c>
      <c r="D508" t="s">
        <v>4062</v>
      </c>
      <c r="E508" t="s">
        <v>4374</v>
      </c>
      <c r="F508" t="s">
        <v>42</v>
      </c>
      <c r="G508">
        <v>1.05</v>
      </c>
      <c r="H508" s="2">
        <v>11156</v>
      </c>
      <c r="I508" s="2">
        <v>11713.8</v>
      </c>
    </row>
    <row r="509" spans="1:9" x14ac:dyDescent="0.25">
      <c r="A509" t="s">
        <v>424</v>
      </c>
      <c r="B509" t="s">
        <v>425</v>
      </c>
      <c r="C509" t="s">
        <v>42</v>
      </c>
      <c r="D509" t="s">
        <v>4062</v>
      </c>
      <c r="E509" t="s">
        <v>4375</v>
      </c>
      <c r="F509" t="s">
        <v>63</v>
      </c>
      <c r="G509">
        <v>0</v>
      </c>
      <c r="H509" s="2">
        <v>7657</v>
      </c>
      <c r="I509" s="2">
        <v>30.63</v>
      </c>
    </row>
    <row r="510" spans="1:9" x14ac:dyDescent="0.25">
      <c r="A510" t="s">
        <v>424</v>
      </c>
      <c r="B510" t="s">
        <v>425</v>
      </c>
      <c r="C510" t="s">
        <v>42</v>
      </c>
      <c r="D510" t="s">
        <v>4062</v>
      </c>
      <c r="E510" t="s">
        <v>4376</v>
      </c>
      <c r="F510" t="s">
        <v>4377</v>
      </c>
      <c r="G510">
        <v>0</v>
      </c>
      <c r="H510" s="2">
        <v>72237.67</v>
      </c>
      <c r="I510" s="2">
        <v>288.95</v>
      </c>
    </row>
    <row r="511" spans="1:9" x14ac:dyDescent="0.25">
      <c r="A511" t="s">
        <v>424</v>
      </c>
      <c r="B511" t="s">
        <v>425</v>
      </c>
      <c r="C511" t="s">
        <v>42</v>
      </c>
      <c r="D511" t="s">
        <v>4049</v>
      </c>
      <c r="E511" t="s">
        <v>4241</v>
      </c>
      <c r="F511" t="s">
        <v>4051</v>
      </c>
      <c r="G511">
        <v>0.2</v>
      </c>
      <c r="H511" s="2">
        <v>9941.22</v>
      </c>
      <c r="I511" s="2">
        <v>1988.24</v>
      </c>
    </row>
    <row r="512" spans="1:9" x14ac:dyDescent="0.25">
      <c r="A512" t="s">
        <v>424</v>
      </c>
      <c r="B512" t="s">
        <v>425</v>
      </c>
      <c r="C512" t="s">
        <v>42</v>
      </c>
      <c r="D512" t="s">
        <v>4049</v>
      </c>
      <c r="E512" t="s">
        <v>4242</v>
      </c>
      <c r="F512" t="s">
        <v>4051</v>
      </c>
      <c r="G512">
        <v>0.2</v>
      </c>
      <c r="H512" s="2">
        <v>17069.53</v>
      </c>
      <c r="I512" s="2">
        <v>3413.91</v>
      </c>
    </row>
    <row r="513" spans="1:9" x14ac:dyDescent="0.25">
      <c r="A513" t="s">
        <v>424</v>
      </c>
      <c r="B513" t="s">
        <v>425</v>
      </c>
      <c r="C513" t="s">
        <v>42</v>
      </c>
      <c r="D513" t="s">
        <v>4052</v>
      </c>
      <c r="E513" t="s">
        <v>4053</v>
      </c>
      <c r="F513" t="s">
        <v>4054</v>
      </c>
      <c r="G513">
        <v>11</v>
      </c>
      <c r="H513" s="2">
        <v>5402.15</v>
      </c>
      <c r="I513" s="2">
        <v>594.24</v>
      </c>
    </row>
    <row r="514" spans="1:9" x14ac:dyDescent="0.25">
      <c r="A514" t="s">
        <v>427</v>
      </c>
      <c r="B514" t="s">
        <v>428</v>
      </c>
      <c r="C514" t="s">
        <v>42</v>
      </c>
      <c r="D514" t="s">
        <v>4062</v>
      </c>
      <c r="E514" t="s">
        <v>4380</v>
      </c>
      <c r="F514" t="s">
        <v>42</v>
      </c>
      <c r="G514">
        <v>1</v>
      </c>
      <c r="H514" s="2">
        <v>16665</v>
      </c>
      <c r="I514" s="2">
        <v>16665</v>
      </c>
    </row>
    <row r="515" spans="1:9" x14ac:dyDescent="0.25">
      <c r="A515" t="s">
        <v>427</v>
      </c>
      <c r="B515" t="s">
        <v>428</v>
      </c>
      <c r="C515" t="s">
        <v>42</v>
      </c>
      <c r="D515" t="s">
        <v>4062</v>
      </c>
      <c r="E515" t="s">
        <v>4375</v>
      </c>
      <c r="F515" t="s">
        <v>63</v>
      </c>
      <c r="G515">
        <v>0</v>
      </c>
      <c r="H515" s="2">
        <v>7657</v>
      </c>
      <c r="I515" s="2">
        <v>30.63</v>
      </c>
    </row>
    <row r="516" spans="1:9" x14ac:dyDescent="0.25">
      <c r="A516" t="s">
        <v>427</v>
      </c>
      <c r="B516" t="s">
        <v>428</v>
      </c>
      <c r="C516" t="s">
        <v>42</v>
      </c>
      <c r="D516" t="s">
        <v>4062</v>
      </c>
      <c r="E516" t="s">
        <v>4376</v>
      </c>
      <c r="F516" t="s">
        <v>4377</v>
      </c>
      <c r="G516">
        <v>0</v>
      </c>
      <c r="H516" s="2">
        <v>72237.67</v>
      </c>
      <c r="I516" s="2">
        <v>288.95</v>
      </c>
    </row>
    <row r="517" spans="1:9" x14ac:dyDescent="0.25">
      <c r="A517" t="s">
        <v>427</v>
      </c>
      <c r="B517" t="s">
        <v>428</v>
      </c>
      <c r="C517" t="s">
        <v>42</v>
      </c>
      <c r="D517" t="s">
        <v>4049</v>
      </c>
      <c r="E517" t="s">
        <v>4241</v>
      </c>
      <c r="F517" t="s">
        <v>4051</v>
      </c>
      <c r="G517">
        <v>0.2</v>
      </c>
      <c r="H517" s="2">
        <v>9941.22</v>
      </c>
      <c r="I517" s="2">
        <v>1988.24</v>
      </c>
    </row>
    <row r="518" spans="1:9" x14ac:dyDescent="0.25">
      <c r="A518" t="s">
        <v>427</v>
      </c>
      <c r="B518" t="s">
        <v>428</v>
      </c>
      <c r="C518" t="s">
        <v>42</v>
      </c>
      <c r="D518" t="s">
        <v>4049</v>
      </c>
      <c r="E518" t="s">
        <v>4242</v>
      </c>
      <c r="F518" t="s">
        <v>4051</v>
      </c>
      <c r="G518">
        <v>0.2</v>
      </c>
      <c r="H518" s="2">
        <v>17069.53</v>
      </c>
      <c r="I518" s="2">
        <v>3413.91</v>
      </c>
    </row>
    <row r="519" spans="1:9" x14ac:dyDescent="0.25">
      <c r="A519" t="s">
        <v>427</v>
      </c>
      <c r="B519" t="s">
        <v>428</v>
      </c>
      <c r="C519" t="s">
        <v>42</v>
      </c>
      <c r="D519" t="s">
        <v>4052</v>
      </c>
      <c r="E519" t="s">
        <v>4053</v>
      </c>
      <c r="F519" t="s">
        <v>4054</v>
      </c>
      <c r="G519">
        <v>11</v>
      </c>
      <c r="H519" s="2">
        <v>5402.15</v>
      </c>
      <c r="I519" s="2">
        <v>594.24</v>
      </c>
    </row>
    <row r="520" spans="1:9" x14ac:dyDescent="0.25">
      <c r="A520" t="s">
        <v>430</v>
      </c>
      <c r="B520" t="s">
        <v>431</v>
      </c>
      <c r="C520" t="s">
        <v>42</v>
      </c>
      <c r="D520" t="s">
        <v>4062</v>
      </c>
      <c r="E520" t="s">
        <v>4374</v>
      </c>
      <c r="F520" t="s">
        <v>42</v>
      </c>
      <c r="G520">
        <v>1</v>
      </c>
      <c r="H520" s="2">
        <v>11156</v>
      </c>
      <c r="I520" s="2">
        <v>11156</v>
      </c>
    </row>
    <row r="521" spans="1:9" x14ac:dyDescent="0.25">
      <c r="A521" t="s">
        <v>430</v>
      </c>
      <c r="B521" t="s">
        <v>431</v>
      </c>
      <c r="C521" t="s">
        <v>42</v>
      </c>
      <c r="D521" t="s">
        <v>4062</v>
      </c>
      <c r="E521" t="s">
        <v>4383</v>
      </c>
      <c r="F521" t="s">
        <v>63</v>
      </c>
      <c r="G521">
        <v>1</v>
      </c>
      <c r="H521" s="2">
        <v>2412</v>
      </c>
      <c r="I521" s="2">
        <v>2412</v>
      </c>
    </row>
    <row r="522" spans="1:9" x14ac:dyDescent="0.25">
      <c r="A522" t="s">
        <v>430</v>
      </c>
      <c r="B522" t="s">
        <v>431</v>
      </c>
      <c r="C522" t="s">
        <v>42</v>
      </c>
      <c r="D522" t="s">
        <v>4062</v>
      </c>
      <c r="E522" t="s">
        <v>4354</v>
      </c>
      <c r="F522" t="s">
        <v>4171</v>
      </c>
      <c r="G522">
        <v>1.1</v>
      </c>
      <c r="H522" s="2">
        <v>1148</v>
      </c>
      <c r="I522" s="2">
        <v>1262.8</v>
      </c>
    </row>
    <row r="523" spans="1:9" x14ac:dyDescent="0.25">
      <c r="A523" t="s">
        <v>430</v>
      </c>
      <c r="B523" t="s">
        <v>431</v>
      </c>
      <c r="C523" t="s">
        <v>42</v>
      </c>
      <c r="D523" t="s">
        <v>4049</v>
      </c>
      <c r="E523" t="s">
        <v>4176</v>
      </c>
      <c r="F523" t="s">
        <v>4177</v>
      </c>
      <c r="G523">
        <v>0.04</v>
      </c>
      <c r="H523" s="2">
        <v>72300.17</v>
      </c>
      <c r="I523" s="2">
        <v>2530.51</v>
      </c>
    </row>
    <row r="524" spans="1:9" x14ac:dyDescent="0.25">
      <c r="A524" t="s">
        <v>430</v>
      </c>
      <c r="B524" t="s">
        <v>431</v>
      </c>
      <c r="C524" t="s">
        <v>42</v>
      </c>
      <c r="D524" t="s">
        <v>4049</v>
      </c>
      <c r="E524" t="s">
        <v>4223</v>
      </c>
      <c r="F524" t="s">
        <v>4051</v>
      </c>
      <c r="G524">
        <v>0.01</v>
      </c>
      <c r="H524" s="2">
        <v>52807.59</v>
      </c>
      <c r="I524" s="2">
        <v>528.08</v>
      </c>
    </row>
    <row r="525" spans="1:9" x14ac:dyDescent="0.25">
      <c r="A525" t="s">
        <v>430</v>
      </c>
      <c r="B525" t="s">
        <v>431</v>
      </c>
      <c r="C525" t="s">
        <v>42</v>
      </c>
      <c r="D525" t="s">
        <v>4049</v>
      </c>
      <c r="E525" t="s">
        <v>4313</v>
      </c>
      <c r="F525" t="s">
        <v>4177</v>
      </c>
      <c r="G525">
        <v>0.04</v>
      </c>
      <c r="H525" s="2">
        <v>124137.15</v>
      </c>
      <c r="I525" s="2">
        <v>4344.8</v>
      </c>
    </row>
    <row r="526" spans="1:9" x14ac:dyDescent="0.25">
      <c r="A526" t="s">
        <v>430</v>
      </c>
      <c r="B526" t="s">
        <v>431</v>
      </c>
      <c r="C526" t="s">
        <v>42</v>
      </c>
      <c r="D526" t="s">
        <v>4052</v>
      </c>
      <c r="E526" t="s">
        <v>4053</v>
      </c>
      <c r="F526" t="s">
        <v>4054</v>
      </c>
      <c r="G526">
        <v>3.4</v>
      </c>
      <c r="H526" s="2">
        <v>7403.39</v>
      </c>
      <c r="I526" s="2">
        <v>251.72</v>
      </c>
    </row>
    <row r="527" spans="1:9" x14ac:dyDescent="0.25">
      <c r="A527" t="s">
        <v>433</v>
      </c>
      <c r="B527" t="s">
        <v>434</v>
      </c>
      <c r="C527" t="s">
        <v>42</v>
      </c>
      <c r="D527" t="s">
        <v>4062</v>
      </c>
      <c r="E527" t="s">
        <v>4386</v>
      </c>
      <c r="F527" t="s">
        <v>42</v>
      </c>
      <c r="G527">
        <v>1.05</v>
      </c>
      <c r="H527" s="2">
        <v>23228</v>
      </c>
      <c r="I527" s="2">
        <v>24389.4</v>
      </c>
    </row>
    <row r="528" spans="1:9" x14ac:dyDescent="0.25">
      <c r="A528" t="s">
        <v>433</v>
      </c>
      <c r="B528" t="s">
        <v>434</v>
      </c>
      <c r="C528" t="s">
        <v>42</v>
      </c>
      <c r="D528" t="s">
        <v>4062</v>
      </c>
      <c r="E528" t="s">
        <v>4387</v>
      </c>
      <c r="F528" t="s">
        <v>63</v>
      </c>
      <c r="G528">
        <v>1</v>
      </c>
      <c r="H528" s="2">
        <v>7107</v>
      </c>
      <c r="I528" s="2">
        <v>7107</v>
      </c>
    </row>
    <row r="529" spans="1:9" x14ac:dyDescent="0.25">
      <c r="A529" t="s">
        <v>433</v>
      </c>
      <c r="B529" t="s">
        <v>434</v>
      </c>
      <c r="C529" t="s">
        <v>42</v>
      </c>
      <c r="D529" t="s">
        <v>4062</v>
      </c>
      <c r="E529" t="s">
        <v>4354</v>
      </c>
      <c r="F529" t="s">
        <v>4171</v>
      </c>
      <c r="G529">
        <v>1.1</v>
      </c>
      <c r="H529" s="2">
        <v>1148</v>
      </c>
      <c r="I529" s="2">
        <v>1262.8</v>
      </c>
    </row>
    <row r="530" spans="1:9" x14ac:dyDescent="0.25">
      <c r="A530" t="s">
        <v>433</v>
      </c>
      <c r="B530" t="s">
        <v>434</v>
      </c>
      <c r="C530" t="s">
        <v>42</v>
      </c>
      <c r="D530" t="s">
        <v>4049</v>
      </c>
      <c r="E530" t="s">
        <v>4176</v>
      </c>
      <c r="F530" t="s">
        <v>4177</v>
      </c>
      <c r="G530">
        <v>0.04</v>
      </c>
      <c r="H530" s="2">
        <v>72300.17</v>
      </c>
      <c r="I530" s="2">
        <v>2530.51</v>
      </c>
    </row>
    <row r="531" spans="1:9" x14ac:dyDescent="0.25">
      <c r="A531" t="s">
        <v>433</v>
      </c>
      <c r="B531" t="s">
        <v>434</v>
      </c>
      <c r="C531" t="s">
        <v>42</v>
      </c>
      <c r="D531" t="s">
        <v>4049</v>
      </c>
      <c r="E531" t="s">
        <v>4223</v>
      </c>
      <c r="F531" t="s">
        <v>4051</v>
      </c>
      <c r="G531">
        <v>0.01</v>
      </c>
      <c r="H531" s="2">
        <v>52807.59</v>
      </c>
      <c r="I531" s="2">
        <v>528.08</v>
      </c>
    </row>
    <row r="532" spans="1:9" x14ac:dyDescent="0.25">
      <c r="A532" t="s">
        <v>433</v>
      </c>
      <c r="B532" t="s">
        <v>434</v>
      </c>
      <c r="C532" t="s">
        <v>42</v>
      </c>
      <c r="D532" t="s">
        <v>4049</v>
      </c>
      <c r="E532" t="s">
        <v>4313</v>
      </c>
      <c r="F532" t="s">
        <v>4177</v>
      </c>
      <c r="G532">
        <v>0.04</v>
      </c>
      <c r="H532" s="2">
        <v>124137.15</v>
      </c>
      <c r="I532" s="2">
        <v>4344.8</v>
      </c>
    </row>
    <row r="533" spans="1:9" x14ac:dyDescent="0.25">
      <c r="A533" t="s">
        <v>433</v>
      </c>
      <c r="B533" t="s">
        <v>434</v>
      </c>
      <c r="C533" t="s">
        <v>42</v>
      </c>
      <c r="D533" t="s">
        <v>4052</v>
      </c>
      <c r="E533" t="s">
        <v>4053</v>
      </c>
      <c r="F533" t="s">
        <v>4054</v>
      </c>
      <c r="G533">
        <v>3.4</v>
      </c>
      <c r="H533" s="2">
        <v>7403.39</v>
      </c>
      <c r="I533" s="2">
        <v>251.72</v>
      </c>
    </row>
    <row r="534" spans="1:9" x14ac:dyDescent="0.25">
      <c r="A534" t="s">
        <v>436</v>
      </c>
      <c r="B534" t="s">
        <v>437</v>
      </c>
      <c r="C534" t="s">
        <v>231</v>
      </c>
      <c r="D534" t="s">
        <v>4062</v>
      </c>
      <c r="E534" t="s">
        <v>4390</v>
      </c>
      <c r="F534" t="s">
        <v>231</v>
      </c>
      <c r="G534">
        <v>0.03</v>
      </c>
      <c r="H534" s="2">
        <v>4155</v>
      </c>
      <c r="I534" s="2">
        <v>124.65</v>
      </c>
    </row>
    <row r="535" spans="1:9" x14ac:dyDescent="0.25">
      <c r="A535" t="s">
        <v>436</v>
      </c>
      <c r="B535" t="s">
        <v>437</v>
      </c>
      <c r="C535" t="s">
        <v>231</v>
      </c>
      <c r="D535" t="s">
        <v>4062</v>
      </c>
      <c r="E535" t="s">
        <v>4391</v>
      </c>
      <c r="F535" t="s">
        <v>231</v>
      </c>
      <c r="G535">
        <v>1.05</v>
      </c>
      <c r="H535" s="2">
        <v>2930</v>
      </c>
      <c r="I535" s="2">
        <v>3076.5</v>
      </c>
    </row>
    <row r="536" spans="1:9" x14ac:dyDescent="0.25">
      <c r="A536" t="s">
        <v>436</v>
      </c>
      <c r="B536" t="s">
        <v>437</v>
      </c>
      <c r="C536" t="s">
        <v>231</v>
      </c>
      <c r="D536" t="s">
        <v>4062</v>
      </c>
      <c r="E536" t="s">
        <v>4392</v>
      </c>
      <c r="F536" t="s">
        <v>63</v>
      </c>
      <c r="G536">
        <v>0.03</v>
      </c>
      <c r="H536" s="2">
        <v>3159.98</v>
      </c>
      <c r="I536" s="2">
        <v>94.8</v>
      </c>
    </row>
    <row r="537" spans="1:9" x14ac:dyDescent="0.25">
      <c r="A537" t="s">
        <v>436</v>
      </c>
      <c r="B537" t="s">
        <v>437</v>
      </c>
      <c r="C537" t="s">
        <v>231</v>
      </c>
      <c r="D537" t="s">
        <v>4049</v>
      </c>
      <c r="E537" t="s">
        <v>4050</v>
      </c>
      <c r="F537" t="s">
        <v>4051</v>
      </c>
      <c r="G537">
        <v>0.05</v>
      </c>
      <c r="H537" s="2">
        <v>9037.33</v>
      </c>
      <c r="I537" s="2">
        <v>448.25</v>
      </c>
    </row>
    <row r="538" spans="1:9" x14ac:dyDescent="0.25">
      <c r="A538" t="s">
        <v>436</v>
      </c>
      <c r="B538" t="s">
        <v>437</v>
      </c>
      <c r="C538" t="s">
        <v>231</v>
      </c>
      <c r="D538" t="s">
        <v>4049</v>
      </c>
      <c r="E538" t="s">
        <v>4073</v>
      </c>
      <c r="F538" t="s">
        <v>4051</v>
      </c>
      <c r="G538">
        <v>0.02</v>
      </c>
      <c r="H538" s="2">
        <v>15517.89</v>
      </c>
      <c r="I538" s="2">
        <v>384.84</v>
      </c>
    </row>
    <row r="539" spans="1:9" x14ac:dyDescent="0.25">
      <c r="A539" t="s">
        <v>436</v>
      </c>
      <c r="B539" t="s">
        <v>437</v>
      </c>
      <c r="C539" t="s">
        <v>231</v>
      </c>
      <c r="D539" t="s">
        <v>4052</v>
      </c>
      <c r="E539" t="s">
        <v>4053</v>
      </c>
      <c r="F539" t="s">
        <v>4054</v>
      </c>
      <c r="G539">
        <v>5</v>
      </c>
      <c r="H539" s="2">
        <v>833.09</v>
      </c>
      <c r="I539" s="2">
        <v>41.65</v>
      </c>
    </row>
    <row r="540" spans="1:9" x14ac:dyDescent="0.25">
      <c r="A540" t="s">
        <v>441</v>
      </c>
      <c r="B540" t="s">
        <v>442</v>
      </c>
      <c r="C540" t="s">
        <v>231</v>
      </c>
      <c r="D540" t="s">
        <v>4062</v>
      </c>
      <c r="E540" t="s">
        <v>4390</v>
      </c>
      <c r="F540" t="s">
        <v>231</v>
      </c>
      <c r="G540">
        <v>0.03</v>
      </c>
      <c r="H540" s="2">
        <v>4155</v>
      </c>
      <c r="I540" s="2">
        <v>124.65</v>
      </c>
    </row>
    <row r="541" spans="1:9" x14ac:dyDescent="0.25">
      <c r="A541" t="s">
        <v>441</v>
      </c>
      <c r="B541" t="s">
        <v>442</v>
      </c>
      <c r="C541" t="s">
        <v>231</v>
      </c>
      <c r="D541" t="s">
        <v>4062</v>
      </c>
      <c r="E541" t="s">
        <v>4261</v>
      </c>
      <c r="F541" t="s">
        <v>231</v>
      </c>
      <c r="G541">
        <v>1.05</v>
      </c>
      <c r="H541" s="2">
        <v>2982</v>
      </c>
      <c r="I541" s="2">
        <v>3131.1</v>
      </c>
    </row>
    <row r="542" spans="1:9" x14ac:dyDescent="0.25">
      <c r="A542" t="s">
        <v>441</v>
      </c>
      <c r="B542" t="s">
        <v>442</v>
      </c>
      <c r="C542" t="s">
        <v>231</v>
      </c>
      <c r="D542" t="s">
        <v>4062</v>
      </c>
      <c r="E542" t="s">
        <v>4392</v>
      </c>
      <c r="F542" t="s">
        <v>63</v>
      </c>
      <c r="G542">
        <v>0.03</v>
      </c>
      <c r="H542" s="2">
        <v>3159.98</v>
      </c>
      <c r="I542" s="2">
        <v>94.8</v>
      </c>
    </row>
    <row r="543" spans="1:9" x14ac:dyDescent="0.25">
      <c r="A543" t="s">
        <v>441</v>
      </c>
      <c r="B543" t="s">
        <v>442</v>
      </c>
      <c r="C543" t="s">
        <v>231</v>
      </c>
      <c r="D543" t="s">
        <v>4049</v>
      </c>
      <c r="E543" t="s">
        <v>4050</v>
      </c>
      <c r="F543" t="s">
        <v>4051</v>
      </c>
      <c r="G543">
        <v>0.06</v>
      </c>
      <c r="H543" s="2">
        <v>9037.33</v>
      </c>
      <c r="I543" s="2">
        <v>540.43</v>
      </c>
    </row>
    <row r="544" spans="1:9" x14ac:dyDescent="0.25">
      <c r="A544" t="s">
        <v>441</v>
      </c>
      <c r="B544" t="s">
        <v>442</v>
      </c>
      <c r="C544" t="s">
        <v>231</v>
      </c>
      <c r="D544" t="s">
        <v>4049</v>
      </c>
      <c r="E544" t="s">
        <v>4073</v>
      </c>
      <c r="F544" t="s">
        <v>4051</v>
      </c>
      <c r="G544">
        <v>0.03</v>
      </c>
      <c r="H544" s="2">
        <v>15517.89</v>
      </c>
      <c r="I544" s="2">
        <v>463.98</v>
      </c>
    </row>
    <row r="545" spans="1:9" x14ac:dyDescent="0.25">
      <c r="A545" t="s">
        <v>441</v>
      </c>
      <c r="B545" t="s">
        <v>442</v>
      </c>
      <c r="C545" t="s">
        <v>231</v>
      </c>
      <c r="D545" t="s">
        <v>4052</v>
      </c>
      <c r="E545" t="s">
        <v>4053</v>
      </c>
      <c r="F545" t="s">
        <v>4054</v>
      </c>
      <c r="G545">
        <v>7.2</v>
      </c>
      <c r="H545" s="2">
        <v>1004.41</v>
      </c>
      <c r="I545" s="2">
        <v>72.32</v>
      </c>
    </row>
    <row r="546" spans="1:9" x14ac:dyDescent="0.25">
      <c r="A546" t="s">
        <v>444</v>
      </c>
      <c r="B546" t="s">
        <v>446</v>
      </c>
      <c r="C546" t="s">
        <v>34</v>
      </c>
      <c r="D546" t="s">
        <v>4062</v>
      </c>
      <c r="E546" t="s">
        <v>4390</v>
      </c>
      <c r="F546" t="s">
        <v>231</v>
      </c>
      <c r="G546">
        <v>2</v>
      </c>
      <c r="H546" s="2">
        <v>4155</v>
      </c>
      <c r="I546" s="2">
        <v>8310</v>
      </c>
    </row>
    <row r="547" spans="1:9" x14ac:dyDescent="0.25">
      <c r="A547" t="s">
        <v>444</v>
      </c>
      <c r="B547" t="s">
        <v>446</v>
      </c>
      <c r="C547" t="s">
        <v>34</v>
      </c>
      <c r="D547" t="s">
        <v>4062</v>
      </c>
      <c r="E547" t="s">
        <v>4399</v>
      </c>
      <c r="F547" t="s">
        <v>63</v>
      </c>
      <c r="G547">
        <v>2.64</v>
      </c>
      <c r="H547" s="2">
        <v>84832.44</v>
      </c>
      <c r="I547" s="2">
        <v>223957.64</v>
      </c>
    </row>
    <row r="548" spans="1:9" x14ac:dyDescent="0.25">
      <c r="A548" t="s">
        <v>444</v>
      </c>
      <c r="B548" t="s">
        <v>446</v>
      </c>
      <c r="C548" t="s">
        <v>34</v>
      </c>
      <c r="D548" t="s">
        <v>4062</v>
      </c>
      <c r="E548" t="s">
        <v>4012</v>
      </c>
      <c r="F548" t="s">
        <v>34</v>
      </c>
      <c r="G548">
        <v>1.1</v>
      </c>
      <c r="H548" s="2">
        <v>475506.98</v>
      </c>
      <c r="I548" s="2">
        <v>523057.68</v>
      </c>
    </row>
    <row r="549" spans="1:9" x14ac:dyDescent="0.25">
      <c r="A549" t="s">
        <v>444</v>
      </c>
      <c r="B549" t="s">
        <v>446</v>
      </c>
      <c r="C549" t="s">
        <v>34</v>
      </c>
      <c r="D549" t="s">
        <v>4062</v>
      </c>
      <c r="E549" t="s">
        <v>4400</v>
      </c>
      <c r="F549" t="s">
        <v>42</v>
      </c>
      <c r="G549">
        <v>7.26</v>
      </c>
      <c r="H549" s="2">
        <v>5286.26</v>
      </c>
      <c r="I549" s="2">
        <v>38378.25</v>
      </c>
    </row>
    <row r="550" spans="1:9" x14ac:dyDescent="0.25">
      <c r="A550" t="s">
        <v>444</v>
      </c>
      <c r="B550" t="s">
        <v>446</v>
      </c>
      <c r="C550" t="s">
        <v>34</v>
      </c>
      <c r="D550" t="s">
        <v>4062</v>
      </c>
      <c r="E550" t="s">
        <v>4070</v>
      </c>
      <c r="F550" t="s">
        <v>42</v>
      </c>
      <c r="G550">
        <v>1</v>
      </c>
      <c r="H550" s="2">
        <v>7381.08</v>
      </c>
      <c r="I550" s="2">
        <v>7381.08</v>
      </c>
    </row>
    <row r="551" spans="1:9" x14ac:dyDescent="0.25">
      <c r="A551" t="s">
        <v>444</v>
      </c>
      <c r="B551" t="s">
        <v>446</v>
      </c>
      <c r="C551" t="s">
        <v>34</v>
      </c>
      <c r="D551" t="s">
        <v>4062</v>
      </c>
      <c r="E551" t="s">
        <v>4072</v>
      </c>
      <c r="F551" t="s">
        <v>4066</v>
      </c>
      <c r="G551">
        <v>8</v>
      </c>
      <c r="H551" s="2">
        <v>3150</v>
      </c>
      <c r="I551" s="2">
        <v>25200</v>
      </c>
    </row>
    <row r="552" spans="1:9" x14ac:dyDescent="0.25">
      <c r="A552" t="s">
        <v>444</v>
      </c>
      <c r="B552" t="s">
        <v>446</v>
      </c>
      <c r="C552" t="s">
        <v>34</v>
      </c>
      <c r="D552" t="s">
        <v>4049</v>
      </c>
      <c r="E552" t="s">
        <v>4050</v>
      </c>
      <c r="F552" t="s">
        <v>4051</v>
      </c>
      <c r="G552">
        <v>10.29</v>
      </c>
      <c r="H552" s="2">
        <v>9037.33</v>
      </c>
      <c r="I552" s="2">
        <v>92994.13</v>
      </c>
    </row>
    <row r="553" spans="1:9" x14ac:dyDescent="0.25">
      <c r="A553" t="s">
        <v>444</v>
      </c>
      <c r="B553" t="s">
        <v>446</v>
      </c>
      <c r="C553" t="s">
        <v>34</v>
      </c>
      <c r="D553" t="s">
        <v>4049</v>
      </c>
      <c r="E553" t="s">
        <v>4073</v>
      </c>
      <c r="F553" t="s">
        <v>4051</v>
      </c>
      <c r="G553">
        <v>10.29</v>
      </c>
      <c r="H553" s="2">
        <v>15517.89</v>
      </c>
      <c r="I553" s="2">
        <v>159679.09</v>
      </c>
    </row>
    <row r="554" spans="1:9" x14ac:dyDescent="0.25">
      <c r="A554" t="s">
        <v>444</v>
      </c>
      <c r="B554" t="s">
        <v>446</v>
      </c>
      <c r="C554" t="s">
        <v>34</v>
      </c>
      <c r="D554" t="s">
        <v>4052</v>
      </c>
      <c r="E554" t="s">
        <v>4286</v>
      </c>
      <c r="F554" t="s">
        <v>4106</v>
      </c>
      <c r="G554">
        <v>0.04</v>
      </c>
      <c r="H554" s="2">
        <v>73333.33</v>
      </c>
      <c r="I554" s="2">
        <v>2933.33</v>
      </c>
    </row>
    <row r="555" spans="1:9" x14ac:dyDescent="0.25">
      <c r="A555" t="s">
        <v>444</v>
      </c>
      <c r="B555" t="s">
        <v>446</v>
      </c>
      <c r="C555" t="s">
        <v>34</v>
      </c>
      <c r="D555" t="s">
        <v>4052</v>
      </c>
      <c r="E555" t="s">
        <v>4105</v>
      </c>
      <c r="F555" t="s">
        <v>4106</v>
      </c>
      <c r="G555">
        <v>4</v>
      </c>
      <c r="H555" s="2">
        <v>25125</v>
      </c>
      <c r="I555" s="2">
        <v>100500</v>
      </c>
    </row>
    <row r="556" spans="1:9" x14ac:dyDescent="0.25">
      <c r="A556" t="s">
        <v>444</v>
      </c>
      <c r="B556" t="s">
        <v>446</v>
      </c>
      <c r="C556" t="s">
        <v>34</v>
      </c>
      <c r="D556" t="s">
        <v>4052</v>
      </c>
      <c r="E556" t="s">
        <v>4053</v>
      </c>
      <c r="F556" t="s">
        <v>4054</v>
      </c>
      <c r="G556">
        <v>1</v>
      </c>
      <c r="H556" s="2">
        <v>252673.22</v>
      </c>
      <c r="I556" s="2">
        <v>2526.73</v>
      </c>
    </row>
    <row r="557" spans="1:9" x14ac:dyDescent="0.25">
      <c r="A557" t="s">
        <v>451</v>
      </c>
      <c r="B557" t="s">
        <v>452</v>
      </c>
      <c r="C557" t="s">
        <v>34</v>
      </c>
      <c r="D557" t="s">
        <v>4062</v>
      </c>
      <c r="E557" t="s">
        <v>4390</v>
      </c>
      <c r="F557" t="s">
        <v>231</v>
      </c>
      <c r="G557">
        <v>2</v>
      </c>
      <c r="H557" s="2">
        <v>4155</v>
      </c>
      <c r="I557" s="2">
        <v>8310</v>
      </c>
    </row>
    <row r="558" spans="1:9" x14ac:dyDescent="0.25">
      <c r="A558" t="s">
        <v>451</v>
      </c>
      <c r="B558" t="s">
        <v>452</v>
      </c>
      <c r="C558" t="s">
        <v>34</v>
      </c>
      <c r="D558" t="s">
        <v>4062</v>
      </c>
      <c r="E558" t="s">
        <v>4399</v>
      </c>
      <c r="F558" t="s">
        <v>63</v>
      </c>
      <c r="G558">
        <v>2.64</v>
      </c>
      <c r="H558" s="2">
        <v>84832.44</v>
      </c>
      <c r="I558" s="2">
        <v>223957.64</v>
      </c>
    </row>
    <row r="559" spans="1:9" x14ac:dyDescent="0.25">
      <c r="A559" t="s">
        <v>451</v>
      </c>
      <c r="B559" t="s">
        <v>452</v>
      </c>
      <c r="C559" t="s">
        <v>34</v>
      </c>
      <c r="D559" t="s">
        <v>4062</v>
      </c>
      <c r="E559" t="s">
        <v>4012</v>
      </c>
      <c r="F559" t="s">
        <v>34</v>
      </c>
      <c r="G559">
        <v>1.1</v>
      </c>
      <c r="H559" s="2">
        <v>475506.98</v>
      </c>
      <c r="I559" s="2">
        <v>523057.68</v>
      </c>
    </row>
    <row r="560" spans="1:9" x14ac:dyDescent="0.25">
      <c r="A560" t="s">
        <v>451</v>
      </c>
      <c r="B560" t="s">
        <v>452</v>
      </c>
      <c r="C560" t="s">
        <v>34</v>
      </c>
      <c r="D560" t="s">
        <v>4062</v>
      </c>
      <c r="E560" t="s">
        <v>4400</v>
      </c>
      <c r="F560" t="s">
        <v>42</v>
      </c>
      <c r="G560">
        <v>7.26</v>
      </c>
      <c r="H560" s="2">
        <v>5286.26</v>
      </c>
      <c r="I560" s="2">
        <v>38378.25</v>
      </c>
    </row>
    <row r="561" spans="1:9" x14ac:dyDescent="0.25">
      <c r="A561" t="s">
        <v>451</v>
      </c>
      <c r="B561" t="s">
        <v>452</v>
      </c>
      <c r="C561" t="s">
        <v>34</v>
      </c>
      <c r="D561" t="s">
        <v>4062</v>
      </c>
      <c r="E561" t="s">
        <v>4072</v>
      </c>
      <c r="F561" t="s">
        <v>4066</v>
      </c>
      <c r="G561">
        <v>8</v>
      </c>
      <c r="H561" s="2">
        <v>3150</v>
      </c>
      <c r="I561" s="2">
        <v>25200</v>
      </c>
    </row>
    <row r="562" spans="1:9" x14ac:dyDescent="0.25">
      <c r="A562" t="s">
        <v>451</v>
      </c>
      <c r="B562" t="s">
        <v>452</v>
      </c>
      <c r="C562" t="s">
        <v>34</v>
      </c>
      <c r="D562" t="s">
        <v>4049</v>
      </c>
      <c r="E562" t="s">
        <v>4286</v>
      </c>
      <c r="F562" t="s">
        <v>4106</v>
      </c>
      <c r="G562">
        <v>0.04</v>
      </c>
      <c r="H562" s="2">
        <v>73333.33</v>
      </c>
      <c r="I562" s="2">
        <v>2933.33</v>
      </c>
    </row>
    <row r="563" spans="1:9" x14ac:dyDescent="0.25">
      <c r="A563" t="s">
        <v>451</v>
      </c>
      <c r="B563" t="s">
        <v>452</v>
      </c>
      <c r="C563" t="s">
        <v>34</v>
      </c>
      <c r="D563" t="s">
        <v>4049</v>
      </c>
      <c r="E563" t="s">
        <v>4105</v>
      </c>
      <c r="F563" t="s">
        <v>4106</v>
      </c>
      <c r="G563">
        <v>4</v>
      </c>
      <c r="H563" s="2">
        <v>25125</v>
      </c>
      <c r="I563" s="2">
        <v>100500</v>
      </c>
    </row>
    <row r="564" spans="1:9" x14ac:dyDescent="0.25">
      <c r="A564" t="s">
        <v>451</v>
      </c>
      <c r="B564" t="s">
        <v>452</v>
      </c>
      <c r="C564" t="s">
        <v>34</v>
      </c>
      <c r="D564" t="s">
        <v>4049</v>
      </c>
      <c r="E564" t="s">
        <v>4050</v>
      </c>
      <c r="F564" t="s">
        <v>4051</v>
      </c>
      <c r="G564">
        <v>12.75</v>
      </c>
      <c r="H564" s="2">
        <v>9037.33</v>
      </c>
      <c r="I564" s="2">
        <v>115225.96</v>
      </c>
    </row>
    <row r="565" spans="1:9" x14ac:dyDescent="0.25">
      <c r="A565" t="s">
        <v>451</v>
      </c>
      <c r="B565" t="s">
        <v>452</v>
      </c>
      <c r="C565" t="s">
        <v>34</v>
      </c>
      <c r="D565" t="s">
        <v>4049</v>
      </c>
      <c r="E565" t="s">
        <v>4073</v>
      </c>
      <c r="F565" t="s">
        <v>4051</v>
      </c>
      <c r="G565">
        <v>12.75</v>
      </c>
      <c r="H565" s="2">
        <v>15517.89</v>
      </c>
      <c r="I565" s="2">
        <v>197853.1</v>
      </c>
    </row>
    <row r="566" spans="1:9" x14ac:dyDescent="0.25">
      <c r="A566" t="s">
        <v>451</v>
      </c>
      <c r="B566" t="s">
        <v>452</v>
      </c>
      <c r="C566" t="s">
        <v>34</v>
      </c>
      <c r="D566" t="s">
        <v>4052</v>
      </c>
      <c r="E566" t="s">
        <v>4053</v>
      </c>
      <c r="F566" t="s">
        <v>4054</v>
      </c>
      <c r="G566">
        <v>1</v>
      </c>
      <c r="H566" s="2">
        <v>313079.06</v>
      </c>
      <c r="I566" s="2">
        <v>3130.79</v>
      </c>
    </row>
    <row r="567" spans="1:9" x14ac:dyDescent="0.25">
      <c r="A567" t="s">
        <v>454</v>
      </c>
      <c r="B567" t="s">
        <v>455</v>
      </c>
      <c r="C567" t="s">
        <v>34</v>
      </c>
      <c r="D567" t="s">
        <v>4062</v>
      </c>
      <c r="E567" t="s">
        <v>4298</v>
      </c>
      <c r="F567" t="s">
        <v>42</v>
      </c>
      <c r="G567">
        <v>4</v>
      </c>
      <c r="H567" s="2">
        <v>6466.67</v>
      </c>
      <c r="I567" s="2">
        <v>25866.68</v>
      </c>
    </row>
    <row r="568" spans="1:9" x14ac:dyDescent="0.25">
      <c r="A568" t="s">
        <v>454</v>
      </c>
      <c r="B568" t="s">
        <v>455</v>
      </c>
      <c r="C568" t="s">
        <v>34</v>
      </c>
      <c r="D568" t="s">
        <v>4062</v>
      </c>
      <c r="E568" t="s">
        <v>3544</v>
      </c>
      <c r="F568" t="s">
        <v>3545</v>
      </c>
      <c r="G568">
        <v>1</v>
      </c>
      <c r="H568" s="2">
        <v>1325</v>
      </c>
      <c r="I568" s="2">
        <v>1325</v>
      </c>
    </row>
    <row r="569" spans="1:9" x14ac:dyDescent="0.25">
      <c r="A569" t="s">
        <v>454</v>
      </c>
      <c r="B569" t="s">
        <v>455</v>
      </c>
      <c r="C569" t="s">
        <v>34</v>
      </c>
      <c r="D569" t="s">
        <v>4062</v>
      </c>
      <c r="E569" t="s">
        <v>4405</v>
      </c>
      <c r="F569" t="s">
        <v>63</v>
      </c>
      <c r="G569">
        <v>6</v>
      </c>
      <c r="H569" s="2">
        <v>13056</v>
      </c>
      <c r="I569" s="2">
        <v>78336</v>
      </c>
    </row>
    <row r="570" spans="1:9" x14ac:dyDescent="0.25">
      <c r="A570" t="s">
        <v>454</v>
      </c>
      <c r="B570" t="s">
        <v>455</v>
      </c>
      <c r="C570" t="s">
        <v>34</v>
      </c>
      <c r="D570" t="s">
        <v>4062</v>
      </c>
      <c r="E570" t="s">
        <v>4020</v>
      </c>
      <c r="F570" t="s">
        <v>34</v>
      </c>
      <c r="G570">
        <v>1.03</v>
      </c>
      <c r="H570" s="2">
        <v>525086</v>
      </c>
      <c r="I570" s="2">
        <v>540838.58</v>
      </c>
    </row>
    <row r="571" spans="1:9" x14ac:dyDescent="0.25">
      <c r="A571" t="s">
        <v>454</v>
      </c>
      <c r="B571" t="s">
        <v>455</v>
      </c>
      <c r="C571" t="s">
        <v>34</v>
      </c>
      <c r="D571" t="s">
        <v>4062</v>
      </c>
      <c r="E571" t="s">
        <v>4065</v>
      </c>
      <c r="F571" t="s">
        <v>4066</v>
      </c>
      <c r="G571">
        <v>4.5</v>
      </c>
      <c r="H571" s="2">
        <v>3433</v>
      </c>
      <c r="I571" s="2">
        <v>15448.5</v>
      </c>
    </row>
    <row r="572" spans="1:9" x14ac:dyDescent="0.25">
      <c r="A572" t="s">
        <v>454</v>
      </c>
      <c r="B572" t="s">
        <v>455</v>
      </c>
      <c r="C572" t="s">
        <v>34</v>
      </c>
      <c r="D572" t="s">
        <v>4062</v>
      </c>
      <c r="E572" t="s">
        <v>4406</v>
      </c>
      <c r="F572" t="s">
        <v>42</v>
      </c>
      <c r="G572">
        <v>1.5</v>
      </c>
      <c r="H572" s="2">
        <v>9483.5</v>
      </c>
      <c r="I572" s="2">
        <v>14225.25</v>
      </c>
    </row>
    <row r="573" spans="1:9" x14ac:dyDescent="0.25">
      <c r="A573" t="s">
        <v>454</v>
      </c>
      <c r="B573" t="s">
        <v>455</v>
      </c>
      <c r="C573" t="s">
        <v>34</v>
      </c>
      <c r="D573" t="s">
        <v>4049</v>
      </c>
      <c r="E573" t="s">
        <v>4050</v>
      </c>
      <c r="F573" t="s">
        <v>4051</v>
      </c>
      <c r="G573">
        <v>30</v>
      </c>
      <c r="H573" s="2">
        <v>9037.33</v>
      </c>
      <c r="I573" s="2">
        <v>271119.9</v>
      </c>
    </row>
    <row r="574" spans="1:9" x14ac:dyDescent="0.25">
      <c r="A574" t="s">
        <v>454</v>
      </c>
      <c r="B574" t="s">
        <v>455</v>
      </c>
      <c r="C574" t="s">
        <v>34</v>
      </c>
      <c r="D574" t="s">
        <v>4049</v>
      </c>
      <c r="E574" t="s">
        <v>4073</v>
      </c>
      <c r="F574" t="s">
        <v>4051</v>
      </c>
      <c r="G574">
        <v>6</v>
      </c>
      <c r="H574" s="2">
        <v>15517.89</v>
      </c>
      <c r="I574" s="2">
        <v>93107.34</v>
      </c>
    </row>
    <row r="575" spans="1:9" x14ac:dyDescent="0.25">
      <c r="A575" t="s">
        <v>454</v>
      </c>
      <c r="B575" t="s">
        <v>455</v>
      </c>
      <c r="C575" t="s">
        <v>34</v>
      </c>
      <c r="D575" t="s">
        <v>4052</v>
      </c>
      <c r="E575" t="s">
        <v>4286</v>
      </c>
      <c r="F575" t="s">
        <v>4106</v>
      </c>
      <c r="G575">
        <v>0.14</v>
      </c>
      <c r="H575" s="2">
        <v>73333.33</v>
      </c>
      <c r="I575" s="2">
        <v>10266.67</v>
      </c>
    </row>
    <row r="576" spans="1:9" x14ac:dyDescent="0.25">
      <c r="A576" t="s">
        <v>454</v>
      </c>
      <c r="B576" t="s">
        <v>455</v>
      </c>
      <c r="C576" t="s">
        <v>34</v>
      </c>
      <c r="D576" t="s">
        <v>4052</v>
      </c>
      <c r="E576" t="s">
        <v>4105</v>
      </c>
      <c r="F576" t="s">
        <v>4106</v>
      </c>
      <c r="G576">
        <v>4</v>
      </c>
      <c r="H576" s="2">
        <v>25125</v>
      </c>
      <c r="I576" s="2">
        <v>100500</v>
      </c>
    </row>
    <row r="577" spans="1:9" x14ac:dyDescent="0.25">
      <c r="A577" t="s">
        <v>454</v>
      </c>
      <c r="B577" t="s">
        <v>455</v>
      </c>
      <c r="C577" t="s">
        <v>34</v>
      </c>
      <c r="D577" t="s">
        <v>4052</v>
      </c>
      <c r="E577" t="s">
        <v>4053</v>
      </c>
      <c r="F577" t="s">
        <v>4054</v>
      </c>
      <c r="G577">
        <v>0.5</v>
      </c>
      <c r="H577" s="2">
        <v>364227.24</v>
      </c>
      <c r="I577" s="2">
        <v>1821.14</v>
      </c>
    </row>
    <row r="578" spans="1:9" x14ac:dyDescent="0.25">
      <c r="A578" t="s">
        <v>457</v>
      </c>
      <c r="B578" t="s">
        <v>458</v>
      </c>
      <c r="C578" t="s">
        <v>34</v>
      </c>
      <c r="D578" t="s">
        <v>4062</v>
      </c>
      <c r="E578" t="s">
        <v>4298</v>
      </c>
      <c r="F578" t="s">
        <v>42</v>
      </c>
      <c r="G578">
        <v>4</v>
      </c>
      <c r="H578" s="2">
        <v>6466.67</v>
      </c>
      <c r="I578" s="2">
        <v>25866.68</v>
      </c>
    </row>
    <row r="579" spans="1:9" x14ac:dyDescent="0.25">
      <c r="A579" t="s">
        <v>457</v>
      </c>
      <c r="B579" t="s">
        <v>458</v>
      </c>
      <c r="C579" t="s">
        <v>34</v>
      </c>
      <c r="D579" t="s">
        <v>4062</v>
      </c>
      <c r="E579" t="s">
        <v>3998</v>
      </c>
      <c r="F579" t="s">
        <v>34</v>
      </c>
      <c r="G579">
        <v>1.03</v>
      </c>
      <c r="H579" s="2">
        <v>520986.7</v>
      </c>
      <c r="I579" s="2">
        <v>536616.3</v>
      </c>
    </row>
    <row r="580" spans="1:9" x14ac:dyDescent="0.25">
      <c r="A580" t="s">
        <v>457</v>
      </c>
      <c r="B580" t="s">
        <v>458</v>
      </c>
      <c r="C580" t="s">
        <v>34</v>
      </c>
      <c r="D580" t="s">
        <v>4062</v>
      </c>
      <c r="E580" t="s">
        <v>3544</v>
      </c>
      <c r="F580" t="s">
        <v>3545</v>
      </c>
      <c r="G580">
        <v>1</v>
      </c>
      <c r="H580" s="2">
        <v>1325</v>
      </c>
      <c r="I580" s="2">
        <v>1325</v>
      </c>
    </row>
    <row r="581" spans="1:9" x14ac:dyDescent="0.25">
      <c r="A581" t="s">
        <v>457</v>
      </c>
      <c r="B581" t="s">
        <v>458</v>
      </c>
      <c r="C581" t="s">
        <v>34</v>
      </c>
      <c r="D581" t="s">
        <v>4062</v>
      </c>
      <c r="E581" t="s">
        <v>4405</v>
      </c>
      <c r="F581" t="s">
        <v>63</v>
      </c>
      <c r="G581">
        <v>6</v>
      </c>
      <c r="H581" s="2">
        <v>13056</v>
      </c>
      <c r="I581" s="2">
        <v>78336</v>
      </c>
    </row>
    <row r="582" spans="1:9" x14ac:dyDescent="0.25">
      <c r="A582" t="s">
        <v>457</v>
      </c>
      <c r="B582" t="s">
        <v>458</v>
      </c>
      <c r="C582" t="s">
        <v>34</v>
      </c>
      <c r="D582" t="s">
        <v>4062</v>
      </c>
      <c r="E582" t="s">
        <v>4409</v>
      </c>
      <c r="F582" t="s">
        <v>4377</v>
      </c>
      <c r="G582">
        <v>0.58</v>
      </c>
      <c r="H582" s="2">
        <v>44489.08</v>
      </c>
      <c r="I582" s="2">
        <v>25803.67</v>
      </c>
    </row>
    <row r="583" spans="1:9" x14ac:dyDescent="0.25">
      <c r="A583" t="s">
        <v>457</v>
      </c>
      <c r="B583" t="s">
        <v>458</v>
      </c>
      <c r="C583" t="s">
        <v>34</v>
      </c>
      <c r="D583" t="s">
        <v>4062</v>
      </c>
      <c r="E583" t="s">
        <v>4065</v>
      </c>
      <c r="F583" t="s">
        <v>4066</v>
      </c>
      <c r="G583">
        <v>4.5</v>
      </c>
      <c r="H583" s="2">
        <v>3433</v>
      </c>
      <c r="I583" s="2">
        <v>15448.5</v>
      </c>
    </row>
    <row r="584" spans="1:9" x14ac:dyDescent="0.25">
      <c r="A584" t="s">
        <v>457</v>
      </c>
      <c r="B584" t="s">
        <v>458</v>
      </c>
      <c r="C584" t="s">
        <v>34</v>
      </c>
      <c r="D584" t="s">
        <v>4062</v>
      </c>
      <c r="E584" t="s">
        <v>4406</v>
      </c>
      <c r="F584" t="s">
        <v>42</v>
      </c>
      <c r="G584">
        <v>1.5</v>
      </c>
      <c r="H584" s="2">
        <v>9483.5</v>
      </c>
      <c r="I584" s="2">
        <v>14225.25</v>
      </c>
    </row>
    <row r="585" spans="1:9" x14ac:dyDescent="0.25">
      <c r="A585" t="s">
        <v>457</v>
      </c>
      <c r="B585" t="s">
        <v>458</v>
      </c>
      <c r="C585" t="s">
        <v>34</v>
      </c>
      <c r="D585" t="s">
        <v>4049</v>
      </c>
      <c r="E585" t="s">
        <v>4050</v>
      </c>
      <c r="F585" t="s">
        <v>4051</v>
      </c>
      <c r="G585">
        <v>30</v>
      </c>
      <c r="H585" s="2">
        <v>9037.33</v>
      </c>
      <c r="I585" s="2">
        <v>271119.9</v>
      </c>
    </row>
    <row r="586" spans="1:9" x14ac:dyDescent="0.25">
      <c r="A586" t="s">
        <v>457</v>
      </c>
      <c r="B586" t="s">
        <v>458</v>
      </c>
      <c r="C586" t="s">
        <v>34</v>
      </c>
      <c r="D586" t="s">
        <v>4049</v>
      </c>
      <c r="E586" t="s">
        <v>4073</v>
      </c>
      <c r="F586" t="s">
        <v>4051</v>
      </c>
      <c r="G586">
        <v>6</v>
      </c>
      <c r="H586" s="2">
        <v>15517.89</v>
      </c>
      <c r="I586" s="2">
        <v>93107.34</v>
      </c>
    </row>
    <row r="587" spans="1:9" x14ac:dyDescent="0.25">
      <c r="A587" t="s">
        <v>457</v>
      </c>
      <c r="B587" t="s">
        <v>458</v>
      </c>
      <c r="C587" t="s">
        <v>34</v>
      </c>
      <c r="D587" t="s">
        <v>4052</v>
      </c>
      <c r="E587" t="s">
        <v>4286</v>
      </c>
      <c r="F587" t="s">
        <v>4106</v>
      </c>
      <c r="G587">
        <v>0.14</v>
      </c>
      <c r="H587" s="2">
        <v>73333.33</v>
      </c>
      <c r="I587" s="2">
        <v>10266.67</v>
      </c>
    </row>
    <row r="588" spans="1:9" x14ac:dyDescent="0.25">
      <c r="A588" t="s">
        <v>457</v>
      </c>
      <c r="B588" t="s">
        <v>458</v>
      </c>
      <c r="C588" t="s">
        <v>34</v>
      </c>
      <c r="D588" t="s">
        <v>4052</v>
      </c>
      <c r="E588" t="s">
        <v>4105</v>
      </c>
      <c r="F588" t="s">
        <v>4106</v>
      </c>
      <c r="G588">
        <v>4</v>
      </c>
      <c r="H588" s="2">
        <v>25125</v>
      </c>
      <c r="I588" s="2">
        <v>100500</v>
      </c>
    </row>
    <row r="589" spans="1:9" x14ac:dyDescent="0.25">
      <c r="A589" t="s">
        <v>457</v>
      </c>
      <c r="B589" t="s">
        <v>458</v>
      </c>
      <c r="C589" t="s">
        <v>34</v>
      </c>
      <c r="D589" t="s">
        <v>4052</v>
      </c>
      <c r="E589" t="s">
        <v>4053</v>
      </c>
      <c r="F589" t="s">
        <v>4054</v>
      </c>
      <c r="G589">
        <v>0.5</v>
      </c>
      <c r="H589" s="2">
        <v>364227.24</v>
      </c>
      <c r="I589" s="2">
        <v>1821.14</v>
      </c>
    </row>
    <row r="590" spans="1:9" x14ac:dyDescent="0.25">
      <c r="A590" t="s">
        <v>460</v>
      </c>
      <c r="B590" t="s">
        <v>461</v>
      </c>
      <c r="C590" t="s">
        <v>34</v>
      </c>
      <c r="D590" t="s">
        <v>4062</v>
      </c>
      <c r="E590" t="s">
        <v>4298</v>
      </c>
      <c r="F590" t="s">
        <v>42</v>
      </c>
      <c r="G590">
        <v>4</v>
      </c>
      <c r="H590" s="2">
        <v>6466.67</v>
      </c>
      <c r="I590" s="2">
        <v>25866.68</v>
      </c>
    </row>
    <row r="591" spans="1:9" x14ac:dyDescent="0.25">
      <c r="A591" t="s">
        <v>460</v>
      </c>
      <c r="B591" t="s">
        <v>461</v>
      </c>
      <c r="C591" t="s">
        <v>34</v>
      </c>
      <c r="D591" t="s">
        <v>4062</v>
      </c>
      <c r="E591" t="s">
        <v>4009</v>
      </c>
      <c r="F591" t="s">
        <v>34</v>
      </c>
      <c r="G591">
        <v>1.03</v>
      </c>
      <c r="H591" s="2">
        <v>543324.7</v>
      </c>
      <c r="I591" s="2">
        <v>559624.44</v>
      </c>
    </row>
    <row r="592" spans="1:9" x14ac:dyDescent="0.25">
      <c r="A592" t="s">
        <v>460</v>
      </c>
      <c r="B592" t="s">
        <v>461</v>
      </c>
      <c r="C592" t="s">
        <v>34</v>
      </c>
      <c r="D592" t="s">
        <v>4062</v>
      </c>
      <c r="E592" t="s">
        <v>4405</v>
      </c>
      <c r="F592" t="s">
        <v>63</v>
      </c>
      <c r="G592">
        <v>6</v>
      </c>
      <c r="H592" s="2">
        <v>13056</v>
      </c>
      <c r="I592" s="2">
        <v>78336</v>
      </c>
    </row>
    <row r="593" spans="1:9" x14ac:dyDescent="0.25">
      <c r="A593" t="s">
        <v>460</v>
      </c>
      <c r="B593" t="s">
        <v>461</v>
      </c>
      <c r="C593" t="s">
        <v>34</v>
      </c>
      <c r="D593" t="s">
        <v>4062</v>
      </c>
      <c r="E593" t="s">
        <v>4409</v>
      </c>
      <c r="F593" t="s">
        <v>4377</v>
      </c>
      <c r="G593">
        <v>1</v>
      </c>
      <c r="H593" s="2">
        <v>44489.08</v>
      </c>
      <c r="I593" s="2">
        <v>44489.08</v>
      </c>
    </row>
    <row r="594" spans="1:9" x14ac:dyDescent="0.25">
      <c r="A594" t="s">
        <v>460</v>
      </c>
      <c r="B594" t="s">
        <v>461</v>
      </c>
      <c r="C594" t="s">
        <v>34</v>
      </c>
      <c r="D594" t="s">
        <v>4062</v>
      </c>
      <c r="E594" t="s">
        <v>4065</v>
      </c>
      <c r="F594" t="s">
        <v>4066</v>
      </c>
      <c r="G594">
        <v>4.5</v>
      </c>
      <c r="H594" s="2">
        <v>3433</v>
      </c>
      <c r="I594" s="2">
        <v>15448.5</v>
      </c>
    </row>
    <row r="595" spans="1:9" x14ac:dyDescent="0.25">
      <c r="A595" t="s">
        <v>460</v>
      </c>
      <c r="B595" t="s">
        <v>461</v>
      </c>
      <c r="C595" t="s">
        <v>34</v>
      </c>
      <c r="D595" t="s">
        <v>4062</v>
      </c>
      <c r="E595" t="s">
        <v>4406</v>
      </c>
      <c r="F595" t="s">
        <v>42</v>
      </c>
      <c r="G595">
        <v>1.5</v>
      </c>
      <c r="H595" s="2">
        <v>9483.5</v>
      </c>
      <c r="I595" s="2">
        <v>14225.25</v>
      </c>
    </row>
    <row r="596" spans="1:9" x14ac:dyDescent="0.25">
      <c r="A596" t="s">
        <v>460</v>
      </c>
      <c r="B596" t="s">
        <v>461</v>
      </c>
      <c r="C596" t="s">
        <v>34</v>
      </c>
      <c r="D596" t="s">
        <v>4049</v>
      </c>
      <c r="E596" t="s">
        <v>4050</v>
      </c>
      <c r="F596" t="s">
        <v>4051</v>
      </c>
      <c r="G596">
        <v>30</v>
      </c>
      <c r="H596" s="2">
        <v>9037.33</v>
      </c>
      <c r="I596" s="2">
        <v>271119.9</v>
      </c>
    </row>
    <row r="597" spans="1:9" x14ac:dyDescent="0.25">
      <c r="A597" t="s">
        <v>460</v>
      </c>
      <c r="B597" t="s">
        <v>461</v>
      </c>
      <c r="C597" t="s">
        <v>34</v>
      </c>
      <c r="D597" t="s">
        <v>4049</v>
      </c>
      <c r="E597" t="s">
        <v>4073</v>
      </c>
      <c r="F597" t="s">
        <v>4051</v>
      </c>
      <c r="G597">
        <v>6</v>
      </c>
      <c r="H597" s="2">
        <v>15517.89</v>
      </c>
      <c r="I597" s="2">
        <v>93107.34</v>
      </c>
    </row>
    <row r="598" spans="1:9" x14ac:dyDescent="0.25">
      <c r="A598" t="s">
        <v>460</v>
      </c>
      <c r="B598" t="s">
        <v>461</v>
      </c>
      <c r="C598" t="s">
        <v>34</v>
      </c>
      <c r="D598" t="s">
        <v>4052</v>
      </c>
      <c r="E598" t="s">
        <v>4286</v>
      </c>
      <c r="F598" t="s">
        <v>4106</v>
      </c>
      <c r="G598">
        <v>0.14</v>
      </c>
      <c r="H598" s="2">
        <v>73333.33</v>
      </c>
      <c r="I598" s="2">
        <v>10266.67</v>
      </c>
    </row>
    <row r="599" spans="1:9" x14ac:dyDescent="0.25">
      <c r="A599" t="s">
        <v>460</v>
      </c>
      <c r="B599" t="s">
        <v>461</v>
      </c>
      <c r="C599" t="s">
        <v>34</v>
      </c>
      <c r="D599" t="s">
        <v>4052</v>
      </c>
      <c r="E599" t="s">
        <v>4105</v>
      </c>
      <c r="F599" t="s">
        <v>4106</v>
      </c>
      <c r="G599">
        <v>4</v>
      </c>
      <c r="H599" s="2">
        <v>25125</v>
      </c>
      <c r="I599" s="2">
        <v>100500</v>
      </c>
    </row>
    <row r="600" spans="1:9" x14ac:dyDescent="0.25">
      <c r="A600" t="s">
        <v>460</v>
      </c>
      <c r="B600" t="s">
        <v>461</v>
      </c>
      <c r="C600" t="s">
        <v>34</v>
      </c>
      <c r="D600" t="s">
        <v>4052</v>
      </c>
      <c r="E600" t="s">
        <v>4053</v>
      </c>
      <c r="F600" t="s">
        <v>4054</v>
      </c>
      <c r="G600">
        <v>0.5</v>
      </c>
      <c r="H600" s="2">
        <v>364227.24</v>
      </c>
      <c r="I600" s="2">
        <v>1821.14</v>
      </c>
    </row>
    <row r="601" spans="1:9" x14ac:dyDescent="0.25">
      <c r="A601" t="s">
        <v>460</v>
      </c>
      <c r="B601" t="s">
        <v>461</v>
      </c>
      <c r="C601" t="s">
        <v>34</v>
      </c>
      <c r="D601" t="s">
        <v>4058</v>
      </c>
      <c r="E601" t="s">
        <v>4059</v>
      </c>
      <c r="F601" t="s">
        <v>3545</v>
      </c>
      <c r="G601">
        <v>1</v>
      </c>
      <c r="H601" s="2">
        <v>1325</v>
      </c>
      <c r="I601" s="2">
        <v>1325</v>
      </c>
    </row>
    <row r="602" spans="1:9" x14ac:dyDescent="0.25">
      <c r="A602" t="s">
        <v>463</v>
      </c>
      <c r="B602" t="s">
        <v>464</v>
      </c>
      <c r="C602" t="s">
        <v>34</v>
      </c>
      <c r="D602" t="s">
        <v>4062</v>
      </c>
      <c r="E602" t="s">
        <v>4390</v>
      </c>
      <c r="F602" t="s">
        <v>231</v>
      </c>
      <c r="G602">
        <v>0.12</v>
      </c>
      <c r="H602" s="2">
        <v>4155</v>
      </c>
      <c r="I602" s="2">
        <v>498.6</v>
      </c>
    </row>
    <row r="603" spans="1:9" x14ac:dyDescent="0.25">
      <c r="A603" t="s">
        <v>463</v>
      </c>
      <c r="B603" t="s">
        <v>464</v>
      </c>
      <c r="C603" t="s">
        <v>34</v>
      </c>
      <c r="D603" t="s">
        <v>4062</v>
      </c>
      <c r="E603" t="s">
        <v>4012</v>
      </c>
      <c r="F603" t="s">
        <v>34</v>
      </c>
      <c r="G603">
        <v>1.04</v>
      </c>
      <c r="H603" s="2">
        <v>475506.98</v>
      </c>
      <c r="I603" s="2">
        <v>494527.26</v>
      </c>
    </row>
    <row r="604" spans="1:9" x14ac:dyDescent="0.25">
      <c r="A604" t="s">
        <v>463</v>
      </c>
      <c r="B604" t="s">
        <v>464</v>
      </c>
      <c r="C604" t="s">
        <v>34</v>
      </c>
      <c r="D604" t="s">
        <v>4062</v>
      </c>
      <c r="E604" t="s">
        <v>4400</v>
      </c>
      <c r="F604" t="s">
        <v>42</v>
      </c>
      <c r="G604">
        <v>2.74</v>
      </c>
      <c r="H604" s="2">
        <v>5286.26</v>
      </c>
      <c r="I604" s="2">
        <v>14484.35</v>
      </c>
    </row>
    <row r="605" spans="1:9" x14ac:dyDescent="0.25">
      <c r="A605" t="s">
        <v>463</v>
      </c>
      <c r="B605" t="s">
        <v>464</v>
      </c>
      <c r="C605" t="s">
        <v>34</v>
      </c>
      <c r="D605" t="s">
        <v>4062</v>
      </c>
      <c r="E605" t="s">
        <v>4070</v>
      </c>
      <c r="F605" t="s">
        <v>42</v>
      </c>
      <c r="G605">
        <v>9.12</v>
      </c>
      <c r="H605" s="2">
        <v>7381.08</v>
      </c>
      <c r="I605" s="2">
        <v>67315.45</v>
      </c>
    </row>
    <row r="606" spans="1:9" x14ac:dyDescent="0.25">
      <c r="A606" t="s">
        <v>463</v>
      </c>
      <c r="B606" t="s">
        <v>464</v>
      </c>
      <c r="C606" t="s">
        <v>34</v>
      </c>
      <c r="D606" t="s">
        <v>4062</v>
      </c>
      <c r="E606" t="s">
        <v>4065</v>
      </c>
      <c r="F606" t="s">
        <v>4066</v>
      </c>
      <c r="G606">
        <v>1.49</v>
      </c>
      <c r="H606" s="2">
        <v>3433</v>
      </c>
      <c r="I606" s="2">
        <v>5115.17</v>
      </c>
    </row>
    <row r="607" spans="1:9" x14ac:dyDescent="0.25">
      <c r="A607" t="s">
        <v>463</v>
      </c>
      <c r="B607" t="s">
        <v>464</v>
      </c>
      <c r="C607" t="s">
        <v>34</v>
      </c>
      <c r="D607" t="s">
        <v>4049</v>
      </c>
      <c r="E607" t="s">
        <v>4050</v>
      </c>
      <c r="F607" t="s">
        <v>4051</v>
      </c>
      <c r="G607">
        <v>21.35</v>
      </c>
      <c r="H607" s="2">
        <v>9037.33</v>
      </c>
      <c r="I607" s="2">
        <v>192947</v>
      </c>
    </row>
    <row r="608" spans="1:9" x14ac:dyDescent="0.25">
      <c r="A608" t="s">
        <v>463</v>
      </c>
      <c r="B608" t="s">
        <v>464</v>
      </c>
      <c r="C608" t="s">
        <v>34</v>
      </c>
      <c r="D608" t="s">
        <v>4049</v>
      </c>
      <c r="E608" t="s">
        <v>4073</v>
      </c>
      <c r="F608" t="s">
        <v>4051</v>
      </c>
      <c r="G608">
        <v>21.35</v>
      </c>
      <c r="H608" s="2">
        <v>15517.89</v>
      </c>
      <c r="I608" s="2">
        <v>331306.95</v>
      </c>
    </row>
    <row r="609" spans="1:9" x14ac:dyDescent="0.25">
      <c r="A609" t="s">
        <v>463</v>
      </c>
      <c r="B609" t="s">
        <v>464</v>
      </c>
      <c r="C609" t="s">
        <v>34</v>
      </c>
      <c r="D609" t="s">
        <v>4052</v>
      </c>
      <c r="E609" t="s">
        <v>4414</v>
      </c>
      <c r="F609" t="s">
        <v>4106</v>
      </c>
      <c r="G609">
        <v>16</v>
      </c>
      <c r="H609" s="2">
        <v>5691.28</v>
      </c>
      <c r="I609" s="2">
        <v>91060.48</v>
      </c>
    </row>
    <row r="610" spans="1:9" x14ac:dyDescent="0.25">
      <c r="A610" t="s">
        <v>463</v>
      </c>
      <c r="B610" t="s">
        <v>464</v>
      </c>
      <c r="C610" t="s">
        <v>34</v>
      </c>
      <c r="D610" t="s">
        <v>4052</v>
      </c>
      <c r="E610" t="s">
        <v>4286</v>
      </c>
      <c r="F610" t="s">
        <v>4106</v>
      </c>
      <c r="G610">
        <v>0.1</v>
      </c>
      <c r="H610" s="2">
        <v>73333.33</v>
      </c>
      <c r="I610" s="2">
        <v>7333.33</v>
      </c>
    </row>
    <row r="611" spans="1:9" x14ac:dyDescent="0.25">
      <c r="A611" t="s">
        <v>463</v>
      </c>
      <c r="B611" t="s">
        <v>464</v>
      </c>
      <c r="C611" t="s">
        <v>34</v>
      </c>
      <c r="D611" t="s">
        <v>4052</v>
      </c>
      <c r="E611" t="s">
        <v>4053</v>
      </c>
      <c r="F611" t="s">
        <v>4054</v>
      </c>
      <c r="G611">
        <v>5</v>
      </c>
      <c r="H611" s="2">
        <v>524253.95</v>
      </c>
      <c r="I611" s="2">
        <v>26212.7</v>
      </c>
    </row>
    <row r="612" spans="1:9" x14ac:dyDescent="0.25">
      <c r="A612" t="s">
        <v>466</v>
      </c>
      <c r="B612" t="s">
        <v>467</v>
      </c>
      <c r="C612" t="s">
        <v>21</v>
      </c>
      <c r="D612" t="s">
        <v>4062</v>
      </c>
      <c r="E612" t="s">
        <v>4390</v>
      </c>
      <c r="F612" t="s">
        <v>231</v>
      </c>
      <c r="G612">
        <v>0.14</v>
      </c>
      <c r="H612" s="2">
        <v>4155</v>
      </c>
      <c r="I612" s="2">
        <v>581.7</v>
      </c>
    </row>
    <row r="613" spans="1:9" x14ac:dyDescent="0.25">
      <c r="A613" t="s">
        <v>466</v>
      </c>
      <c r="B613" t="s">
        <v>467</v>
      </c>
      <c r="C613" t="s">
        <v>21</v>
      </c>
      <c r="D613" t="s">
        <v>4062</v>
      </c>
      <c r="E613" t="s">
        <v>4261</v>
      </c>
      <c r="F613" t="s">
        <v>231</v>
      </c>
      <c r="G613">
        <v>4</v>
      </c>
      <c r="H613" s="2">
        <v>2982</v>
      </c>
      <c r="I613" s="2">
        <v>11928</v>
      </c>
    </row>
    <row r="614" spans="1:9" x14ac:dyDescent="0.25">
      <c r="A614" t="s">
        <v>466</v>
      </c>
      <c r="B614" t="s">
        <v>467</v>
      </c>
      <c r="C614" t="s">
        <v>21</v>
      </c>
      <c r="D614" t="s">
        <v>4062</v>
      </c>
      <c r="E614" t="s">
        <v>4320</v>
      </c>
      <c r="F614" t="s">
        <v>42</v>
      </c>
      <c r="G614">
        <v>0.06</v>
      </c>
      <c r="H614" s="2">
        <v>6222.23</v>
      </c>
      <c r="I614" s="2">
        <v>373.33</v>
      </c>
    </row>
    <row r="615" spans="1:9" x14ac:dyDescent="0.25">
      <c r="A615" t="s">
        <v>466</v>
      </c>
      <c r="B615" t="s">
        <v>467</v>
      </c>
      <c r="C615" t="s">
        <v>21</v>
      </c>
      <c r="D615" t="s">
        <v>4062</v>
      </c>
      <c r="E615" t="s">
        <v>4417</v>
      </c>
      <c r="F615" t="s">
        <v>42</v>
      </c>
      <c r="G615">
        <v>1.8</v>
      </c>
      <c r="H615" s="2">
        <v>10200</v>
      </c>
      <c r="I615" s="2">
        <v>18360</v>
      </c>
    </row>
    <row r="616" spans="1:9" x14ac:dyDescent="0.25">
      <c r="A616" t="s">
        <v>466</v>
      </c>
      <c r="B616" t="s">
        <v>467</v>
      </c>
      <c r="C616" t="s">
        <v>21</v>
      </c>
      <c r="D616" t="s">
        <v>4062</v>
      </c>
      <c r="E616" t="s">
        <v>3998</v>
      </c>
      <c r="F616" t="s">
        <v>34</v>
      </c>
      <c r="G616">
        <v>0.12</v>
      </c>
      <c r="H616" s="2">
        <v>520986.7</v>
      </c>
      <c r="I616" s="2">
        <v>62518.4</v>
      </c>
    </row>
    <row r="617" spans="1:9" x14ac:dyDescent="0.25">
      <c r="A617" t="s">
        <v>466</v>
      </c>
      <c r="B617" t="s">
        <v>467</v>
      </c>
      <c r="C617" t="s">
        <v>21</v>
      </c>
      <c r="D617" t="s">
        <v>4062</v>
      </c>
      <c r="E617" t="s">
        <v>4418</v>
      </c>
      <c r="F617" t="s">
        <v>63</v>
      </c>
      <c r="G617">
        <v>0.07</v>
      </c>
      <c r="H617" s="2">
        <v>145017.78</v>
      </c>
      <c r="I617" s="2">
        <v>10151.24</v>
      </c>
    </row>
    <row r="618" spans="1:9" x14ac:dyDescent="0.25">
      <c r="A618" t="s">
        <v>466</v>
      </c>
      <c r="B618" t="s">
        <v>467</v>
      </c>
      <c r="C618" t="s">
        <v>21</v>
      </c>
      <c r="D618" t="s">
        <v>4049</v>
      </c>
      <c r="E618" t="s">
        <v>4050</v>
      </c>
      <c r="F618" t="s">
        <v>4051</v>
      </c>
      <c r="G618">
        <v>4</v>
      </c>
      <c r="H618" s="2">
        <v>9037.33</v>
      </c>
      <c r="I618" s="2">
        <v>36149.32</v>
      </c>
    </row>
    <row r="619" spans="1:9" x14ac:dyDescent="0.25">
      <c r="A619" t="s">
        <v>466</v>
      </c>
      <c r="B619" t="s">
        <v>467</v>
      </c>
      <c r="C619" t="s">
        <v>21</v>
      </c>
      <c r="D619" t="s">
        <v>4049</v>
      </c>
      <c r="E619" t="s">
        <v>4073</v>
      </c>
      <c r="F619" t="s">
        <v>4051</v>
      </c>
      <c r="G619">
        <v>2</v>
      </c>
      <c r="H619" s="2">
        <v>15517.89</v>
      </c>
      <c r="I619" s="2">
        <v>31035.78</v>
      </c>
    </row>
    <row r="620" spans="1:9" x14ac:dyDescent="0.25">
      <c r="A620" t="s">
        <v>466</v>
      </c>
      <c r="B620" t="s">
        <v>467</v>
      </c>
      <c r="C620" t="s">
        <v>21</v>
      </c>
      <c r="D620" t="s">
        <v>4052</v>
      </c>
      <c r="E620" t="s">
        <v>4419</v>
      </c>
      <c r="F620" t="s">
        <v>247</v>
      </c>
      <c r="G620">
        <v>0.88</v>
      </c>
      <c r="H620" s="2">
        <v>7750</v>
      </c>
      <c r="I620" s="2">
        <v>6820</v>
      </c>
    </row>
    <row r="621" spans="1:9" x14ac:dyDescent="0.25">
      <c r="A621" t="s">
        <v>466</v>
      </c>
      <c r="B621" t="s">
        <v>467</v>
      </c>
      <c r="C621" t="s">
        <v>21</v>
      </c>
      <c r="D621" t="s">
        <v>4052</v>
      </c>
      <c r="E621" t="s">
        <v>4286</v>
      </c>
      <c r="F621" t="s">
        <v>4106</v>
      </c>
      <c r="G621">
        <v>0.05</v>
      </c>
      <c r="H621" s="2">
        <v>73333.33</v>
      </c>
      <c r="I621" s="2">
        <v>3666.67</v>
      </c>
    </row>
    <row r="622" spans="1:9" x14ac:dyDescent="0.25">
      <c r="A622" t="s">
        <v>466</v>
      </c>
      <c r="B622" t="s">
        <v>467</v>
      </c>
      <c r="C622" t="s">
        <v>21</v>
      </c>
      <c r="D622" t="s">
        <v>4052</v>
      </c>
      <c r="E622" t="s">
        <v>4053</v>
      </c>
      <c r="F622" t="s">
        <v>4054</v>
      </c>
      <c r="G622">
        <v>5</v>
      </c>
      <c r="H622" s="2">
        <v>67185.1</v>
      </c>
      <c r="I622" s="2">
        <v>3359.26</v>
      </c>
    </row>
    <row r="623" spans="1:9" x14ac:dyDescent="0.25">
      <c r="A623" t="s">
        <v>469</v>
      </c>
      <c r="B623" t="s">
        <v>470</v>
      </c>
      <c r="C623" t="s">
        <v>21</v>
      </c>
      <c r="D623" t="s">
        <v>4062</v>
      </c>
      <c r="E623" t="s">
        <v>4390</v>
      </c>
      <c r="F623" t="s">
        <v>231</v>
      </c>
      <c r="G623">
        <v>0.14</v>
      </c>
      <c r="H623" s="2">
        <v>4155</v>
      </c>
      <c r="I623" s="2">
        <v>581.7</v>
      </c>
    </row>
    <row r="624" spans="1:9" x14ac:dyDescent="0.25">
      <c r="A624" t="s">
        <v>469</v>
      </c>
      <c r="B624" t="s">
        <v>470</v>
      </c>
      <c r="C624" t="s">
        <v>21</v>
      </c>
      <c r="D624" t="s">
        <v>4062</v>
      </c>
      <c r="E624" t="s">
        <v>4012</v>
      </c>
      <c r="F624" t="s">
        <v>34</v>
      </c>
      <c r="G624">
        <v>0.12</v>
      </c>
      <c r="H624" s="2">
        <v>475506.98</v>
      </c>
      <c r="I624" s="2">
        <v>57060.84</v>
      </c>
    </row>
    <row r="625" spans="1:9" x14ac:dyDescent="0.25">
      <c r="A625" t="s">
        <v>469</v>
      </c>
      <c r="B625" t="s">
        <v>470</v>
      </c>
      <c r="C625" t="s">
        <v>21</v>
      </c>
      <c r="D625" t="s">
        <v>4062</v>
      </c>
      <c r="E625" t="s">
        <v>4261</v>
      </c>
      <c r="F625" t="s">
        <v>231</v>
      </c>
      <c r="G625">
        <v>4</v>
      </c>
      <c r="H625" s="2">
        <v>2982</v>
      </c>
      <c r="I625" s="2">
        <v>11928</v>
      </c>
    </row>
    <row r="626" spans="1:9" x14ac:dyDescent="0.25">
      <c r="A626" t="s">
        <v>469</v>
      </c>
      <c r="B626" t="s">
        <v>470</v>
      </c>
      <c r="C626" t="s">
        <v>21</v>
      </c>
      <c r="D626" t="s">
        <v>4062</v>
      </c>
      <c r="E626" t="s">
        <v>4320</v>
      </c>
      <c r="F626" t="s">
        <v>42</v>
      </c>
      <c r="G626">
        <v>0.06</v>
      </c>
      <c r="H626" s="2">
        <v>6222.23</v>
      </c>
      <c r="I626" s="2">
        <v>373.33</v>
      </c>
    </row>
    <row r="627" spans="1:9" x14ac:dyDescent="0.25">
      <c r="A627" t="s">
        <v>469</v>
      </c>
      <c r="B627" t="s">
        <v>470</v>
      </c>
      <c r="C627" t="s">
        <v>21</v>
      </c>
      <c r="D627" t="s">
        <v>4062</v>
      </c>
      <c r="E627" t="s">
        <v>4417</v>
      </c>
      <c r="F627" t="s">
        <v>42</v>
      </c>
      <c r="G627">
        <v>1.8</v>
      </c>
      <c r="H627" s="2">
        <v>10200</v>
      </c>
      <c r="I627" s="2">
        <v>18360</v>
      </c>
    </row>
    <row r="628" spans="1:9" x14ac:dyDescent="0.25">
      <c r="A628" t="s">
        <v>469</v>
      </c>
      <c r="B628" t="s">
        <v>470</v>
      </c>
      <c r="C628" t="s">
        <v>21</v>
      </c>
      <c r="D628" t="s">
        <v>4062</v>
      </c>
      <c r="E628" t="s">
        <v>4418</v>
      </c>
      <c r="F628" t="s">
        <v>63</v>
      </c>
      <c r="G628">
        <v>0.07</v>
      </c>
      <c r="H628" s="2">
        <v>145017.78</v>
      </c>
      <c r="I628" s="2">
        <v>10151.24</v>
      </c>
    </row>
    <row r="629" spans="1:9" x14ac:dyDescent="0.25">
      <c r="A629" t="s">
        <v>469</v>
      </c>
      <c r="B629" t="s">
        <v>470</v>
      </c>
      <c r="C629" t="s">
        <v>21</v>
      </c>
      <c r="D629" t="s">
        <v>4049</v>
      </c>
      <c r="E629" t="s">
        <v>4050</v>
      </c>
      <c r="F629" t="s">
        <v>4051</v>
      </c>
      <c r="G629">
        <v>4</v>
      </c>
      <c r="H629" s="2">
        <v>9037.33</v>
      </c>
      <c r="I629" s="2">
        <v>36149.32</v>
      </c>
    </row>
    <row r="630" spans="1:9" x14ac:dyDescent="0.25">
      <c r="A630" t="s">
        <v>469</v>
      </c>
      <c r="B630" t="s">
        <v>470</v>
      </c>
      <c r="C630" t="s">
        <v>21</v>
      </c>
      <c r="D630" t="s">
        <v>4049</v>
      </c>
      <c r="E630" t="s">
        <v>4073</v>
      </c>
      <c r="F630" t="s">
        <v>4051</v>
      </c>
      <c r="G630">
        <v>2</v>
      </c>
      <c r="H630" s="2">
        <v>15517.89</v>
      </c>
      <c r="I630" s="2">
        <v>31035.78</v>
      </c>
    </row>
    <row r="631" spans="1:9" x14ac:dyDescent="0.25">
      <c r="A631" t="s">
        <v>469</v>
      </c>
      <c r="B631" t="s">
        <v>470</v>
      </c>
      <c r="C631" t="s">
        <v>21</v>
      </c>
      <c r="D631" t="s">
        <v>4052</v>
      </c>
      <c r="E631" t="s">
        <v>4419</v>
      </c>
      <c r="F631" t="s">
        <v>247</v>
      </c>
      <c r="G631">
        <v>0.88</v>
      </c>
      <c r="H631" s="2">
        <v>7750</v>
      </c>
      <c r="I631" s="2">
        <v>6820</v>
      </c>
    </row>
    <row r="632" spans="1:9" x14ac:dyDescent="0.25">
      <c r="A632" t="s">
        <v>469</v>
      </c>
      <c r="B632" t="s">
        <v>470</v>
      </c>
      <c r="C632" t="s">
        <v>21</v>
      </c>
      <c r="D632" t="s">
        <v>4052</v>
      </c>
      <c r="E632" t="s">
        <v>4286</v>
      </c>
      <c r="F632" t="s">
        <v>4106</v>
      </c>
      <c r="G632">
        <v>0.05</v>
      </c>
      <c r="H632" s="2">
        <v>73333.33</v>
      </c>
      <c r="I632" s="2">
        <v>3666.67</v>
      </c>
    </row>
    <row r="633" spans="1:9" x14ac:dyDescent="0.25">
      <c r="A633" t="s">
        <v>469</v>
      </c>
      <c r="B633" t="s">
        <v>470</v>
      </c>
      <c r="C633" t="s">
        <v>21</v>
      </c>
      <c r="D633" t="s">
        <v>4052</v>
      </c>
      <c r="E633" t="s">
        <v>4053</v>
      </c>
      <c r="F633" t="s">
        <v>4054</v>
      </c>
      <c r="G633">
        <v>5</v>
      </c>
      <c r="H633" s="2">
        <v>67185.1</v>
      </c>
      <c r="I633" s="2">
        <v>3359.26</v>
      </c>
    </row>
    <row r="634" spans="1:9" x14ac:dyDescent="0.25">
      <c r="A634" t="s">
        <v>472</v>
      </c>
      <c r="B634" t="s">
        <v>473</v>
      </c>
      <c r="C634" t="s">
        <v>21</v>
      </c>
      <c r="D634" t="s">
        <v>4062</v>
      </c>
      <c r="E634" t="s">
        <v>4390</v>
      </c>
      <c r="F634" t="s">
        <v>231</v>
      </c>
      <c r="G634">
        <v>0.14</v>
      </c>
      <c r="H634" s="2">
        <v>4155</v>
      </c>
      <c r="I634" s="2">
        <v>581.7</v>
      </c>
    </row>
    <row r="635" spans="1:9" x14ac:dyDescent="0.25">
      <c r="A635" t="s">
        <v>472</v>
      </c>
      <c r="B635" t="s">
        <v>473</v>
      </c>
      <c r="C635" t="s">
        <v>21</v>
      </c>
      <c r="D635" t="s">
        <v>4062</v>
      </c>
      <c r="E635" t="s">
        <v>4261</v>
      </c>
      <c r="F635" t="s">
        <v>231</v>
      </c>
      <c r="G635">
        <v>6.52</v>
      </c>
      <c r="H635" s="2">
        <v>2982</v>
      </c>
      <c r="I635" s="2">
        <v>19442.64</v>
      </c>
    </row>
    <row r="636" spans="1:9" x14ac:dyDescent="0.25">
      <c r="A636" t="s">
        <v>472</v>
      </c>
      <c r="B636" t="s">
        <v>473</v>
      </c>
      <c r="C636" t="s">
        <v>21</v>
      </c>
      <c r="D636" t="s">
        <v>4062</v>
      </c>
      <c r="E636" t="s">
        <v>4320</v>
      </c>
      <c r="F636" t="s">
        <v>42</v>
      </c>
      <c r="G636">
        <v>0.06</v>
      </c>
      <c r="H636" s="2">
        <v>6222.23</v>
      </c>
      <c r="I636" s="2">
        <v>373.33</v>
      </c>
    </row>
    <row r="637" spans="1:9" x14ac:dyDescent="0.25">
      <c r="A637" t="s">
        <v>472</v>
      </c>
      <c r="B637" t="s">
        <v>473</v>
      </c>
      <c r="C637" t="s">
        <v>21</v>
      </c>
      <c r="D637" t="s">
        <v>4062</v>
      </c>
      <c r="E637" t="s">
        <v>4424</v>
      </c>
      <c r="F637" t="s">
        <v>42</v>
      </c>
      <c r="G637">
        <v>1.8</v>
      </c>
      <c r="H637" s="2">
        <v>11200</v>
      </c>
      <c r="I637" s="2">
        <v>20160</v>
      </c>
    </row>
    <row r="638" spans="1:9" x14ac:dyDescent="0.25">
      <c r="A638" t="s">
        <v>472</v>
      </c>
      <c r="B638" t="s">
        <v>473</v>
      </c>
      <c r="C638" t="s">
        <v>21</v>
      </c>
      <c r="D638" t="s">
        <v>4062</v>
      </c>
      <c r="E638" t="s">
        <v>3998</v>
      </c>
      <c r="F638" t="s">
        <v>34</v>
      </c>
      <c r="G638">
        <v>0.14</v>
      </c>
      <c r="H638" s="2">
        <v>520986.7</v>
      </c>
      <c r="I638" s="2">
        <v>72938.14</v>
      </c>
    </row>
    <row r="639" spans="1:9" x14ac:dyDescent="0.25">
      <c r="A639" t="s">
        <v>472</v>
      </c>
      <c r="B639" t="s">
        <v>473</v>
      </c>
      <c r="C639" t="s">
        <v>21</v>
      </c>
      <c r="D639" t="s">
        <v>4062</v>
      </c>
      <c r="E639" t="s">
        <v>4418</v>
      </c>
      <c r="F639" t="s">
        <v>63</v>
      </c>
      <c r="G639">
        <v>0.07</v>
      </c>
      <c r="H639" s="2">
        <v>145017.78</v>
      </c>
      <c r="I639" s="2">
        <v>10296.26</v>
      </c>
    </row>
    <row r="640" spans="1:9" x14ac:dyDescent="0.25">
      <c r="A640" t="s">
        <v>472</v>
      </c>
      <c r="B640" t="s">
        <v>473</v>
      </c>
      <c r="C640" t="s">
        <v>21</v>
      </c>
      <c r="D640" t="s">
        <v>4049</v>
      </c>
      <c r="E640" t="s">
        <v>4050</v>
      </c>
      <c r="F640" t="s">
        <v>4051</v>
      </c>
      <c r="G640">
        <v>4.02</v>
      </c>
      <c r="H640" s="2">
        <v>9037.33</v>
      </c>
      <c r="I640" s="2">
        <v>36330.07</v>
      </c>
    </row>
    <row r="641" spans="1:9" x14ac:dyDescent="0.25">
      <c r="A641" t="s">
        <v>472</v>
      </c>
      <c r="B641" t="s">
        <v>473</v>
      </c>
      <c r="C641" t="s">
        <v>21</v>
      </c>
      <c r="D641" t="s">
        <v>4049</v>
      </c>
      <c r="E641" t="s">
        <v>4073</v>
      </c>
      <c r="F641" t="s">
        <v>4051</v>
      </c>
      <c r="G641">
        <v>2.01</v>
      </c>
      <c r="H641" s="2">
        <v>15517.89</v>
      </c>
      <c r="I641" s="2">
        <v>31190.96</v>
      </c>
    </row>
    <row r="642" spans="1:9" x14ac:dyDescent="0.25">
      <c r="A642" t="s">
        <v>472</v>
      </c>
      <c r="B642" t="s">
        <v>473</v>
      </c>
      <c r="C642" t="s">
        <v>21</v>
      </c>
      <c r="D642" t="s">
        <v>4052</v>
      </c>
      <c r="E642" t="s">
        <v>4419</v>
      </c>
      <c r="F642" t="s">
        <v>247</v>
      </c>
      <c r="G642">
        <v>0.88</v>
      </c>
      <c r="H642" s="2">
        <v>7750</v>
      </c>
      <c r="I642" s="2">
        <v>6820</v>
      </c>
    </row>
    <row r="643" spans="1:9" x14ac:dyDescent="0.25">
      <c r="A643" t="s">
        <v>472</v>
      </c>
      <c r="B643" t="s">
        <v>473</v>
      </c>
      <c r="C643" t="s">
        <v>21</v>
      </c>
      <c r="D643" t="s">
        <v>4052</v>
      </c>
      <c r="E643" t="s">
        <v>4286</v>
      </c>
      <c r="F643" t="s">
        <v>4106</v>
      </c>
      <c r="G643">
        <v>0.01</v>
      </c>
      <c r="H643" s="2">
        <v>73333.33</v>
      </c>
      <c r="I643" s="2">
        <v>733.33</v>
      </c>
    </row>
    <row r="644" spans="1:9" x14ac:dyDescent="0.25">
      <c r="A644" t="s">
        <v>472</v>
      </c>
      <c r="B644" t="s">
        <v>473</v>
      </c>
      <c r="C644" t="s">
        <v>21</v>
      </c>
      <c r="D644" t="s">
        <v>4052</v>
      </c>
      <c r="E644" t="s">
        <v>4053</v>
      </c>
      <c r="F644" t="s">
        <v>4054</v>
      </c>
      <c r="G644">
        <v>5</v>
      </c>
      <c r="H644" s="2">
        <v>67521.03</v>
      </c>
      <c r="I644" s="2">
        <v>3376.05</v>
      </c>
    </row>
    <row r="645" spans="1:9" x14ac:dyDescent="0.25">
      <c r="A645" t="s">
        <v>475</v>
      </c>
      <c r="B645" t="s">
        <v>476</v>
      </c>
      <c r="C645" t="s">
        <v>21</v>
      </c>
      <c r="D645" t="s">
        <v>4062</v>
      </c>
      <c r="E645" t="s">
        <v>4390</v>
      </c>
      <c r="F645" t="s">
        <v>231</v>
      </c>
      <c r="G645">
        <v>0.14</v>
      </c>
      <c r="H645" s="2">
        <v>4155</v>
      </c>
      <c r="I645" s="2">
        <v>581.7</v>
      </c>
    </row>
    <row r="646" spans="1:9" x14ac:dyDescent="0.25">
      <c r="A646" t="s">
        <v>475</v>
      </c>
      <c r="B646" t="s">
        <v>476</v>
      </c>
      <c r="C646" t="s">
        <v>21</v>
      </c>
      <c r="D646" t="s">
        <v>4062</v>
      </c>
      <c r="E646" t="s">
        <v>4012</v>
      </c>
      <c r="F646" t="s">
        <v>34</v>
      </c>
      <c r="G646">
        <v>0.14</v>
      </c>
      <c r="H646" s="2">
        <v>475506.98</v>
      </c>
      <c r="I646" s="2">
        <v>66570.98</v>
      </c>
    </row>
    <row r="647" spans="1:9" x14ac:dyDescent="0.25">
      <c r="A647" t="s">
        <v>475</v>
      </c>
      <c r="B647" t="s">
        <v>476</v>
      </c>
      <c r="C647" t="s">
        <v>21</v>
      </c>
      <c r="D647" t="s">
        <v>4062</v>
      </c>
      <c r="E647" t="s">
        <v>4261</v>
      </c>
      <c r="F647" t="s">
        <v>231</v>
      </c>
      <c r="G647">
        <v>6.52</v>
      </c>
      <c r="H647" s="2">
        <v>2982</v>
      </c>
      <c r="I647" s="2">
        <v>19442.64</v>
      </c>
    </row>
    <row r="648" spans="1:9" x14ac:dyDescent="0.25">
      <c r="A648" t="s">
        <v>475</v>
      </c>
      <c r="B648" t="s">
        <v>476</v>
      </c>
      <c r="C648" t="s">
        <v>21</v>
      </c>
      <c r="D648" t="s">
        <v>4062</v>
      </c>
      <c r="E648" t="s">
        <v>4320</v>
      </c>
      <c r="F648" t="s">
        <v>42</v>
      </c>
      <c r="G648">
        <v>0.06</v>
      </c>
      <c r="H648" s="2">
        <v>6222.23</v>
      </c>
      <c r="I648" s="2">
        <v>373.33</v>
      </c>
    </row>
    <row r="649" spans="1:9" x14ac:dyDescent="0.25">
      <c r="A649" t="s">
        <v>475</v>
      </c>
      <c r="B649" t="s">
        <v>476</v>
      </c>
      <c r="C649" t="s">
        <v>21</v>
      </c>
      <c r="D649" t="s">
        <v>4062</v>
      </c>
      <c r="E649" t="s">
        <v>4424</v>
      </c>
      <c r="F649" t="s">
        <v>42</v>
      </c>
      <c r="G649">
        <v>1.8</v>
      </c>
      <c r="H649" s="2">
        <v>11200</v>
      </c>
      <c r="I649" s="2">
        <v>20160</v>
      </c>
    </row>
    <row r="650" spans="1:9" x14ac:dyDescent="0.25">
      <c r="A650" t="s">
        <v>475</v>
      </c>
      <c r="B650" t="s">
        <v>476</v>
      </c>
      <c r="C650" t="s">
        <v>21</v>
      </c>
      <c r="D650" t="s">
        <v>4062</v>
      </c>
      <c r="E650" t="s">
        <v>4418</v>
      </c>
      <c r="F650" t="s">
        <v>63</v>
      </c>
      <c r="G650">
        <v>0.07</v>
      </c>
      <c r="H650" s="2">
        <v>145017.78</v>
      </c>
      <c r="I650" s="2">
        <v>10296.26</v>
      </c>
    </row>
    <row r="651" spans="1:9" x14ac:dyDescent="0.25">
      <c r="A651" t="s">
        <v>475</v>
      </c>
      <c r="B651" t="s">
        <v>476</v>
      </c>
      <c r="C651" t="s">
        <v>21</v>
      </c>
      <c r="D651" t="s">
        <v>4049</v>
      </c>
      <c r="E651" t="s">
        <v>4050</v>
      </c>
      <c r="F651" t="s">
        <v>4051</v>
      </c>
      <c r="G651">
        <v>4.02</v>
      </c>
      <c r="H651" s="2">
        <v>9037.33</v>
      </c>
      <c r="I651" s="2">
        <v>36330.07</v>
      </c>
    </row>
    <row r="652" spans="1:9" x14ac:dyDescent="0.25">
      <c r="A652" t="s">
        <v>475</v>
      </c>
      <c r="B652" t="s">
        <v>476</v>
      </c>
      <c r="C652" t="s">
        <v>21</v>
      </c>
      <c r="D652" t="s">
        <v>4049</v>
      </c>
      <c r="E652" t="s">
        <v>4073</v>
      </c>
      <c r="F652" t="s">
        <v>4051</v>
      </c>
      <c r="G652">
        <v>2.01</v>
      </c>
      <c r="H652" s="2">
        <v>15517.89</v>
      </c>
      <c r="I652" s="2">
        <v>31190.96</v>
      </c>
    </row>
    <row r="653" spans="1:9" x14ac:dyDescent="0.25">
      <c r="A653" t="s">
        <v>475</v>
      </c>
      <c r="B653" t="s">
        <v>476</v>
      </c>
      <c r="C653" t="s">
        <v>21</v>
      </c>
      <c r="D653" t="s">
        <v>4052</v>
      </c>
      <c r="E653" t="s">
        <v>4419</v>
      </c>
      <c r="F653" t="s">
        <v>247</v>
      </c>
      <c r="G653">
        <v>0.88</v>
      </c>
      <c r="H653" s="2">
        <v>7750</v>
      </c>
      <c r="I653" s="2">
        <v>6820</v>
      </c>
    </row>
    <row r="654" spans="1:9" x14ac:dyDescent="0.25">
      <c r="A654" t="s">
        <v>475</v>
      </c>
      <c r="B654" t="s">
        <v>476</v>
      </c>
      <c r="C654" t="s">
        <v>21</v>
      </c>
      <c r="D654" t="s">
        <v>4052</v>
      </c>
      <c r="E654" t="s">
        <v>4286</v>
      </c>
      <c r="F654" t="s">
        <v>4106</v>
      </c>
      <c r="G654">
        <v>0.01</v>
      </c>
      <c r="H654" s="2">
        <v>73333.33</v>
      </c>
      <c r="I654" s="2">
        <v>733.33</v>
      </c>
    </row>
    <row r="655" spans="1:9" x14ac:dyDescent="0.25">
      <c r="A655" t="s">
        <v>475</v>
      </c>
      <c r="B655" t="s">
        <v>476</v>
      </c>
      <c r="C655" t="s">
        <v>21</v>
      </c>
      <c r="D655" t="s">
        <v>4052</v>
      </c>
      <c r="E655" t="s">
        <v>4053</v>
      </c>
      <c r="F655" t="s">
        <v>4054</v>
      </c>
      <c r="G655">
        <v>5</v>
      </c>
      <c r="H655" s="2">
        <v>67521.03</v>
      </c>
      <c r="I655" s="2">
        <v>3376.05</v>
      </c>
    </row>
    <row r="656" spans="1:9" x14ac:dyDescent="0.25">
      <c r="A656" t="s">
        <v>478</v>
      </c>
      <c r="B656" t="s">
        <v>479</v>
      </c>
      <c r="C656" t="s">
        <v>21</v>
      </c>
      <c r="D656" t="s">
        <v>4062</v>
      </c>
      <c r="E656" t="s">
        <v>4390</v>
      </c>
      <c r="F656" t="s">
        <v>231</v>
      </c>
      <c r="G656">
        <v>0.14</v>
      </c>
      <c r="H656" s="2">
        <v>4155</v>
      </c>
      <c r="I656" s="2">
        <v>581.7</v>
      </c>
    </row>
    <row r="657" spans="1:9" x14ac:dyDescent="0.25">
      <c r="A657" t="s">
        <v>478</v>
      </c>
      <c r="B657" t="s">
        <v>479</v>
      </c>
      <c r="C657" t="s">
        <v>21</v>
      </c>
      <c r="D657" t="s">
        <v>4062</v>
      </c>
      <c r="E657" t="s">
        <v>4012</v>
      </c>
      <c r="F657" t="s">
        <v>34</v>
      </c>
      <c r="G657">
        <v>0.15</v>
      </c>
      <c r="H657" s="2">
        <v>475506.98</v>
      </c>
      <c r="I657" s="2">
        <v>71326.05</v>
      </c>
    </row>
    <row r="658" spans="1:9" x14ac:dyDescent="0.25">
      <c r="A658" t="s">
        <v>478</v>
      </c>
      <c r="B658" t="s">
        <v>479</v>
      </c>
      <c r="C658" t="s">
        <v>21</v>
      </c>
      <c r="D658" t="s">
        <v>4062</v>
      </c>
      <c r="E658" t="s">
        <v>4261</v>
      </c>
      <c r="F658" t="s">
        <v>231</v>
      </c>
      <c r="G658">
        <v>6.52</v>
      </c>
      <c r="H658" s="2">
        <v>2982</v>
      </c>
      <c r="I658" s="2">
        <v>19442.64</v>
      </c>
    </row>
    <row r="659" spans="1:9" x14ac:dyDescent="0.25">
      <c r="A659" t="s">
        <v>478</v>
      </c>
      <c r="B659" t="s">
        <v>479</v>
      </c>
      <c r="C659" t="s">
        <v>21</v>
      </c>
      <c r="D659" t="s">
        <v>4062</v>
      </c>
      <c r="E659" t="s">
        <v>4320</v>
      </c>
      <c r="F659" t="s">
        <v>42</v>
      </c>
      <c r="G659">
        <v>0.06</v>
      </c>
      <c r="H659" s="2">
        <v>6222.23</v>
      </c>
      <c r="I659" s="2">
        <v>373.33</v>
      </c>
    </row>
    <row r="660" spans="1:9" x14ac:dyDescent="0.25">
      <c r="A660" t="s">
        <v>478</v>
      </c>
      <c r="B660" t="s">
        <v>479</v>
      </c>
      <c r="C660" t="s">
        <v>21</v>
      </c>
      <c r="D660" t="s">
        <v>4062</v>
      </c>
      <c r="E660" t="s">
        <v>4429</v>
      </c>
      <c r="F660" t="s">
        <v>42</v>
      </c>
      <c r="G660">
        <v>1.8</v>
      </c>
      <c r="H660" s="2">
        <v>13100</v>
      </c>
      <c r="I660" s="2">
        <v>23580</v>
      </c>
    </row>
    <row r="661" spans="1:9" x14ac:dyDescent="0.25">
      <c r="A661" t="s">
        <v>478</v>
      </c>
      <c r="B661" t="s">
        <v>479</v>
      </c>
      <c r="C661" t="s">
        <v>21</v>
      </c>
      <c r="D661" t="s">
        <v>4062</v>
      </c>
      <c r="E661" t="s">
        <v>4418</v>
      </c>
      <c r="F661" t="s">
        <v>63</v>
      </c>
      <c r="G661">
        <v>0.07</v>
      </c>
      <c r="H661" s="2">
        <v>145017.78</v>
      </c>
      <c r="I661" s="2">
        <v>10296.26</v>
      </c>
    </row>
    <row r="662" spans="1:9" x14ac:dyDescent="0.25">
      <c r="A662" t="s">
        <v>478</v>
      </c>
      <c r="B662" t="s">
        <v>479</v>
      </c>
      <c r="C662" t="s">
        <v>21</v>
      </c>
      <c r="D662" t="s">
        <v>4049</v>
      </c>
      <c r="E662" t="s">
        <v>4419</v>
      </c>
      <c r="F662" t="s">
        <v>247</v>
      </c>
      <c r="G662">
        <v>0.88</v>
      </c>
      <c r="H662" s="2">
        <v>7750</v>
      </c>
      <c r="I662" s="2">
        <v>6820</v>
      </c>
    </row>
    <row r="663" spans="1:9" x14ac:dyDescent="0.25">
      <c r="A663" t="s">
        <v>478</v>
      </c>
      <c r="B663" t="s">
        <v>479</v>
      </c>
      <c r="C663" t="s">
        <v>21</v>
      </c>
      <c r="D663" t="s">
        <v>4049</v>
      </c>
      <c r="E663" t="s">
        <v>4286</v>
      </c>
      <c r="F663" t="s">
        <v>4106</v>
      </c>
      <c r="G663">
        <v>0.01</v>
      </c>
      <c r="H663" s="2">
        <v>73333.33</v>
      </c>
      <c r="I663" s="2">
        <v>733.33</v>
      </c>
    </row>
    <row r="664" spans="1:9" x14ac:dyDescent="0.25">
      <c r="A664" t="s">
        <v>478</v>
      </c>
      <c r="B664" t="s">
        <v>479</v>
      </c>
      <c r="C664" t="s">
        <v>21</v>
      </c>
      <c r="D664" t="s">
        <v>4049</v>
      </c>
      <c r="E664" t="s">
        <v>4050</v>
      </c>
      <c r="F664" t="s">
        <v>4051</v>
      </c>
      <c r="G664">
        <v>4.02</v>
      </c>
      <c r="H664" s="2">
        <v>9037.33</v>
      </c>
      <c r="I664" s="2">
        <v>36330.07</v>
      </c>
    </row>
    <row r="665" spans="1:9" x14ac:dyDescent="0.25">
      <c r="A665" t="s">
        <v>478</v>
      </c>
      <c r="B665" t="s">
        <v>479</v>
      </c>
      <c r="C665" t="s">
        <v>21</v>
      </c>
      <c r="D665" t="s">
        <v>4049</v>
      </c>
      <c r="E665" t="s">
        <v>4073</v>
      </c>
      <c r="F665" t="s">
        <v>4051</v>
      </c>
      <c r="G665">
        <v>2.01</v>
      </c>
      <c r="H665" s="2">
        <v>15517.89</v>
      </c>
      <c r="I665" s="2">
        <v>31190.96</v>
      </c>
    </row>
    <row r="666" spans="1:9" x14ac:dyDescent="0.25">
      <c r="A666" t="s">
        <v>478</v>
      </c>
      <c r="B666" t="s">
        <v>479</v>
      </c>
      <c r="C666" t="s">
        <v>21</v>
      </c>
      <c r="D666" t="s">
        <v>4052</v>
      </c>
      <c r="E666" t="s">
        <v>4053</v>
      </c>
      <c r="F666" t="s">
        <v>4054</v>
      </c>
      <c r="G666">
        <v>5</v>
      </c>
      <c r="H666" s="2">
        <v>67521.03</v>
      </c>
      <c r="I666" s="2">
        <v>3376.05</v>
      </c>
    </row>
    <row r="667" spans="1:9" x14ac:dyDescent="0.25">
      <c r="A667" t="s">
        <v>481</v>
      </c>
      <c r="B667" t="s">
        <v>482</v>
      </c>
      <c r="C667" t="s">
        <v>21</v>
      </c>
      <c r="D667" t="s">
        <v>4062</v>
      </c>
      <c r="E667" t="s">
        <v>4390</v>
      </c>
      <c r="F667" t="s">
        <v>231</v>
      </c>
      <c r="G667">
        <v>0.14</v>
      </c>
      <c r="H667" s="2">
        <v>4155</v>
      </c>
      <c r="I667" s="2">
        <v>581.7</v>
      </c>
    </row>
    <row r="668" spans="1:9" x14ac:dyDescent="0.25">
      <c r="A668" t="s">
        <v>481</v>
      </c>
      <c r="B668" t="s">
        <v>482</v>
      </c>
      <c r="C668" t="s">
        <v>21</v>
      </c>
      <c r="D668" t="s">
        <v>4062</v>
      </c>
      <c r="E668" t="s">
        <v>4261</v>
      </c>
      <c r="F668" t="s">
        <v>231</v>
      </c>
      <c r="G668">
        <v>6.52</v>
      </c>
      <c r="H668" s="2">
        <v>2982</v>
      </c>
      <c r="I668" s="2">
        <v>19442.64</v>
      </c>
    </row>
    <row r="669" spans="1:9" x14ac:dyDescent="0.25">
      <c r="A669" t="s">
        <v>481</v>
      </c>
      <c r="B669" t="s">
        <v>482</v>
      </c>
      <c r="C669" t="s">
        <v>21</v>
      </c>
      <c r="D669" t="s">
        <v>4062</v>
      </c>
      <c r="E669" t="s">
        <v>4320</v>
      </c>
      <c r="F669" t="s">
        <v>42</v>
      </c>
      <c r="G669">
        <v>0.06</v>
      </c>
      <c r="H669" s="2">
        <v>6222.23</v>
      </c>
      <c r="I669" s="2">
        <v>373.33</v>
      </c>
    </row>
    <row r="670" spans="1:9" x14ac:dyDescent="0.25">
      <c r="A670" t="s">
        <v>481</v>
      </c>
      <c r="B670" t="s">
        <v>482</v>
      </c>
      <c r="C670" t="s">
        <v>21</v>
      </c>
      <c r="D670" t="s">
        <v>4062</v>
      </c>
      <c r="E670" t="s">
        <v>4429</v>
      </c>
      <c r="F670" t="s">
        <v>42</v>
      </c>
      <c r="G670">
        <v>1.8</v>
      </c>
      <c r="H670" s="2">
        <v>13100</v>
      </c>
      <c r="I670" s="2">
        <v>23580</v>
      </c>
    </row>
    <row r="671" spans="1:9" x14ac:dyDescent="0.25">
      <c r="A671" t="s">
        <v>481</v>
      </c>
      <c r="B671" t="s">
        <v>482</v>
      </c>
      <c r="C671" t="s">
        <v>21</v>
      </c>
      <c r="D671" t="s">
        <v>4062</v>
      </c>
      <c r="E671" t="s">
        <v>3998</v>
      </c>
      <c r="F671" t="s">
        <v>34</v>
      </c>
      <c r="G671">
        <v>0.15</v>
      </c>
      <c r="H671" s="2">
        <v>520986.7</v>
      </c>
      <c r="I671" s="2">
        <v>78148.01</v>
      </c>
    </row>
    <row r="672" spans="1:9" x14ac:dyDescent="0.25">
      <c r="A672" t="s">
        <v>481</v>
      </c>
      <c r="B672" t="s">
        <v>482</v>
      </c>
      <c r="C672" t="s">
        <v>21</v>
      </c>
      <c r="D672" t="s">
        <v>4062</v>
      </c>
      <c r="E672" t="s">
        <v>4418</v>
      </c>
      <c r="F672" t="s">
        <v>63</v>
      </c>
      <c r="G672">
        <v>0.07</v>
      </c>
      <c r="H672" s="2">
        <v>145017.78</v>
      </c>
      <c r="I672" s="2">
        <v>10296.26</v>
      </c>
    </row>
    <row r="673" spans="1:9" x14ac:dyDescent="0.25">
      <c r="A673" t="s">
        <v>481</v>
      </c>
      <c r="B673" t="s">
        <v>482</v>
      </c>
      <c r="C673" t="s">
        <v>21</v>
      </c>
      <c r="D673" t="s">
        <v>4049</v>
      </c>
      <c r="E673" t="s">
        <v>4050</v>
      </c>
      <c r="F673" t="s">
        <v>4051</v>
      </c>
      <c r="G673">
        <v>4.02</v>
      </c>
      <c r="H673" s="2">
        <v>9037.33</v>
      </c>
      <c r="I673" s="2">
        <v>36330.07</v>
      </c>
    </row>
    <row r="674" spans="1:9" x14ac:dyDescent="0.25">
      <c r="A674" t="s">
        <v>481</v>
      </c>
      <c r="B674" t="s">
        <v>482</v>
      </c>
      <c r="C674" t="s">
        <v>21</v>
      </c>
      <c r="D674" t="s">
        <v>4049</v>
      </c>
      <c r="E674" t="s">
        <v>4073</v>
      </c>
      <c r="F674" t="s">
        <v>4051</v>
      </c>
      <c r="G674">
        <v>2.01</v>
      </c>
      <c r="H674" s="2">
        <v>15517.89</v>
      </c>
      <c r="I674" s="2">
        <v>31190.96</v>
      </c>
    </row>
    <row r="675" spans="1:9" x14ac:dyDescent="0.25">
      <c r="A675" t="s">
        <v>481</v>
      </c>
      <c r="B675" t="s">
        <v>482</v>
      </c>
      <c r="C675" t="s">
        <v>21</v>
      </c>
      <c r="D675" t="s">
        <v>4052</v>
      </c>
      <c r="E675" t="s">
        <v>4419</v>
      </c>
      <c r="F675" t="s">
        <v>247</v>
      </c>
      <c r="G675">
        <v>0.88</v>
      </c>
      <c r="H675" s="2">
        <v>7750</v>
      </c>
      <c r="I675" s="2">
        <v>6820</v>
      </c>
    </row>
    <row r="676" spans="1:9" x14ac:dyDescent="0.25">
      <c r="A676" t="s">
        <v>481</v>
      </c>
      <c r="B676" t="s">
        <v>482</v>
      </c>
      <c r="C676" t="s">
        <v>21</v>
      </c>
      <c r="D676" t="s">
        <v>4052</v>
      </c>
      <c r="E676" t="s">
        <v>4286</v>
      </c>
      <c r="F676" t="s">
        <v>4106</v>
      </c>
      <c r="G676">
        <v>0.01</v>
      </c>
      <c r="H676" s="2">
        <v>73333.33</v>
      </c>
      <c r="I676" s="2">
        <v>733.33</v>
      </c>
    </row>
    <row r="677" spans="1:9" x14ac:dyDescent="0.25">
      <c r="A677" t="s">
        <v>481</v>
      </c>
      <c r="B677" t="s">
        <v>482</v>
      </c>
      <c r="C677" t="s">
        <v>21</v>
      </c>
      <c r="D677" t="s">
        <v>4052</v>
      </c>
      <c r="E677" t="s">
        <v>4053</v>
      </c>
      <c r="F677" t="s">
        <v>4054</v>
      </c>
      <c r="G677">
        <v>5</v>
      </c>
      <c r="H677" s="2">
        <v>67521.03</v>
      </c>
      <c r="I677" s="2">
        <v>3376.05</v>
      </c>
    </row>
    <row r="678" spans="1:9" x14ac:dyDescent="0.25">
      <c r="A678" t="s">
        <v>484</v>
      </c>
      <c r="B678" t="s">
        <v>485</v>
      </c>
      <c r="C678" t="s">
        <v>21</v>
      </c>
      <c r="D678" t="s">
        <v>4062</v>
      </c>
      <c r="E678" t="s">
        <v>4012</v>
      </c>
      <c r="F678" t="s">
        <v>34</v>
      </c>
      <c r="G678">
        <v>0.08</v>
      </c>
      <c r="H678" s="2">
        <v>475506.98</v>
      </c>
      <c r="I678" s="2">
        <v>35663.02</v>
      </c>
    </row>
    <row r="679" spans="1:9" x14ac:dyDescent="0.25">
      <c r="A679" t="s">
        <v>484</v>
      </c>
      <c r="B679" t="s">
        <v>485</v>
      </c>
      <c r="C679" t="s">
        <v>21</v>
      </c>
      <c r="D679" t="s">
        <v>4062</v>
      </c>
      <c r="E679" t="s">
        <v>4320</v>
      </c>
      <c r="F679" t="s">
        <v>42</v>
      </c>
      <c r="G679">
        <v>0.05</v>
      </c>
      <c r="H679" s="2">
        <v>6222.23</v>
      </c>
      <c r="I679" s="2">
        <v>311.11</v>
      </c>
    </row>
    <row r="680" spans="1:9" x14ac:dyDescent="0.25">
      <c r="A680" t="s">
        <v>484</v>
      </c>
      <c r="B680" t="s">
        <v>485</v>
      </c>
      <c r="C680" t="s">
        <v>21</v>
      </c>
      <c r="D680" t="s">
        <v>4062</v>
      </c>
      <c r="E680" t="s">
        <v>4418</v>
      </c>
      <c r="F680" t="s">
        <v>63</v>
      </c>
      <c r="G680">
        <v>0.02</v>
      </c>
      <c r="H680" s="2">
        <v>145017.78</v>
      </c>
      <c r="I680" s="2">
        <v>2900.36</v>
      </c>
    </row>
    <row r="681" spans="1:9" x14ac:dyDescent="0.25">
      <c r="A681" t="s">
        <v>484</v>
      </c>
      <c r="B681" t="s">
        <v>485</v>
      </c>
      <c r="C681" t="s">
        <v>21</v>
      </c>
      <c r="D681" t="s">
        <v>4062</v>
      </c>
      <c r="E681" t="s">
        <v>4434</v>
      </c>
      <c r="F681" t="s">
        <v>21</v>
      </c>
      <c r="G681">
        <v>1</v>
      </c>
      <c r="H681" s="2">
        <v>37547.87</v>
      </c>
      <c r="I681" s="2">
        <v>37547.87</v>
      </c>
    </row>
    <row r="682" spans="1:9" x14ac:dyDescent="0.25">
      <c r="A682" t="s">
        <v>484</v>
      </c>
      <c r="B682" t="s">
        <v>485</v>
      </c>
      <c r="C682" t="s">
        <v>21</v>
      </c>
      <c r="D682" t="s">
        <v>4049</v>
      </c>
      <c r="E682" t="s">
        <v>4050</v>
      </c>
      <c r="F682" t="s">
        <v>4051</v>
      </c>
      <c r="G682">
        <v>1.34</v>
      </c>
      <c r="H682" s="2">
        <v>9037.33</v>
      </c>
      <c r="I682" s="2">
        <v>12110.02</v>
      </c>
    </row>
    <row r="683" spans="1:9" x14ac:dyDescent="0.25">
      <c r="A683" t="s">
        <v>484</v>
      </c>
      <c r="B683" t="s">
        <v>485</v>
      </c>
      <c r="C683" t="s">
        <v>21</v>
      </c>
      <c r="D683" t="s">
        <v>4049</v>
      </c>
      <c r="E683" t="s">
        <v>4073</v>
      </c>
      <c r="F683" t="s">
        <v>4051</v>
      </c>
      <c r="G683">
        <v>0.67</v>
      </c>
      <c r="H683" s="2">
        <v>15517.89</v>
      </c>
      <c r="I683" s="2">
        <v>10396.99</v>
      </c>
    </row>
    <row r="684" spans="1:9" x14ac:dyDescent="0.25">
      <c r="A684" t="s">
        <v>484</v>
      </c>
      <c r="B684" t="s">
        <v>485</v>
      </c>
      <c r="C684" t="s">
        <v>21</v>
      </c>
      <c r="D684" t="s">
        <v>4052</v>
      </c>
      <c r="E684" t="s">
        <v>4286</v>
      </c>
      <c r="F684" t="s">
        <v>4106</v>
      </c>
      <c r="G684">
        <v>0.05</v>
      </c>
      <c r="H684" s="2">
        <v>73333.33</v>
      </c>
      <c r="I684" s="2">
        <v>3666.67</v>
      </c>
    </row>
    <row r="685" spans="1:9" x14ac:dyDescent="0.25">
      <c r="A685" t="s">
        <v>484</v>
      </c>
      <c r="B685" t="s">
        <v>485</v>
      </c>
      <c r="C685" t="s">
        <v>21</v>
      </c>
      <c r="D685" t="s">
        <v>4052</v>
      </c>
      <c r="E685" t="s">
        <v>4053</v>
      </c>
      <c r="F685" t="s">
        <v>4054</v>
      </c>
      <c r="G685">
        <v>3</v>
      </c>
      <c r="H685" s="2">
        <v>22507.01</v>
      </c>
      <c r="I685" s="2">
        <v>675.21</v>
      </c>
    </row>
    <row r="686" spans="1:9" x14ac:dyDescent="0.25">
      <c r="A686" t="s">
        <v>487</v>
      </c>
      <c r="B686" t="s">
        <v>488</v>
      </c>
      <c r="C686" t="s">
        <v>21</v>
      </c>
      <c r="D686" t="s">
        <v>4062</v>
      </c>
      <c r="E686" t="s">
        <v>4320</v>
      </c>
      <c r="F686" t="s">
        <v>42</v>
      </c>
      <c r="G686">
        <v>0.05</v>
      </c>
      <c r="H686" s="2">
        <v>6222.23</v>
      </c>
      <c r="I686" s="2">
        <v>311.11</v>
      </c>
    </row>
    <row r="687" spans="1:9" x14ac:dyDescent="0.25">
      <c r="A687" t="s">
        <v>487</v>
      </c>
      <c r="B687" t="s">
        <v>488</v>
      </c>
      <c r="C687" t="s">
        <v>21</v>
      </c>
      <c r="D687" t="s">
        <v>4062</v>
      </c>
      <c r="E687" t="s">
        <v>3998</v>
      </c>
      <c r="F687" t="s">
        <v>34</v>
      </c>
      <c r="G687">
        <v>0.08</v>
      </c>
      <c r="H687" s="2">
        <v>520986.7</v>
      </c>
      <c r="I687" s="2">
        <v>39074</v>
      </c>
    </row>
    <row r="688" spans="1:9" x14ac:dyDescent="0.25">
      <c r="A688" t="s">
        <v>487</v>
      </c>
      <c r="B688" t="s">
        <v>488</v>
      </c>
      <c r="C688" t="s">
        <v>21</v>
      </c>
      <c r="D688" t="s">
        <v>4062</v>
      </c>
      <c r="E688" t="s">
        <v>4418</v>
      </c>
      <c r="F688" t="s">
        <v>63</v>
      </c>
      <c r="G688">
        <v>0.02</v>
      </c>
      <c r="H688" s="2">
        <v>145017.78</v>
      </c>
      <c r="I688" s="2">
        <v>2900.36</v>
      </c>
    </row>
    <row r="689" spans="1:9" x14ac:dyDescent="0.25">
      <c r="A689" t="s">
        <v>487</v>
      </c>
      <c r="B689" t="s">
        <v>488</v>
      </c>
      <c r="C689" t="s">
        <v>21</v>
      </c>
      <c r="D689" t="s">
        <v>4062</v>
      </c>
      <c r="E689" t="s">
        <v>4434</v>
      </c>
      <c r="F689" t="s">
        <v>21</v>
      </c>
      <c r="G689">
        <v>1</v>
      </c>
      <c r="H689" s="2">
        <v>37547.87</v>
      </c>
      <c r="I689" s="2">
        <v>37547.87</v>
      </c>
    </row>
    <row r="690" spans="1:9" x14ac:dyDescent="0.25">
      <c r="A690" t="s">
        <v>487</v>
      </c>
      <c r="B690" t="s">
        <v>488</v>
      </c>
      <c r="C690" t="s">
        <v>21</v>
      </c>
      <c r="D690" t="s">
        <v>4049</v>
      </c>
      <c r="E690" t="s">
        <v>4286</v>
      </c>
      <c r="F690" t="s">
        <v>4106</v>
      </c>
      <c r="G690">
        <v>0.05</v>
      </c>
      <c r="H690" s="2">
        <v>73333.33</v>
      </c>
      <c r="I690" s="2">
        <v>3666.67</v>
      </c>
    </row>
    <row r="691" spans="1:9" x14ac:dyDescent="0.25">
      <c r="A691" t="s">
        <v>487</v>
      </c>
      <c r="B691" t="s">
        <v>488</v>
      </c>
      <c r="C691" t="s">
        <v>21</v>
      </c>
      <c r="D691" t="s">
        <v>4049</v>
      </c>
      <c r="E691" t="s">
        <v>4050</v>
      </c>
      <c r="F691" t="s">
        <v>4051</v>
      </c>
      <c r="G691">
        <v>1.34</v>
      </c>
      <c r="H691" s="2">
        <v>9037.33</v>
      </c>
      <c r="I691" s="2">
        <v>12110.02</v>
      </c>
    </row>
    <row r="692" spans="1:9" x14ac:dyDescent="0.25">
      <c r="A692" t="s">
        <v>487</v>
      </c>
      <c r="B692" t="s">
        <v>488</v>
      </c>
      <c r="C692" t="s">
        <v>21</v>
      </c>
      <c r="D692" t="s">
        <v>4049</v>
      </c>
      <c r="E692" t="s">
        <v>4073</v>
      </c>
      <c r="F692" t="s">
        <v>4051</v>
      </c>
      <c r="G692">
        <v>0.67</v>
      </c>
      <c r="H692" s="2">
        <v>15517.89</v>
      </c>
      <c r="I692" s="2">
        <v>10396.99</v>
      </c>
    </row>
    <row r="693" spans="1:9" x14ac:dyDescent="0.25">
      <c r="A693" t="s">
        <v>487</v>
      </c>
      <c r="B693" t="s">
        <v>488</v>
      </c>
      <c r="C693" t="s">
        <v>21</v>
      </c>
      <c r="D693" t="s">
        <v>4052</v>
      </c>
      <c r="E693" t="s">
        <v>4053</v>
      </c>
      <c r="F693" t="s">
        <v>4054</v>
      </c>
      <c r="G693">
        <v>3</v>
      </c>
      <c r="H693" s="2">
        <v>22507.01</v>
      </c>
      <c r="I693" s="2">
        <v>675.21</v>
      </c>
    </row>
    <row r="694" spans="1:9" x14ac:dyDescent="0.25">
      <c r="A694" t="s">
        <v>490</v>
      </c>
      <c r="B694" t="s">
        <v>491</v>
      </c>
      <c r="C694" t="s">
        <v>21</v>
      </c>
      <c r="D694" t="s">
        <v>4062</v>
      </c>
      <c r="E694" t="s">
        <v>4390</v>
      </c>
      <c r="F694" t="s">
        <v>231</v>
      </c>
      <c r="G694">
        <v>0.12</v>
      </c>
      <c r="H694" s="2">
        <v>4155</v>
      </c>
      <c r="I694" s="2">
        <v>498.6</v>
      </c>
    </row>
    <row r="695" spans="1:9" x14ac:dyDescent="0.25">
      <c r="A695" t="s">
        <v>490</v>
      </c>
      <c r="B695" t="s">
        <v>491</v>
      </c>
      <c r="C695" t="s">
        <v>21</v>
      </c>
      <c r="D695" t="s">
        <v>4062</v>
      </c>
      <c r="E695" t="s">
        <v>4012</v>
      </c>
      <c r="F695" t="s">
        <v>34</v>
      </c>
      <c r="G695">
        <v>0.12</v>
      </c>
      <c r="H695" s="2">
        <v>475506.98</v>
      </c>
      <c r="I695" s="2">
        <v>57060.84</v>
      </c>
    </row>
    <row r="696" spans="1:9" x14ac:dyDescent="0.25">
      <c r="A696" t="s">
        <v>490</v>
      </c>
      <c r="B696" t="s">
        <v>491</v>
      </c>
      <c r="C696" t="s">
        <v>21</v>
      </c>
      <c r="D696" t="s">
        <v>4062</v>
      </c>
      <c r="E696" t="s">
        <v>4261</v>
      </c>
      <c r="F696" t="s">
        <v>231</v>
      </c>
      <c r="G696">
        <v>6.62</v>
      </c>
      <c r="H696" s="2">
        <v>2982</v>
      </c>
      <c r="I696" s="2">
        <v>19740.84</v>
      </c>
    </row>
    <row r="697" spans="1:9" x14ac:dyDescent="0.25">
      <c r="A697" t="s">
        <v>490</v>
      </c>
      <c r="B697" t="s">
        <v>491</v>
      </c>
      <c r="C697" t="s">
        <v>21</v>
      </c>
      <c r="D697" t="s">
        <v>4062</v>
      </c>
      <c r="E697" t="s">
        <v>4439</v>
      </c>
      <c r="F697" t="s">
        <v>63</v>
      </c>
      <c r="G697">
        <v>12</v>
      </c>
      <c r="H697" s="2">
        <v>1032</v>
      </c>
      <c r="I697" s="2">
        <v>12384</v>
      </c>
    </row>
    <row r="698" spans="1:9" x14ac:dyDescent="0.25">
      <c r="A698" t="s">
        <v>490</v>
      </c>
      <c r="B698" t="s">
        <v>491</v>
      </c>
      <c r="C698" t="s">
        <v>21</v>
      </c>
      <c r="D698" t="s">
        <v>4062</v>
      </c>
      <c r="E698" t="s">
        <v>4400</v>
      </c>
      <c r="F698" t="s">
        <v>42</v>
      </c>
      <c r="G698">
        <v>0.21</v>
      </c>
      <c r="H698" s="2">
        <v>5286.26</v>
      </c>
      <c r="I698" s="2">
        <v>1110.11</v>
      </c>
    </row>
    <row r="699" spans="1:9" x14ac:dyDescent="0.25">
      <c r="A699" t="s">
        <v>490</v>
      </c>
      <c r="B699" t="s">
        <v>491</v>
      </c>
      <c r="C699" t="s">
        <v>21</v>
      </c>
      <c r="D699" t="s">
        <v>4062</v>
      </c>
      <c r="E699" t="s">
        <v>4070</v>
      </c>
      <c r="F699" t="s">
        <v>42</v>
      </c>
      <c r="G699">
        <v>0.46</v>
      </c>
      <c r="H699" s="2">
        <v>7381.08</v>
      </c>
      <c r="I699" s="2">
        <v>3395.3</v>
      </c>
    </row>
    <row r="700" spans="1:9" x14ac:dyDescent="0.25">
      <c r="A700" t="s">
        <v>490</v>
      </c>
      <c r="B700" t="s">
        <v>491</v>
      </c>
      <c r="C700" t="s">
        <v>21</v>
      </c>
      <c r="D700" t="s">
        <v>4062</v>
      </c>
      <c r="E700" t="s">
        <v>4071</v>
      </c>
      <c r="F700" t="s">
        <v>42</v>
      </c>
      <c r="G700">
        <v>0.49</v>
      </c>
      <c r="H700" s="2">
        <v>2555</v>
      </c>
      <c r="I700" s="2">
        <v>1251.95</v>
      </c>
    </row>
    <row r="701" spans="1:9" x14ac:dyDescent="0.25">
      <c r="A701" t="s">
        <v>490</v>
      </c>
      <c r="B701" t="s">
        <v>491</v>
      </c>
      <c r="C701" t="s">
        <v>21</v>
      </c>
      <c r="D701" t="s">
        <v>4062</v>
      </c>
      <c r="E701" t="s">
        <v>4418</v>
      </c>
      <c r="F701" t="s">
        <v>63</v>
      </c>
      <c r="G701">
        <v>0.07</v>
      </c>
      <c r="H701" s="2">
        <v>145017.78</v>
      </c>
      <c r="I701" s="2">
        <v>10151.24</v>
      </c>
    </row>
    <row r="702" spans="1:9" x14ac:dyDescent="0.25">
      <c r="A702" t="s">
        <v>490</v>
      </c>
      <c r="B702" t="s">
        <v>491</v>
      </c>
      <c r="C702" t="s">
        <v>21</v>
      </c>
      <c r="D702" t="s">
        <v>4062</v>
      </c>
      <c r="E702" t="s">
        <v>4065</v>
      </c>
      <c r="F702" t="s">
        <v>4066</v>
      </c>
      <c r="G702">
        <v>0.02</v>
      </c>
      <c r="H702" s="2">
        <v>3433</v>
      </c>
      <c r="I702" s="2">
        <v>68.66</v>
      </c>
    </row>
    <row r="703" spans="1:9" x14ac:dyDescent="0.25">
      <c r="A703" t="s">
        <v>490</v>
      </c>
      <c r="B703" t="s">
        <v>491</v>
      </c>
      <c r="C703" t="s">
        <v>21</v>
      </c>
      <c r="D703" t="s">
        <v>4049</v>
      </c>
      <c r="E703" t="s">
        <v>4050</v>
      </c>
      <c r="F703" t="s">
        <v>4051</v>
      </c>
      <c r="G703">
        <v>2.4</v>
      </c>
      <c r="H703" s="2">
        <v>9037.33</v>
      </c>
      <c r="I703" s="2">
        <v>21689.59</v>
      </c>
    </row>
    <row r="704" spans="1:9" x14ac:dyDescent="0.25">
      <c r="A704" t="s">
        <v>490</v>
      </c>
      <c r="B704" t="s">
        <v>491</v>
      </c>
      <c r="C704" t="s">
        <v>21</v>
      </c>
      <c r="D704" t="s">
        <v>4049</v>
      </c>
      <c r="E704" t="s">
        <v>4073</v>
      </c>
      <c r="F704" t="s">
        <v>4051</v>
      </c>
      <c r="G704">
        <v>2.4</v>
      </c>
      <c r="H704" s="2">
        <v>15517.89</v>
      </c>
      <c r="I704" s="2">
        <v>37242.94</v>
      </c>
    </row>
    <row r="705" spans="1:9" x14ac:dyDescent="0.25">
      <c r="A705" t="s">
        <v>490</v>
      </c>
      <c r="B705" t="s">
        <v>491</v>
      </c>
      <c r="C705" t="s">
        <v>21</v>
      </c>
      <c r="D705" t="s">
        <v>4052</v>
      </c>
      <c r="E705" t="s">
        <v>4414</v>
      </c>
      <c r="F705" t="s">
        <v>4106</v>
      </c>
      <c r="G705">
        <v>24</v>
      </c>
      <c r="H705" s="2">
        <v>5691.28</v>
      </c>
      <c r="I705" s="2">
        <v>136590.72</v>
      </c>
    </row>
    <row r="706" spans="1:9" x14ac:dyDescent="0.25">
      <c r="A706" t="s">
        <v>490</v>
      </c>
      <c r="B706" t="s">
        <v>491</v>
      </c>
      <c r="C706" t="s">
        <v>21</v>
      </c>
      <c r="D706" t="s">
        <v>4052</v>
      </c>
      <c r="E706" t="s">
        <v>4286</v>
      </c>
      <c r="F706" t="s">
        <v>4106</v>
      </c>
      <c r="G706">
        <v>0.01</v>
      </c>
      <c r="H706" s="2">
        <v>73333.33</v>
      </c>
      <c r="I706" s="2">
        <v>733.33</v>
      </c>
    </row>
    <row r="707" spans="1:9" x14ac:dyDescent="0.25">
      <c r="A707" t="s">
        <v>490</v>
      </c>
      <c r="B707" t="s">
        <v>491</v>
      </c>
      <c r="C707" t="s">
        <v>21</v>
      </c>
      <c r="D707" t="s">
        <v>4052</v>
      </c>
      <c r="E707" t="s">
        <v>4053</v>
      </c>
      <c r="F707" t="s">
        <v>4054</v>
      </c>
      <c r="G707">
        <v>5</v>
      </c>
      <c r="H707" s="2">
        <v>58932.53</v>
      </c>
      <c r="I707" s="2">
        <v>2946.63</v>
      </c>
    </row>
    <row r="708" spans="1:9" x14ac:dyDescent="0.25">
      <c r="A708" t="s">
        <v>493</v>
      </c>
      <c r="B708" t="s">
        <v>494</v>
      </c>
      <c r="C708" t="s">
        <v>21</v>
      </c>
      <c r="D708" t="s">
        <v>4062</v>
      </c>
      <c r="E708" t="s">
        <v>4390</v>
      </c>
      <c r="F708" t="s">
        <v>231</v>
      </c>
      <c r="G708">
        <v>0.12</v>
      </c>
      <c r="H708" s="2">
        <v>4155</v>
      </c>
      <c r="I708" s="2">
        <v>498.6</v>
      </c>
    </row>
    <row r="709" spans="1:9" x14ac:dyDescent="0.25">
      <c r="A709" t="s">
        <v>493</v>
      </c>
      <c r="B709" t="s">
        <v>494</v>
      </c>
      <c r="C709" t="s">
        <v>21</v>
      </c>
      <c r="D709" t="s">
        <v>4062</v>
      </c>
      <c r="E709" t="s">
        <v>4261</v>
      </c>
      <c r="F709" t="s">
        <v>231</v>
      </c>
      <c r="G709">
        <v>6.62</v>
      </c>
      <c r="H709" s="2">
        <v>2982</v>
      </c>
      <c r="I709" s="2">
        <v>19740.84</v>
      </c>
    </row>
    <row r="710" spans="1:9" x14ac:dyDescent="0.25">
      <c r="A710" t="s">
        <v>493</v>
      </c>
      <c r="B710" t="s">
        <v>494</v>
      </c>
      <c r="C710" t="s">
        <v>21</v>
      </c>
      <c r="D710" t="s">
        <v>4062</v>
      </c>
      <c r="E710" t="s">
        <v>4023</v>
      </c>
      <c r="F710" t="s">
        <v>34</v>
      </c>
      <c r="G710">
        <v>0.17</v>
      </c>
      <c r="H710" s="2">
        <v>598074.17</v>
      </c>
      <c r="I710" s="2">
        <v>101672.61</v>
      </c>
    </row>
    <row r="711" spans="1:9" x14ac:dyDescent="0.25">
      <c r="A711" t="s">
        <v>493</v>
      </c>
      <c r="B711" t="s">
        <v>494</v>
      </c>
      <c r="C711" t="s">
        <v>21</v>
      </c>
      <c r="D711" t="s">
        <v>4062</v>
      </c>
      <c r="E711" t="s">
        <v>4442</v>
      </c>
      <c r="F711" t="s">
        <v>21</v>
      </c>
      <c r="G711">
        <v>1.02</v>
      </c>
      <c r="H711" s="2">
        <v>2386</v>
      </c>
      <c r="I711" s="2">
        <v>2433.72</v>
      </c>
    </row>
    <row r="712" spans="1:9" x14ac:dyDescent="0.25">
      <c r="A712" t="s">
        <v>493</v>
      </c>
      <c r="B712" t="s">
        <v>494</v>
      </c>
      <c r="C712" t="s">
        <v>21</v>
      </c>
      <c r="D712" t="s">
        <v>4062</v>
      </c>
      <c r="E712" t="s">
        <v>4400</v>
      </c>
      <c r="F712" t="s">
        <v>42</v>
      </c>
      <c r="G712">
        <v>0.05</v>
      </c>
      <c r="H712" s="2">
        <v>5286.26</v>
      </c>
      <c r="I712" s="2">
        <v>264.31</v>
      </c>
    </row>
    <row r="713" spans="1:9" x14ac:dyDescent="0.25">
      <c r="A713" t="s">
        <v>493</v>
      </c>
      <c r="B713" t="s">
        <v>494</v>
      </c>
      <c r="C713" t="s">
        <v>21</v>
      </c>
      <c r="D713" t="s">
        <v>4062</v>
      </c>
      <c r="E713" t="s">
        <v>4070</v>
      </c>
      <c r="F713" t="s">
        <v>42</v>
      </c>
      <c r="G713">
        <v>0.06</v>
      </c>
      <c r="H713" s="2">
        <v>7381.08</v>
      </c>
      <c r="I713" s="2">
        <v>442.86</v>
      </c>
    </row>
    <row r="714" spans="1:9" x14ac:dyDescent="0.25">
      <c r="A714" t="s">
        <v>493</v>
      </c>
      <c r="B714" t="s">
        <v>494</v>
      </c>
      <c r="C714" t="s">
        <v>21</v>
      </c>
      <c r="D714" t="s">
        <v>4062</v>
      </c>
      <c r="E714" t="s">
        <v>4443</v>
      </c>
      <c r="F714" t="s">
        <v>42</v>
      </c>
      <c r="G714">
        <v>3.87</v>
      </c>
      <c r="H714" s="2">
        <v>4244.21</v>
      </c>
      <c r="I714" s="2">
        <v>16425.09</v>
      </c>
    </row>
    <row r="715" spans="1:9" x14ac:dyDescent="0.25">
      <c r="A715" t="s">
        <v>493</v>
      </c>
      <c r="B715" t="s">
        <v>494</v>
      </c>
      <c r="C715" t="s">
        <v>21</v>
      </c>
      <c r="D715" t="s">
        <v>4062</v>
      </c>
      <c r="E715" t="s">
        <v>4065</v>
      </c>
      <c r="F715" t="s">
        <v>4066</v>
      </c>
      <c r="G715">
        <v>0.02</v>
      </c>
      <c r="H715" s="2">
        <v>3433</v>
      </c>
      <c r="I715" s="2">
        <v>68.66</v>
      </c>
    </row>
    <row r="716" spans="1:9" x14ac:dyDescent="0.25">
      <c r="A716" t="s">
        <v>493</v>
      </c>
      <c r="B716" t="s">
        <v>494</v>
      </c>
      <c r="C716" t="s">
        <v>21</v>
      </c>
      <c r="D716" t="s">
        <v>4049</v>
      </c>
      <c r="E716" t="s">
        <v>4050</v>
      </c>
      <c r="F716" t="s">
        <v>4051</v>
      </c>
      <c r="G716">
        <v>2.3</v>
      </c>
      <c r="H716" s="2">
        <v>9037.33</v>
      </c>
      <c r="I716" s="2">
        <v>20785.86</v>
      </c>
    </row>
    <row r="717" spans="1:9" x14ac:dyDescent="0.25">
      <c r="A717" t="s">
        <v>493</v>
      </c>
      <c r="B717" t="s">
        <v>494</v>
      </c>
      <c r="C717" t="s">
        <v>21</v>
      </c>
      <c r="D717" t="s">
        <v>4049</v>
      </c>
      <c r="E717" t="s">
        <v>4073</v>
      </c>
      <c r="F717" t="s">
        <v>4051</v>
      </c>
      <c r="G717">
        <v>2.3</v>
      </c>
      <c r="H717" s="2">
        <v>15517.89</v>
      </c>
      <c r="I717" s="2">
        <v>35691.15</v>
      </c>
    </row>
    <row r="718" spans="1:9" x14ac:dyDescent="0.25">
      <c r="A718" t="s">
        <v>493</v>
      </c>
      <c r="B718" t="s">
        <v>494</v>
      </c>
      <c r="C718" t="s">
        <v>21</v>
      </c>
      <c r="D718" t="s">
        <v>4052</v>
      </c>
      <c r="E718" t="s">
        <v>4286</v>
      </c>
      <c r="F718" t="s">
        <v>4106</v>
      </c>
      <c r="G718">
        <v>0.01</v>
      </c>
      <c r="H718" s="2">
        <v>73333.33</v>
      </c>
      <c r="I718" s="2">
        <v>733.33</v>
      </c>
    </row>
    <row r="719" spans="1:9" x14ac:dyDescent="0.25">
      <c r="A719" t="s">
        <v>493</v>
      </c>
      <c r="B719" t="s">
        <v>494</v>
      </c>
      <c r="C719" t="s">
        <v>21</v>
      </c>
      <c r="D719" t="s">
        <v>4052</v>
      </c>
      <c r="E719" t="s">
        <v>4105</v>
      </c>
      <c r="F719" t="s">
        <v>4106</v>
      </c>
      <c r="G719">
        <v>2.3</v>
      </c>
      <c r="H719" s="2">
        <v>25125</v>
      </c>
      <c r="I719" s="2">
        <v>57787.5</v>
      </c>
    </row>
    <row r="720" spans="1:9" x14ac:dyDescent="0.25">
      <c r="A720" t="s">
        <v>493</v>
      </c>
      <c r="B720" t="s">
        <v>494</v>
      </c>
      <c r="C720" t="s">
        <v>21</v>
      </c>
      <c r="D720" t="s">
        <v>4052</v>
      </c>
      <c r="E720" t="s">
        <v>4053</v>
      </c>
      <c r="F720" t="s">
        <v>4054</v>
      </c>
      <c r="G720">
        <v>5</v>
      </c>
      <c r="H720" s="2">
        <v>56477.01</v>
      </c>
      <c r="I720" s="2">
        <v>2823.85</v>
      </c>
    </row>
    <row r="721" spans="1:9" x14ac:dyDescent="0.25">
      <c r="A721" t="s">
        <v>496</v>
      </c>
      <c r="B721" t="s">
        <v>497</v>
      </c>
      <c r="C721" t="s">
        <v>21</v>
      </c>
      <c r="D721" t="s">
        <v>4062</v>
      </c>
      <c r="E721" t="s">
        <v>4446</v>
      </c>
      <c r="F721" t="s">
        <v>42</v>
      </c>
      <c r="G721">
        <v>1.03</v>
      </c>
      <c r="H721" s="2">
        <v>31205</v>
      </c>
      <c r="I721" s="2">
        <v>32141.15</v>
      </c>
    </row>
    <row r="722" spans="1:9" x14ac:dyDescent="0.25">
      <c r="A722" t="s">
        <v>496</v>
      </c>
      <c r="B722" t="s">
        <v>497</v>
      </c>
      <c r="C722" t="s">
        <v>21</v>
      </c>
      <c r="D722" t="s">
        <v>4062</v>
      </c>
      <c r="E722" t="s">
        <v>4012</v>
      </c>
      <c r="F722" t="s">
        <v>34</v>
      </c>
      <c r="G722">
        <v>0.06</v>
      </c>
      <c r="H722" s="2">
        <v>475506.98</v>
      </c>
      <c r="I722" s="2">
        <v>28530.42</v>
      </c>
    </row>
    <row r="723" spans="1:9" x14ac:dyDescent="0.25">
      <c r="A723" t="s">
        <v>496</v>
      </c>
      <c r="B723" t="s">
        <v>497</v>
      </c>
      <c r="C723" t="s">
        <v>21</v>
      </c>
      <c r="D723" t="s">
        <v>4062</v>
      </c>
      <c r="E723" t="s">
        <v>4320</v>
      </c>
      <c r="F723" t="s">
        <v>42</v>
      </c>
      <c r="G723">
        <v>0.08</v>
      </c>
      <c r="H723" s="2">
        <v>6222.23</v>
      </c>
      <c r="I723" s="2">
        <v>497.78</v>
      </c>
    </row>
    <row r="724" spans="1:9" x14ac:dyDescent="0.25">
      <c r="A724" t="s">
        <v>496</v>
      </c>
      <c r="B724" t="s">
        <v>497</v>
      </c>
      <c r="C724" t="s">
        <v>21</v>
      </c>
      <c r="D724" t="s">
        <v>4062</v>
      </c>
      <c r="E724" t="s">
        <v>4447</v>
      </c>
      <c r="F724" t="s">
        <v>63</v>
      </c>
      <c r="G724">
        <v>5.5</v>
      </c>
      <c r="H724" s="2">
        <v>3650</v>
      </c>
      <c r="I724" s="2">
        <v>20075</v>
      </c>
    </row>
    <row r="725" spans="1:9" x14ac:dyDescent="0.25">
      <c r="A725" t="s">
        <v>496</v>
      </c>
      <c r="B725" t="s">
        <v>497</v>
      </c>
      <c r="C725" t="s">
        <v>21</v>
      </c>
      <c r="D725" t="s">
        <v>4062</v>
      </c>
      <c r="E725" t="s">
        <v>4418</v>
      </c>
      <c r="F725" t="s">
        <v>63</v>
      </c>
      <c r="G725">
        <v>0.07</v>
      </c>
      <c r="H725" s="2">
        <v>145017.78</v>
      </c>
      <c r="I725" s="2">
        <v>10296.26</v>
      </c>
    </row>
    <row r="726" spans="1:9" x14ac:dyDescent="0.25">
      <c r="A726" t="s">
        <v>496</v>
      </c>
      <c r="B726" t="s">
        <v>497</v>
      </c>
      <c r="C726" t="s">
        <v>21</v>
      </c>
      <c r="D726" t="s">
        <v>4062</v>
      </c>
      <c r="E726" t="s">
        <v>4322</v>
      </c>
      <c r="F726" t="s">
        <v>42</v>
      </c>
      <c r="G726">
        <v>0.08</v>
      </c>
      <c r="H726" s="2">
        <v>5304</v>
      </c>
      <c r="I726" s="2">
        <v>424.32</v>
      </c>
    </row>
    <row r="727" spans="1:9" x14ac:dyDescent="0.25">
      <c r="A727" t="s">
        <v>496</v>
      </c>
      <c r="B727" t="s">
        <v>497</v>
      </c>
      <c r="C727" t="s">
        <v>21</v>
      </c>
      <c r="D727" t="s">
        <v>4049</v>
      </c>
      <c r="E727" t="s">
        <v>4050</v>
      </c>
      <c r="F727" t="s">
        <v>4051</v>
      </c>
      <c r="G727">
        <v>8.34</v>
      </c>
      <c r="H727" s="2">
        <v>9037.33</v>
      </c>
      <c r="I727" s="2">
        <v>75371.33</v>
      </c>
    </row>
    <row r="728" spans="1:9" x14ac:dyDescent="0.25">
      <c r="A728" t="s">
        <v>496</v>
      </c>
      <c r="B728" t="s">
        <v>497</v>
      </c>
      <c r="C728" t="s">
        <v>21</v>
      </c>
      <c r="D728" t="s">
        <v>4049</v>
      </c>
      <c r="E728" t="s">
        <v>4073</v>
      </c>
      <c r="F728" t="s">
        <v>4051</v>
      </c>
      <c r="G728">
        <v>4.17</v>
      </c>
      <c r="H728" s="2">
        <v>15517.89</v>
      </c>
      <c r="I728" s="2">
        <v>64709.6</v>
      </c>
    </row>
    <row r="729" spans="1:9" x14ac:dyDescent="0.25">
      <c r="A729" t="s">
        <v>496</v>
      </c>
      <c r="B729" t="s">
        <v>497</v>
      </c>
      <c r="C729" t="s">
        <v>21</v>
      </c>
      <c r="D729" t="s">
        <v>4052</v>
      </c>
      <c r="E729" t="s">
        <v>4053</v>
      </c>
      <c r="F729" t="s">
        <v>4054</v>
      </c>
      <c r="G729">
        <v>3</v>
      </c>
      <c r="H729" s="2">
        <v>140080.93</v>
      </c>
      <c r="I729" s="2">
        <v>4202.43</v>
      </c>
    </row>
    <row r="730" spans="1:9" x14ac:dyDescent="0.25">
      <c r="A730" t="s">
        <v>499</v>
      </c>
      <c r="B730" t="s">
        <v>500</v>
      </c>
      <c r="C730" t="s">
        <v>21</v>
      </c>
      <c r="D730" t="s">
        <v>4062</v>
      </c>
      <c r="E730" t="s">
        <v>4446</v>
      </c>
      <c r="F730" t="s">
        <v>42</v>
      </c>
      <c r="G730">
        <v>1.03</v>
      </c>
      <c r="H730" s="2">
        <v>31205</v>
      </c>
      <c r="I730" s="2">
        <v>32141.15</v>
      </c>
    </row>
    <row r="731" spans="1:9" x14ac:dyDescent="0.25">
      <c r="A731" t="s">
        <v>499</v>
      </c>
      <c r="B731" t="s">
        <v>500</v>
      </c>
      <c r="C731" t="s">
        <v>21</v>
      </c>
      <c r="D731" t="s">
        <v>4062</v>
      </c>
      <c r="E731" t="s">
        <v>4320</v>
      </c>
      <c r="F731" t="s">
        <v>42</v>
      </c>
      <c r="G731">
        <v>0.08</v>
      </c>
      <c r="H731" s="2">
        <v>6222.23</v>
      </c>
      <c r="I731" s="2">
        <v>497.78</v>
      </c>
    </row>
    <row r="732" spans="1:9" x14ac:dyDescent="0.25">
      <c r="A732" t="s">
        <v>499</v>
      </c>
      <c r="B732" t="s">
        <v>500</v>
      </c>
      <c r="C732" t="s">
        <v>21</v>
      </c>
      <c r="D732" t="s">
        <v>4062</v>
      </c>
      <c r="E732" t="s">
        <v>4447</v>
      </c>
      <c r="F732" t="s">
        <v>63</v>
      </c>
      <c r="G732">
        <v>5.5</v>
      </c>
      <c r="H732" s="2">
        <v>3650</v>
      </c>
      <c r="I732" s="2">
        <v>20075</v>
      </c>
    </row>
    <row r="733" spans="1:9" x14ac:dyDescent="0.25">
      <c r="A733" t="s">
        <v>499</v>
      </c>
      <c r="B733" t="s">
        <v>500</v>
      </c>
      <c r="C733" t="s">
        <v>21</v>
      </c>
      <c r="D733" t="s">
        <v>4062</v>
      </c>
      <c r="E733" t="s">
        <v>3998</v>
      </c>
      <c r="F733" t="s">
        <v>34</v>
      </c>
      <c r="G733">
        <v>0.06</v>
      </c>
      <c r="H733" s="2">
        <v>520986.7</v>
      </c>
      <c r="I733" s="2">
        <v>31259.2</v>
      </c>
    </row>
    <row r="734" spans="1:9" x14ac:dyDescent="0.25">
      <c r="A734" t="s">
        <v>499</v>
      </c>
      <c r="B734" t="s">
        <v>500</v>
      </c>
      <c r="C734" t="s">
        <v>21</v>
      </c>
      <c r="D734" t="s">
        <v>4062</v>
      </c>
      <c r="E734" t="s">
        <v>4418</v>
      </c>
      <c r="F734" t="s">
        <v>63</v>
      </c>
      <c r="G734">
        <v>0.07</v>
      </c>
      <c r="H734" s="2">
        <v>145017.78</v>
      </c>
      <c r="I734" s="2">
        <v>10151.24</v>
      </c>
    </row>
    <row r="735" spans="1:9" x14ac:dyDescent="0.25">
      <c r="A735" t="s">
        <v>499</v>
      </c>
      <c r="B735" t="s">
        <v>500</v>
      </c>
      <c r="C735" t="s">
        <v>21</v>
      </c>
      <c r="D735" t="s">
        <v>4062</v>
      </c>
      <c r="E735" t="s">
        <v>4322</v>
      </c>
      <c r="F735" t="s">
        <v>42</v>
      </c>
      <c r="G735">
        <v>0.08</v>
      </c>
      <c r="H735" s="2">
        <v>5304</v>
      </c>
      <c r="I735" s="2">
        <v>424.32</v>
      </c>
    </row>
    <row r="736" spans="1:9" x14ac:dyDescent="0.25">
      <c r="A736" t="s">
        <v>499</v>
      </c>
      <c r="B736" t="s">
        <v>500</v>
      </c>
      <c r="C736" t="s">
        <v>21</v>
      </c>
      <c r="D736" t="s">
        <v>4049</v>
      </c>
      <c r="E736" t="s">
        <v>4050</v>
      </c>
      <c r="F736" t="s">
        <v>4051</v>
      </c>
      <c r="G736">
        <v>8.34</v>
      </c>
      <c r="H736" s="2">
        <v>9037.33</v>
      </c>
      <c r="I736" s="2">
        <v>75371.33</v>
      </c>
    </row>
    <row r="737" spans="1:9" x14ac:dyDescent="0.25">
      <c r="A737" t="s">
        <v>499</v>
      </c>
      <c r="B737" t="s">
        <v>500</v>
      </c>
      <c r="C737" t="s">
        <v>21</v>
      </c>
      <c r="D737" t="s">
        <v>4049</v>
      </c>
      <c r="E737" t="s">
        <v>4073</v>
      </c>
      <c r="F737" t="s">
        <v>4051</v>
      </c>
      <c r="G737">
        <v>4.17</v>
      </c>
      <c r="H737" s="2">
        <v>15517.89</v>
      </c>
      <c r="I737" s="2">
        <v>64709.6</v>
      </c>
    </row>
    <row r="738" spans="1:9" x14ac:dyDescent="0.25">
      <c r="A738" t="s">
        <v>499</v>
      </c>
      <c r="B738" t="s">
        <v>500</v>
      </c>
      <c r="C738" t="s">
        <v>21</v>
      </c>
      <c r="D738" t="s">
        <v>4052</v>
      </c>
      <c r="E738" t="s">
        <v>4053</v>
      </c>
      <c r="F738" t="s">
        <v>4054</v>
      </c>
      <c r="G738">
        <v>3</v>
      </c>
      <c r="H738" s="2">
        <v>140080.93</v>
      </c>
      <c r="I738" s="2">
        <v>4202.43</v>
      </c>
    </row>
    <row r="739" spans="1:9" x14ac:dyDescent="0.25">
      <c r="A739" t="s">
        <v>502</v>
      </c>
      <c r="B739" t="s">
        <v>503</v>
      </c>
      <c r="C739" t="s">
        <v>21</v>
      </c>
      <c r="D739" t="s">
        <v>4062</v>
      </c>
      <c r="E739" t="s">
        <v>4012</v>
      </c>
      <c r="F739" t="s">
        <v>34</v>
      </c>
      <c r="G739">
        <v>0.11</v>
      </c>
      <c r="H739" s="2">
        <v>475506.98</v>
      </c>
      <c r="I739" s="2">
        <v>52305.77</v>
      </c>
    </row>
    <row r="740" spans="1:9" x14ac:dyDescent="0.25">
      <c r="A740" t="s">
        <v>502</v>
      </c>
      <c r="B740" t="s">
        <v>503</v>
      </c>
      <c r="C740" t="s">
        <v>21</v>
      </c>
      <c r="D740" t="s">
        <v>4049</v>
      </c>
      <c r="E740" t="s">
        <v>4050</v>
      </c>
      <c r="F740" t="s">
        <v>4051</v>
      </c>
      <c r="G740">
        <v>2.2</v>
      </c>
      <c r="H740" s="2">
        <v>9037.33</v>
      </c>
      <c r="I740" s="2">
        <v>19882.13</v>
      </c>
    </row>
    <row r="741" spans="1:9" x14ac:dyDescent="0.25">
      <c r="A741" t="s">
        <v>502</v>
      </c>
      <c r="B741" t="s">
        <v>503</v>
      </c>
      <c r="C741" t="s">
        <v>21</v>
      </c>
      <c r="D741" t="s">
        <v>4049</v>
      </c>
      <c r="E741" t="s">
        <v>4073</v>
      </c>
      <c r="F741" t="s">
        <v>4051</v>
      </c>
      <c r="G741">
        <v>2.2</v>
      </c>
      <c r="H741" s="2">
        <v>15517.89</v>
      </c>
      <c r="I741" s="2">
        <v>34139.36</v>
      </c>
    </row>
    <row r="742" spans="1:9" x14ac:dyDescent="0.25">
      <c r="A742" t="s">
        <v>502</v>
      </c>
      <c r="B742" t="s">
        <v>503</v>
      </c>
      <c r="C742" t="s">
        <v>21</v>
      </c>
      <c r="D742" t="s">
        <v>4052</v>
      </c>
      <c r="E742" t="s">
        <v>4414</v>
      </c>
      <c r="F742" t="s">
        <v>4106</v>
      </c>
      <c r="G742">
        <v>24</v>
      </c>
      <c r="H742" s="2">
        <v>5691.28</v>
      </c>
      <c r="I742" s="2">
        <v>136590.72</v>
      </c>
    </row>
    <row r="743" spans="1:9" x14ac:dyDescent="0.25">
      <c r="A743" t="s">
        <v>502</v>
      </c>
      <c r="B743" t="s">
        <v>503</v>
      </c>
      <c r="C743" t="s">
        <v>21</v>
      </c>
      <c r="D743" t="s">
        <v>4052</v>
      </c>
      <c r="E743" t="s">
        <v>4286</v>
      </c>
      <c r="F743" t="s">
        <v>4106</v>
      </c>
      <c r="G743">
        <v>0.1</v>
      </c>
      <c r="H743" s="2">
        <v>73333.33</v>
      </c>
      <c r="I743" s="2">
        <v>7333.33</v>
      </c>
    </row>
    <row r="744" spans="1:9" x14ac:dyDescent="0.25">
      <c r="A744" t="s">
        <v>502</v>
      </c>
      <c r="B744" t="s">
        <v>503</v>
      </c>
      <c r="C744" t="s">
        <v>21</v>
      </c>
      <c r="D744" t="s">
        <v>4052</v>
      </c>
      <c r="E744" t="s">
        <v>4053</v>
      </c>
      <c r="F744" t="s">
        <v>4054</v>
      </c>
      <c r="G744">
        <v>5</v>
      </c>
      <c r="H744" s="2">
        <v>54021.49</v>
      </c>
      <c r="I744" s="2">
        <v>2701.07</v>
      </c>
    </row>
    <row r="745" spans="1:9" x14ac:dyDescent="0.25">
      <c r="A745" t="s">
        <v>505</v>
      </c>
      <c r="B745" t="s">
        <v>506</v>
      </c>
      <c r="C745" t="s">
        <v>21</v>
      </c>
      <c r="D745" t="s">
        <v>4062</v>
      </c>
      <c r="E745" t="s">
        <v>4012</v>
      </c>
      <c r="F745" t="s">
        <v>34</v>
      </c>
      <c r="G745">
        <v>0.13</v>
      </c>
      <c r="H745" s="2">
        <v>475506.98</v>
      </c>
      <c r="I745" s="2">
        <v>61815.91</v>
      </c>
    </row>
    <row r="746" spans="1:9" x14ac:dyDescent="0.25">
      <c r="A746" t="s">
        <v>505</v>
      </c>
      <c r="B746" t="s">
        <v>506</v>
      </c>
      <c r="C746" t="s">
        <v>21</v>
      </c>
      <c r="D746" t="s">
        <v>4049</v>
      </c>
      <c r="E746" t="s">
        <v>4050</v>
      </c>
      <c r="F746" t="s">
        <v>4051</v>
      </c>
      <c r="G746">
        <v>2</v>
      </c>
      <c r="H746" s="2">
        <v>9037.33</v>
      </c>
      <c r="I746" s="2">
        <v>18074.66</v>
      </c>
    </row>
    <row r="747" spans="1:9" x14ac:dyDescent="0.25">
      <c r="A747" t="s">
        <v>505</v>
      </c>
      <c r="B747" t="s">
        <v>506</v>
      </c>
      <c r="C747" t="s">
        <v>21</v>
      </c>
      <c r="D747" t="s">
        <v>4049</v>
      </c>
      <c r="E747" t="s">
        <v>4073</v>
      </c>
      <c r="F747" t="s">
        <v>4051</v>
      </c>
      <c r="G747">
        <v>2</v>
      </c>
      <c r="H747" s="2">
        <v>15517.89</v>
      </c>
      <c r="I747" s="2">
        <v>31035.78</v>
      </c>
    </row>
    <row r="748" spans="1:9" x14ac:dyDescent="0.25">
      <c r="A748" t="s">
        <v>505</v>
      </c>
      <c r="B748" t="s">
        <v>506</v>
      </c>
      <c r="C748" t="s">
        <v>21</v>
      </c>
      <c r="D748" t="s">
        <v>4052</v>
      </c>
      <c r="E748" t="s">
        <v>4414</v>
      </c>
      <c r="F748" t="s">
        <v>4106</v>
      </c>
      <c r="G748">
        <v>24</v>
      </c>
      <c r="H748" s="2">
        <v>5691.28</v>
      </c>
      <c r="I748" s="2">
        <v>136590.72</v>
      </c>
    </row>
    <row r="749" spans="1:9" x14ac:dyDescent="0.25">
      <c r="A749" t="s">
        <v>505</v>
      </c>
      <c r="B749" t="s">
        <v>506</v>
      </c>
      <c r="C749" t="s">
        <v>21</v>
      </c>
      <c r="D749" t="s">
        <v>4052</v>
      </c>
      <c r="E749" t="s">
        <v>4286</v>
      </c>
      <c r="F749" t="s">
        <v>4106</v>
      </c>
      <c r="G749">
        <v>0.1</v>
      </c>
      <c r="H749" s="2">
        <v>73333.33</v>
      </c>
      <c r="I749" s="2">
        <v>7333.33</v>
      </c>
    </row>
    <row r="750" spans="1:9" x14ac:dyDescent="0.25">
      <c r="A750" t="s">
        <v>505</v>
      </c>
      <c r="B750" t="s">
        <v>506</v>
      </c>
      <c r="C750" t="s">
        <v>21</v>
      </c>
      <c r="D750" t="s">
        <v>4052</v>
      </c>
      <c r="E750" t="s">
        <v>4053</v>
      </c>
      <c r="F750" t="s">
        <v>4054</v>
      </c>
      <c r="G750">
        <v>5</v>
      </c>
      <c r="H750" s="2">
        <v>49110.44</v>
      </c>
      <c r="I750" s="2">
        <v>2455.52</v>
      </c>
    </row>
    <row r="751" spans="1:9" x14ac:dyDescent="0.25">
      <c r="A751" t="s">
        <v>508</v>
      </c>
      <c r="B751" t="s">
        <v>509</v>
      </c>
      <c r="C751" t="s">
        <v>21</v>
      </c>
      <c r="D751" t="s">
        <v>4062</v>
      </c>
      <c r="E751" t="s">
        <v>4012</v>
      </c>
      <c r="F751" t="s">
        <v>34</v>
      </c>
      <c r="G751">
        <v>0.16</v>
      </c>
      <c r="H751" s="2">
        <v>475506.98</v>
      </c>
      <c r="I751" s="2">
        <v>76081.12</v>
      </c>
    </row>
    <row r="752" spans="1:9" x14ac:dyDescent="0.25">
      <c r="A752" t="s">
        <v>508</v>
      </c>
      <c r="B752" t="s">
        <v>509</v>
      </c>
      <c r="C752" t="s">
        <v>21</v>
      </c>
      <c r="D752" t="s">
        <v>4049</v>
      </c>
      <c r="E752" t="s">
        <v>4050</v>
      </c>
      <c r="F752" t="s">
        <v>4051</v>
      </c>
      <c r="G752">
        <v>3</v>
      </c>
      <c r="H752" s="2">
        <v>9037.33</v>
      </c>
      <c r="I752" s="2">
        <v>27111.99</v>
      </c>
    </row>
    <row r="753" spans="1:9" x14ac:dyDescent="0.25">
      <c r="A753" t="s">
        <v>508</v>
      </c>
      <c r="B753" t="s">
        <v>509</v>
      </c>
      <c r="C753" t="s">
        <v>21</v>
      </c>
      <c r="D753" t="s">
        <v>4049</v>
      </c>
      <c r="E753" t="s">
        <v>4073</v>
      </c>
      <c r="F753" t="s">
        <v>4051</v>
      </c>
      <c r="G753">
        <v>3</v>
      </c>
      <c r="H753" s="2">
        <v>15517.89</v>
      </c>
      <c r="I753" s="2">
        <v>46553.67</v>
      </c>
    </row>
    <row r="754" spans="1:9" x14ac:dyDescent="0.25">
      <c r="A754" t="s">
        <v>508</v>
      </c>
      <c r="B754" t="s">
        <v>509</v>
      </c>
      <c r="C754" t="s">
        <v>21</v>
      </c>
      <c r="D754" t="s">
        <v>4052</v>
      </c>
      <c r="E754" t="s">
        <v>4414</v>
      </c>
      <c r="F754" t="s">
        <v>4106</v>
      </c>
      <c r="G754">
        <v>24</v>
      </c>
      <c r="H754" s="2">
        <v>5691.28</v>
      </c>
      <c r="I754" s="2">
        <v>136590.72</v>
      </c>
    </row>
    <row r="755" spans="1:9" x14ac:dyDescent="0.25">
      <c r="A755" t="s">
        <v>508</v>
      </c>
      <c r="B755" t="s">
        <v>509</v>
      </c>
      <c r="C755" t="s">
        <v>21</v>
      </c>
      <c r="D755" t="s">
        <v>4052</v>
      </c>
      <c r="E755" t="s">
        <v>4286</v>
      </c>
      <c r="F755" t="s">
        <v>4106</v>
      </c>
      <c r="G755">
        <v>0.1</v>
      </c>
      <c r="H755" s="2">
        <v>73333.33</v>
      </c>
      <c r="I755" s="2">
        <v>7333.33</v>
      </c>
    </row>
    <row r="756" spans="1:9" x14ac:dyDescent="0.25">
      <c r="A756" t="s">
        <v>508</v>
      </c>
      <c r="B756" t="s">
        <v>509</v>
      </c>
      <c r="C756" t="s">
        <v>21</v>
      </c>
      <c r="D756" t="s">
        <v>4052</v>
      </c>
      <c r="E756" t="s">
        <v>4053</v>
      </c>
      <c r="F756" t="s">
        <v>4054</v>
      </c>
      <c r="G756">
        <v>5</v>
      </c>
      <c r="H756" s="2">
        <v>73665.66</v>
      </c>
      <c r="I756" s="2">
        <v>3683.28</v>
      </c>
    </row>
    <row r="757" spans="1:9" x14ac:dyDescent="0.25">
      <c r="A757" t="s">
        <v>511</v>
      </c>
      <c r="B757" t="s">
        <v>512</v>
      </c>
      <c r="C757" t="s">
        <v>231</v>
      </c>
      <c r="D757" t="s">
        <v>4062</v>
      </c>
      <c r="E757" t="s">
        <v>4390</v>
      </c>
      <c r="F757" t="s">
        <v>231</v>
      </c>
      <c r="G757">
        <v>0.03</v>
      </c>
      <c r="H757" s="2">
        <v>4155</v>
      </c>
      <c r="I757" s="2">
        <v>128.81</v>
      </c>
    </row>
    <row r="758" spans="1:9" x14ac:dyDescent="0.25">
      <c r="A758" t="s">
        <v>511</v>
      </c>
      <c r="B758" t="s">
        <v>512</v>
      </c>
      <c r="C758" t="s">
        <v>231</v>
      </c>
      <c r="D758" t="s">
        <v>4062</v>
      </c>
      <c r="E758" t="s">
        <v>4458</v>
      </c>
      <c r="F758" t="s">
        <v>231</v>
      </c>
      <c r="G758">
        <v>1.05</v>
      </c>
      <c r="H758" s="2">
        <v>3628</v>
      </c>
      <c r="I758" s="2">
        <v>3809.4</v>
      </c>
    </row>
    <row r="759" spans="1:9" x14ac:dyDescent="0.25">
      <c r="A759" t="s">
        <v>511</v>
      </c>
      <c r="B759" t="s">
        <v>512</v>
      </c>
      <c r="C759" t="s">
        <v>231</v>
      </c>
      <c r="D759" t="s">
        <v>4049</v>
      </c>
      <c r="E759" t="s">
        <v>4050</v>
      </c>
      <c r="F759" t="s">
        <v>4051</v>
      </c>
      <c r="G759">
        <v>0.03</v>
      </c>
      <c r="H759" s="2">
        <v>9037.33</v>
      </c>
      <c r="I759" s="2">
        <v>307.27</v>
      </c>
    </row>
    <row r="760" spans="1:9" x14ac:dyDescent="0.25">
      <c r="A760" t="s">
        <v>511</v>
      </c>
      <c r="B760" t="s">
        <v>512</v>
      </c>
      <c r="C760" t="s">
        <v>231</v>
      </c>
      <c r="D760" t="s">
        <v>4049</v>
      </c>
      <c r="E760" t="s">
        <v>4073</v>
      </c>
      <c r="F760" t="s">
        <v>4051</v>
      </c>
      <c r="G760">
        <v>0.03</v>
      </c>
      <c r="H760" s="2">
        <v>15517.89</v>
      </c>
      <c r="I760" s="2">
        <v>527.61</v>
      </c>
    </row>
    <row r="761" spans="1:9" x14ac:dyDescent="0.25">
      <c r="A761" t="s">
        <v>511</v>
      </c>
      <c r="B761" t="s">
        <v>512</v>
      </c>
      <c r="C761" t="s">
        <v>231</v>
      </c>
      <c r="D761" t="s">
        <v>4052</v>
      </c>
      <c r="E761" t="s">
        <v>4053</v>
      </c>
      <c r="F761" t="s">
        <v>4054</v>
      </c>
      <c r="G761">
        <v>5</v>
      </c>
      <c r="H761" s="2">
        <v>834.88</v>
      </c>
      <c r="I761" s="2">
        <v>41.74</v>
      </c>
    </row>
    <row r="762" spans="1:9" x14ac:dyDescent="0.25">
      <c r="A762" t="s">
        <v>515</v>
      </c>
      <c r="B762" t="s">
        <v>516</v>
      </c>
      <c r="C762" t="s">
        <v>34</v>
      </c>
      <c r="D762" t="s">
        <v>4062</v>
      </c>
      <c r="E762" t="s">
        <v>4390</v>
      </c>
      <c r="F762" t="s">
        <v>231</v>
      </c>
      <c r="G762">
        <v>2</v>
      </c>
      <c r="H762" s="2">
        <v>4155</v>
      </c>
      <c r="I762" s="2">
        <v>8310</v>
      </c>
    </row>
    <row r="763" spans="1:9" x14ac:dyDescent="0.25">
      <c r="A763" t="s">
        <v>515</v>
      </c>
      <c r="B763" t="s">
        <v>516</v>
      </c>
      <c r="C763" t="s">
        <v>34</v>
      </c>
      <c r="D763" t="s">
        <v>4062</v>
      </c>
      <c r="E763" t="s">
        <v>4012</v>
      </c>
      <c r="F763" t="s">
        <v>34</v>
      </c>
      <c r="G763">
        <v>1.03</v>
      </c>
      <c r="H763" s="2">
        <v>475506.98</v>
      </c>
      <c r="I763" s="2">
        <v>489772.19</v>
      </c>
    </row>
    <row r="764" spans="1:9" x14ac:dyDescent="0.25">
      <c r="A764" t="s">
        <v>515</v>
      </c>
      <c r="B764" t="s">
        <v>516</v>
      </c>
      <c r="C764" t="s">
        <v>34</v>
      </c>
      <c r="D764" t="s">
        <v>4062</v>
      </c>
      <c r="E764" t="s">
        <v>4400</v>
      </c>
      <c r="F764" t="s">
        <v>42</v>
      </c>
      <c r="G764">
        <v>4.53</v>
      </c>
      <c r="H764" s="2">
        <v>5286.26</v>
      </c>
      <c r="I764" s="2">
        <v>23946.76</v>
      </c>
    </row>
    <row r="765" spans="1:9" x14ac:dyDescent="0.25">
      <c r="A765" t="s">
        <v>515</v>
      </c>
      <c r="B765" t="s">
        <v>516</v>
      </c>
      <c r="C765" t="s">
        <v>34</v>
      </c>
      <c r="D765" t="s">
        <v>4062</v>
      </c>
      <c r="E765" t="s">
        <v>4070</v>
      </c>
      <c r="F765" t="s">
        <v>42</v>
      </c>
      <c r="G765">
        <v>7</v>
      </c>
      <c r="H765" s="2">
        <v>7381.08</v>
      </c>
      <c r="I765" s="2">
        <v>51667.56</v>
      </c>
    </row>
    <row r="766" spans="1:9" x14ac:dyDescent="0.25">
      <c r="A766" t="s">
        <v>515</v>
      </c>
      <c r="B766" t="s">
        <v>516</v>
      </c>
      <c r="C766" t="s">
        <v>34</v>
      </c>
      <c r="D766" t="s">
        <v>4062</v>
      </c>
      <c r="E766" t="s">
        <v>4072</v>
      </c>
      <c r="F766" t="s">
        <v>4066</v>
      </c>
      <c r="G766">
        <v>3.8</v>
      </c>
      <c r="H766" s="2">
        <v>3150</v>
      </c>
      <c r="I766" s="2">
        <v>11970</v>
      </c>
    </row>
    <row r="767" spans="1:9" x14ac:dyDescent="0.25">
      <c r="A767" t="s">
        <v>515</v>
      </c>
      <c r="B767" t="s">
        <v>516</v>
      </c>
      <c r="C767" t="s">
        <v>34</v>
      </c>
      <c r="D767" t="s">
        <v>4049</v>
      </c>
      <c r="E767" t="s">
        <v>4050</v>
      </c>
      <c r="F767" t="s">
        <v>4051</v>
      </c>
      <c r="G767">
        <v>18.5</v>
      </c>
      <c r="H767" s="2">
        <v>9037.33</v>
      </c>
      <c r="I767" s="2">
        <v>167190.61</v>
      </c>
    </row>
    <row r="768" spans="1:9" x14ac:dyDescent="0.25">
      <c r="A768" t="s">
        <v>515</v>
      </c>
      <c r="B768" t="s">
        <v>516</v>
      </c>
      <c r="C768" t="s">
        <v>34</v>
      </c>
      <c r="D768" t="s">
        <v>4049</v>
      </c>
      <c r="E768" t="s">
        <v>4073</v>
      </c>
      <c r="F768" t="s">
        <v>4051</v>
      </c>
      <c r="G768">
        <v>18.5</v>
      </c>
      <c r="H768" s="2">
        <v>15517.89</v>
      </c>
      <c r="I768" s="2">
        <v>287080.96</v>
      </c>
    </row>
    <row r="769" spans="1:9" x14ac:dyDescent="0.25">
      <c r="A769" t="s">
        <v>515</v>
      </c>
      <c r="B769" t="s">
        <v>516</v>
      </c>
      <c r="C769" t="s">
        <v>34</v>
      </c>
      <c r="D769" t="s">
        <v>4052</v>
      </c>
      <c r="E769" t="s">
        <v>4286</v>
      </c>
      <c r="F769" t="s">
        <v>4106</v>
      </c>
      <c r="G769">
        <v>0.04</v>
      </c>
      <c r="H769" s="2">
        <v>73333.33</v>
      </c>
      <c r="I769" s="2">
        <v>2933.33</v>
      </c>
    </row>
    <row r="770" spans="1:9" x14ac:dyDescent="0.25">
      <c r="A770" t="s">
        <v>515</v>
      </c>
      <c r="B770" t="s">
        <v>516</v>
      </c>
      <c r="C770" t="s">
        <v>34</v>
      </c>
      <c r="D770" t="s">
        <v>4052</v>
      </c>
      <c r="E770" t="s">
        <v>4105</v>
      </c>
      <c r="F770" t="s">
        <v>4106</v>
      </c>
      <c r="G770">
        <v>4</v>
      </c>
      <c r="H770" s="2">
        <v>25125</v>
      </c>
      <c r="I770" s="2">
        <v>100500</v>
      </c>
    </row>
    <row r="771" spans="1:9" x14ac:dyDescent="0.25">
      <c r="A771" t="s">
        <v>515</v>
      </c>
      <c r="B771" t="s">
        <v>516</v>
      </c>
      <c r="C771" t="s">
        <v>34</v>
      </c>
      <c r="D771" t="s">
        <v>4052</v>
      </c>
      <c r="E771" t="s">
        <v>4053</v>
      </c>
      <c r="F771" t="s">
        <v>4054</v>
      </c>
      <c r="G771">
        <v>5</v>
      </c>
      <c r="H771" s="2">
        <v>454271.57</v>
      </c>
      <c r="I771" s="2">
        <v>22713.58</v>
      </c>
    </row>
    <row r="772" spans="1:9" x14ac:dyDescent="0.25">
      <c r="A772" t="s">
        <v>518</v>
      </c>
      <c r="B772" t="s">
        <v>519</v>
      </c>
      <c r="C772" t="s">
        <v>34</v>
      </c>
      <c r="D772" t="s">
        <v>4062</v>
      </c>
      <c r="E772" t="s">
        <v>4390</v>
      </c>
      <c r="F772" t="s">
        <v>231</v>
      </c>
      <c r="G772">
        <v>2</v>
      </c>
      <c r="H772" s="2">
        <v>4155</v>
      </c>
      <c r="I772" s="2">
        <v>8310</v>
      </c>
    </row>
    <row r="773" spans="1:9" x14ac:dyDescent="0.25">
      <c r="A773" t="s">
        <v>518</v>
      </c>
      <c r="B773" t="s">
        <v>519</v>
      </c>
      <c r="C773" t="s">
        <v>34</v>
      </c>
      <c r="D773" t="s">
        <v>4062</v>
      </c>
      <c r="E773" t="s">
        <v>4012</v>
      </c>
      <c r="F773" t="s">
        <v>34</v>
      </c>
      <c r="G773">
        <v>1.03</v>
      </c>
      <c r="H773" s="2">
        <v>475506.98</v>
      </c>
      <c r="I773" s="2">
        <v>489772.19</v>
      </c>
    </row>
    <row r="774" spans="1:9" x14ac:dyDescent="0.25">
      <c r="A774" t="s">
        <v>518</v>
      </c>
      <c r="B774" t="s">
        <v>519</v>
      </c>
      <c r="C774" t="s">
        <v>34</v>
      </c>
      <c r="D774" t="s">
        <v>4062</v>
      </c>
      <c r="E774" t="s">
        <v>4400</v>
      </c>
      <c r="F774" t="s">
        <v>42</v>
      </c>
      <c r="G774">
        <v>3.11</v>
      </c>
      <c r="H774" s="2">
        <v>5286.26</v>
      </c>
      <c r="I774" s="2">
        <v>16440.27</v>
      </c>
    </row>
    <row r="775" spans="1:9" x14ac:dyDescent="0.25">
      <c r="A775" t="s">
        <v>518</v>
      </c>
      <c r="B775" t="s">
        <v>519</v>
      </c>
      <c r="C775" t="s">
        <v>34</v>
      </c>
      <c r="D775" t="s">
        <v>4062</v>
      </c>
      <c r="E775" t="s">
        <v>4070</v>
      </c>
      <c r="F775" t="s">
        <v>42</v>
      </c>
      <c r="G775">
        <v>3.52</v>
      </c>
      <c r="H775" s="2">
        <v>7381.08</v>
      </c>
      <c r="I775" s="2">
        <v>25981.4</v>
      </c>
    </row>
    <row r="776" spans="1:9" x14ac:dyDescent="0.25">
      <c r="A776" t="s">
        <v>518</v>
      </c>
      <c r="B776" t="s">
        <v>519</v>
      </c>
      <c r="C776" t="s">
        <v>34</v>
      </c>
      <c r="D776" t="s">
        <v>4062</v>
      </c>
      <c r="E776" t="s">
        <v>4072</v>
      </c>
      <c r="F776" t="s">
        <v>4066</v>
      </c>
      <c r="G776">
        <v>1.57</v>
      </c>
      <c r="H776" s="2">
        <v>3150</v>
      </c>
      <c r="I776" s="2">
        <v>4945.5</v>
      </c>
    </row>
    <row r="777" spans="1:9" x14ac:dyDescent="0.25">
      <c r="A777" t="s">
        <v>518</v>
      </c>
      <c r="B777" t="s">
        <v>519</v>
      </c>
      <c r="C777" t="s">
        <v>34</v>
      </c>
      <c r="D777" t="s">
        <v>4049</v>
      </c>
      <c r="E777" t="s">
        <v>4050</v>
      </c>
      <c r="F777" t="s">
        <v>4051</v>
      </c>
      <c r="G777">
        <v>12</v>
      </c>
      <c r="H777" s="2">
        <v>9037.33</v>
      </c>
      <c r="I777" s="2">
        <v>108447.96</v>
      </c>
    </row>
    <row r="778" spans="1:9" x14ac:dyDescent="0.25">
      <c r="A778" t="s">
        <v>518</v>
      </c>
      <c r="B778" t="s">
        <v>519</v>
      </c>
      <c r="C778" t="s">
        <v>34</v>
      </c>
      <c r="D778" t="s">
        <v>4049</v>
      </c>
      <c r="E778" t="s">
        <v>4073</v>
      </c>
      <c r="F778" t="s">
        <v>4051</v>
      </c>
      <c r="G778">
        <v>12</v>
      </c>
      <c r="H778" s="2">
        <v>15517.89</v>
      </c>
      <c r="I778" s="2">
        <v>186214.68</v>
      </c>
    </row>
    <row r="779" spans="1:9" x14ac:dyDescent="0.25">
      <c r="A779" t="s">
        <v>518</v>
      </c>
      <c r="B779" t="s">
        <v>519</v>
      </c>
      <c r="C779" t="s">
        <v>34</v>
      </c>
      <c r="D779" t="s">
        <v>4052</v>
      </c>
      <c r="E779" t="s">
        <v>4286</v>
      </c>
      <c r="F779" t="s">
        <v>4106</v>
      </c>
      <c r="G779">
        <v>0.04</v>
      </c>
      <c r="H779" s="2">
        <v>73333.33</v>
      </c>
      <c r="I779" s="2">
        <v>2933.33</v>
      </c>
    </row>
    <row r="780" spans="1:9" x14ac:dyDescent="0.25">
      <c r="A780" t="s">
        <v>518</v>
      </c>
      <c r="B780" t="s">
        <v>519</v>
      </c>
      <c r="C780" t="s">
        <v>34</v>
      </c>
      <c r="D780" t="s">
        <v>4052</v>
      </c>
      <c r="E780" t="s">
        <v>4053</v>
      </c>
      <c r="F780" t="s">
        <v>4054</v>
      </c>
      <c r="G780">
        <v>5</v>
      </c>
      <c r="H780" s="2">
        <v>294662.64</v>
      </c>
      <c r="I780" s="2">
        <v>14733.13</v>
      </c>
    </row>
    <row r="781" spans="1:9" x14ac:dyDescent="0.25">
      <c r="A781" t="s">
        <v>521</v>
      </c>
      <c r="B781" t="s">
        <v>522</v>
      </c>
      <c r="C781" t="s">
        <v>34</v>
      </c>
      <c r="D781" t="s">
        <v>4062</v>
      </c>
      <c r="E781" t="s">
        <v>4012</v>
      </c>
      <c r="F781" t="s">
        <v>34</v>
      </c>
      <c r="G781">
        <v>1.1</v>
      </c>
      <c r="H781" s="2">
        <v>475506.98</v>
      </c>
      <c r="I781" s="2">
        <v>523057.68</v>
      </c>
    </row>
    <row r="782" spans="1:9" x14ac:dyDescent="0.25">
      <c r="A782" t="s">
        <v>521</v>
      </c>
      <c r="B782" t="s">
        <v>522</v>
      </c>
      <c r="C782" t="s">
        <v>34</v>
      </c>
      <c r="D782" t="s">
        <v>4049</v>
      </c>
      <c r="E782" t="s">
        <v>4050</v>
      </c>
      <c r="F782" t="s">
        <v>4051</v>
      </c>
      <c r="G782">
        <v>10.29</v>
      </c>
      <c r="H782" s="2">
        <v>9037.33</v>
      </c>
      <c r="I782" s="2">
        <v>92994.13</v>
      </c>
    </row>
    <row r="783" spans="1:9" x14ac:dyDescent="0.25">
      <c r="A783" t="s">
        <v>521</v>
      </c>
      <c r="B783" t="s">
        <v>522</v>
      </c>
      <c r="C783" t="s">
        <v>34</v>
      </c>
      <c r="D783" t="s">
        <v>4049</v>
      </c>
      <c r="E783" t="s">
        <v>4073</v>
      </c>
      <c r="F783" t="s">
        <v>4051</v>
      </c>
      <c r="G783">
        <v>10.29</v>
      </c>
      <c r="H783" s="2">
        <v>15517.89</v>
      </c>
      <c r="I783" s="2">
        <v>159679.09</v>
      </c>
    </row>
    <row r="784" spans="1:9" x14ac:dyDescent="0.25">
      <c r="A784" t="s">
        <v>521</v>
      </c>
      <c r="B784" t="s">
        <v>522</v>
      </c>
      <c r="C784" t="s">
        <v>34</v>
      </c>
      <c r="D784" t="s">
        <v>4052</v>
      </c>
      <c r="E784" t="s">
        <v>4286</v>
      </c>
      <c r="F784" t="s">
        <v>4106</v>
      </c>
      <c r="G784">
        <v>0.04</v>
      </c>
      <c r="H784" s="2">
        <v>73333.33</v>
      </c>
      <c r="I784" s="2">
        <v>2933.33</v>
      </c>
    </row>
    <row r="785" spans="1:9" x14ac:dyDescent="0.25">
      <c r="A785" t="s">
        <v>521</v>
      </c>
      <c r="B785" t="s">
        <v>522</v>
      </c>
      <c r="C785" t="s">
        <v>34</v>
      </c>
      <c r="D785" t="s">
        <v>4052</v>
      </c>
      <c r="E785" t="s">
        <v>4465</v>
      </c>
      <c r="F785" t="s">
        <v>4106</v>
      </c>
      <c r="G785">
        <v>4</v>
      </c>
      <c r="H785" s="2">
        <v>25125</v>
      </c>
      <c r="I785" s="2">
        <v>100500</v>
      </c>
    </row>
    <row r="786" spans="1:9" x14ac:dyDescent="0.25">
      <c r="A786" t="s">
        <v>521</v>
      </c>
      <c r="B786" t="s">
        <v>522</v>
      </c>
      <c r="C786" t="s">
        <v>34</v>
      </c>
      <c r="D786" t="s">
        <v>4052</v>
      </c>
      <c r="E786" t="s">
        <v>4466</v>
      </c>
      <c r="F786" t="s">
        <v>4106</v>
      </c>
      <c r="G786">
        <v>66</v>
      </c>
      <c r="H786" s="2">
        <v>5702.08</v>
      </c>
      <c r="I786" s="2">
        <v>376337.28</v>
      </c>
    </row>
    <row r="787" spans="1:9" x14ac:dyDescent="0.25">
      <c r="A787" t="s">
        <v>521</v>
      </c>
      <c r="B787" t="s">
        <v>522</v>
      </c>
      <c r="C787" t="s">
        <v>34</v>
      </c>
      <c r="D787" t="s">
        <v>4052</v>
      </c>
      <c r="E787" t="s">
        <v>4467</v>
      </c>
      <c r="F787" t="s">
        <v>4106</v>
      </c>
      <c r="G787">
        <v>96</v>
      </c>
      <c r="H787" s="2">
        <v>328.5</v>
      </c>
      <c r="I787" s="2">
        <v>31536</v>
      </c>
    </row>
    <row r="788" spans="1:9" x14ac:dyDescent="0.25">
      <c r="A788" t="s">
        <v>521</v>
      </c>
      <c r="B788" t="s">
        <v>522</v>
      </c>
      <c r="C788" t="s">
        <v>34</v>
      </c>
      <c r="D788" t="s">
        <v>4052</v>
      </c>
      <c r="E788" t="s">
        <v>4053</v>
      </c>
      <c r="F788" t="s">
        <v>4054</v>
      </c>
      <c r="G788">
        <v>1</v>
      </c>
      <c r="H788" s="2">
        <v>252673.22</v>
      </c>
      <c r="I788" s="2">
        <v>2526.73</v>
      </c>
    </row>
    <row r="789" spans="1:9" x14ac:dyDescent="0.25">
      <c r="A789" t="s">
        <v>524</v>
      </c>
      <c r="B789" t="s">
        <v>525</v>
      </c>
      <c r="C789" t="s">
        <v>34</v>
      </c>
      <c r="D789" t="s">
        <v>4062</v>
      </c>
      <c r="E789" t="s">
        <v>4012</v>
      </c>
      <c r="F789" t="s">
        <v>34</v>
      </c>
      <c r="G789">
        <v>1.1</v>
      </c>
      <c r="H789" s="2">
        <v>475506.98</v>
      </c>
      <c r="I789" s="2">
        <v>523057.68</v>
      </c>
    </row>
    <row r="790" spans="1:9" x14ac:dyDescent="0.25">
      <c r="A790" t="s">
        <v>524</v>
      </c>
      <c r="B790" t="s">
        <v>525</v>
      </c>
      <c r="C790" t="s">
        <v>34</v>
      </c>
      <c r="D790" t="s">
        <v>4049</v>
      </c>
      <c r="E790" t="s">
        <v>4286</v>
      </c>
      <c r="F790" t="s">
        <v>4106</v>
      </c>
      <c r="G790">
        <v>0.04</v>
      </c>
      <c r="H790" s="2">
        <v>73333.33</v>
      </c>
      <c r="I790" s="2">
        <v>2933.33</v>
      </c>
    </row>
    <row r="791" spans="1:9" x14ac:dyDescent="0.25">
      <c r="A791" t="s">
        <v>524</v>
      </c>
      <c r="B791" t="s">
        <v>525</v>
      </c>
      <c r="C791" t="s">
        <v>34</v>
      </c>
      <c r="D791" t="s">
        <v>4049</v>
      </c>
      <c r="E791" t="s">
        <v>4465</v>
      </c>
      <c r="F791" t="s">
        <v>4106</v>
      </c>
      <c r="G791">
        <v>4</v>
      </c>
      <c r="H791" s="2">
        <v>25125</v>
      </c>
      <c r="I791" s="2">
        <v>100500</v>
      </c>
    </row>
    <row r="792" spans="1:9" x14ac:dyDescent="0.25">
      <c r="A792" t="s">
        <v>524</v>
      </c>
      <c r="B792" t="s">
        <v>525</v>
      </c>
      <c r="C792" t="s">
        <v>34</v>
      </c>
      <c r="D792" t="s">
        <v>4049</v>
      </c>
      <c r="E792" t="s">
        <v>4466</v>
      </c>
      <c r="F792" t="s">
        <v>4106</v>
      </c>
      <c r="G792">
        <v>66</v>
      </c>
      <c r="H792" s="2">
        <v>5702.08</v>
      </c>
      <c r="I792" s="2">
        <v>376337.28</v>
      </c>
    </row>
    <row r="793" spans="1:9" x14ac:dyDescent="0.25">
      <c r="A793" t="s">
        <v>524</v>
      </c>
      <c r="B793" t="s">
        <v>525</v>
      </c>
      <c r="C793" t="s">
        <v>34</v>
      </c>
      <c r="D793" t="s">
        <v>4049</v>
      </c>
      <c r="E793" t="s">
        <v>4467</v>
      </c>
      <c r="F793" t="s">
        <v>4106</v>
      </c>
      <c r="G793">
        <v>96</v>
      </c>
      <c r="H793" s="2">
        <v>328.5</v>
      </c>
      <c r="I793" s="2">
        <v>31536</v>
      </c>
    </row>
    <row r="794" spans="1:9" x14ac:dyDescent="0.25">
      <c r="A794" t="s">
        <v>524</v>
      </c>
      <c r="B794" t="s">
        <v>525</v>
      </c>
      <c r="C794" t="s">
        <v>34</v>
      </c>
      <c r="D794" t="s">
        <v>4049</v>
      </c>
      <c r="E794" t="s">
        <v>4050</v>
      </c>
      <c r="F794" t="s">
        <v>4051</v>
      </c>
      <c r="G794">
        <v>12.75</v>
      </c>
      <c r="H794" s="2">
        <v>9037.33</v>
      </c>
      <c r="I794" s="2">
        <v>115225.96</v>
      </c>
    </row>
    <row r="795" spans="1:9" x14ac:dyDescent="0.25">
      <c r="A795" t="s">
        <v>524</v>
      </c>
      <c r="B795" t="s">
        <v>525</v>
      </c>
      <c r="C795" t="s">
        <v>34</v>
      </c>
      <c r="D795" t="s">
        <v>4049</v>
      </c>
      <c r="E795" t="s">
        <v>4073</v>
      </c>
      <c r="F795" t="s">
        <v>4051</v>
      </c>
      <c r="G795">
        <v>12.75</v>
      </c>
      <c r="H795" s="2">
        <v>15517.89</v>
      </c>
      <c r="I795" s="2">
        <v>197853.1</v>
      </c>
    </row>
    <row r="796" spans="1:9" x14ac:dyDescent="0.25">
      <c r="A796" t="s">
        <v>524</v>
      </c>
      <c r="B796" t="s">
        <v>525</v>
      </c>
      <c r="C796" t="s">
        <v>34</v>
      </c>
      <c r="D796" t="s">
        <v>4052</v>
      </c>
      <c r="E796" t="s">
        <v>4053</v>
      </c>
      <c r="F796" t="s">
        <v>4054</v>
      </c>
      <c r="G796">
        <v>1</v>
      </c>
      <c r="H796" s="2">
        <v>313079.06</v>
      </c>
      <c r="I796" s="2">
        <v>3130.79</v>
      </c>
    </row>
    <row r="797" spans="1:9" x14ac:dyDescent="0.25">
      <c r="A797" t="s">
        <v>527</v>
      </c>
      <c r="B797" t="s">
        <v>529</v>
      </c>
      <c r="C797" t="s">
        <v>42</v>
      </c>
      <c r="D797" t="s">
        <v>4062</v>
      </c>
      <c r="E797" t="s">
        <v>4390</v>
      </c>
      <c r="F797" t="s">
        <v>231</v>
      </c>
      <c r="G797">
        <v>0.02</v>
      </c>
      <c r="H797" s="2">
        <v>4155</v>
      </c>
      <c r="I797" s="2">
        <v>83.1</v>
      </c>
    </row>
    <row r="798" spans="1:9" x14ac:dyDescent="0.25">
      <c r="A798" t="s">
        <v>527</v>
      </c>
      <c r="B798" t="s">
        <v>529</v>
      </c>
      <c r="C798" t="s">
        <v>42</v>
      </c>
      <c r="D798" t="s">
        <v>4062</v>
      </c>
      <c r="E798" t="s">
        <v>4261</v>
      </c>
      <c r="F798" t="s">
        <v>231</v>
      </c>
      <c r="G798">
        <v>0.73</v>
      </c>
      <c r="H798" s="2">
        <v>2982</v>
      </c>
      <c r="I798" s="2">
        <v>2176.86</v>
      </c>
    </row>
    <row r="799" spans="1:9" x14ac:dyDescent="0.25">
      <c r="A799" t="s">
        <v>527</v>
      </c>
      <c r="B799" t="s">
        <v>529</v>
      </c>
      <c r="C799" t="s">
        <v>42</v>
      </c>
      <c r="D799" t="s">
        <v>4062</v>
      </c>
      <c r="E799" t="s">
        <v>4474</v>
      </c>
      <c r="F799" t="s">
        <v>34</v>
      </c>
      <c r="G799">
        <v>0.01</v>
      </c>
      <c r="H799" s="2">
        <v>114500</v>
      </c>
      <c r="I799" s="2">
        <v>1145</v>
      </c>
    </row>
    <row r="800" spans="1:9" x14ac:dyDescent="0.25">
      <c r="A800" t="s">
        <v>527</v>
      </c>
      <c r="B800" t="s">
        <v>529</v>
      </c>
      <c r="C800" t="s">
        <v>42</v>
      </c>
      <c r="D800" t="s">
        <v>4062</v>
      </c>
      <c r="E800" t="s">
        <v>4001</v>
      </c>
      <c r="F800" t="s">
        <v>34</v>
      </c>
      <c r="G800">
        <v>0.02</v>
      </c>
      <c r="H800" s="2">
        <v>450245.66</v>
      </c>
      <c r="I800" s="2">
        <v>9004.91</v>
      </c>
    </row>
    <row r="801" spans="1:9" x14ac:dyDescent="0.25">
      <c r="A801" t="s">
        <v>527</v>
      </c>
      <c r="B801" t="s">
        <v>529</v>
      </c>
      <c r="C801" t="s">
        <v>42</v>
      </c>
      <c r="D801" t="s">
        <v>4062</v>
      </c>
      <c r="E801" t="s">
        <v>4475</v>
      </c>
      <c r="F801" t="s">
        <v>231</v>
      </c>
      <c r="G801">
        <v>0.71</v>
      </c>
      <c r="H801" s="2">
        <v>730</v>
      </c>
      <c r="I801" s="2">
        <v>518.3</v>
      </c>
    </row>
    <row r="802" spans="1:9" x14ac:dyDescent="0.25">
      <c r="A802" t="s">
        <v>527</v>
      </c>
      <c r="B802" t="s">
        <v>529</v>
      </c>
      <c r="C802" t="s">
        <v>42</v>
      </c>
      <c r="D802" t="s">
        <v>4062</v>
      </c>
      <c r="E802" t="s">
        <v>4222</v>
      </c>
      <c r="F802" t="s">
        <v>42</v>
      </c>
      <c r="G802">
        <v>0.36</v>
      </c>
      <c r="H802" s="2">
        <v>1803.55</v>
      </c>
      <c r="I802" s="2">
        <v>649.28</v>
      </c>
    </row>
    <row r="803" spans="1:9" x14ac:dyDescent="0.25">
      <c r="A803" t="s">
        <v>527</v>
      </c>
      <c r="B803" t="s">
        <v>529</v>
      </c>
      <c r="C803" t="s">
        <v>42</v>
      </c>
      <c r="D803" t="s">
        <v>4062</v>
      </c>
      <c r="E803" t="s">
        <v>4476</v>
      </c>
      <c r="F803" t="s">
        <v>42</v>
      </c>
      <c r="G803">
        <v>0.18</v>
      </c>
      <c r="H803" s="2">
        <v>3472</v>
      </c>
      <c r="I803" s="2">
        <v>624.96</v>
      </c>
    </row>
    <row r="804" spans="1:9" x14ac:dyDescent="0.25">
      <c r="A804" t="s">
        <v>527</v>
      </c>
      <c r="B804" t="s">
        <v>529</v>
      </c>
      <c r="C804" t="s">
        <v>42</v>
      </c>
      <c r="D804" t="s">
        <v>4049</v>
      </c>
      <c r="E804" t="s">
        <v>4050</v>
      </c>
      <c r="F804" t="s">
        <v>4051</v>
      </c>
      <c r="G804">
        <v>0.77</v>
      </c>
      <c r="H804" s="2">
        <v>9037.33</v>
      </c>
      <c r="I804" s="2">
        <v>6958.74</v>
      </c>
    </row>
    <row r="805" spans="1:9" x14ac:dyDescent="0.25">
      <c r="A805" t="s">
        <v>527</v>
      </c>
      <c r="B805" t="s">
        <v>529</v>
      </c>
      <c r="C805" t="s">
        <v>42</v>
      </c>
      <c r="D805" t="s">
        <v>4049</v>
      </c>
      <c r="E805" t="s">
        <v>4073</v>
      </c>
      <c r="F805" t="s">
        <v>4051</v>
      </c>
      <c r="G805">
        <v>0.77</v>
      </c>
      <c r="H805" s="2">
        <v>15517.89</v>
      </c>
      <c r="I805" s="2">
        <v>11948.78</v>
      </c>
    </row>
    <row r="806" spans="1:9" x14ac:dyDescent="0.25">
      <c r="A806" t="s">
        <v>527</v>
      </c>
      <c r="B806" t="s">
        <v>529</v>
      </c>
      <c r="C806" t="s">
        <v>42</v>
      </c>
      <c r="D806" t="s">
        <v>4052</v>
      </c>
      <c r="E806" t="s">
        <v>4053</v>
      </c>
      <c r="F806" t="s">
        <v>4054</v>
      </c>
      <c r="G806">
        <v>3.3</v>
      </c>
      <c r="H806" s="2">
        <v>18907.52</v>
      </c>
      <c r="I806" s="2">
        <v>623.95</v>
      </c>
    </row>
    <row r="807" spans="1:9" x14ac:dyDescent="0.25">
      <c r="A807" t="s">
        <v>534</v>
      </c>
      <c r="B807" t="s">
        <v>535</v>
      </c>
      <c r="C807" t="s">
        <v>42</v>
      </c>
      <c r="D807" t="s">
        <v>4062</v>
      </c>
      <c r="E807" t="s">
        <v>4390</v>
      </c>
      <c r="F807" t="s">
        <v>231</v>
      </c>
      <c r="G807">
        <v>0.03</v>
      </c>
      <c r="H807" s="2">
        <v>4155</v>
      </c>
      <c r="I807" s="2">
        <v>124.65</v>
      </c>
    </row>
    <row r="808" spans="1:9" x14ac:dyDescent="0.25">
      <c r="A808" t="s">
        <v>534</v>
      </c>
      <c r="B808" t="s">
        <v>535</v>
      </c>
      <c r="C808" t="s">
        <v>42</v>
      </c>
      <c r="D808" t="s">
        <v>4062</v>
      </c>
      <c r="E808" t="s">
        <v>4261</v>
      </c>
      <c r="F808" t="s">
        <v>231</v>
      </c>
      <c r="G808">
        <v>1</v>
      </c>
      <c r="H808" s="2">
        <v>2982</v>
      </c>
      <c r="I808" s="2">
        <v>2982</v>
      </c>
    </row>
    <row r="809" spans="1:9" x14ac:dyDescent="0.25">
      <c r="A809" t="s">
        <v>534</v>
      </c>
      <c r="B809" t="s">
        <v>535</v>
      </c>
      <c r="C809" t="s">
        <v>42</v>
      </c>
      <c r="D809" t="s">
        <v>4062</v>
      </c>
      <c r="E809" t="s">
        <v>4474</v>
      </c>
      <c r="F809" t="s">
        <v>34</v>
      </c>
      <c r="G809">
        <v>0.01</v>
      </c>
      <c r="H809" s="2">
        <v>114500</v>
      </c>
      <c r="I809" s="2">
        <v>1145</v>
      </c>
    </row>
    <row r="810" spans="1:9" x14ac:dyDescent="0.25">
      <c r="A810" t="s">
        <v>534</v>
      </c>
      <c r="B810" t="s">
        <v>535</v>
      </c>
      <c r="C810" t="s">
        <v>42</v>
      </c>
      <c r="D810" t="s">
        <v>4062</v>
      </c>
      <c r="E810" t="s">
        <v>4001</v>
      </c>
      <c r="F810" t="s">
        <v>34</v>
      </c>
      <c r="G810">
        <v>0.02</v>
      </c>
      <c r="H810" s="2">
        <v>450245.66</v>
      </c>
      <c r="I810" s="2">
        <v>9004.91</v>
      </c>
    </row>
    <row r="811" spans="1:9" x14ac:dyDescent="0.25">
      <c r="A811" t="s">
        <v>534</v>
      </c>
      <c r="B811" t="s">
        <v>535</v>
      </c>
      <c r="C811" t="s">
        <v>42</v>
      </c>
      <c r="D811" t="s">
        <v>4062</v>
      </c>
      <c r="E811" t="s">
        <v>4475</v>
      </c>
      <c r="F811" t="s">
        <v>231</v>
      </c>
      <c r="G811">
        <v>1.19</v>
      </c>
      <c r="H811" s="2">
        <v>730</v>
      </c>
      <c r="I811" s="2">
        <v>868.7</v>
      </c>
    </row>
    <row r="812" spans="1:9" x14ac:dyDescent="0.25">
      <c r="A812" t="s">
        <v>534</v>
      </c>
      <c r="B812" t="s">
        <v>535</v>
      </c>
      <c r="C812" t="s">
        <v>42</v>
      </c>
      <c r="D812" t="s">
        <v>4062</v>
      </c>
      <c r="E812" t="s">
        <v>4222</v>
      </c>
      <c r="F812" t="s">
        <v>42</v>
      </c>
      <c r="G812">
        <v>0.36</v>
      </c>
      <c r="H812" s="2">
        <v>1803.55</v>
      </c>
      <c r="I812" s="2">
        <v>649.28</v>
      </c>
    </row>
    <row r="813" spans="1:9" x14ac:dyDescent="0.25">
      <c r="A813" t="s">
        <v>534</v>
      </c>
      <c r="B813" t="s">
        <v>535</v>
      </c>
      <c r="C813" t="s">
        <v>42</v>
      </c>
      <c r="D813" t="s">
        <v>4062</v>
      </c>
      <c r="E813" t="s">
        <v>4476</v>
      </c>
      <c r="F813" t="s">
        <v>42</v>
      </c>
      <c r="G813">
        <v>0.18</v>
      </c>
      <c r="H813" s="2">
        <v>3472</v>
      </c>
      <c r="I813" s="2">
        <v>624.96</v>
      </c>
    </row>
    <row r="814" spans="1:9" x14ac:dyDescent="0.25">
      <c r="A814" t="s">
        <v>534</v>
      </c>
      <c r="B814" t="s">
        <v>535</v>
      </c>
      <c r="C814" t="s">
        <v>42</v>
      </c>
      <c r="D814" t="s">
        <v>4049</v>
      </c>
      <c r="E814" t="s">
        <v>4050</v>
      </c>
      <c r="F814" t="s">
        <v>4051</v>
      </c>
      <c r="G814">
        <v>1.65</v>
      </c>
      <c r="H814" s="2">
        <v>9037.33</v>
      </c>
      <c r="I814" s="2">
        <v>14911.59</v>
      </c>
    </row>
    <row r="815" spans="1:9" x14ac:dyDescent="0.25">
      <c r="A815" t="s">
        <v>534</v>
      </c>
      <c r="B815" t="s">
        <v>535</v>
      </c>
      <c r="C815" t="s">
        <v>42</v>
      </c>
      <c r="D815" t="s">
        <v>4049</v>
      </c>
      <c r="E815" t="s">
        <v>4073</v>
      </c>
      <c r="F815" t="s">
        <v>4051</v>
      </c>
      <c r="G815">
        <v>1.65</v>
      </c>
      <c r="H815" s="2">
        <v>15517.89</v>
      </c>
      <c r="I815" s="2">
        <v>25604.52</v>
      </c>
    </row>
    <row r="816" spans="1:9" x14ac:dyDescent="0.25">
      <c r="A816" t="s">
        <v>534</v>
      </c>
      <c r="B816" t="s">
        <v>535</v>
      </c>
      <c r="C816" t="s">
        <v>42</v>
      </c>
      <c r="D816" t="s">
        <v>4052</v>
      </c>
      <c r="E816" t="s">
        <v>4053</v>
      </c>
      <c r="F816" t="s">
        <v>4054</v>
      </c>
      <c r="G816">
        <v>3.3</v>
      </c>
      <c r="H816" s="2">
        <v>40516.11</v>
      </c>
      <c r="I816" s="2">
        <v>1337.03</v>
      </c>
    </row>
    <row r="817" spans="1:9" x14ac:dyDescent="0.25">
      <c r="A817" t="s">
        <v>537</v>
      </c>
      <c r="B817" t="s">
        <v>538</v>
      </c>
      <c r="C817" t="s">
        <v>42</v>
      </c>
      <c r="D817" t="s">
        <v>4062</v>
      </c>
      <c r="E817" t="s">
        <v>4481</v>
      </c>
      <c r="F817" t="s">
        <v>63</v>
      </c>
      <c r="G817">
        <v>17</v>
      </c>
      <c r="H817" s="2">
        <v>708</v>
      </c>
      <c r="I817" s="2">
        <v>12036</v>
      </c>
    </row>
    <row r="818" spans="1:9" x14ac:dyDescent="0.25">
      <c r="A818" t="s">
        <v>537</v>
      </c>
      <c r="B818" t="s">
        <v>538</v>
      </c>
      <c r="C818" t="s">
        <v>42</v>
      </c>
      <c r="D818" t="s">
        <v>4062</v>
      </c>
      <c r="E818" t="s">
        <v>3978</v>
      </c>
      <c r="F818" t="s">
        <v>34</v>
      </c>
      <c r="G818">
        <v>0.03</v>
      </c>
      <c r="H818" s="2">
        <v>409741.65</v>
      </c>
      <c r="I818" s="2">
        <v>11472.77</v>
      </c>
    </row>
    <row r="819" spans="1:9" x14ac:dyDescent="0.25">
      <c r="A819" t="s">
        <v>537</v>
      </c>
      <c r="B819" t="s">
        <v>538</v>
      </c>
      <c r="C819" t="s">
        <v>42</v>
      </c>
      <c r="D819" t="s">
        <v>4049</v>
      </c>
      <c r="E819" t="s">
        <v>4050</v>
      </c>
      <c r="F819" t="s">
        <v>4051</v>
      </c>
      <c r="G819">
        <v>0.7</v>
      </c>
      <c r="H819" s="2">
        <v>9037.33</v>
      </c>
      <c r="I819" s="2">
        <v>6326.13</v>
      </c>
    </row>
    <row r="820" spans="1:9" x14ac:dyDescent="0.25">
      <c r="A820" t="s">
        <v>537</v>
      </c>
      <c r="B820" t="s">
        <v>538</v>
      </c>
      <c r="C820" t="s">
        <v>42</v>
      </c>
      <c r="D820" t="s">
        <v>4049</v>
      </c>
      <c r="E820" t="s">
        <v>4073</v>
      </c>
      <c r="F820" t="s">
        <v>4051</v>
      </c>
      <c r="G820">
        <v>0.54</v>
      </c>
      <c r="H820" s="2">
        <v>15517.89</v>
      </c>
      <c r="I820" s="2">
        <v>8395.18</v>
      </c>
    </row>
    <row r="821" spans="1:9" x14ac:dyDescent="0.25">
      <c r="A821" t="s">
        <v>537</v>
      </c>
      <c r="B821" t="s">
        <v>538</v>
      </c>
      <c r="C821" t="s">
        <v>42</v>
      </c>
      <c r="D821" t="s">
        <v>4052</v>
      </c>
      <c r="E821" t="s">
        <v>4053</v>
      </c>
      <c r="F821" t="s">
        <v>4054</v>
      </c>
      <c r="G821">
        <v>3.3</v>
      </c>
      <c r="H821" s="2">
        <v>14721.31</v>
      </c>
      <c r="I821" s="2">
        <v>485.8</v>
      </c>
    </row>
    <row r="822" spans="1:9" x14ac:dyDescent="0.25">
      <c r="A822" t="s">
        <v>543</v>
      </c>
      <c r="B822" t="s">
        <v>544</v>
      </c>
      <c r="C822" t="s">
        <v>42</v>
      </c>
      <c r="D822" t="s">
        <v>4062</v>
      </c>
      <c r="E822" t="s">
        <v>4484</v>
      </c>
      <c r="F822" t="s">
        <v>34</v>
      </c>
      <c r="G822">
        <v>0.02</v>
      </c>
      <c r="H822" s="2">
        <v>68425</v>
      </c>
      <c r="I822" s="2">
        <v>1368.5</v>
      </c>
    </row>
    <row r="823" spans="1:9" x14ac:dyDescent="0.25">
      <c r="A823" t="s">
        <v>543</v>
      </c>
      <c r="B823" t="s">
        <v>544</v>
      </c>
      <c r="C823" t="s">
        <v>42</v>
      </c>
      <c r="D823" t="s">
        <v>4062</v>
      </c>
      <c r="E823" t="s">
        <v>4474</v>
      </c>
      <c r="F823" t="s">
        <v>34</v>
      </c>
      <c r="G823">
        <v>0.02</v>
      </c>
      <c r="H823" s="2">
        <v>114500</v>
      </c>
      <c r="I823" s="2">
        <v>2290</v>
      </c>
    </row>
    <row r="824" spans="1:9" x14ac:dyDescent="0.25">
      <c r="A824" t="s">
        <v>543</v>
      </c>
      <c r="B824" t="s">
        <v>544</v>
      </c>
      <c r="C824" t="s">
        <v>42</v>
      </c>
      <c r="D824" t="s">
        <v>4062</v>
      </c>
      <c r="E824" t="s">
        <v>4485</v>
      </c>
      <c r="F824" t="s">
        <v>63</v>
      </c>
      <c r="G824">
        <v>3.6</v>
      </c>
      <c r="H824" s="2">
        <v>1002</v>
      </c>
      <c r="I824" s="2">
        <v>3607.2</v>
      </c>
    </row>
    <row r="825" spans="1:9" x14ac:dyDescent="0.25">
      <c r="A825" t="s">
        <v>543</v>
      </c>
      <c r="B825" t="s">
        <v>544</v>
      </c>
      <c r="C825" t="s">
        <v>42</v>
      </c>
      <c r="D825" t="s">
        <v>4062</v>
      </c>
      <c r="E825" t="s">
        <v>4475</v>
      </c>
      <c r="F825" t="s">
        <v>231</v>
      </c>
      <c r="G825">
        <v>3.15</v>
      </c>
      <c r="H825" s="2">
        <v>730</v>
      </c>
      <c r="I825" s="2">
        <v>2299.5</v>
      </c>
    </row>
    <row r="826" spans="1:9" x14ac:dyDescent="0.25">
      <c r="A826" t="s">
        <v>543</v>
      </c>
      <c r="B826" t="s">
        <v>544</v>
      </c>
      <c r="C826" t="s">
        <v>42</v>
      </c>
      <c r="D826" t="s">
        <v>4062</v>
      </c>
      <c r="E826" t="s">
        <v>4486</v>
      </c>
      <c r="F826" t="s">
        <v>231</v>
      </c>
      <c r="G826">
        <v>1.41</v>
      </c>
      <c r="H826" s="2">
        <v>3049</v>
      </c>
      <c r="I826" s="2">
        <v>4299.09</v>
      </c>
    </row>
    <row r="827" spans="1:9" x14ac:dyDescent="0.25">
      <c r="A827" t="s">
        <v>543</v>
      </c>
      <c r="B827" t="s">
        <v>544</v>
      </c>
      <c r="C827" t="s">
        <v>42</v>
      </c>
      <c r="D827" t="s">
        <v>4062</v>
      </c>
      <c r="E827" t="s">
        <v>4076</v>
      </c>
      <c r="F827" t="s">
        <v>3963</v>
      </c>
      <c r="G827">
        <v>4.25</v>
      </c>
      <c r="H827" s="2">
        <v>21</v>
      </c>
      <c r="I827" s="2">
        <v>89.25</v>
      </c>
    </row>
    <row r="828" spans="1:9" x14ac:dyDescent="0.25">
      <c r="A828" t="s">
        <v>543</v>
      </c>
      <c r="B828" t="s">
        <v>544</v>
      </c>
      <c r="C828" t="s">
        <v>42</v>
      </c>
      <c r="D828" t="s">
        <v>4049</v>
      </c>
      <c r="E828" t="s">
        <v>4487</v>
      </c>
      <c r="F828" t="s">
        <v>4236</v>
      </c>
      <c r="G828">
        <v>0.45</v>
      </c>
      <c r="H828" s="2">
        <v>24555.22</v>
      </c>
      <c r="I828" s="2">
        <v>11049.85</v>
      </c>
    </row>
    <row r="829" spans="1:9" x14ac:dyDescent="0.25">
      <c r="A829" t="s">
        <v>543</v>
      </c>
      <c r="B829" t="s">
        <v>544</v>
      </c>
      <c r="C829" t="s">
        <v>42</v>
      </c>
      <c r="D829" t="s">
        <v>4052</v>
      </c>
      <c r="E829" t="s">
        <v>4053</v>
      </c>
      <c r="F829" t="s">
        <v>4054</v>
      </c>
      <c r="G829">
        <v>3.3</v>
      </c>
      <c r="H829" s="2">
        <v>11049.85</v>
      </c>
      <c r="I829" s="2">
        <v>364.65</v>
      </c>
    </row>
    <row r="830" spans="1:9" x14ac:dyDescent="0.25">
      <c r="A830" t="s">
        <v>546</v>
      </c>
      <c r="B830" t="s">
        <v>547</v>
      </c>
      <c r="C830" t="s">
        <v>42</v>
      </c>
      <c r="D830" t="s">
        <v>4062</v>
      </c>
      <c r="E830" t="s">
        <v>4390</v>
      </c>
      <c r="F830" t="s">
        <v>231</v>
      </c>
      <c r="G830">
        <v>0.11</v>
      </c>
      <c r="H830" s="2">
        <v>4155</v>
      </c>
      <c r="I830" s="2">
        <v>457.05</v>
      </c>
    </row>
    <row r="831" spans="1:9" x14ac:dyDescent="0.25">
      <c r="A831" t="s">
        <v>546</v>
      </c>
      <c r="B831" t="s">
        <v>547</v>
      </c>
      <c r="C831" t="s">
        <v>42</v>
      </c>
      <c r="D831" t="s">
        <v>4062</v>
      </c>
      <c r="E831" t="s">
        <v>4261</v>
      </c>
      <c r="F831" t="s">
        <v>231</v>
      </c>
      <c r="G831">
        <v>2.9</v>
      </c>
      <c r="H831" s="2">
        <v>2982</v>
      </c>
      <c r="I831" s="2">
        <v>8647.8</v>
      </c>
    </row>
    <row r="832" spans="1:9" x14ac:dyDescent="0.25">
      <c r="A832" t="s">
        <v>546</v>
      </c>
      <c r="B832" t="s">
        <v>547</v>
      </c>
      <c r="C832" t="s">
        <v>42</v>
      </c>
      <c r="D832" t="s">
        <v>4062</v>
      </c>
      <c r="E832" t="s">
        <v>4001</v>
      </c>
      <c r="F832" t="s">
        <v>34</v>
      </c>
      <c r="G832">
        <v>0.03</v>
      </c>
      <c r="H832" s="2">
        <v>450245.66</v>
      </c>
      <c r="I832" s="2">
        <v>13507.37</v>
      </c>
    </row>
    <row r="833" spans="1:9" x14ac:dyDescent="0.25">
      <c r="A833" t="s">
        <v>546</v>
      </c>
      <c r="B833" t="s">
        <v>547</v>
      </c>
      <c r="C833" t="s">
        <v>42</v>
      </c>
      <c r="D833" t="s">
        <v>4062</v>
      </c>
      <c r="E833" t="s">
        <v>4070</v>
      </c>
      <c r="F833" t="s">
        <v>42</v>
      </c>
      <c r="G833">
        <v>0.5</v>
      </c>
      <c r="H833" s="2">
        <v>7381.08</v>
      </c>
      <c r="I833" s="2">
        <v>3690.54</v>
      </c>
    </row>
    <row r="834" spans="1:9" x14ac:dyDescent="0.25">
      <c r="A834" t="s">
        <v>546</v>
      </c>
      <c r="B834" t="s">
        <v>547</v>
      </c>
      <c r="C834" t="s">
        <v>42</v>
      </c>
      <c r="D834" t="s">
        <v>4062</v>
      </c>
      <c r="E834" t="s">
        <v>4071</v>
      </c>
      <c r="F834" t="s">
        <v>42</v>
      </c>
      <c r="G834">
        <v>0.01</v>
      </c>
      <c r="H834" s="2">
        <v>2555</v>
      </c>
      <c r="I834" s="2">
        <v>25.55</v>
      </c>
    </row>
    <row r="835" spans="1:9" x14ac:dyDescent="0.25">
      <c r="A835" t="s">
        <v>546</v>
      </c>
      <c r="B835" t="s">
        <v>547</v>
      </c>
      <c r="C835" t="s">
        <v>42</v>
      </c>
      <c r="D835" t="s">
        <v>4049</v>
      </c>
      <c r="E835" t="s">
        <v>4050</v>
      </c>
      <c r="F835" t="s">
        <v>4051</v>
      </c>
      <c r="G835">
        <v>0.5</v>
      </c>
      <c r="H835" s="2">
        <v>9037.33</v>
      </c>
      <c r="I835" s="2">
        <v>4518.66</v>
      </c>
    </row>
    <row r="836" spans="1:9" x14ac:dyDescent="0.25">
      <c r="A836" t="s">
        <v>546</v>
      </c>
      <c r="B836" t="s">
        <v>547</v>
      </c>
      <c r="C836" t="s">
        <v>42</v>
      </c>
      <c r="D836" t="s">
        <v>4049</v>
      </c>
      <c r="E836" t="s">
        <v>4073</v>
      </c>
      <c r="F836" t="s">
        <v>4051</v>
      </c>
      <c r="G836">
        <v>1</v>
      </c>
      <c r="H836" s="2">
        <v>15517.89</v>
      </c>
      <c r="I836" s="2">
        <v>15517.89</v>
      </c>
    </row>
    <row r="837" spans="1:9" x14ac:dyDescent="0.25">
      <c r="A837" t="s">
        <v>546</v>
      </c>
      <c r="B837" t="s">
        <v>547</v>
      </c>
      <c r="C837" t="s">
        <v>42</v>
      </c>
      <c r="D837" t="s">
        <v>4052</v>
      </c>
      <c r="E837" t="s">
        <v>4053</v>
      </c>
      <c r="F837" t="s">
        <v>4054</v>
      </c>
      <c r="G837">
        <v>3</v>
      </c>
      <c r="H837" s="2">
        <v>20036.55</v>
      </c>
      <c r="I837" s="2">
        <v>601.1</v>
      </c>
    </row>
    <row r="838" spans="1:9" x14ac:dyDescent="0.25">
      <c r="A838" t="s">
        <v>549</v>
      </c>
      <c r="B838" t="s">
        <v>550</v>
      </c>
      <c r="C838" t="s">
        <v>21</v>
      </c>
      <c r="D838" t="s">
        <v>4062</v>
      </c>
      <c r="E838" t="s">
        <v>4492</v>
      </c>
      <c r="F838" t="s">
        <v>34</v>
      </c>
      <c r="G838">
        <v>0.03</v>
      </c>
      <c r="H838" s="2">
        <v>68425</v>
      </c>
      <c r="I838" s="2">
        <v>2052.75</v>
      </c>
    </row>
    <row r="839" spans="1:9" x14ac:dyDescent="0.25">
      <c r="A839" t="s">
        <v>549</v>
      </c>
      <c r="B839" t="s">
        <v>550</v>
      </c>
      <c r="C839" t="s">
        <v>21</v>
      </c>
      <c r="D839" t="s">
        <v>4062</v>
      </c>
      <c r="E839" t="s">
        <v>4475</v>
      </c>
      <c r="F839" t="s">
        <v>231</v>
      </c>
      <c r="G839">
        <v>9.04</v>
      </c>
      <c r="H839" s="2">
        <v>730</v>
      </c>
      <c r="I839" s="2">
        <v>6599.2</v>
      </c>
    </row>
    <row r="840" spans="1:9" x14ac:dyDescent="0.25">
      <c r="A840" t="s">
        <v>549</v>
      </c>
      <c r="B840" t="s">
        <v>550</v>
      </c>
      <c r="C840" t="s">
        <v>21</v>
      </c>
      <c r="D840" t="s">
        <v>4062</v>
      </c>
      <c r="E840" t="s">
        <v>4493</v>
      </c>
      <c r="F840" t="s">
        <v>63</v>
      </c>
      <c r="G840">
        <v>0.25</v>
      </c>
      <c r="H840" s="2">
        <v>28343</v>
      </c>
      <c r="I840" s="2">
        <v>7085.75</v>
      </c>
    </row>
    <row r="841" spans="1:9" x14ac:dyDescent="0.25">
      <c r="A841" t="s">
        <v>549</v>
      </c>
      <c r="B841" t="s">
        <v>550</v>
      </c>
      <c r="C841" t="s">
        <v>21</v>
      </c>
      <c r="D841" t="s">
        <v>4062</v>
      </c>
      <c r="E841" t="s">
        <v>4494</v>
      </c>
      <c r="F841" t="s">
        <v>63</v>
      </c>
      <c r="G841">
        <v>58</v>
      </c>
      <c r="H841" s="2">
        <v>794</v>
      </c>
      <c r="I841" s="2">
        <v>46052</v>
      </c>
    </row>
    <row r="842" spans="1:9" x14ac:dyDescent="0.25">
      <c r="A842" t="s">
        <v>549</v>
      </c>
      <c r="B842" t="s">
        <v>550</v>
      </c>
      <c r="C842" t="s">
        <v>21</v>
      </c>
      <c r="D842" t="s">
        <v>4062</v>
      </c>
      <c r="E842" t="s">
        <v>4076</v>
      </c>
      <c r="F842" t="s">
        <v>3963</v>
      </c>
      <c r="G842">
        <v>5.7</v>
      </c>
      <c r="H842" s="2">
        <v>21</v>
      </c>
      <c r="I842" s="2">
        <v>119.7</v>
      </c>
    </row>
    <row r="843" spans="1:9" x14ac:dyDescent="0.25">
      <c r="A843" t="s">
        <v>549</v>
      </c>
      <c r="B843" t="s">
        <v>550</v>
      </c>
      <c r="C843" t="s">
        <v>21</v>
      </c>
      <c r="D843" t="s">
        <v>4049</v>
      </c>
      <c r="E843" t="s">
        <v>4487</v>
      </c>
      <c r="F843" t="s">
        <v>4236</v>
      </c>
      <c r="G843">
        <v>1.1</v>
      </c>
      <c r="H843" s="2">
        <v>24555.22</v>
      </c>
      <c r="I843" s="2">
        <v>27010.74</v>
      </c>
    </row>
    <row r="844" spans="1:9" x14ac:dyDescent="0.25">
      <c r="A844" t="s">
        <v>549</v>
      </c>
      <c r="B844" t="s">
        <v>550</v>
      </c>
      <c r="C844" t="s">
        <v>21</v>
      </c>
      <c r="D844" t="s">
        <v>4052</v>
      </c>
      <c r="E844" t="s">
        <v>4495</v>
      </c>
      <c r="F844" t="s">
        <v>4106</v>
      </c>
      <c r="G844">
        <v>0.05</v>
      </c>
      <c r="H844" s="2">
        <v>67900</v>
      </c>
      <c r="I844" s="2">
        <v>3395</v>
      </c>
    </row>
    <row r="845" spans="1:9" x14ac:dyDescent="0.25">
      <c r="A845" t="s">
        <v>549</v>
      </c>
      <c r="B845" t="s">
        <v>550</v>
      </c>
      <c r="C845" t="s">
        <v>21</v>
      </c>
      <c r="D845" t="s">
        <v>4052</v>
      </c>
      <c r="E845" t="s">
        <v>4053</v>
      </c>
      <c r="F845" t="s">
        <v>4054</v>
      </c>
      <c r="G845">
        <v>3.3</v>
      </c>
      <c r="H845" s="2">
        <v>27010.74</v>
      </c>
      <c r="I845" s="2">
        <v>891.35</v>
      </c>
    </row>
    <row r="846" spans="1:9" x14ac:dyDescent="0.25">
      <c r="A846" t="s">
        <v>552</v>
      </c>
      <c r="B846" t="s">
        <v>553</v>
      </c>
      <c r="C846" t="s">
        <v>21</v>
      </c>
      <c r="D846" t="s">
        <v>4062</v>
      </c>
      <c r="E846" t="s">
        <v>4498</v>
      </c>
      <c r="F846" t="s">
        <v>4377</v>
      </c>
      <c r="G846">
        <v>0.03</v>
      </c>
      <c r="H846" s="2">
        <v>17700</v>
      </c>
      <c r="I846" s="2">
        <v>531</v>
      </c>
    </row>
    <row r="847" spans="1:9" x14ac:dyDescent="0.25">
      <c r="A847" t="s">
        <v>552</v>
      </c>
      <c r="B847" t="s">
        <v>553</v>
      </c>
      <c r="C847" t="s">
        <v>21</v>
      </c>
      <c r="D847" t="s">
        <v>4062</v>
      </c>
      <c r="E847" t="s">
        <v>4076</v>
      </c>
      <c r="F847" t="s">
        <v>3963</v>
      </c>
      <c r="G847">
        <v>10</v>
      </c>
      <c r="H847" s="2">
        <v>21</v>
      </c>
      <c r="I847" s="2">
        <v>210</v>
      </c>
    </row>
    <row r="848" spans="1:9" x14ac:dyDescent="0.25">
      <c r="A848" t="s">
        <v>552</v>
      </c>
      <c r="B848" t="s">
        <v>553</v>
      </c>
      <c r="C848" t="s">
        <v>21</v>
      </c>
      <c r="D848" t="s">
        <v>4049</v>
      </c>
      <c r="E848" t="s">
        <v>4105</v>
      </c>
      <c r="F848" t="s">
        <v>4106</v>
      </c>
      <c r="G848">
        <v>0.15</v>
      </c>
      <c r="H848" s="2">
        <v>25125</v>
      </c>
      <c r="I848" s="2">
        <v>3768.75</v>
      </c>
    </row>
    <row r="849" spans="1:9" x14ac:dyDescent="0.25">
      <c r="A849" t="s">
        <v>552</v>
      </c>
      <c r="B849" t="s">
        <v>553</v>
      </c>
      <c r="C849" t="s">
        <v>21</v>
      </c>
      <c r="D849" t="s">
        <v>4049</v>
      </c>
      <c r="E849" t="s">
        <v>4050</v>
      </c>
      <c r="F849" t="s">
        <v>4051</v>
      </c>
      <c r="G849">
        <v>0.25</v>
      </c>
      <c r="H849" s="2">
        <v>9037.33</v>
      </c>
      <c r="I849" s="2">
        <v>2259.33</v>
      </c>
    </row>
    <row r="850" spans="1:9" x14ac:dyDescent="0.25">
      <c r="A850" t="s">
        <v>552</v>
      </c>
      <c r="B850" t="s">
        <v>553</v>
      </c>
      <c r="C850" t="s">
        <v>21</v>
      </c>
      <c r="D850" t="s">
        <v>4052</v>
      </c>
      <c r="E850" t="s">
        <v>4053</v>
      </c>
      <c r="F850" t="s">
        <v>4054</v>
      </c>
      <c r="G850">
        <v>10</v>
      </c>
      <c r="H850" s="2">
        <v>2259.33</v>
      </c>
      <c r="I850" s="2">
        <v>225.93</v>
      </c>
    </row>
    <row r="851" spans="1:9" x14ac:dyDescent="0.25">
      <c r="A851" t="s">
        <v>557</v>
      </c>
      <c r="B851" t="s">
        <v>558</v>
      </c>
      <c r="C851" t="s">
        <v>21</v>
      </c>
      <c r="D851" t="s">
        <v>4062</v>
      </c>
      <c r="E851" t="s">
        <v>4390</v>
      </c>
      <c r="F851" t="s">
        <v>231</v>
      </c>
      <c r="G851">
        <v>0.24</v>
      </c>
      <c r="H851" s="2">
        <v>4155</v>
      </c>
      <c r="I851" s="2">
        <v>997.2</v>
      </c>
    </row>
    <row r="852" spans="1:9" x14ac:dyDescent="0.25">
      <c r="A852" t="s">
        <v>557</v>
      </c>
      <c r="B852" t="s">
        <v>558</v>
      </c>
      <c r="C852" t="s">
        <v>21</v>
      </c>
      <c r="D852" t="s">
        <v>4062</v>
      </c>
      <c r="E852" t="s">
        <v>4261</v>
      </c>
      <c r="F852" t="s">
        <v>231</v>
      </c>
      <c r="G852">
        <v>8</v>
      </c>
      <c r="H852" s="2">
        <v>2982</v>
      </c>
      <c r="I852" s="2">
        <v>23856</v>
      </c>
    </row>
    <row r="853" spans="1:9" x14ac:dyDescent="0.25">
      <c r="A853" t="s">
        <v>557</v>
      </c>
      <c r="B853" t="s">
        <v>558</v>
      </c>
      <c r="C853" t="s">
        <v>21</v>
      </c>
      <c r="D853" t="s">
        <v>4062</v>
      </c>
      <c r="E853" t="s">
        <v>4001</v>
      </c>
      <c r="F853" t="s">
        <v>34</v>
      </c>
      <c r="G853">
        <v>0.11</v>
      </c>
      <c r="H853" s="2">
        <v>450245.66</v>
      </c>
      <c r="I853" s="2">
        <v>49527.02</v>
      </c>
    </row>
    <row r="854" spans="1:9" x14ac:dyDescent="0.25">
      <c r="A854" t="s">
        <v>557</v>
      </c>
      <c r="B854" t="s">
        <v>558</v>
      </c>
      <c r="C854" t="s">
        <v>21</v>
      </c>
      <c r="D854" t="s">
        <v>4062</v>
      </c>
      <c r="E854" t="s">
        <v>4476</v>
      </c>
      <c r="F854" t="s">
        <v>42</v>
      </c>
      <c r="G854">
        <v>0.46</v>
      </c>
      <c r="H854" s="2">
        <v>3472</v>
      </c>
      <c r="I854" s="2">
        <v>1597.12</v>
      </c>
    </row>
    <row r="855" spans="1:9" x14ac:dyDescent="0.25">
      <c r="A855" t="s">
        <v>557</v>
      </c>
      <c r="B855" t="s">
        <v>558</v>
      </c>
      <c r="C855" t="s">
        <v>21</v>
      </c>
      <c r="D855" t="s">
        <v>4062</v>
      </c>
      <c r="E855" t="s">
        <v>4072</v>
      </c>
      <c r="F855" t="s">
        <v>4066</v>
      </c>
      <c r="G855">
        <v>0.19</v>
      </c>
      <c r="H855" s="2">
        <v>3150</v>
      </c>
      <c r="I855" s="2">
        <v>598.5</v>
      </c>
    </row>
    <row r="856" spans="1:9" x14ac:dyDescent="0.25">
      <c r="A856" t="s">
        <v>557</v>
      </c>
      <c r="B856" t="s">
        <v>558</v>
      </c>
      <c r="C856" t="s">
        <v>21</v>
      </c>
      <c r="D856" t="s">
        <v>4062</v>
      </c>
      <c r="E856" t="s">
        <v>4322</v>
      </c>
      <c r="F856" t="s">
        <v>42</v>
      </c>
      <c r="G856">
        <v>0.65</v>
      </c>
      <c r="H856" s="2">
        <v>5304</v>
      </c>
      <c r="I856" s="2">
        <v>3447.6</v>
      </c>
    </row>
    <row r="857" spans="1:9" x14ac:dyDescent="0.25">
      <c r="A857" t="s">
        <v>557</v>
      </c>
      <c r="B857" t="s">
        <v>558</v>
      </c>
      <c r="C857" t="s">
        <v>21</v>
      </c>
      <c r="D857" t="s">
        <v>4049</v>
      </c>
      <c r="E857" t="s">
        <v>4050</v>
      </c>
      <c r="F857" t="s">
        <v>4051</v>
      </c>
      <c r="G857">
        <v>2.17</v>
      </c>
      <c r="H857" s="2">
        <v>9037.33</v>
      </c>
      <c r="I857" s="2">
        <v>19611.01</v>
      </c>
    </row>
    <row r="858" spans="1:9" x14ac:dyDescent="0.25">
      <c r="A858" t="s">
        <v>557</v>
      </c>
      <c r="B858" t="s">
        <v>558</v>
      </c>
      <c r="C858" t="s">
        <v>21</v>
      </c>
      <c r="D858" t="s">
        <v>4049</v>
      </c>
      <c r="E858" t="s">
        <v>4073</v>
      </c>
      <c r="F858" t="s">
        <v>4051</v>
      </c>
      <c r="G858">
        <v>2.17</v>
      </c>
      <c r="H858" s="2">
        <v>15517.89</v>
      </c>
      <c r="I858" s="2">
        <v>33673.82</v>
      </c>
    </row>
    <row r="859" spans="1:9" x14ac:dyDescent="0.25">
      <c r="A859" t="s">
        <v>557</v>
      </c>
      <c r="B859" t="s">
        <v>558</v>
      </c>
      <c r="C859" t="s">
        <v>21</v>
      </c>
      <c r="D859" t="s">
        <v>4052</v>
      </c>
      <c r="E859" t="s">
        <v>4053</v>
      </c>
      <c r="F859" t="s">
        <v>4054</v>
      </c>
      <c r="G859">
        <v>3.3</v>
      </c>
      <c r="H859" s="2">
        <v>53284.83</v>
      </c>
      <c r="I859" s="2">
        <v>1758.4</v>
      </c>
    </row>
    <row r="860" spans="1:9" x14ac:dyDescent="0.25">
      <c r="A860" t="s">
        <v>560</v>
      </c>
      <c r="B860" t="s">
        <v>561</v>
      </c>
      <c r="C860" t="s">
        <v>21</v>
      </c>
      <c r="D860" t="s">
        <v>4062</v>
      </c>
      <c r="E860" t="s">
        <v>4503</v>
      </c>
      <c r="F860" t="s">
        <v>231</v>
      </c>
      <c r="G860">
        <v>0.25</v>
      </c>
      <c r="H860" s="2">
        <v>1040</v>
      </c>
      <c r="I860" s="2">
        <v>260</v>
      </c>
    </row>
    <row r="861" spans="1:9" x14ac:dyDescent="0.25">
      <c r="A861" t="s">
        <v>560</v>
      </c>
      <c r="B861" t="s">
        <v>561</v>
      </c>
      <c r="C861" t="s">
        <v>21</v>
      </c>
      <c r="D861" t="s">
        <v>4062</v>
      </c>
      <c r="E861" t="s">
        <v>4504</v>
      </c>
      <c r="F861" t="s">
        <v>63</v>
      </c>
      <c r="G861">
        <v>108</v>
      </c>
      <c r="H861" s="2">
        <v>1650</v>
      </c>
      <c r="I861" s="2">
        <v>178200</v>
      </c>
    </row>
    <row r="862" spans="1:9" x14ac:dyDescent="0.25">
      <c r="A862" t="s">
        <v>560</v>
      </c>
      <c r="B862" t="s">
        <v>561</v>
      </c>
      <c r="C862" t="s">
        <v>21</v>
      </c>
      <c r="D862" t="s">
        <v>4049</v>
      </c>
      <c r="E862" t="s">
        <v>4050</v>
      </c>
      <c r="F862" t="s">
        <v>4051</v>
      </c>
      <c r="G862">
        <v>3</v>
      </c>
      <c r="H862" s="2">
        <v>9037.33</v>
      </c>
      <c r="I862" s="2">
        <v>27111.99</v>
      </c>
    </row>
    <row r="863" spans="1:9" x14ac:dyDescent="0.25">
      <c r="A863" t="s">
        <v>560</v>
      </c>
      <c r="B863" t="s">
        <v>561</v>
      </c>
      <c r="C863" t="s">
        <v>21</v>
      </c>
      <c r="D863" t="s">
        <v>4049</v>
      </c>
      <c r="E863" t="s">
        <v>4073</v>
      </c>
      <c r="F863" t="s">
        <v>4051</v>
      </c>
      <c r="G863">
        <v>1.5</v>
      </c>
      <c r="H863" s="2">
        <v>15517.89</v>
      </c>
      <c r="I863" s="2">
        <v>23276.83</v>
      </c>
    </row>
    <row r="864" spans="1:9" x14ac:dyDescent="0.25">
      <c r="A864" t="s">
        <v>560</v>
      </c>
      <c r="B864" t="s">
        <v>561</v>
      </c>
      <c r="C864" t="s">
        <v>21</v>
      </c>
      <c r="D864" t="s">
        <v>4052</v>
      </c>
      <c r="E864" t="s">
        <v>4053</v>
      </c>
      <c r="F864" t="s">
        <v>4054</v>
      </c>
      <c r="G864">
        <v>3.3</v>
      </c>
      <c r="H864" s="2">
        <v>50388.82</v>
      </c>
      <c r="I864" s="2">
        <v>1662.83</v>
      </c>
    </row>
    <row r="865" spans="1:9" x14ac:dyDescent="0.25">
      <c r="A865" t="s">
        <v>563</v>
      </c>
      <c r="B865" t="s">
        <v>564</v>
      </c>
      <c r="C865" t="s">
        <v>21</v>
      </c>
      <c r="D865" t="s">
        <v>4062</v>
      </c>
      <c r="E865" t="s">
        <v>4390</v>
      </c>
      <c r="F865" t="s">
        <v>231</v>
      </c>
      <c r="G865">
        <v>0.31</v>
      </c>
      <c r="H865" s="2">
        <v>4155</v>
      </c>
      <c r="I865" s="2">
        <v>1271.43</v>
      </c>
    </row>
    <row r="866" spans="1:9" x14ac:dyDescent="0.25">
      <c r="A866" t="s">
        <v>563</v>
      </c>
      <c r="B866" t="s">
        <v>564</v>
      </c>
      <c r="C866" t="s">
        <v>21</v>
      </c>
      <c r="D866" t="s">
        <v>4062</v>
      </c>
      <c r="E866" t="s">
        <v>4507</v>
      </c>
      <c r="F866" t="s">
        <v>63</v>
      </c>
      <c r="G866">
        <v>0.5</v>
      </c>
      <c r="H866" s="2">
        <v>17500</v>
      </c>
      <c r="I866" s="2">
        <v>8750</v>
      </c>
    </row>
    <row r="867" spans="1:9" x14ac:dyDescent="0.25">
      <c r="A867" t="s">
        <v>563</v>
      </c>
      <c r="B867" t="s">
        <v>564</v>
      </c>
      <c r="C867" t="s">
        <v>21</v>
      </c>
      <c r="D867" t="s">
        <v>4062</v>
      </c>
      <c r="E867" t="s">
        <v>4321</v>
      </c>
      <c r="F867" t="s">
        <v>21</v>
      </c>
      <c r="G867">
        <v>2</v>
      </c>
      <c r="H867" s="2">
        <v>8777.33</v>
      </c>
      <c r="I867" s="2">
        <v>17554.66</v>
      </c>
    </row>
    <row r="868" spans="1:9" x14ac:dyDescent="0.25">
      <c r="A868" t="s">
        <v>563</v>
      </c>
      <c r="B868" t="s">
        <v>564</v>
      </c>
      <c r="C868" t="s">
        <v>21</v>
      </c>
      <c r="D868" t="s">
        <v>4062</v>
      </c>
      <c r="E868" t="s">
        <v>4405</v>
      </c>
      <c r="F868" t="s">
        <v>63</v>
      </c>
      <c r="G868">
        <v>3</v>
      </c>
      <c r="H868" s="2">
        <v>13056</v>
      </c>
      <c r="I868" s="2">
        <v>39168</v>
      </c>
    </row>
    <row r="869" spans="1:9" x14ac:dyDescent="0.25">
      <c r="A869" t="s">
        <v>563</v>
      </c>
      <c r="B869" t="s">
        <v>564</v>
      </c>
      <c r="C869" t="s">
        <v>21</v>
      </c>
      <c r="D869" t="s">
        <v>4062</v>
      </c>
      <c r="E869" t="s">
        <v>4508</v>
      </c>
      <c r="F869" t="s">
        <v>231</v>
      </c>
      <c r="G869">
        <v>0.1</v>
      </c>
      <c r="H869" s="2">
        <v>25650</v>
      </c>
      <c r="I869" s="2">
        <v>2565</v>
      </c>
    </row>
    <row r="870" spans="1:9" x14ac:dyDescent="0.25">
      <c r="A870" t="s">
        <v>563</v>
      </c>
      <c r="B870" t="s">
        <v>564</v>
      </c>
      <c r="C870" t="s">
        <v>21</v>
      </c>
      <c r="D870" t="s">
        <v>4062</v>
      </c>
      <c r="E870" t="s">
        <v>4065</v>
      </c>
      <c r="F870" t="s">
        <v>4066</v>
      </c>
      <c r="G870">
        <v>0.5</v>
      </c>
      <c r="H870" s="2">
        <v>3433</v>
      </c>
      <c r="I870" s="2">
        <v>1716.5</v>
      </c>
    </row>
    <row r="871" spans="1:9" x14ac:dyDescent="0.25">
      <c r="A871" t="s">
        <v>563</v>
      </c>
      <c r="B871" t="s">
        <v>564</v>
      </c>
      <c r="C871" t="s">
        <v>21</v>
      </c>
      <c r="D871" t="s">
        <v>4049</v>
      </c>
      <c r="E871" t="s">
        <v>4050</v>
      </c>
      <c r="F871" t="s">
        <v>4051</v>
      </c>
      <c r="G871">
        <v>3</v>
      </c>
      <c r="H871" s="2">
        <v>9037.33</v>
      </c>
      <c r="I871" s="2">
        <v>27111.99</v>
      </c>
    </row>
    <row r="872" spans="1:9" x14ac:dyDescent="0.25">
      <c r="A872" t="s">
        <v>563</v>
      </c>
      <c r="B872" t="s">
        <v>564</v>
      </c>
      <c r="C872" t="s">
        <v>21</v>
      </c>
      <c r="D872" t="s">
        <v>4049</v>
      </c>
      <c r="E872" t="s">
        <v>4073</v>
      </c>
      <c r="F872" t="s">
        <v>4051</v>
      </c>
      <c r="G872">
        <v>1.5</v>
      </c>
      <c r="H872" s="2">
        <v>15517.89</v>
      </c>
      <c r="I872" s="2">
        <v>23276.83</v>
      </c>
    </row>
    <row r="873" spans="1:9" x14ac:dyDescent="0.25">
      <c r="A873" t="s">
        <v>563</v>
      </c>
      <c r="B873" t="s">
        <v>564</v>
      </c>
      <c r="C873" t="s">
        <v>21</v>
      </c>
      <c r="D873" t="s">
        <v>4052</v>
      </c>
      <c r="E873" t="s">
        <v>4105</v>
      </c>
      <c r="F873" t="s">
        <v>4106</v>
      </c>
      <c r="G873">
        <v>0.2</v>
      </c>
      <c r="H873" s="2">
        <v>25125</v>
      </c>
      <c r="I873" s="2">
        <v>5025</v>
      </c>
    </row>
    <row r="874" spans="1:9" x14ac:dyDescent="0.25">
      <c r="A874" t="s">
        <v>563</v>
      </c>
      <c r="B874" t="s">
        <v>564</v>
      </c>
      <c r="C874" t="s">
        <v>21</v>
      </c>
      <c r="D874" t="s">
        <v>4052</v>
      </c>
      <c r="E874" t="s">
        <v>4053</v>
      </c>
      <c r="F874" t="s">
        <v>4054</v>
      </c>
      <c r="G874">
        <v>6.7</v>
      </c>
      <c r="H874" s="2">
        <v>50388.82</v>
      </c>
      <c r="I874" s="2">
        <v>3376.05</v>
      </c>
    </row>
    <row r="875" spans="1:9" x14ac:dyDescent="0.25">
      <c r="A875" t="s">
        <v>566</v>
      </c>
      <c r="B875" t="s">
        <v>567</v>
      </c>
      <c r="C875" t="s">
        <v>21</v>
      </c>
      <c r="D875" t="s">
        <v>4062</v>
      </c>
      <c r="E875" t="s">
        <v>4511</v>
      </c>
      <c r="F875" t="s">
        <v>63</v>
      </c>
      <c r="G875">
        <v>13</v>
      </c>
      <c r="H875" s="2">
        <v>2766.33</v>
      </c>
      <c r="I875" s="2">
        <v>35962.29</v>
      </c>
    </row>
    <row r="876" spans="1:9" x14ac:dyDescent="0.25">
      <c r="A876" t="s">
        <v>566</v>
      </c>
      <c r="B876" t="s">
        <v>567</v>
      </c>
      <c r="C876" t="s">
        <v>21</v>
      </c>
      <c r="D876" t="s">
        <v>4062</v>
      </c>
      <c r="E876" t="s">
        <v>3978</v>
      </c>
      <c r="F876" t="s">
        <v>34</v>
      </c>
      <c r="G876">
        <v>0.01</v>
      </c>
      <c r="H876" s="2">
        <v>409741.65</v>
      </c>
      <c r="I876" s="2">
        <v>2048.71</v>
      </c>
    </row>
    <row r="877" spans="1:9" x14ac:dyDescent="0.25">
      <c r="A877" t="s">
        <v>566</v>
      </c>
      <c r="B877" t="s">
        <v>567</v>
      </c>
      <c r="C877" t="s">
        <v>21</v>
      </c>
      <c r="D877" t="s">
        <v>4049</v>
      </c>
      <c r="E877" t="s">
        <v>4487</v>
      </c>
      <c r="F877" t="s">
        <v>4236</v>
      </c>
      <c r="G877">
        <v>1.12</v>
      </c>
      <c r="H877" s="2">
        <v>24555.22</v>
      </c>
      <c r="I877" s="2">
        <v>27501.85</v>
      </c>
    </row>
    <row r="878" spans="1:9" x14ac:dyDescent="0.25">
      <c r="A878" t="s">
        <v>566</v>
      </c>
      <c r="B878" t="s">
        <v>567</v>
      </c>
      <c r="C878" t="s">
        <v>21</v>
      </c>
      <c r="D878" t="s">
        <v>4052</v>
      </c>
      <c r="E878" t="s">
        <v>4053</v>
      </c>
      <c r="F878" t="s">
        <v>4054</v>
      </c>
      <c r="G878">
        <v>3.3</v>
      </c>
      <c r="H878" s="2">
        <v>27501.85</v>
      </c>
      <c r="I878" s="2">
        <v>907.56</v>
      </c>
    </row>
    <row r="879" spans="1:9" x14ac:dyDescent="0.25">
      <c r="A879" t="s">
        <v>570</v>
      </c>
      <c r="B879" t="s">
        <v>571</v>
      </c>
      <c r="C879" t="s">
        <v>21</v>
      </c>
      <c r="D879" t="s">
        <v>4062</v>
      </c>
      <c r="E879" t="s">
        <v>4514</v>
      </c>
      <c r="F879" t="s">
        <v>63</v>
      </c>
      <c r="G879">
        <v>13</v>
      </c>
      <c r="H879" s="2">
        <v>3716.67</v>
      </c>
      <c r="I879" s="2">
        <v>48316.71</v>
      </c>
    </row>
    <row r="880" spans="1:9" x14ac:dyDescent="0.25">
      <c r="A880" t="s">
        <v>570</v>
      </c>
      <c r="B880" t="s">
        <v>571</v>
      </c>
      <c r="C880" t="s">
        <v>21</v>
      </c>
      <c r="D880" t="s">
        <v>4062</v>
      </c>
      <c r="E880" t="s">
        <v>3978</v>
      </c>
      <c r="F880" t="s">
        <v>34</v>
      </c>
      <c r="G880">
        <v>0.02</v>
      </c>
      <c r="H880" s="2">
        <v>409741.65</v>
      </c>
      <c r="I880" s="2">
        <v>8194.83</v>
      </c>
    </row>
    <row r="881" spans="1:9" x14ac:dyDescent="0.25">
      <c r="A881" t="s">
        <v>570</v>
      </c>
      <c r="B881" t="s">
        <v>571</v>
      </c>
      <c r="C881" t="s">
        <v>21</v>
      </c>
      <c r="D881" t="s">
        <v>4049</v>
      </c>
      <c r="E881" t="s">
        <v>4487</v>
      </c>
      <c r="F881" t="s">
        <v>4236</v>
      </c>
      <c r="G881">
        <v>1.12</v>
      </c>
      <c r="H881" s="2">
        <v>24555.22</v>
      </c>
      <c r="I881" s="2">
        <v>27501.85</v>
      </c>
    </row>
    <row r="882" spans="1:9" x14ac:dyDescent="0.25">
      <c r="A882" t="s">
        <v>570</v>
      </c>
      <c r="B882" t="s">
        <v>571</v>
      </c>
      <c r="C882" t="s">
        <v>21</v>
      </c>
      <c r="D882" t="s">
        <v>4052</v>
      </c>
      <c r="E882" t="s">
        <v>4053</v>
      </c>
      <c r="F882" t="s">
        <v>4054</v>
      </c>
      <c r="G882">
        <v>3.3</v>
      </c>
      <c r="H882" s="2">
        <v>27501.85</v>
      </c>
      <c r="I882" s="2">
        <v>907.56</v>
      </c>
    </row>
    <row r="883" spans="1:9" x14ac:dyDescent="0.25">
      <c r="A883" t="s">
        <v>573</v>
      </c>
      <c r="B883" t="s">
        <v>574</v>
      </c>
      <c r="C883" t="s">
        <v>21</v>
      </c>
      <c r="D883" t="s">
        <v>4062</v>
      </c>
      <c r="E883" t="s">
        <v>4439</v>
      </c>
      <c r="F883" t="s">
        <v>63</v>
      </c>
      <c r="G883">
        <v>13</v>
      </c>
      <c r="H883" s="2">
        <v>1032</v>
      </c>
      <c r="I883" s="2">
        <v>13416</v>
      </c>
    </row>
    <row r="884" spans="1:9" x14ac:dyDescent="0.25">
      <c r="A884" t="s">
        <v>573</v>
      </c>
      <c r="B884" t="s">
        <v>574</v>
      </c>
      <c r="C884" t="s">
        <v>21</v>
      </c>
      <c r="D884" t="s">
        <v>4062</v>
      </c>
      <c r="E884" t="s">
        <v>3978</v>
      </c>
      <c r="F884" t="s">
        <v>34</v>
      </c>
      <c r="G884">
        <v>0.03</v>
      </c>
      <c r="H884" s="2">
        <v>409741.65</v>
      </c>
      <c r="I884" s="2">
        <v>12292.25</v>
      </c>
    </row>
    <row r="885" spans="1:9" x14ac:dyDescent="0.25">
      <c r="A885" t="s">
        <v>573</v>
      </c>
      <c r="B885" t="s">
        <v>574</v>
      </c>
      <c r="C885" t="s">
        <v>21</v>
      </c>
      <c r="D885" t="s">
        <v>4049</v>
      </c>
      <c r="E885" t="s">
        <v>4050</v>
      </c>
      <c r="F885" t="s">
        <v>4051</v>
      </c>
      <c r="G885">
        <v>0.51</v>
      </c>
      <c r="H885" s="2">
        <v>9037.33</v>
      </c>
      <c r="I885" s="2">
        <v>4609.04</v>
      </c>
    </row>
    <row r="886" spans="1:9" x14ac:dyDescent="0.25">
      <c r="A886" t="s">
        <v>573</v>
      </c>
      <c r="B886" t="s">
        <v>574</v>
      </c>
      <c r="C886" t="s">
        <v>21</v>
      </c>
      <c r="D886" t="s">
        <v>4049</v>
      </c>
      <c r="E886" t="s">
        <v>4073</v>
      </c>
      <c r="F886" t="s">
        <v>4051</v>
      </c>
      <c r="G886">
        <v>0.51</v>
      </c>
      <c r="H886" s="2">
        <v>15517.89</v>
      </c>
      <c r="I886" s="2">
        <v>7914.12</v>
      </c>
    </row>
    <row r="887" spans="1:9" x14ac:dyDescent="0.25">
      <c r="A887" t="s">
        <v>573</v>
      </c>
      <c r="B887" t="s">
        <v>574</v>
      </c>
      <c r="C887" t="s">
        <v>21</v>
      </c>
      <c r="D887" t="s">
        <v>4052</v>
      </c>
      <c r="E887" t="s">
        <v>4053</v>
      </c>
      <c r="F887" t="s">
        <v>4054</v>
      </c>
      <c r="G887">
        <v>3.3</v>
      </c>
      <c r="H887" s="2">
        <v>12523.16</v>
      </c>
      <c r="I887" s="2">
        <v>413.26</v>
      </c>
    </row>
    <row r="888" spans="1:9" x14ac:dyDescent="0.25">
      <c r="A888" t="s">
        <v>576</v>
      </c>
      <c r="B888" t="s">
        <v>577</v>
      </c>
      <c r="C888" t="s">
        <v>21</v>
      </c>
      <c r="D888" t="s">
        <v>4062</v>
      </c>
      <c r="E888" t="s">
        <v>4439</v>
      </c>
      <c r="F888" t="s">
        <v>63</v>
      </c>
      <c r="G888">
        <v>40</v>
      </c>
      <c r="H888" s="2">
        <v>1032</v>
      </c>
      <c r="I888" s="2">
        <v>41280</v>
      </c>
    </row>
    <row r="889" spans="1:9" x14ac:dyDescent="0.25">
      <c r="A889" t="s">
        <v>576</v>
      </c>
      <c r="B889" t="s">
        <v>577</v>
      </c>
      <c r="C889" t="s">
        <v>21</v>
      </c>
      <c r="D889" t="s">
        <v>4062</v>
      </c>
      <c r="E889" t="s">
        <v>3978</v>
      </c>
      <c r="F889" t="s">
        <v>34</v>
      </c>
      <c r="G889">
        <v>0.09</v>
      </c>
      <c r="H889" s="2">
        <v>409741.65</v>
      </c>
      <c r="I889" s="2">
        <v>34828.04</v>
      </c>
    </row>
    <row r="890" spans="1:9" x14ac:dyDescent="0.25">
      <c r="A890" t="s">
        <v>576</v>
      </c>
      <c r="B890" t="s">
        <v>577</v>
      </c>
      <c r="C890" t="s">
        <v>21</v>
      </c>
      <c r="D890" t="s">
        <v>4049</v>
      </c>
      <c r="E890" t="s">
        <v>4050</v>
      </c>
      <c r="F890" t="s">
        <v>4051</v>
      </c>
      <c r="G890">
        <v>1</v>
      </c>
      <c r="H890" s="2">
        <v>9037.33</v>
      </c>
      <c r="I890" s="2">
        <v>9037.33</v>
      </c>
    </row>
    <row r="891" spans="1:9" x14ac:dyDescent="0.25">
      <c r="A891" t="s">
        <v>576</v>
      </c>
      <c r="B891" t="s">
        <v>577</v>
      </c>
      <c r="C891" t="s">
        <v>21</v>
      </c>
      <c r="D891" t="s">
        <v>4049</v>
      </c>
      <c r="E891" t="s">
        <v>4073</v>
      </c>
      <c r="F891" t="s">
        <v>4051</v>
      </c>
      <c r="G891">
        <v>1</v>
      </c>
      <c r="H891" s="2">
        <v>15517.89</v>
      </c>
      <c r="I891" s="2">
        <v>15517.89</v>
      </c>
    </row>
    <row r="892" spans="1:9" x14ac:dyDescent="0.25">
      <c r="A892" t="s">
        <v>576</v>
      </c>
      <c r="B892" t="s">
        <v>577</v>
      </c>
      <c r="C892" t="s">
        <v>21</v>
      </c>
      <c r="D892" t="s">
        <v>4052</v>
      </c>
      <c r="E892" t="s">
        <v>4053</v>
      </c>
      <c r="F892" t="s">
        <v>4054</v>
      </c>
      <c r="G892">
        <v>3.3</v>
      </c>
      <c r="H892" s="2">
        <v>24555.22</v>
      </c>
      <c r="I892" s="2">
        <v>810.32</v>
      </c>
    </row>
    <row r="893" spans="1:9" x14ac:dyDescent="0.25">
      <c r="A893" t="s">
        <v>579</v>
      </c>
      <c r="B893" t="s">
        <v>580</v>
      </c>
      <c r="C893" t="s">
        <v>21</v>
      </c>
      <c r="D893" t="s">
        <v>4062</v>
      </c>
      <c r="E893" t="s">
        <v>4521</v>
      </c>
      <c r="F893" t="s">
        <v>63</v>
      </c>
      <c r="G893">
        <v>16</v>
      </c>
      <c r="H893" s="2">
        <v>990</v>
      </c>
      <c r="I893" s="2">
        <v>15840</v>
      </c>
    </row>
    <row r="894" spans="1:9" x14ac:dyDescent="0.25">
      <c r="A894" t="s">
        <v>579</v>
      </c>
      <c r="B894" t="s">
        <v>580</v>
      </c>
      <c r="C894" t="s">
        <v>21</v>
      </c>
      <c r="D894" t="s">
        <v>4062</v>
      </c>
      <c r="E894" t="s">
        <v>3978</v>
      </c>
      <c r="F894" t="s">
        <v>34</v>
      </c>
      <c r="G894">
        <v>0.02</v>
      </c>
      <c r="H894" s="2">
        <v>409741.65</v>
      </c>
      <c r="I894" s="2">
        <v>8194.83</v>
      </c>
    </row>
    <row r="895" spans="1:9" x14ac:dyDescent="0.25">
      <c r="A895" t="s">
        <v>579</v>
      </c>
      <c r="B895" t="s">
        <v>580</v>
      </c>
      <c r="C895" t="s">
        <v>21</v>
      </c>
      <c r="D895" t="s">
        <v>4049</v>
      </c>
      <c r="E895" t="s">
        <v>4050</v>
      </c>
      <c r="F895" t="s">
        <v>4051</v>
      </c>
      <c r="G895">
        <v>0.51</v>
      </c>
      <c r="H895" s="2">
        <v>9037.33</v>
      </c>
      <c r="I895" s="2">
        <v>4609.04</v>
      </c>
    </row>
    <row r="896" spans="1:9" x14ac:dyDescent="0.25">
      <c r="A896" t="s">
        <v>579</v>
      </c>
      <c r="B896" t="s">
        <v>580</v>
      </c>
      <c r="C896" t="s">
        <v>21</v>
      </c>
      <c r="D896" t="s">
        <v>4049</v>
      </c>
      <c r="E896" t="s">
        <v>4073</v>
      </c>
      <c r="F896" t="s">
        <v>4051</v>
      </c>
      <c r="G896">
        <v>0.51</v>
      </c>
      <c r="H896" s="2">
        <v>15517.89</v>
      </c>
      <c r="I896" s="2">
        <v>7914.12</v>
      </c>
    </row>
    <row r="897" spans="1:9" x14ac:dyDescent="0.25">
      <c r="A897" t="s">
        <v>579</v>
      </c>
      <c r="B897" t="s">
        <v>580</v>
      </c>
      <c r="C897" t="s">
        <v>21</v>
      </c>
      <c r="D897" t="s">
        <v>4052</v>
      </c>
      <c r="E897" t="s">
        <v>4053</v>
      </c>
      <c r="F897" t="s">
        <v>4054</v>
      </c>
      <c r="G897">
        <v>3.3</v>
      </c>
      <c r="H897" s="2">
        <v>12523.16</v>
      </c>
      <c r="I897" s="2">
        <v>413.26</v>
      </c>
    </row>
    <row r="898" spans="1:9" x14ac:dyDescent="0.25">
      <c r="A898" t="s">
        <v>582</v>
      </c>
      <c r="B898" t="s">
        <v>583</v>
      </c>
      <c r="C898" t="s">
        <v>21</v>
      </c>
      <c r="D898" t="s">
        <v>4062</v>
      </c>
      <c r="E898" t="s">
        <v>4521</v>
      </c>
      <c r="F898" t="s">
        <v>63</v>
      </c>
      <c r="G898">
        <v>26</v>
      </c>
      <c r="H898" s="2">
        <v>990</v>
      </c>
      <c r="I898" s="2">
        <v>25740</v>
      </c>
    </row>
    <row r="899" spans="1:9" x14ac:dyDescent="0.25">
      <c r="A899" t="s">
        <v>582</v>
      </c>
      <c r="B899" t="s">
        <v>583</v>
      </c>
      <c r="C899" t="s">
        <v>21</v>
      </c>
      <c r="D899" t="s">
        <v>4062</v>
      </c>
      <c r="E899" t="s">
        <v>3978</v>
      </c>
      <c r="F899" t="s">
        <v>34</v>
      </c>
      <c r="G899">
        <v>0.04</v>
      </c>
      <c r="H899" s="2">
        <v>409741.65</v>
      </c>
      <c r="I899" s="2">
        <v>16389.67</v>
      </c>
    </row>
    <row r="900" spans="1:9" x14ac:dyDescent="0.25">
      <c r="A900" t="s">
        <v>582</v>
      </c>
      <c r="B900" t="s">
        <v>583</v>
      </c>
      <c r="C900" t="s">
        <v>21</v>
      </c>
      <c r="D900" t="s">
        <v>4049</v>
      </c>
      <c r="E900" t="s">
        <v>4050</v>
      </c>
      <c r="F900" t="s">
        <v>4051</v>
      </c>
      <c r="G900">
        <v>1</v>
      </c>
      <c r="H900" s="2">
        <v>9037.33</v>
      </c>
      <c r="I900" s="2">
        <v>9037.33</v>
      </c>
    </row>
    <row r="901" spans="1:9" x14ac:dyDescent="0.25">
      <c r="A901" t="s">
        <v>582</v>
      </c>
      <c r="B901" t="s">
        <v>583</v>
      </c>
      <c r="C901" t="s">
        <v>21</v>
      </c>
      <c r="D901" t="s">
        <v>4049</v>
      </c>
      <c r="E901" t="s">
        <v>4073</v>
      </c>
      <c r="F901" t="s">
        <v>4051</v>
      </c>
      <c r="G901">
        <v>1</v>
      </c>
      <c r="H901" s="2">
        <v>15517.89</v>
      </c>
      <c r="I901" s="2">
        <v>15517.89</v>
      </c>
    </row>
    <row r="902" spans="1:9" x14ac:dyDescent="0.25">
      <c r="A902" t="s">
        <v>582</v>
      </c>
      <c r="B902" t="s">
        <v>583</v>
      </c>
      <c r="C902" t="s">
        <v>21</v>
      </c>
      <c r="D902" t="s">
        <v>4052</v>
      </c>
      <c r="E902" t="s">
        <v>4053</v>
      </c>
      <c r="F902" t="s">
        <v>4054</v>
      </c>
      <c r="G902">
        <v>3.3</v>
      </c>
      <c r="H902" s="2">
        <v>24555.22</v>
      </c>
      <c r="I902" s="2">
        <v>810.32</v>
      </c>
    </row>
    <row r="903" spans="1:9" x14ac:dyDescent="0.25">
      <c r="A903" t="s">
        <v>585</v>
      </c>
      <c r="B903" t="s">
        <v>586</v>
      </c>
      <c r="C903" t="s">
        <v>21</v>
      </c>
      <c r="D903" t="s">
        <v>4062</v>
      </c>
      <c r="E903" t="s">
        <v>4526</v>
      </c>
      <c r="F903" t="s">
        <v>63</v>
      </c>
      <c r="G903">
        <v>27.22</v>
      </c>
      <c r="H903" s="2">
        <v>25</v>
      </c>
      <c r="I903" s="2">
        <v>680.5</v>
      </c>
    </row>
    <row r="904" spans="1:9" x14ac:dyDescent="0.25">
      <c r="A904" t="s">
        <v>585</v>
      </c>
      <c r="B904" t="s">
        <v>586</v>
      </c>
      <c r="C904" t="s">
        <v>21</v>
      </c>
      <c r="D904" t="s">
        <v>4062</v>
      </c>
      <c r="E904" t="s">
        <v>4527</v>
      </c>
      <c r="F904" t="s">
        <v>63</v>
      </c>
      <c r="G904">
        <v>2.82</v>
      </c>
      <c r="H904" s="2">
        <v>573</v>
      </c>
      <c r="I904" s="2">
        <v>1615.86</v>
      </c>
    </row>
    <row r="905" spans="1:9" x14ac:dyDescent="0.25">
      <c r="A905" t="s">
        <v>585</v>
      </c>
      <c r="B905" t="s">
        <v>586</v>
      </c>
      <c r="C905" t="s">
        <v>21</v>
      </c>
      <c r="D905" t="s">
        <v>4062</v>
      </c>
      <c r="E905" t="s">
        <v>4528</v>
      </c>
      <c r="F905" t="s">
        <v>63</v>
      </c>
      <c r="G905">
        <v>0.71</v>
      </c>
      <c r="H905" s="2">
        <v>5037</v>
      </c>
      <c r="I905" s="2">
        <v>3576.27</v>
      </c>
    </row>
    <row r="906" spans="1:9" x14ac:dyDescent="0.25">
      <c r="A906" t="s">
        <v>585</v>
      </c>
      <c r="B906" t="s">
        <v>586</v>
      </c>
      <c r="C906" t="s">
        <v>21</v>
      </c>
      <c r="D906" t="s">
        <v>4062</v>
      </c>
      <c r="E906" t="s">
        <v>4529</v>
      </c>
      <c r="F906" t="s">
        <v>63</v>
      </c>
      <c r="G906">
        <v>0.35</v>
      </c>
      <c r="H906" s="2">
        <v>4900</v>
      </c>
      <c r="I906" s="2">
        <v>1715</v>
      </c>
    </row>
    <row r="907" spans="1:9" x14ac:dyDescent="0.25">
      <c r="A907" t="s">
        <v>585</v>
      </c>
      <c r="B907" t="s">
        <v>586</v>
      </c>
      <c r="C907" t="s">
        <v>21</v>
      </c>
      <c r="D907" t="s">
        <v>4062</v>
      </c>
      <c r="E907" t="s">
        <v>4530</v>
      </c>
      <c r="F907" t="s">
        <v>63</v>
      </c>
      <c r="G907">
        <v>1.61</v>
      </c>
      <c r="H907" s="2">
        <v>616.67</v>
      </c>
      <c r="I907" s="2">
        <v>992.84</v>
      </c>
    </row>
    <row r="908" spans="1:9" x14ac:dyDescent="0.25">
      <c r="A908" t="s">
        <v>585</v>
      </c>
      <c r="B908" t="s">
        <v>586</v>
      </c>
      <c r="C908" t="s">
        <v>21</v>
      </c>
      <c r="D908" t="s">
        <v>4062</v>
      </c>
      <c r="E908" t="s">
        <v>4531</v>
      </c>
      <c r="F908" t="s">
        <v>4532</v>
      </c>
      <c r="G908">
        <v>0.07</v>
      </c>
      <c r="H908" s="2">
        <v>3586.73</v>
      </c>
      <c r="I908" s="2">
        <v>251.43</v>
      </c>
    </row>
    <row r="909" spans="1:9" x14ac:dyDescent="0.25">
      <c r="A909" t="s">
        <v>585</v>
      </c>
      <c r="B909" t="s">
        <v>586</v>
      </c>
      <c r="C909" t="s">
        <v>21</v>
      </c>
      <c r="D909" t="s">
        <v>4062</v>
      </c>
      <c r="E909" t="s">
        <v>4533</v>
      </c>
      <c r="F909" t="s">
        <v>4377</v>
      </c>
      <c r="G909">
        <v>0.07</v>
      </c>
      <c r="H909" s="2">
        <v>31809.93</v>
      </c>
      <c r="I909" s="2">
        <v>2226.7</v>
      </c>
    </row>
    <row r="910" spans="1:9" x14ac:dyDescent="0.25">
      <c r="A910" t="s">
        <v>585</v>
      </c>
      <c r="B910" t="s">
        <v>586</v>
      </c>
      <c r="C910" t="s">
        <v>21</v>
      </c>
      <c r="D910" t="s">
        <v>4062</v>
      </c>
      <c r="E910" t="s">
        <v>4534</v>
      </c>
      <c r="F910" t="s">
        <v>63</v>
      </c>
      <c r="G910">
        <v>0.71</v>
      </c>
      <c r="H910" s="2">
        <v>21442.67</v>
      </c>
      <c r="I910" s="2">
        <v>15224.3</v>
      </c>
    </row>
    <row r="911" spans="1:9" x14ac:dyDescent="0.25">
      <c r="A911" t="s">
        <v>585</v>
      </c>
      <c r="B911" t="s">
        <v>586</v>
      </c>
      <c r="C911" t="s">
        <v>21</v>
      </c>
      <c r="D911" t="s">
        <v>4062</v>
      </c>
      <c r="E911" t="s">
        <v>4535</v>
      </c>
      <c r="F911" t="s">
        <v>63</v>
      </c>
      <c r="G911">
        <v>0.42</v>
      </c>
      <c r="H911" s="2">
        <v>1180</v>
      </c>
      <c r="I911" s="2">
        <v>495.6</v>
      </c>
    </row>
    <row r="912" spans="1:9" x14ac:dyDescent="0.25">
      <c r="A912" t="s">
        <v>585</v>
      </c>
      <c r="B912" t="s">
        <v>586</v>
      </c>
      <c r="C912" t="s">
        <v>21</v>
      </c>
      <c r="D912" t="s">
        <v>4062</v>
      </c>
      <c r="E912" t="s">
        <v>4536</v>
      </c>
      <c r="F912" t="s">
        <v>63</v>
      </c>
      <c r="G912">
        <v>0.09</v>
      </c>
      <c r="H912" s="2">
        <v>37625</v>
      </c>
      <c r="I912" s="2">
        <v>3386.25</v>
      </c>
    </row>
    <row r="913" spans="1:9" x14ac:dyDescent="0.25">
      <c r="A913" t="s">
        <v>585</v>
      </c>
      <c r="B913" t="s">
        <v>586</v>
      </c>
      <c r="C913" t="s">
        <v>21</v>
      </c>
      <c r="D913" t="s">
        <v>4049</v>
      </c>
      <c r="E913" t="s">
        <v>4050</v>
      </c>
      <c r="F913" t="s">
        <v>4051</v>
      </c>
      <c r="G913">
        <v>1.04</v>
      </c>
      <c r="H913" s="2">
        <v>9037.33</v>
      </c>
      <c r="I913" s="2">
        <v>9363.58</v>
      </c>
    </row>
    <row r="914" spans="1:9" x14ac:dyDescent="0.25">
      <c r="A914" t="s">
        <v>585</v>
      </c>
      <c r="B914" t="s">
        <v>586</v>
      </c>
      <c r="C914" t="s">
        <v>21</v>
      </c>
      <c r="D914" t="s">
        <v>4049</v>
      </c>
      <c r="E914" t="s">
        <v>4073</v>
      </c>
      <c r="F914" t="s">
        <v>4051</v>
      </c>
      <c r="G914">
        <v>1.03</v>
      </c>
      <c r="H914" s="2">
        <v>15517.89</v>
      </c>
      <c r="I914" s="2">
        <v>15983.43</v>
      </c>
    </row>
    <row r="915" spans="1:9" x14ac:dyDescent="0.25">
      <c r="A915" t="s">
        <v>585</v>
      </c>
      <c r="B915" t="s">
        <v>586</v>
      </c>
      <c r="C915" t="s">
        <v>21</v>
      </c>
      <c r="D915" t="s">
        <v>4052</v>
      </c>
      <c r="E915" t="s">
        <v>4053</v>
      </c>
      <c r="F915" t="s">
        <v>4054</v>
      </c>
      <c r="G915">
        <v>3.3</v>
      </c>
      <c r="H915" s="2">
        <v>25347.01</v>
      </c>
      <c r="I915" s="2">
        <v>836.45</v>
      </c>
    </row>
    <row r="916" spans="1:9" x14ac:dyDescent="0.25">
      <c r="A916" t="s">
        <v>588</v>
      </c>
      <c r="B916" t="s">
        <v>589</v>
      </c>
      <c r="C916" t="s">
        <v>21</v>
      </c>
      <c r="D916" t="s">
        <v>4062</v>
      </c>
      <c r="E916" t="s">
        <v>4526</v>
      </c>
      <c r="F916" t="s">
        <v>63</v>
      </c>
      <c r="G916">
        <v>27.22</v>
      </c>
      <c r="H916" s="2">
        <v>25</v>
      </c>
      <c r="I916" s="2">
        <v>680.5</v>
      </c>
    </row>
    <row r="917" spans="1:9" x14ac:dyDescent="0.25">
      <c r="A917" t="s">
        <v>588</v>
      </c>
      <c r="B917" t="s">
        <v>589</v>
      </c>
      <c r="C917" t="s">
        <v>21</v>
      </c>
      <c r="D917" t="s">
        <v>4062</v>
      </c>
      <c r="E917" t="s">
        <v>4527</v>
      </c>
      <c r="F917" t="s">
        <v>63</v>
      </c>
      <c r="G917">
        <v>2.82</v>
      </c>
      <c r="H917" s="2">
        <v>573</v>
      </c>
      <c r="I917" s="2">
        <v>1615.86</v>
      </c>
    </row>
    <row r="918" spans="1:9" x14ac:dyDescent="0.25">
      <c r="A918" t="s">
        <v>588</v>
      </c>
      <c r="B918" t="s">
        <v>589</v>
      </c>
      <c r="C918" t="s">
        <v>21</v>
      </c>
      <c r="D918" t="s">
        <v>4062</v>
      </c>
      <c r="E918" t="s">
        <v>4528</v>
      </c>
      <c r="F918" t="s">
        <v>63</v>
      </c>
      <c r="G918">
        <v>0.71</v>
      </c>
      <c r="H918" s="2">
        <v>5037</v>
      </c>
      <c r="I918" s="2">
        <v>3576.27</v>
      </c>
    </row>
    <row r="919" spans="1:9" x14ac:dyDescent="0.25">
      <c r="A919" t="s">
        <v>588</v>
      </c>
      <c r="B919" t="s">
        <v>589</v>
      </c>
      <c r="C919" t="s">
        <v>21</v>
      </c>
      <c r="D919" t="s">
        <v>4062</v>
      </c>
      <c r="E919" t="s">
        <v>4539</v>
      </c>
      <c r="F919" t="s">
        <v>63</v>
      </c>
      <c r="G919">
        <v>0.35</v>
      </c>
      <c r="H919" s="2">
        <v>5600</v>
      </c>
      <c r="I919" s="2">
        <v>1960</v>
      </c>
    </row>
    <row r="920" spans="1:9" x14ac:dyDescent="0.25">
      <c r="A920" t="s">
        <v>588</v>
      </c>
      <c r="B920" t="s">
        <v>589</v>
      </c>
      <c r="C920" t="s">
        <v>21</v>
      </c>
      <c r="D920" t="s">
        <v>4062</v>
      </c>
      <c r="E920" t="s">
        <v>4530</v>
      </c>
      <c r="F920" t="s">
        <v>63</v>
      </c>
      <c r="G920">
        <v>1.61</v>
      </c>
      <c r="H920" s="2">
        <v>616.67</v>
      </c>
      <c r="I920" s="2">
        <v>992.84</v>
      </c>
    </row>
    <row r="921" spans="1:9" x14ac:dyDescent="0.25">
      <c r="A921" t="s">
        <v>588</v>
      </c>
      <c r="B921" t="s">
        <v>589</v>
      </c>
      <c r="C921" t="s">
        <v>21</v>
      </c>
      <c r="D921" t="s">
        <v>4062</v>
      </c>
      <c r="E921" t="s">
        <v>4531</v>
      </c>
      <c r="F921" t="s">
        <v>4532</v>
      </c>
      <c r="G921">
        <v>0.07</v>
      </c>
      <c r="H921" s="2">
        <v>3586.73</v>
      </c>
      <c r="I921" s="2">
        <v>251.07</v>
      </c>
    </row>
    <row r="922" spans="1:9" x14ac:dyDescent="0.25">
      <c r="A922" t="s">
        <v>588</v>
      </c>
      <c r="B922" t="s">
        <v>589</v>
      </c>
      <c r="C922" t="s">
        <v>21</v>
      </c>
      <c r="D922" t="s">
        <v>4062</v>
      </c>
      <c r="E922" t="s">
        <v>4533</v>
      </c>
      <c r="F922" t="s">
        <v>4377</v>
      </c>
      <c r="G922">
        <v>0.07</v>
      </c>
      <c r="H922" s="2">
        <v>31809.93</v>
      </c>
      <c r="I922" s="2">
        <v>2105.82</v>
      </c>
    </row>
    <row r="923" spans="1:9" x14ac:dyDescent="0.25">
      <c r="A923" t="s">
        <v>588</v>
      </c>
      <c r="B923" t="s">
        <v>589</v>
      </c>
      <c r="C923" t="s">
        <v>21</v>
      </c>
      <c r="D923" t="s">
        <v>4062</v>
      </c>
      <c r="E923" t="s">
        <v>4534</v>
      </c>
      <c r="F923" t="s">
        <v>63</v>
      </c>
      <c r="G923">
        <v>0.7</v>
      </c>
      <c r="H923" s="2">
        <v>21442.67</v>
      </c>
      <c r="I923" s="2">
        <v>15009.87</v>
      </c>
    </row>
    <row r="924" spans="1:9" x14ac:dyDescent="0.25">
      <c r="A924" t="s">
        <v>588</v>
      </c>
      <c r="B924" t="s">
        <v>589</v>
      </c>
      <c r="C924" t="s">
        <v>21</v>
      </c>
      <c r="D924" t="s">
        <v>4062</v>
      </c>
      <c r="E924" t="s">
        <v>4535</v>
      </c>
      <c r="F924" t="s">
        <v>63</v>
      </c>
      <c r="G924">
        <v>0.42</v>
      </c>
      <c r="H924" s="2">
        <v>1180</v>
      </c>
      <c r="I924" s="2">
        <v>495.6</v>
      </c>
    </row>
    <row r="925" spans="1:9" x14ac:dyDescent="0.25">
      <c r="A925" t="s">
        <v>588</v>
      </c>
      <c r="B925" t="s">
        <v>589</v>
      </c>
      <c r="C925" t="s">
        <v>21</v>
      </c>
      <c r="D925" t="s">
        <v>4062</v>
      </c>
      <c r="E925" t="s">
        <v>4536</v>
      </c>
      <c r="F925" t="s">
        <v>63</v>
      </c>
      <c r="G925">
        <v>0.09</v>
      </c>
      <c r="H925" s="2">
        <v>37625</v>
      </c>
      <c r="I925" s="2">
        <v>3386.25</v>
      </c>
    </row>
    <row r="926" spans="1:9" x14ac:dyDescent="0.25">
      <c r="A926" t="s">
        <v>588</v>
      </c>
      <c r="B926" t="s">
        <v>589</v>
      </c>
      <c r="C926" t="s">
        <v>21</v>
      </c>
      <c r="D926" t="s">
        <v>4049</v>
      </c>
      <c r="E926" t="s">
        <v>4050</v>
      </c>
      <c r="F926" t="s">
        <v>4051</v>
      </c>
      <c r="G926">
        <v>1.04</v>
      </c>
      <c r="H926" s="2">
        <v>9037.33</v>
      </c>
      <c r="I926" s="2">
        <v>9363.58</v>
      </c>
    </row>
    <row r="927" spans="1:9" x14ac:dyDescent="0.25">
      <c r="A927" t="s">
        <v>588</v>
      </c>
      <c r="B927" t="s">
        <v>589</v>
      </c>
      <c r="C927" t="s">
        <v>21</v>
      </c>
      <c r="D927" t="s">
        <v>4049</v>
      </c>
      <c r="E927" t="s">
        <v>4073</v>
      </c>
      <c r="F927" t="s">
        <v>4051</v>
      </c>
      <c r="G927">
        <v>1.03</v>
      </c>
      <c r="H927" s="2">
        <v>15517.89</v>
      </c>
      <c r="I927" s="2">
        <v>15983.43</v>
      </c>
    </row>
    <row r="928" spans="1:9" x14ac:dyDescent="0.25">
      <c r="A928" t="s">
        <v>588</v>
      </c>
      <c r="B928" t="s">
        <v>589</v>
      </c>
      <c r="C928" t="s">
        <v>21</v>
      </c>
      <c r="D928" t="s">
        <v>4052</v>
      </c>
      <c r="E928" t="s">
        <v>4053</v>
      </c>
      <c r="F928" t="s">
        <v>4054</v>
      </c>
      <c r="G928">
        <v>3.3</v>
      </c>
      <c r="H928" s="2">
        <v>25347.01</v>
      </c>
      <c r="I928" s="2">
        <v>836.45</v>
      </c>
    </row>
    <row r="929" spans="1:9" x14ac:dyDescent="0.25">
      <c r="A929" t="s">
        <v>591</v>
      </c>
      <c r="B929" t="s">
        <v>592</v>
      </c>
      <c r="C929" t="s">
        <v>21</v>
      </c>
      <c r="D929" t="s">
        <v>4062</v>
      </c>
      <c r="E929" t="s">
        <v>4474</v>
      </c>
      <c r="F929" t="s">
        <v>34</v>
      </c>
      <c r="G929">
        <v>0.04</v>
      </c>
      <c r="H929" s="2">
        <v>114500</v>
      </c>
      <c r="I929" s="2">
        <v>4580</v>
      </c>
    </row>
    <row r="930" spans="1:9" x14ac:dyDescent="0.25">
      <c r="A930" t="s">
        <v>591</v>
      </c>
      <c r="B930" t="s">
        <v>592</v>
      </c>
      <c r="C930" t="s">
        <v>21</v>
      </c>
      <c r="D930" t="s">
        <v>4062</v>
      </c>
      <c r="E930" t="s">
        <v>4542</v>
      </c>
      <c r="F930" t="s">
        <v>231</v>
      </c>
      <c r="G930">
        <v>0.5</v>
      </c>
      <c r="H930" s="2">
        <v>910</v>
      </c>
      <c r="I930" s="2">
        <v>455</v>
      </c>
    </row>
    <row r="931" spans="1:9" x14ac:dyDescent="0.25">
      <c r="A931" t="s">
        <v>591</v>
      </c>
      <c r="B931" t="s">
        <v>592</v>
      </c>
      <c r="C931" t="s">
        <v>21</v>
      </c>
      <c r="D931" t="s">
        <v>4062</v>
      </c>
      <c r="E931" t="s">
        <v>4475</v>
      </c>
      <c r="F931" t="s">
        <v>231</v>
      </c>
      <c r="G931">
        <v>18</v>
      </c>
      <c r="H931" s="2">
        <v>730</v>
      </c>
      <c r="I931" s="2">
        <v>13140</v>
      </c>
    </row>
    <row r="932" spans="1:9" x14ac:dyDescent="0.25">
      <c r="A932" t="s">
        <v>591</v>
      </c>
      <c r="B932" t="s">
        <v>592</v>
      </c>
      <c r="C932" t="s">
        <v>21</v>
      </c>
      <c r="D932" t="s">
        <v>4062</v>
      </c>
      <c r="E932" t="s">
        <v>4543</v>
      </c>
      <c r="F932" t="s">
        <v>63</v>
      </c>
      <c r="G932">
        <v>48</v>
      </c>
      <c r="H932" s="2">
        <v>848</v>
      </c>
      <c r="I932" s="2">
        <v>40704</v>
      </c>
    </row>
    <row r="933" spans="1:9" x14ac:dyDescent="0.25">
      <c r="A933" t="s">
        <v>591</v>
      </c>
      <c r="B933" t="s">
        <v>592</v>
      </c>
      <c r="C933" t="s">
        <v>21</v>
      </c>
      <c r="D933" t="s">
        <v>4062</v>
      </c>
      <c r="E933" t="s">
        <v>4076</v>
      </c>
      <c r="F933" t="s">
        <v>3963</v>
      </c>
      <c r="G933">
        <v>10</v>
      </c>
      <c r="H933" s="2">
        <v>21</v>
      </c>
      <c r="I933" s="2">
        <v>210</v>
      </c>
    </row>
    <row r="934" spans="1:9" x14ac:dyDescent="0.25">
      <c r="A934" t="s">
        <v>591</v>
      </c>
      <c r="B934" t="s">
        <v>592</v>
      </c>
      <c r="C934" t="s">
        <v>21</v>
      </c>
      <c r="D934" t="s">
        <v>4062</v>
      </c>
      <c r="E934" t="s">
        <v>4544</v>
      </c>
      <c r="F934" t="s">
        <v>231</v>
      </c>
      <c r="G934">
        <v>0.3</v>
      </c>
      <c r="H934" s="2">
        <v>25521</v>
      </c>
      <c r="I934" s="2">
        <v>7656.3</v>
      </c>
    </row>
    <row r="935" spans="1:9" x14ac:dyDescent="0.25">
      <c r="A935" t="s">
        <v>591</v>
      </c>
      <c r="B935" t="s">
        <v>592</v>
      </c>
      <c r="C935" t="s">
        <v>21</v>
      </c>
      <c r="D935" t="s">
        <v>4049</v>
      </c>
      <c r="E935" t="s">
        <v>4050</v>
      </c>
      <c r="F935" t="s">
        <v>4051</v>
      </c>
      <c r="G935">
        <v>1.74</v>
      </c>
      <c r="H935" s="2">
        <v>9037.33</v>
      </c>
      <c r="I935" s="2">
        <v>15726.76</v>
      </c>
    </row>
    <row r="936" spans="1:9" x14ac:dyDescent="0.25">
      <c r="A936" t="s">
        <v>591</v>
      </c>
      <c r="B936" t="s">
        <v>592</v>
      </c>
      <c r="C936" t="s">
        <v>21</v>
      </c>
      <c r="D936" t="s">
        <v>4049</v>
      </c>
      <c r="E936" t="s">
        <v>4073</v>
      </c>
      <c r="F936" t="s">
        <v>4051</v>
      </c>
      <c r="G936">
        <v>0.87</v>
      </c>
      <c r="H936" s="2">
        <v>15517.89</v>
      </c>
      <c r="I936" s="2">
        <v>13547.12</v>
      </c>
    </row>
    <row r="937" spans="1:9" x14ac:dyDescent="0.25">
      <c r="A937" t="s">
        <v>591</v>
      </c>
      <c r="B937" t="s">
        <v>592</v>
      </c>
      <c r="C937" t="s">
        <v>21</v>
      </c>
      <c r="D937" t="s">
        <v>4052</v>
      </c>
      <c r="E937" t="s">
        <v>4053</v>
      </c>
      <c r="F937" t="s">
        <v>4054</v>
      </c>
      <c r="G937">
        <v>3.3</v>
      </c>
      <c r="H937" s="2">
        <v>29273.88</v>
      </c>
      <c r="I937" s="2">
        <v>966.04</v>
      </c>
    </row>
    <row r="938" spans="1:9" x14ac:dyDescent="0.25">
      <c r="A938" t="s">
        <v>594</v>
      </c>
      <c r="B938" t="s">
        <v>595</v>
      </c>
      <c r="C938" t="s">
        <v>21</v>
      </c>
      <c r="D938" t="s">
        <v>4062</v>
      </c>
      <c r="E938" t="s">
        <v>4547</v>
      </c>
      <c r="F938" t="s">
        <v>34</v>
      </c>
      <c r="G938">
        <v>0.75</v>
      </c>
      <c r="H938" s="2">
        <v>57129.33</v>
      </c>
      <c r="I938" s="2">
        <v>42847</v>
      </c>
    </row>
    <row r="939" spans="1:9" x14ac:dyDescent="0.25">
      <c r="A939" t="s">
        <v>594</v>
      </c>
      <c r="B939" t="s">
        <v>595</v>
      </c>
      <c r="C939" t="s">
        <v>21</v>
      </c>
      <c r="D939" t="s">
        <v>4062</v>
      </c>
      <c r="E939" t="s">
        <v>4325</v>
      </c>
      <c r="F939" t="s">
        <v>42</v>
      </c>
      <c r="G939">
        <v>15.42</v>
      </c>
      <c r="H939" s="2">
        <v>4947</v>
      </c>
      <c r="I939" s="2">
        <v>76282.74</v>
      </c>
    </row>
    <row r="940" spans="1:9" x14ac:dyDescent="0.25">
      <c r="A940" t="s">
        <v>594</v>
      </c>
      <c r="B940" t="s">
        <v>595</v>
      </c>
      <c r="C940" t="s">
        <v>21</v>
      </c>
      <c r="D940" t="s">
        <v>4062</v>
      </c>
      <c r="E940" t="s">
        <v>4548</v>
      </c>
      <c r="F940" t="s">
        <v>42</v>
      </c>
      <c r="G940">
        <v>8</v>
      </c>
      <c r="H940" s="2">
        <v>6814.18</v>
      </c>
      <c r="I940" s="2">
        <v>54513.44</v>
      </c>
    </row>
    <row r="941" spans="1:9" x14ac:dyDescent="0.25">
      <c r="A941" t="s">
        <v>594</v>
      </c>
      <c r="B941" t="s">
        <v>595</v>
      </c>
      <c r="C941" t="s">
        <v>21</v>
      </c>
      <c r="D941" t="s">
        <v>4062</v>
      </c>
      <c r="E941" t="s">
        <v>4277</v>
      </c>
      <c r="F941" t="s">
        <v>34</v>
      </c>
      <c r="G941">
        <v>0.1</v>
      </c>
      <c r="H941" s="2">
        <v>50575</v>
      </c>
      <c r="I941" s="2">
        <v>5057.5</v>
      </c>
    </row>
    <row r="942" spans="1:9" x14ac:dyDescent="0.25">
      <c r="A942" t="s">
        <v>594</v>
      </c>
      <c r="B942" t="s">
        <v>595</v>
      </c>
      <c r="C942" t="s">
        <v>21</v>
      </c>
      <c r="D942" t="s">
        <v>4062</v>
      </c>
      <c r="E942" t="s">
        <v>4549</v>
      </c>
      <c r="F942" t="s">
        <v>63</v>
      </c>
      <c r="G942">
        <v>3.7</v>
      </c>
      <c r="H942" s="2">
        <v>7483.5</v>
      </c>
      <c r="I942" s="2">
        <v>27710.65</v>
      </c>
    </row>
    <row r="943" spans="1:9" x14ac:dyDescent="0.25">
      <c r="A943" t="s">
        <v>594</v>
      </c>
      <c r="B943" t="s">
        <v>595</v>
      </c>
      <c r="C943" t="s">
        <v>21</v>
      </c>
      <c r="D943" t="s">
        <v>4049</v>
      </c>
      <c r="E943" t="s">
        <v>4050</v>
      </c>
      <c r="F943" t="s">
        <v>4051</v>
      </c>
      <c r="G943">
        <v>5.6</v>
      </c>
      <c r="H943" s="2">
        <v>9037.33</v>
      </c>
      <c r="I943" s="2">
        <v>50609.05</v>
      </c>
    </row>
    <row r="944" spans="1:9" x14ac:dyDescent="0.25">
      <c r="A944" t="s">
        <v>594</v>
      </c>
      <c r="B944" t="s">
        <v>595</v>
      </c>
      <c r="C944" t="s">
        <v>21</v>
      </c>
      <c r="D944" t="s">
        <v>4049</v>
      </c>
      <c r="E944" t="s">
        <v>4073</v>
      </c>
      <c r="F944" t="s">
        <v>4051</v>
      </c>
      <c r="G944">
        <v>2.8</v>
      </c>
      <c r="H944" s="2">
        <v>15517.89</v>
      </c>
      <c r="I944" s="2">
        <v>43450.09</v>
      </c>
    </row>
    <row r="945" spans="1:9" x14ac:dyDescent="0.25">
      <c r="A945" t="s">
        <v>594</v>
      </c>
      <c r="B945" t="s">
        <v>595</v>
      </c>
      <c r="C945" t="s">
        <v>21</v>
      </c>
      <c r="D945" t="s">
        <v>4052</v>
      </c>
      <c r="E945" t="s">
        <v>4053</v>
      </c>
      <c r="F945" t="s">
        <v>4054</v>
      </c>
      <c r="G945">
        <v>9.9</v>
      </c>
      <c r="H945" s="2">
        <v>94059.14</v>
      </c>
      <c r="I945" s="2">
        <v>9311.85</v>
      </c>
    </row>
    <row r="946" spans="1:9" x14ac:dyDescent="0.25">
      <c r="A946" t="s">
        <v>597</v>
      </c>
      <c r="B946" t="s">
        <v>598</v>
      </c>
      <c r="C946" t="s">
        <v>21</v>
      </c>
      <c r="D946" t="s">
        <v>4062</v>
      </c>
      <c r="E946" t="s">
        <v>4552</v>
      </c>
      <c r="F946" t="s">
        <v>63</v>
      </c>
      <c r="G946">
        <v>56</v>
      </c>
      <c r="H946" s="2">
        <v>1500</v>
      </c>
      <c r="I946" s="2">
        <v>84000</v>
      </c>
    </row>
    <row r="947" spans="1:9" x14ac:dyDescent="0.25">
      <c r="A947" t="s">
        <v>597</v>
      </c>
      <c r="B947" t="s">
        <v>598</v>
      </c>
      <c r="C947" t="s">
        <v>21</v>
      </c>
      <c r="D947" t="s">
        <v>4062</v>
      </c>
      <c r="E947" t="s">
        <v>3978</v>
      </c>
      <c r="F947" t="s">
        <v>34</v>
      </c>
      <c r="G947">
        <v>0.05</v>
      </c>
      <c r="H947" s="2">
        <v>409741.65</v>
      </c>
      <c r="I947" s="2">
        <v>20487.08</v>
      </c>
    </row>
    <row r="948" spans="1:9" x14ac:dyDescent="0.25">
      <c r="A948" t="s">
        <v>597</v>
      </c>
      <c r="B948" t="s">
        <v>598</v>
      </c>
      <c r="C948" t="s">
        <v>21</v>
      </c>
      <c r="D948" t="s">
        <v>4049</v>
      </c>
      <c r="E948" t="s">
        <v>4050</v>
      </c>
      <c r="F948" t="s">
        <v>4051</v>
      </c>
      <c r="G948">
        <v>1.06</v>
      </c>
      <c r="H948" s="2">
        <v>9037.33</v>
      </c>
      <c r="I948" s="2">
        <v>9579.57</v>
      </c>
    </row>
    <row r="949" spans="1:9" x14ac:dyDescent="0.25">
      <c r="A949" t="s">
        <v>597</v>
      </c>
      <c r="B949" t="s">
        <v>598</v>
      </c>
      <c r="C949" t="s">
        <v>21</v>
      </c>
      <c r="D949" t="s">
        <v>4049</v>
      </c>
      <c r="E949" t="s">
        <v>4073</v>
      </c>
      <c r="F949" t="s">
        <v>4051</v>
      </c>
      <c r="G949">
        <v>1.06</v>
      </c>
      <c r="H949" s="2">
        <v>15517.89</v>
      </c>
      <c r="I949" s="2">
        <v>16448.96</v>
      </c>
    </row>
    <row r="950" spans="1:9" x14ac:dyDescent="0.25">
      <c r="A950" t="s">
        <v>597</v>
      </c>
      <c r="B950" t="s">
        <v>598</v>
      </c>
      <c r="C950" t="s">
        <v>21</v>
      </c>
      <c r="D950" t="s">
        <v>4052</v>
      </c>
      <c r="E950" t="s">
        <v>4053</v>
      </c>
      <c r="F950" t="s">
        <v>4054</v>
      </c>
      <c r="G950">
        <v>3.3</v>
      </c>
      <c r="H950" s="2">
        <v>26028.53</v>
      </c>
      <c r="I950" s="2">
        <v>858.94</v>
      </c>
    </row>
    <row r="951" spans="1:9" x14ac:dyDescent="0.25">
      <c r="A951" t="s">
        <v>600</v>
      </c>
      <c r="B951" t="s">
        <v>601</v>
      </c>
      <c r="C951" t="s">
        <v>21</v>
      </c>
      <c r="D951" t="s">
        <v>4062</v>
      </c>
      <c r="E951" t="s">
        <v>4494</v>
      </c>
      <c r="F951" t="s">
        <v>63</v>
      </c>
      <c r="G951">
        <v>118</v>
      </c>
      <c r="H951" s="2">
        <v>794</v>
      </c>
      <c r="I951" s="2">
        <v>93692</v>
      </c>
    </row>
    <row r="952" spans="1:9" x14ac:dyDescent="0.25">
      <c r="A952" t="s">
        <v>600</v>
      </c>
      <c r="B952" t="s">
        <v>601</v>
      </c>
      <c r="C952" t="s">
        <v>21</v>
      </c>
      <c r="D952" t="s">
        <v>4062</v>
      </c>
      <c r="E952" t="s">
        <v>3978</v>
      </c>
      <c r="F952" t="s">
        <v>34</v>
      </c>
      <c r="G952">
        <v>0.07</v>
      </c>
      <c r="H952" s="2">
        <v>409741.65</v>
      </c>
      <c r="I952" s="2">
        <v>28681.92</v>
      </c>
    </row>
    <row r="953" spans="1:9" x14ac:dyDescent="0.25">
      <c r="A953" t="s">
        <v>600</v>
      </c>
      <c r="B953" t="s">
        <v>601</v>
      </c>
      <c r="C953" t="s">
        <v>21</v>
      </c>
      <c r="D953" t="s">
        <v>4049</v>
      </c>
      <c r="E953" t="s">
        <v>4487</v>
      </c>
      <c r="F953" t="s">
        <v>4236</v>
      </c>
      <c r="G953">
        <v>1.7</v>
      </c>
      <c r="H953" s="2">
        <v>24555.22</v>
      </c>
      <c r="I953" s="2">
        <v>41743.87</v>
      </c>
    </row>
    <row r="954" spans="1:9" x14ac:dyDescent="0.25">
      <c r="A954" t="s">
        <v>600</v>
      </c>
      <c r="B954" t="s">
        <v>601</v>
      </c>
      <c r="C954" t="s">
        <v>21</v>
      </c>
      <c r="D954" t="s">
        <v>4052</v>
      </c>
      <c r="E954" t="s">
        <v>4053</v>
      </c>
      <c r="F954" t="s">
        <v>4054</v>
      </c>
      <c r="G954">
        <v>3.3</v>
      </c>
      <c r="H954" s="2">
        <v>41743.87</v>
      </c>
      <c r="I954" s="2">
        <v>1377.55</v>
      </c>
    </row>
    <row r="955" spans="1:9" x14ac:dyDescent="0.25">
      <c r="A955" t="s">
        <v>603</v>
      </c>
      <c r="B955" t="s">
        <v>604</v>
      </c>
      <c r="C955" t="s">
        <v>21</v>
      </c>
      <c r="D955" t="s">
        <v>4062</v>
      </c>
      <c r="E955" t="s">
        <v>4494</v>
      </c>
      <c r="F955" t="s">
        <v>63</v>
      </c>
      <c r="G955">
        <v>118</v>
      </c>
      <c r="H955" s="2">
        <v>794</v>
      </c>
      <c r="I955" s="2">
        <v>93692</v>
      </c>
    </row>
    <row r="956" spans="1:9" x14ac:dyDescent="0.25">
      <c r="A956" t="s">
        <v>603</v>
      </c>
      <c r="B956" t="s">
        <v>604</v>
      </c>
      <c r="C956" t="s">
        <v>21</v>
      </c>
      <c r="D956" t="s">
        <v>4062</v>
      </c>
      <c r="E956" t="s">
        <v>3981</v>
      </c>
      <c r="F956" t="s">
        <v>34</v>
      </c>
      <c r="G956">
        <v>0.07</v>
      </c>
      <c r="H956" s="2">
        <v>365704.15</v>
      </c>
      <c r="I956" s="2">
        <v>25599.29</v>
      </c>
    </row>
    <row r="957" spans="1:9" x14ac:dyDescent="0.25">
      <c r="A957" t="s">
        <v>603</v>
      </c>
      <c r="B957" t="s">
        <v>604</v>
      </c>
      <c r="C957" t="s">
        <v>21</v>
      </c>
      <c r="D957" t="s">
        <v>4049</v>
      </c>
      <c r="E957" t="s">
        <v>4487</v>
      </c>
      <c r="F957" t="s">
        <v>4236</v>
      </c>
      <c r="G957">
        <v>1.7</v>
      </c>
      <c r="H957" s="2">
        <v>24555.22</v>
      </c>
      <c r="I957" s="2">
        <v>41743.87</v>
      </c>
    </row>
    <row r="958" spans="1:9" x14ac:dyDescent="0.25">
      <c r="A958" t="s">
        <v>603</v>
      </c>
      <c r="B958" t="s">
        <v>604</v>
      </c>
      <c r="C958" t="s">
        <v>21</v>
      </c>
      <c r="D958" t="s">
        <v>4052</v>
      </c>
      <c r="E958" t="s">
        <v>4053</v>
      </c>
      <c r="F958" t="s">
        <v>4054</v>
      </c>
      <c r="G958">
        <v>3.3</v>
      </c>
      <c r="H958" s="2">
        <v>41743.87</v>
      </c>
      <c r="I958" s="2">
        <v>1377.55</v>
      </c>
    </row>
    <row r="959" spans="1:9" x14ac:dyDescent="0.25">
      <c r="A959" t="s">
        <v>606</v>
      </c>
      <c r="B959" t="s">
        <v>607</v>
      </c>
      <c r="C959" t="s">
        <v>21</v>
      </c>
      <c r="D959" t="s">
        <v>4062</v>
      </c>
      <c r="E959" t="s">
        <v>4494</v>
      </c>
      <c r="F959" t="s">
        <v>63</v>
      </c>
      <c r="G959">
        <v>55</v>
      </c>
      <c r="H959" s="2">
        <v>794</v>
      </c>
      <c r="I959" s="2">
        <v>43670</v>
      </c>
    </row>
    <row r="960" spans="1:9" x14ac:dyDescent="0.25">
      <c r="A960" t="s">
        <v>606</v>
      </c>
      <c r="B960" t="s">
        <v>607</v>
      </c>
      <c r="C960" t="s">
        <v>21</v>
      </c>
      <c r="D960" t="s">
        <v>4062</v>
      </c>
      <c r="E960" t="s">
        <v>3978</v>
      </c>
      <c r="F960" t="s">
        <v>34</v>
      </c>
      <c r="G960">
        <v>0.03</v>
      </c>
      <c r="H960" s="2">
        <v>409741.65</v>
      </c>
      <c r="I960" s="2">
        <v>12292.25</v>
      </c>
    </row>
    <row r="961" spans="1:9" x14ac:dyDescent="0.25">
      <c r="A961" t="s">
        <v>606</v>
      </c>
      <c r="B961" t="s">
        <v>607</v>
      </c>
      <c r="C961" t="s">
        <v>21</v>
      </c>
      <c r="D961" t="s">
        <v>4049</v>
      </c>
      <c r="E961" t="s">
        <v>4050</v>
      </c>
      <c r="F961" t="s">
        <v>4051</v>
      </c>
      <c r="G961">
        <v>1.06</v>
      </c>
      <c r="H961" s="2">
        <v>9037.33</v>
      </c>
      <c r="I961" s="2">
        <v>9579.57</v>
      </c>
    </row>
    <row r="962" spans="1:9" x14ac:dyDescent="0.25">
      <c r="A962" t="s">
        <v>606</v>
      </c>
      <c r="B962" t="s">
        <v>607</v>
      </c>
      <c r="C962" t="s">
        <v>21</v>
      </c>
      <c r="D962" t="s">
        <v>4049</v>
      </c>
      <c r="E962" t="s">
        <v>4073</v>
      </c>
      <c r="F962" t="s">
        <v>4051</v>
      </c>
      <c r="G962">
        <v>1.06</v>
      </c>
      <c r="H962" s="2">
        <v>15517.89</v>
      </c>
      <c r="I962" s="2">
        <v>16448.96</v>
      </c>
    </row>
    <row r="963" spans="1:9" x14ac:dyDescent="0.25">
      <c r="A963" t="s">
        <v>606</v>
      </c>
      <c r="B963" t="s">
        <v>607</v>
      </c>
      <c r="C963" t="s">
        <v>21</v>
      </c>
      <c r="D963" t="s">
        <v>4052</v>
      </c>
      <c r="E963" t="s">
        <v>4053</v>
      </c>
      <c r="F963" t="s">
        <v>4054</v>
      </c>
      <c r="G963">
        <v>3.3</v>
      </c>
      <c r="H963" s="2">
        <v>26028.53</v>
      </c>
      <c r="I963" s="2">
        <v>858.94</v>
      </c>
    </row>
    <row r="964" spans="1:9" x14ac:dyDescent="0.25">
      <c r="A964" t="s">
        <v>609</v>
      </c>
      <c r="B964" t="s">
        <v>610</v>
      </c>
      <c r="C964" t="s">
        <v>21</v>
      </c>
      <c r="D964" t="s">
        <v>4062</v>
      </c>
      <c r="E964" t="s">
        <v>4494</v>
      </c>
      <c r="F964" t="s">
        <v>63</v>
      </c>
      <c r="G964">
        <v>118</v>
      </c>
      <c r="H964" s="2">
        <v>794</v>
      </c>
      <c r="I964" s="2">
        <v>93692</v>
      </c>
    </row>
    <row r="965" spans="1:9" x14ac:dyDescent="0.25">
      <c r="A965" t="s">
        <v>609</v>
      </c>
      <c r="B965" t="s">
        <v>610</v>
      </c>
      <c r="C965" t="s">
        <v>21</v>
      </c>
      <c r="D965" t="s">
        <v>4062</v>
      </c>
      <c r="E965" t="s">
        <v>3978</v>
      </c>
      <c r="F965" t="s">
        <v>34</v>
      </c>
      <c r="G965">
        <v>0.07</v>
      </c>
      <c r="H965" s="2">
        <v>409741.65</v>
      </c>
      <c r="I965" s="2">
        <v>28681.92</v>
      </c>
    </row>
    <row r="966" spans="1:9" x14ac:dyDescent="0.25">
      <c r="A966" t="s">
        <v>609</v>
      </c>
      <c r="B966" t="s">
        <v>610</v>
      </c>
      <c r="C966" t="s">
        <v>21</v>
      </c>
      <c r="D966" t="s">
        <v>4049</v>
      </c>
      <c r="E966" t="s">
        <v>4050</v>
      </c>
      <c r="F966" t="s">
        <v>4051</v>
      </c>
      <c r="G966">
        <v>1.7</v>
      </c>
      <c r="H966" s="2">
        <v>9037.33</v>
      </c>
      <c r="I966" s="2">
        <v>15363.46</v>
      </c>
    </row>
    <row r="967" spans="1:9" x14ac:dyDescent="0.25">
      <c r="A967" t="s">
        <v>609</v>
      </c>
      <c r="B967" t="s">
        <v>610</v>
      </c>
      <c r="C967" t="s">
        <v>21</v>
      </c>
      <c r="D967" t="s">
        <v>4049</v>
      </c>
      <c r="E967" t="s">
        <v>4073</v>
      </c>
      <c r="F967" t="s">
        <v>4051</v>
      </c>
      <c r="G967">
        <v>1.7</v>
      </c>
      <c r="H967" s="2">
        <v>15517.89</v>
      </c>
      <c r="I967" s="2">
        <v>26380.41</v>
      </c>
    </row>
    <row r="968" spans="1:9" x14ac:dyDescent="0.25">
      <c r="A968" t="s">
        <v>609</v>
      </c>
      <c r="B968" t="s">
        <v>610</v>
      </c>
      <c r="C968" t="s">
        <v>21</v>
      </c>
      <c r="D968" t="s">
        <v>4052</v>
      </c>
      <c r="E968" t="s">
        <v>4053</v>
      </c>
      <c r="F968" t="s">
        <v>4054</v>
      </c>
      <c r="G968">
        <v>3.3</v>
      </c>
      <c r="H968" s="2">
        <v>41743.87</v>
      </c>
      <c r="I968" s="2">
        <v>1377.55</v>
      </c>
    </row>
    <row r="969" spans="1:9" x14ac:dyDescent="0.25">
      <c r="A969" t="s">
        <v>612</v>
      </c>
      <c r="B969" t="s">
        <v>613</v>
      </c>
      <c r="C969" t="s">
        <v>21</v>
      </c>
      <c r="D969" t="s">
        <v>4062</v>
      </c>
      <c r="E969" t="s">
        <v>4481</v>
      </c>
      <c r="F969" t="s">
        <v>63</v>
      </c>
      <c r="G969">
        <v>56</v>
      </c>
      <c r="H969" s="2">
        <v>708</v>
      </c>
      <c r="I969" s="2">
        <v>39648</v>
      </c>
    </row>
    <row r="970" spans="1:9" x14ac:dyDescent="0.25">
      <c r="A970" t="s">
        <v>612</v>
      </c>
      <c r="B970" t="s">
        <v>613</v>
      </c>
      <c r="C970" t="s">
        <v>21</v>
      </c>
      <c r="D970" t="s">
        <v>4062</v>
      </c>
      <c r="E970" t="s">
        <v>3978</v>
      </c>
      <c r="F970" t="s">
        <v>34</v>
      </c>
      <c r="G970">
        <v>0.03</v>
      </c>
      <c r="H970" s="2">
        <v>409741.65</v>
      </c>
      <c r="I970" s="2">
        <v>12292.25</v>
      </c>
    </row>
    <row r="971" spans="1:9" x14ac:dyDescent="0.25">
      <c r="A971" t="s">
        <v>612</v>
      </c>
      <c r="B971" t="s">
        <v>613</v>
      </c>
      <c r="C971" t="s">
        <v>21</v>
      </c>
      <c r="D971" t="s">
        <v>4049</v>
      </c>
      <c r="E971" t="s">
        <v>4050</v>
      </c>
      <c r="F971" t="s">
        <v>4051</v>
      </c>
      <c r="G971">
        <v>1.06</v>
      </c>
      <c r="H971" s="2">
        <v>9037.33</v>
      </c>
      <c r="I971" s="2">
        <v>9579.57</v>
      </c>
    </row>
    <row r="972" spans="1:9" x14ac:dyDescent="0.25">
      <c r="A972" t="s">
        <v>612</v>
      </c>
      <c r="B972" t="s">
        <v>613</v>
      </c>
      <c r="C972" t="s">
        <v>21</v>
      </c>
      <c r="D972" t="s">
        <v>4049</v>
      </c>
      <c r="E972" t="s">
        <v>4073</v>
      </c>
      <c r="F972" t="s">
        <v>4051</v>
      </c>
      <c r="G972">
        <v>1.06</v>
      </c>
      <c r="H972" s="2">
        <v>15517.89</v>
      </c>
      <c r="I972" s="2">
        <v>16448.96</v>
      </c>
    </row>
    <row r="973" spans="1:9" x14ac:dyDescent="0.25">
      <c r="A973" t="s">
        <v>612</v>
      </c>
      <c r="B973" t="s">
        <v>613</v>
      </c>
      <c r="C973" t="s">
        <v>21</v>
      </c>
      <c r="D973" t="s">
        <v>4052</v>
      </c>
      <c r="E973" t="s">
        <v>4053</v>
      </c>
      <c r="F973" t="s">
        <v>4054</v>
      </c>
      <c r="G973">
        <v>3.3</v>
      </c>
      <c r="H973" s="2">
        <v>26028.53</v>
      </c>
      <c r="I973" s="2">
        <v>858.94</v>
      </c>
    </row>
    <row r="974" spans="1:9" x14ac:dyDescent="0.25">
      <c r="A974" t="s">
        <v>615</v>
      </c>
      <c r="B974" t="s">
        <v>616</v>
      </c>
      <c r="C974" t="s">
        <v>21</v>
      </c>
      <c r="D974" t="s">
        <v>4062</v>
      </c>
      <c r="E974" t="s">
        <v>4481</v>
      </c>
      <c r="F974" t="s">
        <v>63</v>
      </c>
      <c r="G974">
        <v>114</v>
      </c>
      <c r="H974" s="2">
        <v>708</v>
      </c>
      <c r="I974" s="2">
        <v>80712</v>
      </c>
    </row>
    <row r="975" spans="1:9" x14ac:dyDescent="0.25">
      <c r="A975" t="s">
        <v>615</v>
      </c>
      <c r="B975" t="s">
        <v>616</v>
      </c>
      <c r="C975" t="s">
        <v>21</v>
      </c>
      <c r="D975" t="s">
        <v>4062</v>
      </c>
      <c r="E975" t="s">
        <v>3978</v>
      </c>
      <c r="F975" t="s">
        <v>34</v>
      </c>
      <c r="G975">
        <v>0.07</v>
      </c>
      <c r="H975" s="2">
        <v>409741.65</v>
      </c>
      <c r="I975" s="2">
        <v>28681.92</v>
      </c>
    </row>
    <row r="976" spans="1:9" x14ac:dyDescent="0.25">
      <c r="A976" t="s">
        <v>615</v>
      </c>
      <c r="B976" t="s">
        <v>616</v>
      </c>
      <c r="C976" t="s">
        <v>21</v>
      </c>
      <c r="D976" t="s">
        <v>4049</v>
      </c>
      <c r="E976" t="s">
        <v>4050</v>
      </c>
      <c r="F976" t="s">
        <v>4051</v>
      </c>
      <c r="G976">
        <v>1.7</v>
      </c>
      <c r="H976" s="2">
        <v>9037.33</v>
      </c>
      <c r="I976" s="2">
        <v>15363.46</v>
      </c>
    </row>
    <row r="977" spans="1:9" x14ac:dyDescent="0.25">
      <c r="A977" t="s">
        <v>615</v>
      </c>
      <c r="B977" t="s">
        <v>616</v>
      </c>
      <c r="C977" t="s">
        <v>21</v>
      </c>
      <c r="D977" t="s">
        <v>4049</v>
      </c>
      <c r="E977" t="s">
        <v>4073</v>
      </c>
      <c r="F977" t="s">
        <v>4051</v>
      </c>
      <c r="G977">
        <v>1.7</v>
      </c>
      <c r="H977" s="2">
        <v>15517.89</v>
      </c>
      <c r="I977" s="2">
        <v>26380.41</v>
      </c>
    </row>
    <row r="978" spans="1:9" x14ac:dyDescent="0.25">
      <c r="A978" t="s">
        <v>615</v>
      </c>
      <c r="B978" t="s">
        <v>616</v>
      </c>
      <c r="C978" t="s">
        <v>21</v>
      </c>
      <c r="D978" t="s">
        <v>4052</v>
      </c>
      <c r="E978" t="s">
        <v>4053</v>
      </c>
      <c r="F978" t="s">
        <v>4054</v>
      </c>
      <c r="G978">
        <v>3.3</v>
      </c>
      <c r="H978" s="2">
        <v>41743.87</v>
      </c>
      <c r="I978" s="2">
        <v>1377.55</v>
      </c>
    </row>
    <row r="979" spans="1:9" x14ac:dyDescent="0.25">
      <c r="A979" t="s">
        <v>618</v>
      </c>
      <c r="B979" t="s">
        <v>619</v>
      </c>
      <c r="C979" t="s">
        <v>21</v>
      </c>
      <c r="D979" t="s">
        <v>4062</v>
      </c>
      <c r="E979" t="s">
        <v>4567</v>
      </c>
      <c r="F979" t="s">
        <v>63</v>
      </c>
      <c r="G979">
        <v>1.7</v>
      </c>
      <c r="H979" s="2">
        <v>5158</v>
      </c>
      <c r="I979" s="2">
        <v>8768.6</v>
      </c>
    </row>
    <row r="980" spans="1:9" x14ac:dyDescent="0.25">
      <c r="A980" t="s">
        <v>618</v>
      </c>
      <c r="B980" t="s">
        <v>619</v>
      </c>
      <c r="C980" t="s">
        <v>21</v>
      </c>
      <c r="D980" t="s">
        <v>4062</v>
      </c>
      <c r="E980" t="s">
        <v>4568</v>
      </c>
      <c r="F980" t="s">
        <v>21</v>
      </c>
      <c r="G980">
        <v>1.05</v>
      </c>
      <c r="H980" s="2">
        <v>39200</v>
      </c>
      <c r="I980" s="2">
        <v>41160</v>
      </c>
    </row>
    <row r="981" spans="1:9" x14ac:dyDescent="0.25">
      <c r="A981" t="s">
        <v>618</v>
      </c>
      <c r="B981" t="s">
        <v>619</v>
      </c>
      <c r="C981" t="s">
        <v>21</v>
      </c>
      <c r="D981" t="s">
        <v>4062</v>
      </c>
      <c r="E981" t="s">
        <v>4569</v>
      </c>
      <c r="F981" t="s">
        <v>63</v>
      </c>
      <c r="G981">
        <v>0.3</v>
      </c>
      <c r="H981" s="2">
        <v>7800</v>
      </c>
      <c r="I981" s="2">
        <v>2340</v>
      </c>
    </row>
    <row r="982" spans="1:9" x14ac:dyDescent="0.25">
      <c r="A982" t="s">
        <v>618</v>
      </c>
      <c r="B982" t="s">
        <v>619</v>
      </c>
      <c r="C982" t="s">
        <v>21</v>
      </c>
      <c r="D982" t="s">
        <v>4062</v>
      </c>
      <c r="E982" t="s">
        <v>4570</v>
      </c>
      <c r="F982" t="s">
        <v>63</v>
      </c>
      <c r="G982">
        <v>0.3</v>
      </c>
      <c r="H982" s="2">
        <v>3800</v>
      </c>
      <c r="I982" s="2">
        <v>1140</v>
      </c>
    </row>
    <row r="983" spans="1:9" x14ac:dyDescent="0.25">
      <c r="A983" t="s">
        <v>618</v>
      </c>
      <c r="B983" t="s">
        <v>619</v>
      </c>
      <c r="C983" t="s">
        <v>21</v>
      </c>
      <c r="D983" t="s">
        <v>4062</v>
      </c>
      <c r="E983" t="s">
        <v>4571</v>
      </c>
      <c r="F983" t="s">
        <v>63</v>
      </c>
      <c r="G983">
        <v>0.3</v>
      </c>
      <c r="H983" s="2">
        <v>6050</v>
      </c>
      <c r="I983" s="2">
        <v>1815</v>
      </c>
    </row>
    <row r="984" spans="1:9" x14ac:dyDescent="0.25">
      <c r="A984" t="s">
        <v>618</v>
      </c>
      <c r="B984" t="s">
        <v>619</v>
      </c>
      <c r="C984" t="s">
        <v>21</v>
      </c>
      <c r="D984" t="s">
        <v>4062</v>
      </c>
      <c r="E984" t="s">
        <v>3981</v>
      </c>
      <c r="F984" t="s">
        <v>34</v>
      </c>
      <c r="G984">
        <v>0.04</v>
      </c>
      <c r="H984" s="2">
        <v>365704.15</v>
      </c>
      <c r="I984" s="2">
        <v>15359.57</v>
      </c>
    </row>
    <row r="985" spans="1:9" x14ac:dyDescent="0.25">
      <c r="A985" t="s">
        <v>618</v>
      </c>
      <c r="B985" t="s">
        <v>619</v>
      </c>
      <c r="C985" t="s">
        <v>21</v>
      </c>
      <c r="D985" t="s">
        <v>4062</v>
      </c>
      <c r="E985" t="s">
        <v>4572</v>
      </c>
      <c r="F985" t="s">
        <v>231</v>
      </c>
      <c r="G985">
        <v>0.05</v>
      </c>
      <c r="H985" s="2">
        <v>4011</v>
      </c>
      <c r="I985" s="2">
        <v>200.55</v>
      </c>
    </row>
    <row r="986" spans="1:9" x14ac:dyDescent="0.25">
      <c r="A986" t="s">
        <v>618</v>
      </c>
      <c r="B986" t="s">
        <v>619</v>
      </c>
      <c r="C986" t="s">
        <v>21</v>
      </c>
      <c r="D986" t="s">
        <v>4049</v>
      </c>
      <c r="E986" t="s">
        <v>4487</v>
      </c>
      <c r="F986" t="s">
        <v>4236</v>
      </c>
      <c r="G986">
        <v>0.45</v>
      </c>
      <c r="H986" s="2">
        <v>24555.22</v>
      </c>
      <c r="I986" s="2">
        <v>11049.85</v>
      </c>
    </row>
    <row r="987" spans="1:9" x14ac:dyDescent="0.25">
      <c r="A987" t="s">
        <v>618</v>
      </c>
      <c r="B987" t="s">
        <v>619</v>
      </c>
      <c r="C987" t="s">
        <v>21</v>
      </c>
      <c r="D987" t="s">
        <v>4052</v>
      </c>
      <c r="E987" t="s">
        <v>4053</v>
      </c>
      <c r="F987" t="s">
        <v>4054</v>
      </c>
      <c r="G987">
        <v>3.3</v>
      </c>
      <c r="H987" s="2">
        <v>11049.85</v>
      </c>
      <c r="I987" s="2">
        <v>364.65</v>
      </c>
    </row>
    <row r="988" spans="1:9" x14ac:dyDescent="0.25">
      <c r="A988" t="s">
        <v>621</v>
      </c>
      <c r="B988" t="s">
        <v>622</v>
      </c>
      <c r="C988" t="s">
        <v>21</v>
      </c>
      <c r="D988" t="s">
        <v>4062</v>
      </c>
      <c r="E988" t="s">
        <v>4262</v>
      </c>
      <c r="F988" t="s">
        <v>63</v>
      </c>
      <c r="G988">
        <v>31</v>
      </c>
      <c r="H988" s="2">
        <v>415</v>
      </c>
      <c r="I988" s="2">
        <v>12865</v>
      </c>
    </row>
    <row r="989" spans="1:9" x14ac:dyDescent="0.25">
      <c r="A989" t="s">
        <v>621</v>
      </c>
      <c r="B989" t="s">
        <v>622</v>
      </c>
      <c r="C989" t="s">
        <v>21</v>
      </c>
      <c r="D989" t="s">
        <v>4062</v>
      </c>
      <c r="E989" t="s">
        <v>3978</v>
      </c>
      <c r="F989" t="s">
        <v>34</v>
      </c>
      <c r="G989">
        <v>0.01</v>
      </c>
      <c r="H989" s="2">
        <v>409741.65</v>
      </c>
      <c r="I989" s="2">
        <v>4097.42</v>
      </c>
    </row>
    <row r="990" spans="1:9" x14ac:dyDescent="0.25">
      <c r="A990" t="s">
        <v>621</v>
      </c>
      <c r="B990" t="s">
        <v>622</v>
      </c>
      <c r="C990" t="s">
        <v>21</v>
      </c>
      <c r="D990" t="s">
        <v>4049</v>
      </c>
      <c r="E990" t="s">
        <v>4050</v>
      </c>
      <c r="F990" t="s">
        <v>4051</v>
      </c>
      <c r="G990">
        <v>0.86</v>
      </c>
      <c r="H990" s="2">
        <v>9037.33</v>
      </c>
      <c r="I990" s="2">
        <v>7772.1</v>
      </c>
    </row>
    <row r="991" spans="1:9" x14ac:dyDescent="0.25">
      <c r="A991" t="s">
        <v>621</v>
      </c>
      <c r="B991" t="s">
        <v>622</v>
      </c>
      <c r="C991" t="s">
        <v>21</v>
      </c>
      <c r="D991" t="s">
        <v>4049</v>
      </c>
      <c r="E991" t="s">
        <v>4073</v>
      </c>
      <c r="F991" t="s">
        <v>4051</v>
      </c>
      <c r="G991">
        <v>0.86</v>
      </c>
      <c r="H991" s="2">
        <v>15517.89</v>
      </c>
      <c r="I991" s="2">
        <v>13345.39</v>
      </c>
    </row>
    <row r="992" spans="1:9" x14ac:dyDescent="0.25">
      <c r="A992" t="s">
        <v>621</v>
      </c>
      <c r="B992" t="s">
        <v>622</v>
      </c>
      <c r="C992" t="s">
        <v>21</v>
      </c>
      <c r="D992" t="s">
        <v>4052</v>
      </c>
      <c r="E992" t="s">
        <v>4053</v>
      </c>
      <c r="F992" t="s">
        <v>4054</v>
      </c>
      <c r="G992">
        <v>3.3</v>
      </c>
      <c r="H992" s="2">
        <v>21117.49</v>
      </c>
      <c r="I992" s="2">
        <v>696.88</v>
      </c>
    </row>
    <row r="993" spans="1:9" x14ac:dyDescent="0.25">
      <c r="A993" t="s">
        <v>624</v>
      </c>
      <c r="B993" t="s">
        <v>625</v>
      </c>
      <c r="C993" t="s">
        <v>21</v>
      </c>
      <c r="D993" t="s">
        <v>4062</v>
      </c>
      <c r="E993" t="s">
        <v>4262</v>
      </c>
      <c r="F993" t="s">
        <v>63</v>
      </c>
      <c r="G993">
        <v>55</v>
      </c>
      <c r="H993" s="2">
        <v>415</v>
      </c>
      <c r="I993" s="2">
        <v>22825</v>
      </c>
    </row>
    <row r="994" spans="1:9" x14ac:dyDescent="0.25">
      <c r="A994" t="s">
        <v>624</v>
      </c>
      <c r="B994" t="s">
        <v>625</v>
      </c>
      <c r="C994" t="s">
        <v>21</v>
      </c>
      <c r="D994" t="s">
        <v>4062</v>
      </c>
      <c r="E994" t="s">
        <v>3978</v>
      </c>
      <c r="F994" t="s">
        <v>34</v>
      </c>
      <c r="G994">
        <v>0.02</v>
      </c>
      <c r="H994" s="2">
        <v>409741.65</v>
      </c>
      <c r="I994" s="2">
        <v>8194.83</v>
      </c>
    </row>
    <row r="995" spans="1:9" x14ac:dyDescent="0.25">
      <c r="A995" t="s">
        <v>624</v>
      </c>
      <c r="B995" t="s">
        <v>625</v>
      </c>
      <c r="C995" t="s">
        <v>21</v>
      </c>
      <c r="D995" t="s">
        <v>4049</v>
      </c>
      <c r="E995" t="s">
        <v>4050</v>
      </c>
      <c r="F995" t="s">
        <v>4051</v>
      </c>
      <c r="G995">
        <v>0.75</v>
      </c>
      <c r="H995" s="2">
        <v>9037.33</v>
      </c>
      <c r="I995" s="2">
        <v>6778</v>
      </c>
    </row>
    <row r="996" spans="1:9" x14ac:dyDescent="0.25">
      <c r="A996" t="s">
        <v>624</v>
      </c>
      <c r="B996" t="s">
        <v>625</v>
      </c>
      <c r="C996" t="s">
        <v>21</v>
      </c>
      <c r="D996" t="s">
        <v>4049</v>
      </c>
      <c r="E996" t="s">
        <v>4073</v>
      </c>
      <c r="F996" t="s">
        <v>4051</v>
      </c>
      <c r="G996">
        <v>0.75</v>
      </c>
      <c r="H996" s="2">
        <v>15517.89</v>
      </c>
      <c r="I996" s="2">
        <v>11638.42</v>
      </c>
    </row>
    <row r="997" spans="1:9" x14ac:dyDescent="0.25">
      <c r="A997" t="s">
        <v>624</v>
      </c>
      <c r="B997" t="s">
        <v>625</v>
      </c>
      <c r="C997" t="s">
        <v>21</v>
      </c>
      <c r="D997" t="s">
        <v>4052</v>
      </c>
      <c r="E997" t="s">
        <v>4053</v>
      </c>
      <c r="F997" t="s">
        <v>4054</v>
      </c>
      <c r="G997">
        <v>3.3</v>
      </c>
      <c r="H997" s="2">
        <v>18416.42</v>
      </c>
      <c r="I997" s="2">
        <v>607.74</v>
      </c>
    </row>
    <row r="998" spans="1:9" x14ac:dyDescent="0.25">
      <c r="A998" t="s">
        <v>627</v>
      </c>
      <c r="B998" t="s">
        <v>628</v>
      </c>
      <c r="C998" t="s">
        <v>21</v>
      </c>
      <c r="D998" t="s">
        <v>4062</v>
      </c>
      <c r="E998" t="s">
        <v>4262</v>
      </c>
      <c r="F998" t="s">
        <v>63</v>
      </c>
      <c r="G998">
        <v>118</v>
      </c>
      <c r="H998" s="2">
        <v>415</v>
      </c>
      <c r="I998" s="2">
        <v>48970</v>
      </c>
    </row>
    <row r="999" spans="1:9" x14ac:dyDescent="0.25">
      <c r="A999" t="s">
        <v>627</v>
      </c>
      <c r="B999" t="s">
        <v>628</v>
      </c>
      <c r="C999" t="s">
        <v>21</v>
      </c>
      <c r="D999" t="s">
        <v>4062</v>
      </c>
      <c r="E999" t="s">
        <v>3978</v>
      </c>
      <c r="F999" t="s">
        <v>34</v>
      </c>
      <c r="G999">
        <v>0.03</v>
      </c>
      <c r="H999" s="2">
        <v>409741.65</v>
      </c>
      <c r="I999" s="2">
        <v>12292.25</v>
      </c>
    </row>
    <row r="1000" spans="1:9" x14ac:dyDescent="0.25">
      <c r="A1000" t="s">
        <v>627</v>
      </c>
      <c r="B1000" t="s">
        <v>628</v>
      </c>
      <c r="C1000" t="s">
        <v>21</v>
      </c>
      <c r="D1000" t="s">
        <v>4049</v>
      </c>
      <c r="E1000" t="s">
        <v>4050</v>
      </c>
      <c r="F1000" t="s">
        <v>4051</v>
      </c>
      <c r="G1000">
        <v>1.37</v>
      </c>
      <c r="H1000" s="2">
        <v>9037.33</v>
      </c>
      <c r="I1000" s="2">
        <v>12381.14</v>
      </c>
    </row>
    <row r="1001" spans="1:9" x14ac:dyDescent="0.25">
      <c r="A1001" t="s">
        <v>627</v>
      </c>
      <c r="B1001" t="s">
        <v>628</v>
      </c>
      <c r="C1001" t="s">
        <v>21</v>
      </c>
      <c r="D1001" t="s">
        <v>4049</v>
      </c>
      <c r="E1001" t="s">
        <v>4073</v>
      </c>
      <c r="F1001" t="s">
        <v>4051</v>
      </c>
      <c r="G1001">
        <v>1.37</v>
      </c>
      <c r="H1001" s="2">
        <v>15517.89</v>
      </c>
      <c r="I1001" s="2">
        <v>21259.51</v>
      </c>
    </row>
    <row r="1002" spans="1:9" x14ac:dyDescent="0.25">
      <c r="A1002" t="s">
        <v>627</v>
      </c>
      <c r="B1002" t="s">
        <v>628</v>
      </c>
      <c r="C1002" t="s">
        <v>21</v>
      </c>
      <c r="D1002" t="s">
        <v>4052</v>
      </c>
      <c r="E1002" t="s">
        <v>4053</v>
      </c>
      <c r="F1002" t="s">
        <v>4054</v>
      </c>
      <c r="G1002">
        <v>3.3</v>
      </c>
      <c r="H1002" s="2">
        <v>33640.65</v>
      </c>
      <c r="I1002" s="2">
        <v>1110.14</v>
      </c>
    </row>
    <row r="1003" spans="1:9" x14ac:dyDescent="0.25">
      <c r="A1003" t="s">
        <v>630</v>
      </c>
      <c r="B1003" t="s">
        <v>631</v>
      </c>
      <c r="C1003" t="s">
        <v>42</v>
      </c>
      <c r="D1003" t="s">
        <v>4062</v>
      </c>
      <c r="E1003" t="s">
        <v>4390</v>
      </c>
      <c r="F1003" t="s">
        <v>231</v>
      </c>
      <c r="G1003">
        <v>0.03</v>
      </c>
      <c r="H1003" s="2">
        <v>4155</v>
      </c>
      <c r="I1003" s="2">
        <v>124.65</v>
      </c>
    </row>
    <row r="1004" spans="1:9" x14ac:dyDescent="0.25">
      <c r="A1004" t="s">
        <v>630</v>
      </c>
      <c r="B1004" t="s">
        <v>631</v>
      </c>
      <c r="C1004" t="s">
        <v>42</v>
      </c>
      <c r="D1004" t="s">
        <v>4062</v>
      </c>
      <c r="E1004" t="s">
        <v>4261</v>
      </c>
      <c r="F1004" t="s">
        <v>231</v>
      </c>
      <c r="G1004">
        <v>1</v>
      </c>
      <c r="H1004" s="2">
        <v>2982</v>
      </c>
      <c r="I1004" s="2">
        <v>2982</v>
      </c>
    </row>
    <row r="1005" spans="1:9" x14ac:dyDescent="0.25">
      <c r="A1005" t="s">
        <v>630</v>
      </c>
      <c r="B1005" t="s">
        <v>631</v>
      </c>
      <c r="C1005" t="s">
        <v>42</v>
      </c>
      <c r="D1005" t="s">
        <v>4062</v>
      </c>
      <c r="E1005" t="s">
        <v>4474</v>
      </c>
      <c r="F1005" t="s">
        <v>34</v>
      </c>
      <c r="G1005">
        <v>0.01</v>
      </c>
      <c r="H1005" s="2">
        <v>114500</v>
      </c>
      <c r="I1005" s="2">
        <v>1145</v>
      </c>
    </row>
    <row r="1006" spans="1:9" x14ac:dyDescent="0.25">
      <c r="A1006" t="s">
        <v>630</v>
      </c>
      <c r="B1006" t="s">
        <v>631</v>
      </c>
      <c r="C1006" t="s">
        <v>42</v>
      </c>
      <c r="D1006" t="s">
        <v>4062</v>
      </c>
      <c r="E1006" t="s">
        <v>4001</v>
      </c>
      <c r="F1006" t="s">
        <v>34</v>
      </c>
      <c r="G1006">
        <v>0.02</v>
      </c>
      <c r="H1006" s="2">
        <v>450245.66</v>
      </c>
      <c r="I1006" s="2">
        <v>9004.91</v>
      </c>
    </row>
    <row r="1007" spans="1:9" x14ac:dyDescent="0.25">
      <c r="A1007" t="s">
        <v>630</v>
      </c>
      <c r="B1007" t="s">
        <v>631</v>
      </c>
      <c r="C1007" t="s">
        <v>42</v>
      </c>
      <c r="D1007" t="s">
        <v>4062</v>
      </c>
      <c r="E1007" t="s">
        <v>4475</v>
      </c>
      <c r="F1007" t="s">
        <v>231</v>
      </c>
      <c r="G1007">
        <v>1.19</v>
      </c>
      <c r="H1007" s="2">
        <v>730</v>
      </c>
      <c r="I1007" s="2">
        <v>868.7</v>
      </c>
    </row>
    <row r="1008" spans="1:9" x14ac:dyDescent="0.25">
      <c r="A1008" t="s">
        <v>630</v>
      </c>
      <c r="B1008" t="s">
        <v>631</v>
      </c>
      <c r="C1008" t="s">
        <v>42</v>
      </c>
      <c r="D1008" t="s">
        <v>4062</v>
      </c>
      <c r="E1008" t="s">
        <v>4222</v>
      </c>
      <c r="F1008" t="s">
        <v>42</v>
      </c>
      <c r="G1008">
        <v>0.36</v>
      </c>
      <c r="H1008" s="2">
        <v>1803.55</v>
      </c>
      <c r="I1008" s="2">
        <v>649.28</v>
      </c>
    </row>
    <row r="1009" spans="1:9" x14ac:dyDescent="0.25">
      <c r="A1009" t="s">
        <v>630</v>
      </c>
      <c r="B1009" t="s">
        <v>631</v>
      </c>
      <c r="C1009" t="s">
        <v>42</v>
      </c>
      <c r="D1009" t="s">
        <v>4062</v>
      </c>
      <c r="E1009" t="s">
        <v>4476</v>
      </c>
      <c r="F1009" t="s">
        <v>42</v>
      </c>
      <c r="G1009">
        <v>0.18</v>
      </c>
      <c r="H1009" s="2">
        <v>3472</v>
      </c>
      <c r="I1009" s="2">
        <v>624.96</v>
      </c>
    </row>
    <row r="1010" spans="1:9" x14ac:dyDescent="0.25">
      <c r="A1010" t="s">
        <v>630</v>
      </c>
      <c r="B1010" t="s">
        <v>631</v>
      </c>
      <c r="C1010" t="s">
        <v>42</v>
      </c>
      <c r="D1010" t="s">
        <v>4049</v>
      </c>
      <c r="E1010" t="s">
        <v>4050</v>
      </c>
      <c r="F1010" t="s">
        <v>4051</v>
      </c>
      <c r="G1010">
        <v>2.21</v>
      </c>
      <c r="H1010" s="2">
        <v>9037.33</v>
      </c>
      <c r="I1010" s="2">
        <v>19972.5</v>
      </c>
    </row>
    <row r="1011" spans="1:9" x14ac:dyDescent="0.25">
      <c r="A1011" t="s">
        <v>630</v>
      </c>
      <c r="B1011" t="s">
        <v>631</v>
      </c>
      <c r="C1011" t="s">
        <v>42</v>
      </c>
      <c r="D1011" t="s">
        <v>4049</v>
      </c>
      <c r="E1011" t="s">
        <v>4073</v>
      </c>
      <c r="F1011" t="s">
        <v>4051</v>
      </c>
      <c r="G1011">
        <v>2.21</v>
      </c>
      <c r="H1011" s="2">
        <v>15517.89</v>
      </c>
      <c r="I1011" s="2">
        <v>34294.54</v>
      </c>
    </row>
    <row r="1012" spans="1:9" x14ac:dyDescent="0.25">
      <c r="A1012" t="s">
        <v>630</v>
      </c>
      <c r="B1012" t="s">
        <v>631</v>
      </c>
      <c r="C1012" t="s">
        <v>42</v>
      </c>
      <c r="D1012" t="s">
        <v>4052</v>
      </c>
      <c r="E1012" t="s">
        <v>4053</v>
      </c>
      <c r="F1012" t="s">
        <v>4054</v>
      </c>
      <c r="G1012">
        <v>3.3</v>
      </c>
      <c r="H1012" s="2">
        <v>54267.04</v>
      </c>
      <c r="I1012" s="2">
        <v>1790.81</v>
      </c>
    </row>
    <row r="1013" spans="1:9" x14ac:dyDescent="0.25">
      <c r="A1013" t="s">
        <v>633</v>
      </c>
      <c r="B1013" t="s">
        <v>634</v>
      </c>
      <c r="C1013" t="s">
        <v>42</v>
      </c>
      <c r="D1013" t="s">
        <v>4062</v>
      </c>
      <c r="E1013" t="s">
        <v>4492</v>
      </c>
      <c r="F1013" t="s">
        <v>34</v>
      </c>
      <c r="G1013">
        <v>0.05</v>
      </c>
      <c r="H1013" s="2">
        <v>68425</v>
      </c>
      <c r="I1013" s="2">
        <v>3421.25</v>
      </c>
    </row>
    <row r="1014" spans="1:9" x14ac:dyDescent="0.25">
      <c r="A1014" t="s">
        <v>633</v>
      </c>
      <c r="B1014" t="s">
        <v>634</v>
      </c>
      <c r="C1014" t="s">
        <v>42</v>
      </c>
      <c r="D1014" t="s">
        <v>4062</v>
      </c>
      <c r="E1014" t="s">
        <v>4475</v>
      </c>
      <c r="F1014" t="s">
        <v>231</v>
      </c>
      <c r="G1014">
        <v>3</v>
      </c>
      <c r="H1014" s="2">
        <v>730</v>
      </c>
      <c r="I1014" s="2">
        <v>2190</v>
      </c>
    </row>
    <row r="1015" spans="1:9" x14ac:dyDescent="0.25">
      <c r="A1015" t="s">
        <v>633</v>
      </c>
      <c r="B1015" t="s">
        <v>634</v>
      </c>
      <c r="C1015" t="s">
        <v>42</v>
      </c>
      <c r="D1015" t="s">
        <v>4062</v>
      </c>
      <c r="E1015" t="s">
        <v>4494</v>
      </c>
      <c r="F1015" t="s">
        <v>63</v>
      </c>
      <c r="G1015">
        <v>16</v>
      </c>
      <c r="H1015" s="2">
        <v>794</v>
      </c>
      <c r="I1015" s="2">
        <v>12704</v>
      </c>
    </row>
    <row r="1016" spans="1:9" x14ac:dyDescent="0.25">
      <c r="A1016" t="s">
        <v>633</v>
      </c>
      <c r="B1016" t="s">
        <v>634</v>
      </c>
      <c r="C1016" t="s">
        <v>42</v>
      </c>
      <c r="D1016" t="s">
        <v>4062</v>
      </c>
      <c r="E1016" t="s">
        <v>4076</v>
      </c>
      <c r="F1016" t="s">
        <v>3963</v>
      </c>
      <c r="G1016">
        <v>7.5</v>
      </c>
      <c r="H1016" s="2">
        <v>21</v>
      </c>
      <c r="I1016" s="2">
        <v>157.5</v>
      </c>
    </row>
    <row r="1017" spans="1:9" x14ac:dyDescent="0.25">
      <c r="A1017" t="s">
        <v>633</v>
      </c>
      <c r="B1017" t="s">
        <v>634</v>
      </c>
      <c r="C1017" t="s">
        <v>42</v>
      </c>
      <c r="D1017" t="s">
        <v>4049</v>
      </c>
      <c r="E1017" t="s">
        <v>4487</v>
      </c>
      <c r="F1017" t="s">
        <v>4236</v>
      </c>
      <c r="G1017">
        <v>0.88</v>
      </c>
      <c r="H1017" s="2">
        <v>24555.22</v>
      </c>
      <c r="I1017" s="2">
        <v>21608.59</v>
      </c>
    </row>
    <row r="1018" spans="1:9" x14ac:dyDescent="0.25">
      <c r="A1018" t="s">
        <v>633</v>
      </c>
      <c r="B1018" t="s">
        <v>634</v>
      </c>
      <c r="C1018" t="s">
        <v>42</v>
      </c>
      <c r="D1018" t="s">
        <v>4052</v>
      </c>
      <c r="E1018" t="s">
        <v>4053</v>
      </c>
      <c r="F1018" t="s">
        <v>4054</v>
      </c>
      <c r="G1018">
        <v>3</v>
      </c>
      <c r="H1018" s="2">
        <v>21608.59</v>
      </c>
      <c r="I1018" s="2">
        <v>648.26</v>
      </c>
    </row>
    <row r="1019" spans="1:9" x14ac:dyDescent="0.25">
      <c r="A1019" t="s">
        <v>636</v>
      </c>
      <c r="B1019" t="s">
        <v>637</v>
      </c>
      <c r="C1019" t="s">
        <v>42</v>
      </c>
      <c r="D1019" t="s">
        <v>4062</v>
      </c>
      <c r="E1019" t="s">
        <v>4262</v>
      </c>
      <c r="F1019" t="s">
        <v>63</v>
      </c>
      <c r="G1019">
        <v>12</v>
      </c>
      <c r="H1019" s="2">
        <v>415</v>
      </c>
      <c r="I1019" s="2">
        <v>4980</v>
      </c>
    </row>
    <row r="1020" spans="1:9" x14ac:dyDescent="0.25">
      <c r="A1020" t="s">
        <v>636</v>
      </c>
      <c r="B1020" t="s">
        <v>637</v>
      </c>
      <c r="C1020" t="s">
        <v>42</v>
      </c>
      <c r="D1020" t="s">
        <v>4062</v>
      </c>
      <c r="E1020" t="s">
        <v>3978</v>
      </c>
      <c r="F1020" t="s">
        <v>34</v>
      </c>
      <c r="G1020">
        <v>0.05</v>
      </c>
      <c r="H1020" s="2">
        <v>409741.65</v>
      </c>
      <c r="I1020" s="2">
        <v>20487.08</v>
      </c>
    </row>
    <row r="1021" spans="1:9" x14ac:dyDescent="0.25">
      <c r="A1021" t="s">
        <v>636</v>
      </c>
      <c r="B1021" t="s">
        <v>637</v>
      </c>
      <c r="C1021" t="s">
        <v>42</v>
      </c>
      <c r="D1021" t="s">
        <v>4062</v>
      </c>
      <c r="E1021" t="s">
        <v>4544</v>
      </c>
      <c r="F1021" t="s">
        <v>231</v>
      </c>
      <c r="G1021">
        <v>0.35</v>
      </c>
      <c r="H1021" s="2">
        <v>25521</v>
      </c>
      <c r="I1021" s="2">
        <v>8932.35</v>
      </c>
    </row>
    <row r="1022" spans="1:9" x14ac:dyDescent="0.25">
      <c r="A1022" t="s">
        <v>636</v>
      </c>
      <c r="B1022" t="s">
        <v>637</v>
      </c>
      <c r="C1022" t="s">
        <v>42</v>
      </c>
      <c r="D1022" t="s">
        <v>4049</v>
      </c>
      <c r="E1022" t="s">
        <v>4050</v>
      </c>
      <c r="F1022" t="s">
        <v>4051</v>
      </c>
      <c r="G1022">
        <v>0.8</v>
      </c>
      <c r="H1022" s="2">
        <v>9037.33</v>
      </c>
      <c r="I1022" s="2">
        <v>7229.86</v>
      </c>
    </row>
    <row r="1023" spans="1:9" x14ac:dyDescent="0.25">
      <c r="A1023" t="s">
        <v>636</v>
      </c>
      <c r="B1023" t="s">
        <v>637</v>
      </c>
      <c r="C1023" t="s">
        <v>42</v>
      </c>
      <c r="D1023" t="s">
        <v>4049</v>
      </c>
      <c r="E1023" t="s">
        <v>4073</v>
      </c>
      <c r="F1023" t="s">
        <v>4051</v>
      </c>
      <c r="G1023">
        <v>0.8</v>
      </c>
      <c r="H1023" s="2">
        <v>15517.89</v>
      </c>
      <c r="I1023" s="2">
        <v>12414.31</v>
      </c>
    </row>
    <row r="1024" spans="1:9" x14ac:dyDescent="0.25">
      <c r="A1024" t="s">
        <v>636</v>
      </c>
      <c r="B1024" t="s">
        <v>637</v>
      </c>
      <c r="C1024" t="s">
        <v>42</v>
      </c>
      <c r="D1024" t="s">
        <v>4052</v>
      </c>
      <c r="E1024" t="s">
        <v>4053</v>
      </c>
      <c r="F1024" t="s">
        <v>4054</v>
      </c>
      <c r="G1024">
        <v>3.3</v>
      </c>
      <c r="H1024" s="2">
        <v>19644.17</v>
      </c>
      <c r="I1024" s="2">
        <v>648.26</v>
      </c>
    </row>
    <row r="1025" spans="1:9" x14ac:dyDescent="0.25">
      <c r="A1025" t="s">
        <v>639</v>
      </c>
      <c r="B1025" t="s">
        <v>640</v>
      </c>
      <c r="C1025" t="s">
        <v>42</v>
      </c>
      <c r="D1025" t="s">
        <v>4062</v>
      </c>
      <c r="E1025" t="s">
        <v>4587</v>
      </c>
      <c r="F1025" t="s">
        <v>34</v>
      </c>
      <c r="G1025">
        <v>0.04</v>
      </c>
      <c r="H1025" s="2">
        <v>82125</v>
      </c>
      <c r="I1025" s="2">
        <v>3285</v>
      </c>
    </row>
    <row r="1026" spans="1:9" x14ac:dyDescent="0.25">
      <c r="A1026" t="s">
        <v>639</v>
      </c>
      <c r="B1026" t="s">
        <v>640</v>
      </c>
      <c r="C1026" t="s">
        <v>42</v>
      </c>
      <c r="D1026" t="s">
        <v>4062</v>
      </c>
      <c r="E1026" t="s">
        <v>4475</v>
      </c>
      <c r="F1026" t="s">
        <v>231</v>
      </c>
      <c r="G1026">
        <v>12</v>
      </c>
      <c r="H1026" s="2">
        <v>730</v>
      </c>
      <c r="I1026" s="2">
        <v>8760</v>
      </c>
    </row>
    <row r="1027" spans="1:9" x14ac:dyDescent="0.25">
      <c r="A1027" t="s">
        <v>639</v>
      </c>
      <c r="B1027" t="s">
        <v>640</v>
      </c>
      <c r="C1027" t="s">
        <v>42</v>
      </c>
      <c r="D1027" t="s">
        <v>4062</v>
      </c>
      <c r="E1027" t="s">
        <v>4588</v>
      </c>
      <c r="F1027" t="s">
        <v>63</v>
      </c>
      <c r="G1027">
        <v>24.21</v>
      </c>
      <c r="H1027" s="2">
        <v>487</v>
      </c>
      <c r="I1027" s="2">
        <v>11790.27</v>
      </c>
    </row>
    <row r="1028" spans="1:9" x14ac:dyDescent="0.25">
      <c r="A1028" t="s">
        <v>639</v>
      </c>
      <c r="B1028" t="s">
        <v>640</v>
      </c>
      <c r="C1028" t="s">
        <v>42</v>
      </c>
      <c r="D1028" t="s">
        <v>4062</v>
      </c>
      <c r="E1028" t="s">
        <v>4076</v>
      </c>
      <c r="F1028" t="s">
        <v>3963</v>
      </c>
      <c r="G1028">
        <v>2.5</v>
      </c>
      <c r="H1028" s="2">
        <v>21</v>
      </c>
      <c r="I1028" s="2">
        <v>52.5</v>
      </c>
    </row>
    <row r="1029" spans="1:9" x14ac:dyDescent="0.25">
      <c r="A1029" t="s">
        <v>639</v>
      </c>
      <c r="B1029" t="s">
        <v>640</v>
      </c>
      <c r="C1029" t="s">
        <v>42</v>
      </c>
      <c r="D1029" t="s">
        <v>4062</v>
      </c>
      <c r="E1029" t="s">
        <v>4589</v>
      </c>
      <c r="F1029" t="s">
        <v>231</v>
      </c>
      <c r="G1029">
        <v>0.53</v>
      </c>
      <c r="H1029" s="2">
        <v>22349</v>
      </c>
      <c r="I1029" s="2">
        <v>11844.97</v>
      </c>
    </row>
    <row r="1030" spans="1:9" x14ac:dyDescent="0.25">
      <c r="A1030" t="s">
        <v>639</v>
      </c>
      <c r="B1030" t="s">
        <v>640</v>
      </c>
      <c r="C1030" t="s">
        <v>42</v>
      </c>
      <c r="D1030" t="s">
        <v>4049</v>
      </c>
      <c r="E1030" t="s">
        <v>4487</v>
      </c>
      <c r="F1030" t="s">
        <v>4236</v>
      </c>
      <c r="G1030">
        <v>1.12</v>
      </c>
      <c r="H1030" s="2">
        <v>24555.22</v>
      </c>
      <c r="I1030" s="2">
        <v>27501.85</v>
      </c>
    </row>
    <row r="1031" spans="1:9" x14ac:dyDescent="0.25">
      <c r="A1031" t="s">
        <v>639</v>
      </c>
      <c r="B1031" t="s">
        <v>640</v>
      </c>
      <c r="C1031" t="s">
        <v>42</v>
      </c>
      <c r="D1031" t="s">
        <v>4052</v>
      </c>
      <c r="E1031" t="s">
        <v>4053</v>
      </c>
      <c r="F1031" t="s">
        <v>4054</v>
      </c>
      <c r="G1031">
        <v>3.3</v>
      </c>
      <c r="H1031" s="2">
        <v>27501.85</v>
      </c>
      <c r="I1031" s="2">
        <v>907.56</v>
      </c>
    </row>
    <row r="1032" spans="1:9" x14ac:dyDescent="0.25">
      <c r="A1032" t="s">
        <v>642</v>
      </c>
      <c r="B1032" t="s">
        <v>643</v>
      </c>
      <c r="C1032" t="s">
        <v>21</v>
      </c>
      <c r="D1032" t="s">
        <v>4062</v>
      </c>
      <c r="E1032" t="s">
        <v>4262</v>
      </c>
      <c r="F1032" t="s">
        <v>63</v>
      </c>
      <c r="G1032">
        <v>24.21</v>
      </c>
      <c r="H1032" s="2">
        <v>415</v>
      </c>
      <c r="I1032" s="2">
        <v>10047.15</v>
      </c>
    </row>
    <row r="1033" spans="1:9" x14ac:dyDescent="0.25">
      <c r="A1033" t="s">
        <v>642</v>
      </c>
      <c r="B1033" t="s">
        <v>643</v>
      </c>
      <c r="C1033" t="s">
        <v>21</v>
      </c>
      <c r="D1033" t="s">
        <v>4062</v>
      </c>
      <c r="E1033" t="s">
        <v>3978</v>
      </c>
      <c r="F1033" t="s">
        <v>34</v>
      </c>
      <c r="G1033">
        <v>0.06</v>
      </c>
      <c r="H1033" s="2">
        <v>409741.65</v>
      </c>
      <c r="I1033" s="2">
        <v>24584.5</v>
      </c>
    </row>
    <row r="1034" spans="1:9" x14ac:dyDescent="0.25">
      <c r="A1034" t="s">
        <v>642</v>
      </c>
      <c r="B1034" t="s">
        <v>643</v>
      </c>
      <c r="C1034" t="s">
        <v>21</v>
      </c>
      <c r="D1034" t="s">
        <v>4062</v>
      </c>
      <c r="E1034" t="s">
        <v>4544</v>
      </c>
      <c r="F1034" t="s">
        <v>231</v>
      </c>
      <c r="G1034">
        <v>0.53</v>
      </c>
      <c r="H1034" s="2">
        <v>25521</v>
      </c>
      <c r="I1034" s="2">
        <v>13526.13</v>
      </c>
    </row>
    <row r="1035" spans="1:9" x14ac:dyDescent="0.25">
      <c r="A1035" t="s">
        <v>642</v>
      </c>
      <c r="B1035" t="s">
        <v>643</v>
      </c>
      <c r="C1035" t="s">
        <v>21</v>
      </c>
      <c r="D1035" t="s">
        <v>4049</v>
      </c>
      <c r="E1035" t="s">
        <v>4050</v>
      </c>
      <c r="F1035" t="s">
        <v>4051</v>
      </c>
      <c r="G1035">
        <v>1.12</v>
      </c>
      <c r="H1035" s="2">
        <v>9037.33</v>
      </c>
      <c r="I1035" s="2">
        <v>10121.81</v>
      </c>
    </row>
    <row r="1036" spans="1:9" x14ac:dyDescent="0.25">
      <c r="A1036" t="s">
        <v>642</v>
      </c>
      <c r="B1036" t="s">
        <v>643</v>
      </c>
      <c r="C1036" t="s">
        <v>21</v>
      </c>
      <c r="D1036" t="s">
        <v>4049</v>
      </c>
      <c r="E1036" t="s">
        <v>4073</v>
      </c>
      <c r="F1036" t="s">
        <v>4051</v>
      </c>
      <c r="G1036">
        <v>1.12</v>
      </c>
      <c r="H1036" s="2">
        <v>15517.89</v>
      </c>
      <c r="I1036" s="2">
        <v>17380.04</v>
      </c>
    </row>
    <row r="1037" spans="1:9" x14ac:dyDescent="0.25">
      <c r="A1037" t="s">
        <v>642</v>
      </c>
      <c r="B1037" t="s">
        <v>643</v>
      </c>
      <c r="C1037" t="s">
        <v>21</v>
      </c>
      <c r="D1037" t="s">
        <v>4052</v>
      </c>
      <c r="E1037" t="s">
        <v>4053</v>
      </c>
      <c r="F1037" t="s">
        <v>4054</v>
      </c>
      <c r="G1037">
        <v>3.3</v>
      </c>
      <c r="H1037" s="2">
        <v>27501.85</v>
      </c>
      <c r="I1037" s="2">
        <v>907.56</v>
      </c>
    </row>
    <row r="1038" spans="1:9" x14ac:dyDescent="0.25">
      <c r="A1038" t="s">
        <v>645</v>
      </c>
      <c r="B1038" t="s">
        <v>646</v>
      </c>
      <c r="C1038" t="s">
        <v>21</v>
      </c>
      <c r="D1038" t="s">
        <v>4062</v>
      </c>
      <c r="E1038" t="s">
        <v>4594</v>
      </c>
      <c r="F1038" t="s">
        <v>63</v>
      </c>
      <c r="G1038">
        <v>4</v>
      </c>
      <c r="H1038" s="2">
        <v>336</v>
      </c>
      <c r="I1038" s="2">
        <v>1344</v>
      </c>
    </row>
    <row r="1039" spans="1:9" x14ac:dyDescent="0.25">
      <c r="A1039" t="s">
        <v>645</v>
      </c>
      <c r="B1039" t="s">
        <v>646</v>
      </c>
      <c r="C1039" t="s">
        <v>21</v>
      </c>
      <c r="D1039" t="s">
        <v>4062</v>
      </c>
      <c r="E1039" t="s">
        <v>4526</v>
      </c>
      <c r="F1039" t="s">
        <v>63</v>
      </c>
      <c r="G1039">
        <v>16</v>
      </c>
      <c r="H1039" s="2">
        <v>25</v>
      </c>
      <c r="I1039" s="2">
        <v>400</v>
      </c>
    </row>
    <row r="1040" spans="1:9" x14ac:dyDescent="0.25">
      <c r="A1040" t="s">
        <v>645</v>
      </c>
      <c r="B1040" t="s">
        <v>646</v>
      </c>
      <c r="C1040" t="s">
        <v>21</v>
      </c>
      <c r="D1040" t="s">
        <v>4062</v>
      </c>
      <c r="E1040" t="s">
        <v>4595</v>
      </c>
      <c r="F1040" t="s">
        <v>63</v>
      </c>
      <c r="G1040">
        <v>16</v>
      </c>
      <c r="H1040" s="2">
        <v>26</v>
      </c>
      <c r="I1040" s="2">
        <v>416</v>
      </c>
    </row>
    <row r="1041" spans="1:9" x14ac:dyDescent="0.25">
      <c r="A1041" t="s">
        <v>645</v>
      </c>
      <c r="B1041" t="s">
        <v>646</v>
      </c>
      <c r="C1041" t="s">
        <v>21</v>
      </c>
      <c r="D1041" t="s">
        <v>4062</v>
      </c>
      <c r="E1041" t="s">
        <v>4596</v>
      </c>
      <c r="F1041" t="s">
        <v>42</v>
      </c>
      <c r="G1041">
        <v>2</v>
      </c>
      <c r="H1041" s="2">
        <v>5226.48</v>
      </c>
      <c r="I1041" s="2">
        <v>10452.96</v>
      </c>
    </row>
    <row r="1042" spans="1:9" x14ac:dyDescent="0.25">
      <c r="A1042" t="s">
        <v>645</v>
      </c>
      <c r="B1042" t="s">
        <v>646</v>
      </c>
      <c r="C1042" t="s">
        <v>21</v>
      </c>
      <c r="D1042" t="s">
        <v>4062</v>
      </c>
      <c r="E1042" t="s">
        <v>4597</v>
      </c>
      <c r="F1042" t="s">
        <v>42</v>
      </c>
      <c r="G1042">
        <v>2</v>
      </c>
      <c r="H1042" s="2">
        <v>2021.86</v>
      </c>
      <c r="I1042" s="2">
        <v>4043.72</v>
      </c>
    </row>
    <row r="1043" spans="1:9" x14ac:dyDescent="0.25">
      <c r="A1043" t="s">
        <v>645</v>
      </c>
      <c r="B1043" t="s">
        <v>646</v>
      </c>
      <c r="C1043" t="s">
        <v>21</v>
      </c>
      <c r="D1043" t="s">
        <v>4062</v>
      </c>
      <c r="E1043" t="s">
        <v>4598</v>
      </c>
      <c r="F1043" t="s">
        <v>42</v>
      </c>
      <c r="G1043">
        <v>4</v>
      </c>
      <c r="H1043" s="2">
        <v>164.11</v>
      </c>
      <c r="I1043" s="2">
        <v>656.44</v>
      </c>
    </row>
    <row r="1044" spans="1:9" x14ac:dyDescent="0.25">
      <c r="A1044" t="s">
        <v>645</v>
      </c>
      <c r="B1044" t="s">
        <v>646</v>
      </c>
      <c r="C1044" t="s">
        <v>21</v>
      </c>
      <c r="D1044" t="s">
        <v>4062</v>
      </c>
      <c r="E1044" t="s">
        <v>4599</v>
      </c>
      <c r="F1044" t="s">
        <v>63</v>
      </c>
      <c r="G1044">
        <v>0.69</v>
      </c>
      <c r="H1044" s="2">
        <v>63949.67</v>
      </c>
      <c r="I1044" s="2">
        <v>44125.27</v>
      </c>
    </row>
    <row r="1045" spans="1:9" x14ac:dyDescent="0.25">
      <c r="A1045" t="s">
        <v>645</v>
      </c>
      <c r="B1045" t="s">
        <v>646</v>
      </c>
      <c r="C1045" t="s">
        <v>21</v>
      </c>
      <c r="D1045" t="s">
        <v>4062</v>
      </c>
      <c r="E1045" t="s">
        <v>4600</v>
      </c>
      <c r="F1045" t="s">
        <v>63</v>
      </c>
      <c r="G1045">
        <v>0.26</v>
      </c>
      <c r="H1045" s="2">
        <v>1195</v>
      </c>
      <c r="I1045" s="2">
        <v>310.7</v>
      </c>
    </row>
    <row r="1046" spans="1:9" x14ac:dyDescent="0.25">
      <c r="A1046" t="s">
        <v>645</v>
      </c>
      <c r="B1046" t="s">
        <v>646</v>
      </c>
      <c r="C1046" t="s">
        <v>21</v>
      </c>
      <c r="D1046" t="s">
        <v>4062</v>
      </c>
      <c r="E1046" t="s">
        <v>4536</v>
      </c>
      <c r="F1046" t="s">
        <v>63</v>
      </c>
      <c r="G1046">
        <v>0.19</v>
      </c>
      <c r="H1046" s="2">
        <v>37625</v>
      </c>
      <c r="I1046" s="2">
        <v>7220.24</v>
      </c>
    </row>
    <row r="1047" spans="1:9" x14ac:dyDescent="0.25">
      <c r="A1047" t="s">
        <v>645</v>
      </c>
      <c r="B1047" t="s">
        <v>646</v>
      </c>
      <c r="C1047" t="s">
        <v>21</v>
      </c>
      <c r="D1047" t="s">
        <v>4062</v>
      </c>
      <c r="E1047" t="s">
        <v>4601</v>
      </c>
      <c r="F1047" t="s">
        <v>63</v>
      </c>
      <c r="G1047">
        <v>4</v>
      </c>
      <c r="H1047" s="2">
        <v>199</v>
      </c>
      <c r="I1047" s="2">
        <v>796</v>
      </c>
    </row>
    <row r="1048" spans="1:9" x14ac:dyDescent="0.25">
      <c r="A1048" t="s">
        <v>645</v>
      </c>
      <c r="B1048" t="s">
        <v>646</v>
      </c>
      <c r="C1048" t="s">
        <v>21</v>
      </c>
      <c r="D1048" t="s">
        <v>4062</v>
      </c>
      <c r="E1048" t="s">
        <v>4602</v>
      </c>
      <c r="F1048" t="s">
        <v>4377</v>
      </c>
      <c r="G1048">
        <v>0.08</v>
      </c>
      <c r="H1048" s="2">
        <v>41112</v>
      </c>
      <c r="I1048" s="2">
        <v>3161.51</v>
      </c>
    </row>
    <row r="1049" spans="1:9" x14ac:dyDescent="0.25">
      <c r="A1049" t="s">
        <v>645</v>
      </c>
      <c r="B1049" t="s">
        <v>646</v>
      </c>
      <c r="C1049" t="s">
        <v>21</v>
      </c>
      <c r="D1049" t="s">
        <v>4049</v>
      </c>
      <c r="E1049" t="s">
        <v>4603</v>
      </c>
      <c r="F1049" t="s">
        <v>21</v>
      </c>
      <c r="G1049">
        <v>1</v>
      </c>
      <c r="H1049" s="2">
        <v>29781.96</v>
      </c>
      <c r="I1049" s="2">
        <v>29781.96</v>
      </c>
    </row>
    <row r="1050" spans="1:9" x14ac:dyDescent="0.25">
      <c r="A1050" t="s">
        <v>645</v>
      </c>
      <c r="B1050" t="s">
        <v>646</v>
      </c>
      <c r="C1050" t="s">
        <v>21</v>
      </c>
      <c r="D1050" t="s">
        <v>4052</v>
      </c>
      <c r="E1050" t="s">
        <v>4053</v>
      </c>
      <c r="F1050" t="s">
        <v>4054</v>
      </c>
      <c r="G1050">
        <v>3.3</v>
      </c>
      <c r="H1050" s="2">
        <v>29781.96</v>
      </c>
      <c r="I1050" s="2">
        <v>982.8</v>
      </c>
    </row>
    <row r="1051" spans="1:9" x14ac:dyDescent="0.25">
      <c r="A1051" t="s">
        <v>651</v>
      </c>
      <c r="B1051" t="s">
        <v>653</v>
      </c>
      <c r="C1051" t="s">
        <v>42</v>
      </c>
      <c r="D1051" t="s">
        <v>4062</v>
      </c>
      <c r="E1051" t="s">
        <v>4065</v>
      </c>
      <c r="F1051" t="s">
        <v>4066</v>
      </c>
      <c r="G1051">
        <v>0.08</v>
      </c>
      <c r="H1051" s="2">
        <v>3433</v>
      </c>
      <c r="I1051" s="2">
        <v>274.64</v>
      </c>
    </row>
    <row r="1052" spans="1:9" x14ac:dyDescent="0.25">
      <c r="A1052" t="s">
        <v>651</v>
      </c>
      <c r="B1052" t="s">
        <v>653</v>
      </c>
      <c r="C1052" t="s">
        <v>42</v>
      </c>
      <c r="D1052" t="s">
        <v>4062</v>
      </c>
      <c r="E1052" t="s">
        <v>4322</v>
      </c>
      <c r="F1052" t="s">
        <v>42</v>
      </c>
      <c r="G1052">
        <v>2.16</v>
      </c>
      <c r="H1052" s="2">
        <v>5304</v>
      </c>
      <c r="I1052" s="2">
        <v>11456.64</v>
      </c>
    </row>
    <row r="1053" spans="1:9" x14ac:dyDescent="0.25">
      <c r="A1053" t="s">
        <v>651</v>
      </c>
      <c r="B1053" t="s">
        <v>653</v>
      </c>
      <c r="C1053" t="s">
        <v>42</v>
      </c>
      <c r="D1053" t="s">
        <v>4049</v>
      </c>
      <c r="E1053" t="s">
        <v>4487</v>
      </c>
      <c r="F1053" t="s">
        <v>4236</v>
      </c>
      <c r="G1053">
        <v>0.55</v>
      </c>
      <c r="H1053" s="2">
        <v>24555.22</v>
      </c>
      <c r="I1053" s="2">
        <v>13505.37</v>
      </c>
    </row>
    <row r="1054" spans="1:9" x14ac:dyDescent="0.25">
      <c r="A1054" t="s">
        <v>651</v>
      </c>
      <c r="B1054" t="s">
        <v>653</v>
      </c>
      <c r="C1054" t="s">
        <v>42</v>
      </c>
      <c r="D1054" t="s">
        <v>4052</v>
      </c>
      <c r="E1054" t="s">
        <v>4053</v>
      </c>
      <c r="F1054" t="s">
        <v>4054</v>
      </c>
      <c r="G1054">
        <v>3.3</v>
      </c>
      <c r="H1054" s="2">
        <v>13505.37</v>
      </c>
      <c r="I1054" s="2">
        <v>445.68</v>
      </c>
    </row>
    <row r="1055" spans="1:9" x14ac:dyDescent="0.25">
      <c r="A1055" t="s">
        <v>658</v>
      </c>
      <c r="B1055" t="s">
        <v>659</v>
      </c>
      <c r="C1055" t="s">
        <v>42</v>
      </c>
      <c r="D1055" t="s">
        <v>4062</v>
      </c>
      <c r="E1055" t="s">
        <v>3978</v>
      </c>
      <c r="F1055" t="s">
        <v>34</v>
      </c>
      <c r="G1055">
        <v>0.01</v>
      </c>
      <c r="H1055" s="2">
        <v>409741.65</v>
      </c>
      <c r="I1055" s="2">
        <v>4097.42</v>
      </c>
    </row>
    <row r="1056" spans="1:9" x14ac:dyDescent="0.25">
      <c r="A1056" t="s">
        <v>658</v>
      </c>
      <c r="B1056" t="s">
        <v>659</v>
      </c>
      <c r="C1056" t="s">
        <v>42</v>
      </c>
      <c r="D1056" t="s">
        <v>4062</v>
      </c>
      <c r="E1056" t="s">
        <v>4076</v>
      </c>
      <c r="F1056" t="s">
        <v>3963</v>
      </c>
      <c r="G1056">
        <v>1</v>
      </c>
      <c r="H1056" s="2">
        <v>21</v>
      </c>
      <c r="I1056" s="2">
        <v>21</v>
      </c>
    </row>
    <row r="1057" spans="1:9" x14ac:dyDescent="0.25">
      <c r="A1057" t="s">
        <v>658</v>
      </c>
      <c r="B1057" t="s">
        <v>659</v>
      </c>
      <c r="C1057" t="s">
        <v>42</v>
      </c>
      <c r="D1057" t="s">
        <v>4049</v>
      </c>
      <c r="E1057" t="s">
        <v>4050</v>
      </c>
      <c r="F1057" t="s">
        <v>4051</v>
      </c>
      <c r="G1057">
        <v>0.15</v>
      </c>
      <c r="H1057" s="2">
        <v>9037.33</v>
      </c>
      <c r="I1057" s="2">
        <v>1355.6</v>
      </c>
    </row>
    <row r="1058" spans="1:9" x14ac:dyDescent="0.25">
      <c r="A1058" t="s">
        <v>658</v>
      </c>
      <c r="B1058" t="s">
        <v>659</v>
      </c>
      <c r="C1058" t="s">
        <v>42</v>
      </c>
      <c r="D1058" t="s">
        <v>4049</v>
      </c>
      <c r="E1058" t="s">
        <v>4073</v>
      </c>
      <c r="F1058" t="s">
        <v>4051</v>
      </c>
      <c r="G1058">
        <v>0.15</v>
      </c>
      <c r="H1058" s="2">
        <v>15517.89</v>
      </c>
      <c r="I1058" s="2">
        <v>2327.68</v>
      </c>
    </row>
    <row r="1059" spans="1:9" x14ac:dyDescent="0.25">
      <c r="A1059" t="s">
        <v>658</v>
      </c>
      <c r="B1059" t="s">
        <v>659</v>
      </c>
      <c r="C1059" t="s">
        <v>42</v>
      </c>
      <c r="D1059" t="s">
        <v>4052</v>
      </c>
      <c r="E1059" t="s">
        <v>4053</v>
      </c>
      <c r="F1059" t="s">
        <v>4054</v>
      </c>
      <c r="G1059">
        <v>5.5</v>
      </c>
      <c r="H1059" s="2">
        <v>3683.28</v>
      </c>
      <c r="I1059" s="2">
        <v>202.58</v>
      </c>
    </row>
    <row r="1060" spans="1:9" x14ac:dyDescent="0.25">
      <c r="A1060" t="s">
        <v>664</v>
      </c>
      <c r="B1060" t="s">
        <v>665</v>
      </c>
      <c r="C1060" t="s">
        <v>21</v>
      </c>
      <c r="D1060" t="s">
        <v>4062</v>
      </c>
      <c r="E1060" t="s">
        <v>3978</v>
      </c>
      <c r="F1060" t="s">
        <v>34</v>
      </c>
      <c r="G1060">
        <v>0.01</v>
      </c>
      <c r="H1060" s="2">
        <v>409741.65</v>
      </c>
      <c r="I1060" s="2">
        <v>4097.42</v>
      </c>
    </row>
    <row r="1061" spans="1:9" x14ac:dyDescent="0.25">
      <c r="A1061" t="s">
        <v>664</v>
      </c>
      <c r="B1061" t="s">
        <v>665</v>
      </c>
      <c r="C1061" t="s">
        <v>21</v>
      </c>
      <c r="D1061" t="s">
        <v>4062</v>
      </c>
      <c r="E1061" t="s">
        <v>4076</v>
      </c>
      <c r="F1061" t="s">
        <v>3963</v>
      </c>
      <c r="G1061">
        <v>1</v>
      </c>
      <c r="H1061" s="2">
        <v>21</v>
      </c>
      <c r="I1061" s="2">
        <v>21</v>
      </c>
    </row>
    <row r="1062" spans="1:9" x14ac:dyDescent="0.25">
      <c r="A1062" t="s">
        <v>664</v>
      </c>
      <c r="B1062" t="s">
        <v>665</v>
      </c>
      <c r="C1062" t="s">
        <v>21</v>
      </c>
      <c r="D1062" t="s">
        <v>4049</v>
      </c>
      <c r="E1062" t="s">
        <v>4050</v>
      </c>
      <c r="F1062" t="s">
        <v>4051</v>
      </c>
      <c r="G1062">
        <v>0.23</v>
      </c>
      <c r="H1062" s="2">
        <v>9037.33</v>
      </c>
      <c r="I1062" s="2">
        <v>2078.59</v>
      </c>
    </row>
    <row r="1063" spans="1:9" x14ac:dyDescent="0.25">
      <c r="A1063" t="s">
        <v>664</v>
      </c>
      <c r="B1063" t="s">
        <v>665</v>
      </c>
      <c r="C1063" t="s">
        <v>21</v>
      </c>
      <c r="D1063" t="s">
        <v>4049</v>
      </c>
      <c r="E1063" t="s">
        <v>4073</v>
      </c>
      <c r="F1063" t="s">
        <v>4051</v>
      </c>
      <c r="G1063">
        <v>0.23</v>
      </c>
      <c r="H1063" s="2">
        <v>15517.89</v>
      </c>
      <c r="I1063" s="2">
        <v>3569.11</v>
      </c>
    </row>
    <row r="1064" spans="1:9" x14ac:dyDescent="0.25">
      <c r="A1064" t="s">
        <v>664</v>
      </c>
      <c r="B1064" t="s">
        <v>665</v>
      </c>
      <c r="C1064" t="s">
        <v>21</v>
      </c>
      <c r="D1064" t="s">
        <v>4052</v>
      </c>
      <c r="E1064" t="s">
        <v>4053</v>
      </c>
      <c r="F1064" t="s">
        <v>4054</v>
      </c>
      <c r="G1064">
        <v>5.5</v>
      </c>
      <c r="H1064" s="2">
        <v>5647.7</v>
      </c>
      <c r="I1064" s="2">
        <v>310.62</v>
      </c>
    </row>
    <row r="1065" spans="1:9" x14ac:dyDescent="0.25">
      <c r="A1065" t="s">
        <v>667</v>
      </c>
      <c r="B1065" t="s">
        <v>668</v>
      </c>
      <c r="C1065" t="s">
        <v>21</v>
      </c>
      <c r="D1065" t="s">
        <v>4062</v>
      </c>
      <c r="E1065" t="s">
        <v>4614</v>
      </c>
      <c r="F1065" t="s">
        <v>231</v>
      </c>
      <c r="G1065">
        <v>0.05</v>
      </c>
      <c r="H1065" s="2">
        <v>4706</v>
      </c>
      <c r="I1065" s="2">
        <v>235.3</v>
      </c>
    </row>
    <row r="1066" spans="1:9" x14ac:dyDescent="0.25">
      <c r="A1066" t="s">
        <v>667</v>
      </c>
      <c r="B1066" t="s">
        <v>668</v>
      </c>
      <c r="C1066" t="s">
        <v>21</v>
      </c>
      <c r="D1066" t="s">
        <v>4062</v>
      </c>
      <c r="E1066" t="s">
        <v>4321</v>
      </c>
      <c r="F1066" t="s">
        <v>21</v>
      </c>
      <c r="G1066">
        <v>1</v>
      </c>
      <c r="H1066" s="2">
        <v>8777.33</v>
      </c>
      <c r="I1066" s="2">
        <v>8777.33</v>
      </c>
    </row>
    <row r="1067" spans="1:9" x14ac:dyDescent="0.25">
      <c r="A1067" t="s">
        <v>667</v>
      </c>
      <c r="B1067" t="s">
        <v>668</v>
      </c>
      <c r="C1067" t="s">
        <v>21</v>
      </c>
      <c r="D1067" t="s">
        <v>4062</v>
      </c>
      <c r="E1067" t="s">
        <v>4065</v>
      </c>
      <c r="F1067" t="s">
        <v>4066</v>
      </c>
      <c r="G1067">
        <v>0.2</v>
      </c>
      <c r="H1067" s="2">
        <v>3433</v>
      </c>
      <c r="I1067" s="2">
        <v>686.6</v>
      </c>
    </row>
    <row r="1068" spans="1:9" x14ac:dyDescent="0.25">
      <c r="A1068" t="s">
        <v>667</v>
      </c>
      <c r="B1068" t="s">
        <v>668</v>
      </c>
      <c r="C1068" t="s">
        <v>21</v>
      </c>
      <c r="D1068" t="s">
        <v>4049</v>
      </c>
      <c r="E1068" t="s">
        <v>4487</v>
      </c>
      <c r="F1068" t="s">
        <v>4236</v>
      </c>
      <c r="G1068">
        <v>0.5</v>
      </c>
      <c r="H1068" s="2">
        <v>24555.22</v>
      </c>
      <c r="I1068" s="2">
        <v>12277.61</v>
      </c>
    </row>
    <row r="1069" spans="1:9" x14ac:dyDescent="0.25">
      <c r="A1069" t="s">
        <v>667</v>
      </c>
      <c r="B1069" t="s">
        <v>668</v>
      </c>
      <c r="C1069" t="s">
        <v>21</v>
      </c>
      <c r="D1069" t="s">
        <v>4052</v>
      </c>
      <c r="E1069" t="s">
        <v>4053</v>
      </c>
      <c r="F1069" t="s">
        <v>4054</v>
      </c>
      <c r="G1069">
        <v>3.3</v>
      </c>
      <c r="H1069" s="2">
        <v>12277.61</v>
      </c>
      <c r="I1069" s="2">
        <v>405.16</v>
      </c>
    </row>
    <row r="1070" spans="1:9" x14ac:dyDescent="0.25">
      <c r="A1070" t="s">
        <v>670</v>
      </c>
      <c r="B1070" t="s">
        <v>671</v>
      </c>
      <c r="C1070" t="s">
        <v>21</v>
      </c>
      <c r="D1070" t="s">
        <v>4062</v>
      </c>
      <c r="E1070" t="s">
        <v>4617</v>
      </c>
      <c r="F1070" t="s">
        <v>63</v>
      </c>
      <c r="G1070">
        <v>0.88</v>
      </c>
      <c r="H1070" s="2">
        <v>4964</v>
      </c>
      <c r="I1070" s="2">
        <v>4368.32</v>
      </c>
    </row>
    <row r="1071" spans="1:9" x14ac:dyDescent="0.25">
      <c r="A1071" t="s">
        <v>670</v>
      </c>
      <c r="B1071" t="s">
        <v>671</v>
      </c>
      <c r="C1071" t="s">
        <v>21</v>
      </c>
      <c r="D1071" t="s">
        <v>4062</v>
      </c>
      <c r="E1071" t="s">
        <v>4065</v>
      </c>
      <c r="F1071" t="s">
        <v>4066</v>
      </c>
      <c r="G1071">
        <v>0.04</v>
      </c>
      <c r="H1071" s="2">
        <v>3433</v>
      </c>
      <c r="I1071" s="2">
        <v>137.32</v>
      </c>
    </row>
    <row r="1072" spans="1:9" x14ac:dyDescent="0.25">
      <c r="A1072" t="s">
        <v>670</v>
      </c>
      <c r="B1072" t="s">
        <v>671</v>
      </c>
      <c r="C1072" t="s">
        <v>21</v>
      </c>
      <c r="D1072" t="s">
        <v>4049</v>
      </c>
      <c r="E1072" t="s">
        <v>4487</v>
      </c>
      <c r="F1072" t="s">
        <v>4236</v>
      </c>
      <c r="G1072">
        <v>0.4</v>
      </c>
      <c r="H1072" s="2">
        <v>24555.22</v>
      </c>
      <c r="I1072" s="2">
        <v>9822.09</v>
      </c>
    </row>
    <row r="1073" spans="1:9" x14ac:dyDescent="0.25">
      <c r="A1073" t="s">
        <v>670</v>
      </c>
      <c r="B1073" t="s">
        <v>671</v>
      </c>
      <c r="C1073" t="s">
        <v>21</v>
      </c>
      <c r="D1073" t="s">
        <v>4052</v>
      </c>
      <c r="E1073" t="s">
        <v>4053</v>
      </c>
      <c r="F1073" t="s">
        <v>4054</v>
      </c>
      <c r="G1073">
        <v>3.3</v>
      </c>
      <c r="H1073" s="2">
        <v>9822.09</v>
      </c>
      <c r="I1073" s="2">
        <v>324.13</v>
      </c>
    </row>
    <row r="1074" spans="1:9" x14ac:dyDescent="0.25">
      <c r="A1074" t="s">
        <v>673</v>
      </c>
      <c r="B1074" t="s">
        <v>674</v>
      </c>
      <c r="C1074" t="s">
        <v>21</v>
      </c>
      <c r="D1074" t="s">
        <v>4062</v>
      </c>
      <c r="E1074" t="s">
        <v>4492</v>
      </c>
      <c r="F1074" t="s">
        <v>34</v>
      </c>
      <c r="G1074">
        <v>0.03</v>
      </c>
      <c r="H1074" s="2">
        <v>68425</v>
      </c>
      <c r="I1074" s="2">
        <v>2052.75</v>
      </c>
    </row>
    <row r="1075" spans="1:9" x14ac:dyDescent="0.25">
      <c r="A1075" t="s">
        <v>673</v>
      </c>
      <c r="B1075" t="s">
        <v>674</v>
      </c>
      <c r="C1075" t="s">
        <v>21</v>
      </c>
      <c r="D1075" t="s">
        <v>4062</v>
      </c>
      <c r="E1075" t="s">
        <v>4475</v>
      </c>
      <c r="F1075" t="s">
        <v>231</v>
      </c>
      <c r="G1075">
        <v>8.45</v>
      </c>
      <c r="H1075" s="2">
        <v>730</v>
      </c>
      <c r="I1075" s="2">
        <v>6168.5</v>
      </c>
    </row>
    <row r="1076" spans="1:9" x14ac:dyDescent="0.25">
      <c r="A1076" t="s">
        <v>673</v>
      </c>
      <c r="B1076" t="s">
        <v>674</v>
      </c>
      <c r="C1076" t="s">
        <v>21</v>
      </c>
      <c r="D1076" t="s">
        <v>4062</v>
      </c>
      <c r="E1076" t="s">
        <v>4076</v>
      </c>
      <c r="F1076" t="s">
        <v>3963</v>
      </c>
      <c r="G1076">
        <v>4.17</v>
      </c>
      <c r="H1076" s="2">
        <v>21</v>
      </c>
      <c r="I1076" s="2">
        <v>87.57</v>
      </c>
    </row>
    <row r="1077" spans="1:9" x14ac:dyDescent="0.25">
      <c r="A1077" t="s">
        <v>673</v>
      </c>
      <c r="B1077" t="s">
        <v>674</v>
      </c>
      <c r="C1077" t="s">
        <v>21</v>
      </c>
      <c r="D1077" t="s">
        <v>4049</v>
      </c>
      <c r="E1077" t="s">
        <v>4487</v>
      </c>
      <c r="F1077" t="s">
        <v>4236</v>
      </c>
      <c r="G1077">
        <v>0.6</v>
      </c>
      <c r="H1077" s="2">
        <v>24555.22</v>
      </c>
      <c r="I1077" s="2">
        <v>14733.13</v>
      </c>
    </row>
    <row r="1078" spans="1:9" x14ac:dyDescent="0.25">
      <c r="A1078" t="s">
        <v>673</v>
      </c>
      <c r="B1078" t="s">
        <v>674</v>
      </c>
      <c r="C1078" t="s">
        <v>21</v>
      </c>
      <c r="D1078" t="s">
        <v>4052</v>
      </c>
      <c r="E1078" t="s">
        <v>4053</v>
      </c>
      <c r="F1078" t="s">
        <v>4054</v>
      </c>
      <c r="G1078">
        <v>3.3</v>
      </c>
      <c r="H1078" s="2">
        <v>14733.13</v>
      </c>
      <c r="I1078" s="2">
        <v>486.19</v>
      </c>
    </row>
    <row r="1079" spans="1:9" x14ac:dyDescent="0.25">
      <c r="A1079" t="s">
        <v>676</v>
      </c>
      <c r="B1079" t="s">
        <v>677</v>
      </c>
      <c r="C1079" t="s">
        <v>21</v>
      </c>
      <c r="D1079" t="s">
        <v>4062</v>
      </c>
      <c r="E1079" t="s">
        <v>4492</v>
      </c>
      <c r="F1079" t="s">
        <v>34</v>
      </c>
      <c r="G1079">
        <v>0.03</v>
      </c>
      <c r="H1079" s="2">
        <v>68425</v>
      </c>
      <c r="I1079" s="2">
        <v>2052.75</v>
      </c>
    </row>
    <row r="1080" spans="1:9" x14ac:dyDescent="0.25">
      <c r="A1080" t="s">
        <v>676</v>
      </c>
      <c r="B1080" t="s">
        <v>677</v>
      </c>
      <c r="C1080" t="s">
        <v>21</v>
      </c>
      <c r="D1080" t="s">
        <v>4062</v>
      </c>
      <c r="E1080" t="s">
        <v>4475</v>
      </c>
      <c r="F1080" t="s">
        <v>231</v>
      </c>
      <c r="G1080">
        <v>7.3</v>
      </c>
      <c r="H1080" s="2">
        <v>730</v>
      </c>
      <c r="I1080" s="2">
        <v>5329</v>
      </c>
    </row>
    <row r="1081" spans="1:9" x14ac:dyDescent="0.25">
      <c r="A1081" t="s">
        <v>676</v>
      </c>
      <c r="B1081" t="s">
        <v>677</v>
      </c>
      <c r="C1081" t="s">
        <v>21</v>
      </c>
      <c r="D1081" t="s">
        <v>4062</v>
      </c>
      <c r="E1081" t="s">
        <v>4076</v>
      </c>
      <c r="F1081" t="s">
        <v>3963</v>
      </c>
      <c r="G1081">
        <v>3.6</v>
      </c>
      <c r="H1081" s="2">
        <v>21</v>
      </c>
      <c r="I1081" s="2">
        <v>75.6</v>
      </c>
    </row>
    <row r="1082" spans="1:9" x14ac:dyDescent="0.25">
      <c r="A1082" t="s">
        <v>676</v>
      </c>
      <c r="B1082" t="s">
        <v>677</v>
      </c>
      <c r="C1082" t="s">
        <v>21</v>
      </c>
      <c r="D1082" t="s">
        <v>4049</v>
      </c>
      <c r="E1082" t="s">
        <v>4487</v>
      </c>
      <c r="F1082" t="s">
        <v>4236</v>
      </c>
      <c r="G1082">
        <v>0.6</v>
      </c>
      <c r="H1082" s="2">
        <v>24555.22</v>
      </c>
      <c r="I1082" s="2">
        <v>14733.13</v>
      </c>
    </row>
    <row r="1083" spans="1:9" x14ac:dyDescent="0.25">
      <c r="A1083" t="s">
        <v>676</v>
      </c>
      <c r="B1083" t="s">
        <v>677</v>
      </c>
      <c r="C1083" t="s">
        <v>21</v>
      </c>
      <c r="D1083" t="s">
        <v>4052</v>
      </c>
      <c r="E1083" t="s">
        <v>4053</v>
      </c>
      <c r="F1083" t="s">
        <v>4054</v>
      </c>
      <c r="G1083">
        <v>3.3</v>
      </c>
      <c r="H1083" s="2">
        <v>14733.13</v>
      </c>
      <c r="I1083" s="2">
        <v>486.19</v>
      </c>
    </row>
    <row r="1084" spans="1:9" x14ac:dyDescent="0.25">
      <c r="A1084" t="s">
        <v>679</v>
      </c>
      <c r="B1084" t="s">
        <v>680</v>
      </c>
      <c r="C1084" t="s">
        <v>21</v>
      </c>
      <c r="D1084" t="s">
        <v>4062</v>
      </c>
      <c r="E1084" t="s">
        <v>4492</v>
      </c>
      <c r="F1084" t="s">
        <v>34</v>
      </c>
      <c r="G1084">
        <v>0.03</v>
      </c>
      <c r="H1084" s="2">
        <v>68425</v>
      </c>
      <c r="I1084" s="2">
        <v>2052.75</v>
      </c>
    </row>
    <row r="1085" spans="1:9" x14ac:dyDescent="0.25">
      <c r="A1085" t="s">
        <v>679</v>
      </c>
      <c r="B1085" t="s">
        <v>680</v>
      </c>
      <c r="C1085" t="s">
        <v>21</v>
      </c>
      <c r="D1085" t="s">
        <v>4062</v>
      </c>
      <c r="E1085" t="s">
        <v>4475</v>
      </c>
      <c r="F1085" t="s">
        <v>231</v>
      </c>
      <c r="G1085">
        <v>10</v>
      </c>
      <c r="H1085" s="2">
        <v>730</v>
      </c>
      <c r="I1085" s="2">
        <v>7300</v>
      </c>
    </row>
    <row r="1086" spans="1:9" x14ac:dyDescent="0.25">
      <c r="A1086" t="s">
        <v>679</v>
      </c>
      <c r="B1086" t="s">
        <v>680</v>
      </c>
      <c r="C1086" t="s">
        <v>21</v>
      </c>
      <c r="D1086" t="s">
        <v>4062</v>
      </c>
      <c r="E1086" t="s">
        <v>4076</v>
      </c>
      <c r="F1086" t="s">
        <v>3963</v>
      </c>
      <c r="G1086">
        <v>3.63</v>
      </c>
      <c r="H1086" s="2">
        <v>21</v>
      </c>
      <c r="I1086" s="2">
        <v>76.23</v>
      </c>
    </row>
    <row r="1087" spans="1:9" x14ac:dyDescent="0.25">
      <c r="A1087" t="s">
        <v>679</v>
      </c>
      <c r="B1087" t="s">
        <v>680</v>
      </c>
      <c r="C1087" t="s">
        <v>21</v>
      </c>
      <c r="D1087" t="s">
        <v>4062</v>
      </c>
      <c r="E1087" t="s">
        <v>4624</v>
      </c>
      <c r="F1087" t="s">
        <v>231</v>
      </c>
      <c r="G1087">
        <v>0.05</v>
      </c>
      <c r="H1087" s="2">
        <v>8600</v>
      </c>
      <c r="I1087" s="2">
        <v>430</v>
      </c>
    </row>
    <row r="1088" spans="1:9" x14ac:dyDescent="0.25">
      <c r="A1088" t="s">
        <v>679</v>
      </c>
      <c r="B1088" t="s">
        <v>680</v>
      </c>
      <c r="C1088" t="s">
        <v>21</v>
      </c>
      <c r="D1088" t="s">
        <v>4049</v>
      </c>
      <c r="E1088" t="s">
        <v>4050</v>
      </c>
      <c r="F1088" t="s">
        <v>4051</v>
      </c>
      <c r="G1088">
        <v>0.56</v>
      </c>
      <c r="H1088" s="2">
        <v>9037.33</v>
      </c>
      <c r="I1088" s="2">
        <v>5060.9</v>
      </c>
    </row>
    <row r="1089" spans="1:9" x14ac:dyDescent="0.25">
      <c r="A1089" t="s">
        <v>679</v>
      </c>
      <c r="B1089" t="s">
        <v>680</v>
      </c>
      <c r="C1089" t="s">
        <v>21</v>
      </c>
      <c r="D1089" t="s">
        <v>4049</v>
      </c>
      <c r="E1089" t="s">
        <v>4073</v>
      </c>
      <c r="F1089" t="s">
        <v>4051</v>
      </c>
      <c r="G1089">
        <v>0.56</v>
      </c>
      <c r="H1089" s="2">
        <v>15517.89</v>
      </c>
      <c r="I1089" s="2">
        <v>8690.02</v>
      </c>
    </row>
    <row r="1090" spans="1:9" x14ac:dyDescent="0.25">
      <c r="A1090" t="s">
        <v>679</v>
      </c>
      <c r="B1090" t="s">
        <v>680</v>
      </c>
      <c r="C1090" t="s">
        <v>21</v>
      </c>
      <c r="D1090" t="s">
        <v>4052</v>
      </c>
      <c r="E1090" t="s">
        <v>4053</v>
      </c>
      <c r="F1090" t="s">
        <v>4054</v>
      </c>
      <c r="G1090">
        <v>0.45</v>
      </c>
      <c r="H1090" s="2">
        <v>13750.92</v>
      </c>
      <c r="I1090" s="2">
        <v>61.88</v>
      </c>
    </row>
    <row r="1091" spans="1:9" x14ac:dyDescent="0.25">
      <c r="A1091" t="s">
        <v>682</v>
      </c>
      <c r="B1091" t="s">
        <v>683</v>
      </c>
      <c r="C1091" t="s">
        <v>21</v>
      </c>
      <c r="D1091" t="s">
        <v>4062</v>
      </c>
      <c r="E1091" t="s">
        <v>4492</v>
      </c>
      <c r="F1091" t="s">
        <v>34</v>
      </c>
      <c r="G1091">
        <v>0.03</v>
      </c>
      <c r="H1091" s="2">
        <v>68425</v>
      </c>
      <c r="I1091" s="2">
        <v>1984.33</v>
      </c>
    </row>
    <row r="1092" spans="1:9" x14ac:dyDescent="0.25">
      <c r="A1092" t="s">
        <v>682</v>
      </c>
      <c r="B1092" t="s">
        <v>683</v>
      </c>
      <c r="C1092" t="s">
        <v>21</v>
      </c>
      <c r="D1092" t="s">
        <v>4062</v>
      </c>
      <c r="E1092" t="s">
        <v>4475</v>
      </c>
      <c r="F1092" t="s">
        <v>231</v>
      </c>
      <c r="G1092">
        <v>9.1</v>
      </c>
      <c r="H1092" s="2">
        <v>730</v>
      </c>
      <c r="I1092" s="2">
        <v>6643</v>
      </c>
    </row>
    <row r="1093" spans="1:9" x14ac:dyDescent="0.25">
      <c r="A1093" t="s">
        <v>682</v>
      </c>
      <c r="B1093" t="s">
        <v>683</v>
      </c>
      <c r="C1093" t="s">
        <v>21</v>
      </c>
      <c r="D1093" t="s">
        <v>4062</v>
      </c>
      <c r="E1093" t="s">
        <v>4076</v>
      </c>
      <c r="F1093" t="s">
        <v>3963</v>
      </c>
      <c r="G1093">
        <v>5.5</v>
      </c>
      <c r="H1093" s="2">
        <v>21</v>
      </c>
      <c r="I1093" s="2">
        <v>115.5</v>
      </c>
    </row>
    <row r="1094" spans="1:9" x14ac:dyDescent="0.25">
      <c r="A1094" t="s">
        <v>682</v>
      </c>
      <c r="B1094" t="s">
        <v>683</v>
      </c>
      <c r="C1094" t="s">
        <v>21</v>
      </c>
      <c r="D1094" t="s">
        <v>4049</v>
      </c>
      <c r="E1094" t="s">
        <v>4050</v>
      </c>
      <c r="F1094" t="s">
        <v>4051</v>
      </c>
      <c r="G1094">
        <v>0.48</v>
      </c>
      <c r="H1094" s="2">
        <v>9037.33</v>
      </c>
      <c r="I1094" s="2">
        <v>4337.92</v>
      </c>
    </row>
    <row r="1095" spans="1:9" x14ac:dyDescent="0.25">
      <c r="A1095" t="s">
        <v>682</v>
      </c>
      <c r="B1095" t="s">
        <v>683</v>
      </c>
      <c r="C1095" t="s">
        <v>21</v>
      </c>
      <c r="D1095" t="s">
        <v>4049</v>
      </c>
      <c r="E1095" t="s">
        <v>4073</v>
      </c>
      <c r="F1095" t="s">
        <v>4051</v>
      </c>
      <c r="G1095">
        <v>0.48</v>
      </c>
      <c r="H1095" s="2">
        <v>15517.89</v>
      </c>
      <c r="I1095" s="2">
        <v>7448.59</v>
      </c>
    </row>
    <row r="1096" spans="1:9" x14ac:dyDescent="0.25">
      <c r="A1096" t="s">
        <v>682</v>
      </c>
      <c r="B1096" t="s">
        <v>683</v>
      </c>
      <c r="C1096" t="s">
        <v>21</v>
      </c>
      <c r="D1096" t="s">
        <v>4052</v>
      </c>
      <c r="E1096" t="s">
        <v>4105</v>
      </c>
      <c r="F1096" t="s">
        <v>4106</v>
      </c>
      <c r="G1096">
        <v>0.25</v>
      </c>
      <c r="H1096" s="2">
        <v>25125</v>
      </c>
      <c r="I1096" s="2">
        <v>6281.25</v>
      </c>
    </row>
    <row r="1097" spans="1:9" x14ac:dyDescent="0.25">
      <c r="A1097" t="s">
        <v>682</v>
      </c>
      <c r="B1097" t="s">
        <v>683</v>
      </c>
      <c r="C1097" t="s">
        <v>21</v>
      </c>
      <c r="D1097" t="s">
        <v>4052</v>
      </c>
      <c r="E1097" t="s">
        <v>4053</v>
      </c>
      <c r="F1097" t="s">
        <v>4054</v>
      </c>
      <c r="G1097">
        <v>5.5</v>
      </c>
      <c r="H1097" s="2">
        <v>11786.51</v>
      </c>
      <c r="I1097" s="2">
        <v>648.26</v>
      </c>
    </row>
    <row r="1098" spans="1:9" x14ac:dyDescent="0.25">
      <c r="A1098" t="s">
        <v>686</v>
      </c>
      <c r="B1098" t="s">
        <v>687</v>
      </c>
      <c r="C1098" t="s">
        <v>21</v>
      </c>
      <c r="D1098" t="s">
        <v>4062</v>
      </c>
      <c r="E1098" t="s">
        <v>3978</v>
      </c>
      <c r="F1098" t="s">
        <v>34</v>
      </c>
      <c r="G1098">
        <v>0.03</v>
      </c>
      <c r="H1098" s="2">
        <v>409741.65</v>
      </c>
      <c r="I1098" s="2">
        <v>10243.54</v>
      </c>
    </row>
    <row r="1099" spans="1:9" x14ac:dyDescent="0.25">
      <c r="A1099" t="s">
        <v>686</v>
      </c>
      <c r="B1099" t="s">
        <v>687</v>
      </c>
      <c r="C1099" t="s">
        <v>21</v>
      </c>
      <c r="D1099" t="s">
        <v>4062</v>
      </c>
      <c r="E1099" t="s">
        <v>4076</v>
      </c>
      <c r="F1099" t="s">
        <v>3963</v>
      </c>
      <c r="G1099">
        <v>4</v>
      </c>
      <c r="H1099" s="2">
        <v>21</v>
      </c>
      <c r="I1099" s="2">
        <v>84</v>
      </c>
    </row>
    <row r="1100" spans="1:9" x14ac:dyDescent="0.25">
      <c r="A1100" t="s">
        <v>686</v>
      </c>
      <c r="B1100" t="s">
        <v>687</v>
      </c>
      <c r="C1100" t="s">
        <v>21</v>
      </c>
      <c r="D1100" t="s">
        <v>4049</v>
      </c>
      <c r="E1100" t="s">
        <v>4105</v>
      </c>
      <c r="F1100" t="s">
        <v>4106</v>
      </c>
      <c r="G1100">
        <v>0.2</v>
      </c>
      <c r="H1100" s="2">
        <v>25125</v>
      </c>
      <c r="I1100" s="2">
        <v>5025</v>
      </c>
    </row>
    <row r="1101" spans="1:9" x14ac:dyDescent="0.25">
      <c r="A1101" t="s">
        <v>686</v>
      </c>
      <c r="B1101" t="s">
        <v>687</v>
      </c>
      <c r="C1101" t="s">
        <v>21</v>
      </c>
      <c r="D1101" t="s">
        <v>4049</v>
      </c>
      <c r="E1101" t="s">
        <v>4050</v>
      </c>
      <c r="F1101" t="s">
        <v>4051</v>
      </c>
      <c r="G1101">
        <v>0.6</v>
      </c>
      <c r="H1101" s="2">
        <v>9037.33</v>
      </c>
      <c r="I1101" s="2">
        <v>5422.4</v>
      </c>
    </row>
    <row r="1102" spans="1:9" x14ac:dyDescent="0.25">
      <c r="A1102" t="s">
        <v>686</v>
      </c>
      <c r="B1102" t="s">
        <v>687</v>
      </c>
      <c r="C1102" t="s">
        <v>21</v>
      </c>
      <c r="D1102" t="s">
        <v>4049</v>
      </c>
      <c r="E1102" t="s">
        <v>4073</v>
      </c>
      <c r="F1102" t="s">
        <v>4051</v>
      </c>
      <c r="G1102">
        <v>0.6</v>
      </c>
      <c r="H1102" s="2">
        <v>15517.89</v>
      </c>
      <c r="I1102" s="2">
        <v>9310.73</v>
      </c>
    </row>
    <row r="1103" spans="1:9" x14ac:dyDescent="0.25">
      <c r="A1103" t="s">
        <v>686</v>
      </c>
      <c r="B1103" t="s">
        <v>687</v>
      </c>
      <c r="C1103" t="s">
        <v>21</v>
      </c>
      <c r="D1103" t="s">
        <v>4052</v>
      </c>
      <c r="E1103" t="s">
        <v>4053</v>
      </c>
      <c r="F1103" t="s">
        <v>4054</v>
      </c>
      <c r="G1103">
        <v>5.5</v>
      </c>
      <c r="H1103" s="2">
        <v>14733.13</v>
      </c>
      <c r="I1103" s="2">
        <v>810.32</v>
      </c>
    </row>
    <row r="1104" spans="1:9" x14ac:dyDescent="0.25">
      <c r="A1104" t="s">
        <v>689</v>
      </c>
      <c r="B1104" t="s">
        <v>690</v>
      </c>
      <c r="C1104" t="s">
        <v>21</v>
      </c>
      <c r="D1104" t="s">
        <v>4062</v>
      </c>
      <c r="E1104" t="s">
        <v>3978</v>
      </c>
      <c r="F1104" t="s">
        <v>34</v>
      </c>
      <c r="G1104">
        <v>0.03</v>
      </c>
      <c r="H1104" s="2">
        <v>409741.65</v>
      </c>
      <c r="I1104" s="2">
        <v>10243.54</v>
      </c>
    </row>
    <row r="1105" spans="1:9" x14ac:dyDescent="0.25">
      <c r="A1105" t="s">
        <v>689</v>
      </c>
      <c r="B1105" t="s">
        <v>690</v>
      </c>
      <c r="C1105" t="s">
        <v>21</v>
      </c>
      <c r="D1105" t="s">
        <v>4062</v>
      </c>
      <c r="E1105" t="s">
        <v>4076</v>
      </c>
      <c r="F1105" t="s">
        <v>3963</v>
      </c>
      <c r="G1105">
        <v>4</v>
      </c>
      <c r="H1105" s="2">
        <v>21</v>
      </c>
      <c r="I1105" s="2">
        <v>84</v>
      </c>
    </row>
    <row r="1106" spans="1:9" x14ac:dyDescent="0.25">
      <c r="A1106" t="s">
        <v>689</v>
      </c>
      <c r="B1106" t="s">
        <v>690</v>
      </c>
      <c r="C1106" t="s">
        <v>21</v>
      </c>
      <c r="D1106" t="s">
        <v>4049</v>
      </c>
      <c r="E1106" t="s">
        <v>4050</v>
      </c>
      <c r="F1106" t="s">
        <v>4051</v>
      </c>
      <c r="G1106">
        <v>0.52</v>
      </c>
      <c r="H1106" s="2">
        <v>9037.33</v>
      </c>
      <c r="I1106" s="2">
        <v>4699.41</v>
      </c>
    </row>
    <row r="1107" spans="1:9" x14ac:dyDescent="0.25">
      <c r="A1107" t="s">
        <v>689</v>
      </c>
      <c r="B1107" t="s">
        <v>690</v>
      </c>
      <c r="C1107" t="s">
        <v>21</v>
      </c>
      <c r="D1107" t="s">
        <v>4049</v>
      </c>
      <c r="E1107" t="s">
        <v>4073</v>
      </c>
      <c r="F1107" t="s">
        <v>4051</v>
      </c>
      <c r="G1107">
        <v>0.52</v>
      </c>
      <c r="H1107" s="2">
        <v>15517.89</v>
      </c>
      <c r="I1107" s="2">
        <v>8069.3</v>
      </c>
    </row>
    <row r="1108" spans="1:9" x14ac:dyDescent="0.25">
      <c r="A1108" t="s">
        <v>689</v>
      </c>
      <c r="B1108" t="s">
        <v>690</v>
      </c>
      <c r="C1108" t="s">
        <v>21</v>
      </c>
      <c r="D1108" t="s">
        <v>4052</v>
      </c>
      <c r="E1108" t="s">
        <v>4105</v>
      </c>
      <c r="F1108" t="s">
        <v>4106</v>
      </c>
      <c r="G1108">
        <v>0.3</v>
      </c>
      <c r="H1108" s="2">
        <v>25125</v>
      </c>
      <c r="I1108" s="2">
        <v>7537.5</v>
      </c>
    </row>
    <row r="1109" spans="1:9" x14ac:dyDescent="0.25">
      <c r="A1109" t="s">
        <v>689</v>
      </c>
      <c r="B1109" t="s">
        <v>690</v>
      </c>
      <c r="C1109" t="s">
        <v>21</v>
      </c>
      <c r="D1109" t="s">
        <v>4052</v>
      </c>
      <c r="E1109" t="s">
        <v>4053</v>
      </c>
      <c r="F1109" t="s">
        <v>4054</v>
      </c>
      <c r="G1109">
        <v>5.5</v>
      </c>
      <c r="H1109" s="2">
        <v>12768.71</v>
      </c>
      <c r="I1109" s="2">
        <v>702.28</v>
      </c>
    </row>
    <row r="1110" spans="1:9" x14ac:dyDescent="0.25">
      <c r="A1110" t="s">
        <v>692</v>
      </c>
      <c r="B1110" t="s">
        <v>693</v>
      </c>
      <c r="C1110" t="s">
        <v>21</v>
      </c>
      <c r="D1110" t="s">
        <v>4062</v>
      </c>
      <c r="E1110" t="s">
        <v>4076</v>
      </c>
      <c r="F1110" t="s">
        <v>3963</v>
      </c>
      <c r="G1110">
        <v>4</v>
      </c>
      <c r="H1110" s="2">
        <v>21</v>
      </c>
      <c r="I1110" s="2">
        <v>84</v>
      </c>
    </row>
    <row r="1111" spans="1:9" x14ac:dyDescent="0.25">
      <c r="A1111" t="s">
        <v>692</v>
      </c>
      <c r="B1111" t="s">
        <v>693</v>
      </c>
      <c r="C1111" t="s">
        <v>21</v>
      </c>
      <c r="D1111" t="s">
        <v>4062</v>
      </c>
      <c r="E1111" t="s">
        <v>3981</v>
      </c>
      <c r="F1111" t="s">
        <v>34</v>
      </c>
      <c r="G1111">
        <v>0.03</v>
      </c>
      <c r="H1111" s="2">
        <v>365704.15</v>
      </c>
      <c r="I1111" s="2">
        <v>10751.7</v>
      </c>
    </row>
    <row r="1112" spans="1:9" x14ac:dyDescent="0.25">
      <c r="A1112" t="s">
        <v>692</v>
      </c>
      <c r="B1112" t="s">
        <v>693</v>
      </c>
      <c r="C1112" t="s">
        <v>21</v>
      </c>
      <c r="D1112" t="s">
        <v>4049</v>
      </c>
      <c r="E1112" t="s">
        <v>4050</v>
      </c>
      <c r="F1112" t="s">
        <v>4051</v>
      </c>
      <c r="G1112">
        <v>0.52</v>
      </c>
      <c r="H1112" s="2">
        <v>9037.33</v>
      </c>
      <c r="I1112" s="2">
        <v>4699.41</v>
      </c>
    </row>
    <row r="1113" spans="1:9" x14ac:dyDescent="0.25">
      <c r="A1113" t="s">
        <v>692</v>
      </c>
      <c r="B1113" t="s">
        <v>693</v>
      </c>
      <c r="C1113" t="s">
        <v>21</v>
      </c>
      <c r="D1113" t="s">
        <v>4049</v>
      </c>
      <c r="E1113" t="s">
        <v>4073</v>
      </c>
      <c r="F1113" t="s">
        <v>4051</v>
      </c>
      <c r="G1113">
        <v>0.52</v>
      </c>
      <c r="H1113" s="2">
        <v>15517.89</v>
      </c>
      <c r="I1113" s="2">
        <v>8069.3</v>
      </c>
    </row>
    <row r="1114" spans="1:9" x14ac:dyDescent="0.25">
      <c r="A1114" t="s">
        <v>692</v>
      </c>
      <c r="B1114" t="s">
        <v>693</v>
      </c>
      <c r="C1114" t="s">
        <v>21</v>
      </c>
      <c r="D1114" t="s">
        <v>4052</v>
      </c>
      <c r="E1114" t="s">
        <v>4105</v>
      </c>
      <c r="F1114" t="s">
        <v>4106</v>
      </c>
      <c r="G1114">
        <v>0.3</v>
      </c>
      <c r="H1114" s="2">
        <v>25125</v>
      </c>
      <c r="I1114" s="2">
        <v>7537.5</v>
      </c>
    </row>
    <row r="1115" spans="1:9" x14ac:dyDescent="0.25">
      <c r="A1115" t="s">
        <v>692</v>
      </c>
      <c r="B1115" t="s">
        <v>693</v>
      </c>
      <c r="C1115" t="s">
        <v>21</v>
      </c>
      <c r="D1115" t="s">
        <v>4052</v>
      </c>
      <c r="E1115" t="s">
        <v>4053</v>
      </c>
      <c r="F1115" t="s">
        <v>4054</v>
      </c>
      <c r="G1115">
        <v>5.5</v>
      </c>
      <c r="H1115" s="2">
        <v>12768.71</v>
      </c>
      <c r="I1115" s="2">
        <v>702.28</v>
      </c>
    </row>
    <row r="1116" spans="1:9" x14ac:dyDescent="0.25">
      <c r="A1116" t="s">
        <v>695</v>
      </c>
      <c r="B1116" t="s">
        <v>696</v>
      </c>
      <c r="C1116" t="s">
        <v>21</v>
      </c>
      <c r="D1116" t="s">
        <v>4062</v>
      </c>
      <c r="E1116" t="s">
        <v>3978</v>
      </c>
      <c r="F1116" t="s">
        <v>34</v>
      </c>
      <c r="G1116">
        <v>0.02</v>
      </c>
      <c r="H1116" s="2">
        <v>409741.65</v>
      </c>
      <c r="I1116" s="2">
        <v>8194.83</v>
      </c>
    </row>
    <row r="1117" spans="1:9" x14ac:dyDescent="0.25">
      <c r="A1117" t="s">
        <v>695</v>
      </c>
      <c r="B1117" t="s">
        <v>696</v>
      </c>
      <c r="C1117" t="s">
        <v>21</v>
      </c>
      <c r="D1117" t="s">
        <v>4062</v>
      </c>
      <c r="E1117" t="s">
        <v>4076</v>
      </c>
      <c r="F1117" t="s">
        <v>3963</v>
      </c>
      <c r="G1117">
        <v>3.63</v>
      </c>
      <c r="H1117" s="2">
        <v>21</v>
      </c>
      <c r="I1117" s="2">
        <v>76.23</v>
      </c>
    </row>
    <row r="1118" spans="1:9" x14ac:dyDescent="0.25">
      <c r="A1118" t="s">
        <v>695</v>
      </c>
      <c r="B1118" t="s">
        <v>696</v>
      </c>
      <c r="C1118" t="s">
        <v>21</v>
      </c>
      <c r="D1118" t="s">
        <v>4049</v>
      </c>
      <c r="E1118" t="s">
        <v>4050</v>
      </c>
      <c r="F1118" t="s">
        <v>4051</v>
      </c>
      <c r="G1118">
        <v>0.46</v>
      </c>
      <c r="H1118" s="2">
        <v>9037.33</v>
      </c>
      <c r="I1118" s="2">
        <v>4157.17</v>
      </c>
    </row>
    <row r="1119" spans="1:9" x14ac:dyDescent="0.25">
      <c r="A1119" t="s">
        <v>695</v>
      </c>
      <c r="B1119" t="s">
        <v>696</v>
      </c>
      <c r="C1119" t="s">
        <v>21</v>
      </c>
      <c r="D1119" t="s">
        <v>4049</v>
      </c>
      <c r="E1119" t="s">
        <v>4073</v>
      </c>
      <c r="F1119" t="s">
        <v>4051</v>
      </c>
      <c r="G1119">
        <v>0.46</v>
      </c>
      <c r="H1119" s="2">
        <v>15517.89</v>
      </c>
      <c r="I1119" s="2">
        <v>7138.23</v>
      </c>
    </row>
    <row r="1120" spans="1:9" x14ac:dyDescent="0.25">
      <c r="A1120" t="s">
        <v>695</v>
      </c>
      <c r="B1120" t="s">
        <v>696</v>
      </c>
      <c r="C1120" t="s">
        <v>21</v>
      </c>
      <c r="D1120" t="s">
        <v>4052</v>
      </c>
      <c r="E1120" t="s">
        <v>4053</v>
      </c>
      <c r="F1120" t="s">
        <v>4054</v>
      </c>
      <c r="G1120">
        <v>5.5</v>
      </c>
      <c r="H1120" s="2">
        <v>11295.4</v>
      </c>
      <c r="I1120" s="2">
        <v>621.25</v>
      </c>
    </row>
    <row r="1121" spans="1:9" x14ac:dyDescent="0.25">
      <c r="A1121" t="s">
        <v>699</v>
      </c>
      <c r="B1121" t="s">
        <v>700</v>
      </c>
      <c r="C1121" t="s">
        <v>21</v>
      </c>
      <c r="D1121" t="s">
        <v>4062</v>
      </c>
      <c r="E1121" t="s">
        <v>4076</v>
      </c>
      <c r="F1121" t="s">
        <v>3963</v>
      </c>
      <c r="G1121">
        <v>3.63</v>
      </c>
      <c r="H1121" s="2">
        <v>21</v>
      </c>
      <c r="I1121" s="2">
        <v>76.23</v>
      </c>
    </row>
    <row r="1122" spans="1:9" x14ac:dyDescent="0.25">
      <c r="A1122" t="s">
        <v>699</v>
      </c>
      <c r="B1122" t="s">
        <v>700</v>
      </c>
      <c r="C1122" t="s">
        <v>21</v>
      </c>
      <c r="D1122" t="s">
        <v>4062</v>
      </c>
      <c r="E1122" t="s">
        <v>3981</v>
      </c>
      <c r="F1122" t="s">
        <v>34</v>
      </c>
      <c r="G1122">
        <v>0.02</v>
      </c>
      <c r="H1122" s="2">
        <v>365704.15</v>
      </c>
      <c r="I1122" s="2">
        <v>7314.08</v>
      </c>
    </row>
    <row r="1123" spans="1:9" x14ac:dyDescent="0.25">
      <c r="A1123" t="s">
        <v>699</v>
      </c>
      <c r="B1123" t="s">
        <v>700</v>
      </c>
      <c r="C1123" t="s">
        <v>21</v>
      </c>
      <c r="D1123" t="s">
        <v>4049</v>
      </c>
      <c r="E1123" t="s">
        <v>4050</v>
      </c>
      <c r="F1123" t="s">
        <v>4051</v>
      </c>
      <c r="G1123">
        <v>0.46</v>
      </c>
      <c r="H1123" s="2">
        <v>9037.33</v>
      </c>
      <c r="I1123" s="2">
        <v>4157.17</v>
      </c>
    </row>
    <row r="1124" spans="1:9" x14ac:dyDescent="0.25">
      <c r="A1124" t="s">
        <v>699</v>
      </c>
      <c r="B1124" t="s">
        <v>700</v>
      </c>
      <c r="C1124" t="s">
        <v>21</v>
      </c>
      <c r="D1124" t="s">
        <v>4049</v>
      </c>
      <c r="E1124" t="s">
        <v>4073</v>
      </c>
      <c r="F1124" t="s">
        <v>4051</v>
      </c>
      <c r="G1124">
        <v>0.46</v>
      </c>
      <c r="H1124" s="2">
        <v>15517.89</v>
      </c>
      <c r="I1124" s="2">
        <v>7138.23</v>
      </c>
    </row>
    <row r="1125" spans="1:9" x14ac:dyDescent="0.25">
      <c r="A1125" t="s">
        <v>699</v>
      </c>
      <c r="B1125" t="s">
        <v>700</v>
      </c>
      <c r="C1125" t="s">
        <v>21</v>
      </c>
      <c r="D1125" t="s">
        <v>4052</v>
      </c>
      <c r="E1125" t="s">
        <v>4053</v>
      </c>
      <c r="F1125" t="s">
        <v>4054</v>
      </c>
      <c r="G1125">
        <v>5.5</v>
      </c>
      <c r="H1125" s="2">
        <v>11295.4</v>
      </c>
      <c r="I1125" s="2">
        <v>621.25</v>
      </c>
    </row>
    <row r="1126" spans="1:9" x14ac:dyDescent="0.25">
      <c r="A1126" t="s">
        <v>702</v>
      </c>
      <c r="B1126" t="s">
        <v>703</v>
      </c>
      <c r="C1126" t="s">
        <v>21</v>
      </c>
      <c r="D1126" t="s">
        <v>4062</v>
      </c>
      <c r="E1126" t="s">
        <v>4076</v>
      </c>
      <c r="F1126" t="s">
        <v>3963</v>
      </c>
      <c r="G1126">
        <v>4</v>
      </c>
      <c r="H1126" s="2">
        <v>21</v>
      </c>
      <c r="I1126" s="2">
        <v>84</v>
      </c>
    </row>
    <row r="1127" spans="1:9" x14ac:dyDescent="0.25">
      <c r="A1127" t="s">
        <v>702</v>
      </c>
      <c r="B1127" t="s">
        <v>703</v>
      </c>
      <c r="C1127" t="s">
        <v>21</v>
      </c>
      <c r="D1127" t="s">
        <v>4062</v>
      </c>
      <c r="E1127" t="s">
        <v>3981</v>
      </c>
      <c r="F1127" t="s">
        <v>34</v>
      </c>
      <c r="G1127">
        <v>0.02</v>
      </c>
      <c r="H1127" s="2">
        <v>365704.15</v>
      </c>
      <c r="I1127" s="2">
        <v>7314.08</v>
      </c>
    </row>
    <row r="1128" spans="1:9" x14ac:dyDescent="0.25">
      <c r="A1128" t="s">
        <v>702</v>
      </c>
      <c r="B1128" t="s">
        <v>703</v>
      </c>
      <c r="C1128" t="s">
        <v>21</v>
      </c>
      <c r="D1128" t="s">
        <v>4049</v>
      </c>
      <c r="E1128" t="s">
        <v>4050</v>
      </c>
      <c r="F1128" t="s">
        <v>4051</v>
      </c>
      <c r="G1128">
        <v>0.56</v>
      </c>
      <c r="H1128" s="2">
        <v>9037.33</v>
      </c>
      <c r="I1128" s="2">
        <v>5060.9</v>
      </c>
    </row>
    <row r="1129" spans="1:9" x14ac:dyDescent="0.25">
      <c r="A1129" t="s">
        <v>702</v>
      </c>
      <c r="B1129" t="s">
        <v>703</v>
      </c>
      <c r="C1129" t="s">
        <v>21</v>
      </c>
      <c r="D1129" t="s">
        <v>4049</v>
      </c>
      <c r="E1129" t="s">
        <v>4073</v>
      </c>
      <c r="F1129" t="s">
        <v>4051</v>
      </c>
      <c r="G1129">
        <v>0.56</v>
      </c>
      <c r="H1129" s="2">
        <v>15517.89</v>
      </c>
      <c r="I1129" s="2">
        <v>8690.02</v>
      </c>
    </row>
    <row r="1130" spans="1:9" x14ac:dyDescent="0.25">
      <c r="A1130" t="s">
        <v>702</v>
      </c>
      <c r="B1130" t="s">
        <v>703</v>
      </c>
      <c r="C1130" t="s">
        <v>21</v>
      </c>
      <c r="D1130" t="s">
        <v>4052</v>
      </c>
      <c r="E1130" t="s">
        <v>4105</v>
      </c>
      <c r="F1130" t="s">
        <v>4106</v>
      </c>
      <c r="G1130">
        <v>0.2</v>
      </c>
      <c r="H1130" s="2">
        <v>25125</v>
      </c>
      <c r="I1130" s="2">
        <v>5025</v>
      </c>
    </row>
    <row r="1131" spans="1:9" x14ac:dyDescent="0.25">
      <c r="A1131" t="s">
        <v>702</v>
      </c>
      <c r="B1131" t="s">
        <v>703</v>
      </c>
      <c r="C1131" t="s">
        <v>21</v>
      </c>
      <c r="D1131" t="s">
        <v>4052</v>
      </c>
      <c r="E1131" t="s">
        <v>4053</v>
      </c>
      <c r="F1131" t="s">
        <v>4054</v>
      </c>
      <c r="G1131">
        <v>5.5</v>
      </c>
      <c r="H1131" s="2">
        <v>13750.92</v>
      </c>
      <c r="I1131" s="2">
        <v>756.3</v>
      </c>
    </row>
    <row r="1132" spans="1:9" x14ac:dyDescent="0.25">
      <c r="A1132" t="s">
        <v>705</v>
      </c>
      <c r="B1132" t="s">
        <v>706</v>
      </c>
      <c r="C1132" t="s">
        <v>21</v>
      </c>
      <c r="D1132" t="s">
        <v>4062</v>
      </c>
      <c r="E1132" t="s">
        <v>4492</v>
      </c>
      <c r="F1132" t="s">
        <v>34</v>
      </c>
      <c r="G1132">
        <v>0.04</v>
      </c>
      <c r="H1132" s="2">
        <v>68425</v>
      </c>
      <c r="I1132" s="2">
        <v>2737</v>
      </c>
    </row>
    <row r="1133" spans="1:9" x14ac:dyDescent="0.25">
      <c r="A1133" t="s">
        <v>705</v>
      </c>
      <c r="B1133" t="s">
        <v>706</v>
      </c>
      <c r="C1133" t="s">
        <v>21</v>
      </c>
      <c r="D1133" t="s">
        <v>4062</v>
      </c>
      <c r="E1133" t="s">
        <v>4475</v>
      </c>
      <c r="F1133" t="s">
        <v>231</v>
      </c>
      <c r="G1133">
        <v>9.5</v>
      </c>
      <c r="H1133" s="2">
        <v>730</v>
      </c>
      <c r="I1133" s="2">
        <v>6935</v>
      </c>
    </row>
    <row r="1134" spans="1:9" x14ac:dyDescent="0.25">
      <c r="A1134" t="s">
        <v>705</v>
      </c>
      <c r="B1134" t="s">
        <v>706</v>
      </c>
      <c r="C1134" t="s">
        <v>21</v>
      </c>
      <c r="D1134" t="s">
        <v>4062</v>
      </c>
      <c r="E1134" t="s">
        <v>4076</v>
      </c>
      <c r="F1134" t="s">
        <v>3963</v>
      </c>
      <c r="G1134">
        <v>7.2</v>
      </c>
      <c r="H1134" s="2">
        <v>21</v>
      </c>
      <c r="I1134" s="2">
        <v>151.2</v>
      </c>
    </row>
    <row r="1135" spans="1:9" x14ac:dyDescent="0.25">
      <c r="A1135" t="s">
        <v>705</v>
      </c>
      <c r="B1135" t="s">
        <v>706</v>
      </c>
      <c r="C1135" t="s">
        <v>21</v>
      </c>
      <c r="D1135" t="s">
        <v>4049</v>
      </c>
      <c r="E1135" t="s">
        <v>4487</v>
      </c>
      <c r="F1135" t="s">
        <v>4236</v>
      </c>
      <c r="G1135">
        <v>0.61</v>
      </c>
      <c r="H1135" s="2">
        <v>24555.22</v>
      </c>
      <c r="I1135" s="2">
        <v>14978.68</v>
      </c>
    </row>
    <row r="1136" spans="1:9" x14ac:dyDescent="0.25">
      <c r="A1136" t="s">
        <v>705</v>
      </c>
      <c r="B1136" t="s">
        <v>706</v>
      </c>
      <c r="C1136" t="s">
        <v>21</v>
      </c>
      <c r="D1136" t="s">
        <v>4052</v>
      </c>
      <c r="E1136" t="s">
        <v>4053</v>
      </c>
      <c r="F1136" t="s">
        <v>4054</v>
      </c>
      <c r="G1136">
        <v>3.3</v>
      </c>
      <c r="H1136" s="2">
        <v>14978.68</v>
      </c>
      <c r="I1136" s="2">
        <v>494.3</v>
      </c>
    </row>
    <row r="1137" spans="1:9" x14ac:dyDescent="0.25">
      <c r="A1137" t="s">
        <v>708</v>
      </c>
      <c r="B1137" t="s">
        <v>710</v>
      </c>
      <c r="C1137" t="s">
        <v>63</v>
      </c>
      <c r="D1137" t="s">
        <v>4062</v>
      </c>
      <c r="E1137" t="s">
        <v>4645</v>
      </c>
      <c r="F1137" t="s">
        <v>63</v>
      </c>
      <c r="G1137">
        <v>1</v>
      </c>
      <c r="H1137" s="2">
        <v>104211</v>
      </c>
      <c r="I1137" s="2">
        <v>104211</v>
      </c>
    </row>
    <row r="1138" spans="1:9" x14ac:dyDescent="0.25">
      <c r="A1138" t="s">
        <v>708</v>
      </c>
      <c r="B1138" t="s">
        <v>710</v>
      </c>
      <c r="C1138" t="s">
        <v>63</v>
      </c>
      <c r="D1138" t="s">
        <v>4062</v>
      </c>
      <c r="E1138" t="s">
        <v>4375</v>
      </c>
      <c r="F1138" t="s">
        <v>63</v>
      </c>
      <c r="G1138">
        <v>0</v>
      </c>
      <c r="H1138" s="2">
        <v>7657</v>
      </c>
      <c r="I1138" s="2">
        <v>30.63</v>
      </c>
    </row>
    <row r="1139" spans="1:9" x14ac:dyDescent="0.25">
      <c r="A1139" t="s">
        <v>708</v>
      </c>
      <c r="B1139" t="s">
        <v>710</v>
      </c>
      <c r="C1139" t="s">
        <v>63</v>
      </c>
      <c r="D1139" t="s">
        <v>4062</v>
      </c>
      <c r="E1139" t="s">
        <v>4376</v>
      </c>
      <c r="F1139" t="s">
        <v>4377</v>
      </c>
      <c r="G1139">
        <v>0</v>
      </c>
      <c r="H1139" s="2">
        <v>72237.67</v>
      </c>
      <c r="I1139" s="2">
        <v>288.95</v>
      </c>
    </row>
    <row r="1140" spans="1:9" x14ac:dyDescent="0.25">
      <c r="A1140" t="s">
        <v>708</v>
      </c>
      <c r="B1140" t="s">
        <v>710</v>
      </c>
      <c r="C1140" t="s">
        <v>63</v>
      </c>
      <c r="D1140" t="s">
        <v>4049</v>
      </c>
      <c r="E1140" t="s">
        <v>4050</v>
      </c>
      <c r="F1140" t="s">
        <v>4051</v>
      </c>
      <c r="G1140">
        <v>1.4</v>
      </c>
      <c r="H1140" s="2">
        <v>9037.33</v>
      </c>
      <c r="I1140" s="2">
        <v>12652.26</v>
      </c>
    </row>
    <row r="1141" spans="1:9" x14ac:dyDescent="0.25">
      <c r="A1141" t="s">
        <v>708</v>
      </c>
      <c r="B1141" t="s">
        <v>710</v>
      </c>
      <c r="C1141" t="s">
        <v>63</v>
      </c>
      <c r="D1141" t="s">
        <v>4049</v>
      </c>
      <c r="E1141" t="s">
        <v>4242</v>
      </c>
      <c r="F1141" t="s">
        <v>4051</v>
      </c>
      <c r="G1141">
        <v>0.7</v>
      </c>
      <c r="H1141" s="2">
        <v>17069.53</v>
      </c>
      <c r="I1141" s="2">
        <v>11948.67</v>
      </c>
    </row>
    <row r="1142" spans="1:9" x14ac:dyDescent="0.25">
      <c r="A1142" t="s">
        <v>708</v>
      </c>
      <c r="B1142" t="s">
        <v>710</v>
      </c>
      <c r="C1142" t="s">
        <v>63</v>
      </c>
      <c r="D1142" t="s">
        <v>4052</v>
      </c>
      <c r="E1142" t="s">
        <v>4053</v>
      </c>
      <c r="F1142" t="s">
        <v>4054</v>
      </c>
      <c r="G1142">
        <v>4</v>
      </c>
      <c r="H1142" s="2">
        <v>24600.93</v>
      </c>
      <c r="I1142" s="2">
        <v>984.04</v>
      </c>
    </row>
    <row r="1143" spans="1:9" x14ac:dyDescent="0.25">
      <c r="A1143" t="s">
        <v>713</v>
      </c>
      <c r="B1143" t="s">
        <v>714</v>
      </c>
      <c r="C1143" t="s">
        <v>63</v>
      </c>
      <c r="D1143" t="s">
        <v>4062</v>
      </c>
      <c r="E1143" t="s">
        <v>4375</v>
      </c>
      <c r="F1143" t="s">
        <v>63</v>
      </c>
      <c r="G1143">
        <v>0</v>
      </c>
      <c r="H1143" s="2">
        <v>7657</v>
      </c>
      <c r="I1143" s="2">
        <v>30.63</v>
      </c>
    </row>
    <row r="1144" spans="1:9" x14ac:dyDescent="0.25">
      <c r="A1144" t="s">
        <v>713</v>
      </c>
      <c r="B1144" t="s">
        <v>714</v>
      </c>
      <c r="C1144" t="s">
        <v>63</v>
      </c>
      <c r="D1144" t="s">
        <v>4062</v>
      </c>
      <c r="E1144" t="s">
        <v>4648</v>
      </c>
      <c r="F1144" t="s">
        <v>63</v>
      </c>
      <c r="G1144">
        <v>1.03</v>
      </c>
      <c r="H1144" s="2">
        <v>18544</v>
      </c>
      <c r="I1144" s="2">
        <v>19100.32</v>
      </c>
    </row>
    <row r="1145" spans="1:9" x14ac:dyDescent="0.25">
      <c r="A1145" t="s">
        <v>713</v>
      </c>
      <c r="B1145" t="s">
        <v>714</v>
      </c>
      <c r="C1145" t="s">
        <v>63</v>
      </c>
      <c r="D1145" t="s">
        <v>4062</v>
      </c>
      <c r="E1145" t="s">
        <v>4376</v>
      </c>
      <c r="F1145" t="s">
        <v>4377</v>
      </c>
      <c r="G1145">
        <v>0</v>
      </c>
      <c r="H1145" s="2">
        <v>72237.67</v>
      </c>
      <c r="I1145" s="2">
        <v>288.95</v>
      </c>
    </row>
    <row r="1146" spans="1:9" x14ac:dyDescent="0.25">
      <c r="A1146" t="s">
        <v>713</v>
      </c>
      <c r="B1146" t="s">
        <v>714</v>
      </c>
      <c r="C1146" t="s">
        <v>63</v>
      </c>
      <c r="D1146" t="s">
        <v>4049</v>
      </c>
      <c r="E1146" t="s">
        <v>4050</v>
      </c>
      <c r="F1146" t="s">
        <v>4051</v>
      </c>
      <c r="G1146">
        <v>1.2</v>
      </c>
      <c r="H1146" s="2">
        <v>9037.33</v>
      </c>
      <c r="I1146" s="2">
        <v>10844.8</v>
      </c>
    </row>
    <row r="1147" spans="1:9" x14ac:dyDescent="0.25">
      <c r="A1147" t="s">
        <v>713</v>
      </c>
      <c r="B1147" t="s">
        <v>714</v>
      </c>
      <c r="C1147" t="s">
        <v>63</v>
      </c>
      <c r="D1147" t="s">
        <v>4049</v>
      </c>
      <c r="E1147" t="s">
        <v>4242</v>
      </c>
      <c r="F1147" t="s">
        <v>4051</v>
      </c>
      <c r="G1147">
        <v>0.6</v>
      </c>
      <c r="H1147" s="2">
        <v>17069.53</v>
      </c>
      <c r="I1147" s="2">
        <v>10241.72</v>
      </c>
    </row>
    <row r="1148" spans="1:9" x14ac:dyDescent="0.25">
      <c r="A1148" t="s">
        <v>713</v>
      </c>
      <c r="B1148" t="s">
        <v>714</v>
      </c>
      <c r="C1148" t="s">
        <v>63</v>
      </c>
      <c r="D1148" t="s">
        <v>4052</v>
      </c>
      <c r="E1148" t="s">
        <v>4053</v>
      </c>
      <c r="F1148" t="s">
        <v>4054</v>
      </c>
      <c r="G1148">
        <v>4</v>
      </c>
      <c r="H1148" s="2">
        <v>21086.52</v>
      </c>
      <c r="I1148" s="2">
        <v>843.46</v>
      </c>
    </row>
    <row r="1149" spans="1:9" x14ac:dyDescent="0.25">
      <c r="A1149" t="s">
        <v>716</v>
      </c>
      <c r="B1149" t="s">
        <v>717</v>
      </c>
      <c r="C1149" t="s">
        <v>42</v>
      </c>
      <c r="D1149" t="s">
        <v>4062</v>
      </c>
      <c r="E1149" t="s">
        <v>4651</v>
      </c>
      <c r="F1149" t="s">
        <v>63</v>
      </c>
      <c r="G1149">
        <v>0.34</v>
      </c>
      <c r="H1149" s="2">
        <v>5074</v>
      </c>
      <c r="I1149" s="2">
        <v>1725.16</v>
      </c>
    </row>
    <row r="1150" spans="1:9" x14ac:dyDescent="0.25">
      <c r="A1150" t="s">
        <v>716</v>
      </c>
      <c r="B1150" t="s">
        <v>717</v>
      </c>
      <c r="C1150" t="s">
        <v>42</v>
      </c>
      <c r="D1150" t="s">
        <v>4062</v>
      </c>
      <c r="E1150" t="s">
        <v>4652</v>
      </c>
      <c r="F1150" t="s">
        <v>42</v>
      </c>
      <c r="G1150">
        <v>1.05</v>
      </c>
      <c r="H1150" s="2">
        <v>30496</v>
      </c>
      <c r="I1150" s="2">
        <v>32020.8</v>
      </c>
    </row>
    <row r="1151" spans="1:9" x14ac:dyDescent="0.25">
      <c r="A1151" t="s">
        <v>716</v>
      </c>
      <c r="B1151" t="s">
        <v>717</v>
      </c>
      <c r="C1151" t="s">
        <v>42</v>
      </c>
      <c r="D1151" t="s">
        <v>4062</v>
      </c>
      <c r="E1151" t="s">
        <v>4653</v>
      </c>
      <c r="F1151" t="s">
        <v>63</v>
      </c>
      <c r="G1151">
        <v>0.06</v>
      </c>
      <c r="H1151" s="2">
        <v>4702.4</v>
      </c>
      <c r="I1151" s="2">
        <v>282.14</v>
      </c>
    </row>
    <row r="1152" spans="1:9" x14ac:dyDescent="0.25">
      <c r="A1152" t="s">
        <v>716</v>
      </c>
      <c r="B1152" t="s">
        <v>717</v>
      </c>
      <c r="C1152" t="s">
        <v>42</v>
      </c>
      <c r="D1152" t="s">
        <v>4062</v>
      </c>
      <c r="E1152" t="s">
        <v>4654</v>
      </c>
      <c r="F1152" t="s">
        <v>63</v>
      </c>
      <c r="G1152">
        <v>2.74</v>
      </c>
      <c r="H1152" s="2">
        <v>2400</v>
      </c>
      <c r="I1152" s="2">
        <v>6576</v>
      </c>
    </row>
    <row r="1153" spans="1:9" x14ac:dyDescent="0.25">
      <c r="A1153" t="s">
        <v>716</v>
      </c>
      <c r="B1153" t="s">
        <v>717</v>
      </c>
      <c r="C1153" t="s">
        <v>42</v>
      </c>
      <c r="D1153" t="s">
        <v>4049</v>
      </c>
      <c r="E1153" t="s">
        <v>4241</v>
      </c>
      <c r="F1153" t="s">
        <v>4051</v>
      </c>
      <c r="G1153">
        <v>0.9</v>
      </c>
      <c r="H1153" s="2">
        <v>9941.22</v>
      </c>
      <c r="I1153" s="2">
        <v>8907.33</v>
      </c>
    </row>
    <row r="1154" spans="1:9" x14ac:dyDescent="0.25">
      <c r="A1154" t="s">
        <v>716</v>
      </c>
      <c r="B1154" t="s">
        <v>717</v>
      </c>
      <c r="C1154" t="s">
        <v>42</v>
      </c>
      <c r="D1154" t="s">
        <v>4049</v>
      </c>
      <c r="E1154" t="s">
        <v>4242</v>
      </c>
      <c r="F1154" t="s">
        <v>4051</v>
      </c>
      <c r="G1154">
        <v>0.89</v>
      </c>
      <c r="H1154" s="2">
        <v>17069.53</v>
      </c>
      <c r="I1154" s="2">
        <v>15191.88</v>
      </c>
    </row>
    <row r="1155" spans="1:9" x14ac:dyDescent="0.25">
      <c r="A1155" t="s">
        <v>716</v>
      </c>
      <c r="B1155" t="s">
        <v>717</v>
      </c>
      <c r="C1155" t="s">
        <v>42</v>
      </c>
      <c r="D1155" t="s">
        <v>4052</v>
      </c>
      <c r="E1155" t="s">
        <v>4053</v>
      </c>
      <c r="F1155" t="s">
        <v>4054</v>
      </c>
      <c r="G1155">
        <v>2</v>
      </c>
      <c r="H1155" s="2">
        <v>24099.21</v>
      </c>
      <c r="I1155" s="2">
        <v>481.98</v>
      </c>
    </row>
    <row r="1156" spans="1:9" x14ac:dyDescent="0.25">
      <c r="A1156" t="s">
        <v>719</v>
      </c>
      <c r="B1156" t="s">
        <v>720</v>
      </c>
      <c r="C1156" t="s">
        <v>42</v>
      </c>
      <c r="D1156" t="s">
        <v>4062</v>
      </c>
      <c r="E1156" t="s">
        <v>4657</v>
      </c>
      <c r="F1156" t="s">
        <v>42</v>
      </c>
      <c r="G1156">
        <v>1.05</v>
      </c>
      <c r="H1156" s="2">
        <v>16641</v>
      </c>
      <c r="I1156" s="2">
        <v>17473.05</v>
      </c>
    </row>
    <row r="1157" spans="1:9" x14ac:dyDescent="0.25">
      <c r="A1157" t="s">
        <v>719</v>
      </c>
      <c r="B1157" t="s">
        <v>720</v>
      </c>
      <c r="C1157" t="s">
        <v>42</v>
      </c>
      <c r="D1157" t="s">
        <v>4062</v>
      </c>
      <c r="E1157" t="s">
        <v>4658</v>
      </c>
      <c r="F1157" t="s">
        <v>63</v>
      </c>
      <c r="G1157">
        <v>0.06</v>
      </c>
      <c r="H1157" s="2">
        <v>13724.66</v>
      </c>
      <c r="I1157" s="2">
        <v>823.48</v>
      </c>
    </row>
    <row r="1158" spans="1:9" x14ac:dyDescent="0.25">
      <c r="A1158" t="s">
        <v>719</v>
      </c>
      <c r="B1158" t="s">
        <v>720</v>
      </c>
      <c r="C1158" t="s">
        <v>42</v>
      </c>
      <c r="D1158" t="s">
        <v>4062</v>
      </c>
      <c r="E1158" t="s">
        <v>4659</v>
      </c>
      <c r="F1158" t="s">
        <v>4377</v>
      </c>
      <c r="G1158">
        <v>0.03</v>
      </c>
      <c r="H1158" s="2">
        <v>31500</v>
      </c>
      <c r="I1158" s="2">
        <v>945</v>
      </c>
    </row>
    <row r="1159" spans="1:9" x14ac:dyDescent="0.25">
      <c r="A1159" t="s">
        <v>719</v>
      </c>
      <c r="B1159" t="s">
        <v>720</v>
      </c>
      <c r="C1159" t="s">
        <v>42</v>
      </c>
      <c r="D1159" t="s">
        <v>4062</v>
      </c>
      <c r="E1159" t="s">
        <v>4376</v>
      </c>
      <c r="F1159" t="s">
        <v>4377</v>
      </c>
      <c r="G1159">
        <v>0.03</v>
      </c>
      <c r="H1159" s="2">
        <v>72237.67</v>
      </c>
      <c r="I1159" s="2">
        <v>2167.13</v>
      </c>
    </row>
    <row r="1160" spans="1:9" x14ac:dyDescent="0.25">
      <c r="A1160" t="s">
        <v>719</v>
      </c>
      <c r="B1160" t="s">
        <v>720</v>
      </c>
      <c r="C1160" t="s">
        <v>42</v>
      </c>
      <c r="D1160" t="s">
        <v>4049</v>
      </c>
      <c r="E1160" t="s">
        <v>4241</v>
      </c>
      <c r="F1160" t="s">
        <v>4051</v>
      </c>
      <c r="G1160">
        <v>0.7</v>
      </c>
      <c r="H1160" s="2">
        <v>9941.22</v>
      </c>
      <c r="I1160" s="2">
        <v>6958.85</v>
      </c>
    </row>
    <row r="1161" spans="1:9" x14ac:dyDescent="0.25">
      <c r="A1161" t="s">
        <v>719</v>
      </c>
      <c r="B1161" t="s">
        <v>720</v>
      </c>
      <c r="C1161" t="s">
        <v>42</v>
      </c>
      <c r="D1161" t="s">
        <v>4049</v>
      </c>
      <c r="E1161" t="s">
        <v>4242</v>
      </c>
      <c r="F1161" t="s">
        <v>4051</v>
      </c>
      <c r="G1161">
        <v>0.7</v>
      </c>
      <c r="H1161" s="2">
        <v>17069.53</v>
      </c>
      <c r="I1161" s="2">
        <v>11948.67</v>
      </c>
    </row>
    <row r="1162" spans="1:9" x14ac:dyDescent="0.25">
      <c r="A1162" t="s">
        <v>719</v>
      </c>
      <c r="B1162" t="s">
        <v>720</v>
      </c>
      <c r="C1162" t="s">
        <v>42</v>
      </c>
      <c r="D1162" t="s">
        <v>4052</v>
      </c>
      <c r="E1162" t="s">
        <v>4053</v>
      </c>
      <c r="F1162" t="s">
        <v>4054</v>
      </c>
      <c r="G1162">
        <v>2</v>
      </c>
      <c r="H1162" s="2">
        <v>18907.52</v>
      </c>
      <c r="I1162" s="2">
        <v>378.15</v>
      </c>
    </row>
    <row r="1163" spans="1:9" x14ac:dyDescent="0.25">
      <c r="A1163" t="s">
        <v>722</v>
      </c>
      <c r="B1163" t="s">
        <v>723</v>
      </c>
      <c r="C1163" t="s">
        <v>42</v>
      </c>
      <c r="D1163" t="s">
        <v>4062</v>
      </c>
      <c r="E1163" t="s">
        <v>4662</v>
      </c>
      <c r="F1163" t="s">
        <v>42</v>
      </c>
      <c r="G1163">
        <v>1.05</v>
      </c>
      <c r="H1163" s="2">
        <v>16664</v>
      </c>
      <c r="I1163" s="2">
        <v>17497.2</v>
      </c>
    </row>
    <row r="1164" spans="1:9" x14ac:dyDescent="0.25">
      <c r="A1164" t="s">
        <v>722</v>
      </c>
      <c r="B1164" t="s">
        <v>723</v>
      </c>
      <c r="C1164" t="s">
        <v>42</v>
      </c>
      <c r="D1164" t="s">
        <v>4062</v>
      </c>
      <c r="E1164" t="s">
        <v>4663</v>
      </c>
      <c r="F1164" t="s">
        <v>63</v>
      </c>
      <c r="G1164">
        <v>0.06</v>
      </c>
      <c r="H1164" s="2">
        <v>5259</v>
      </c>
      <c r="I1164" s="2">
        <v>315.54</v>
      </c>
    </row>
    <row r="1165" spans="1:9" x14ac:dyDescent="0.25">
      <c r="A1165" t="s">
        <v>722</v>
      </c>
      <c r="B1165" t="s">
        <v>723</v>
      </c>
      <c r="C1165" t="s">
        <v>42</v>
      </c>
      <c r="D1165" t="s">
        <v>4062</v>
      </c>
      <c r="E1165" t="s">
        <v>4659</v>
      </c>
      <c r="F1165" t="s">
        <v>4377</v>
      </c>
      <c r="G1165">
        <v>0.01</v>
      </c>
      <c r="H1165" s="2">
        <v>31500</v>
      </c>
      <c r="I1165" s="2">
        <v>315</v>
      </c>
    </row>
    <row r="1166" spans="1:9" x14ac:dyDescent="0.25">
      <c r="A1166" t="s">
        <v>722</v>
      </c>
      <c r="B1166" t="s">
        <v>723</v>
      </c>
      <c r="C1166" t="s">
        <v>42</v>
      </c>
      <c r="D1166" t="s">
        <v>4062</v>
      </c>
      <c r="E1166" t="s">
        <v>4376</v>
      </c>
      <c r="F1166" t="s">
        <v>4377</v>
      </c>
      <c r="G1166">
        <v>0.01</v>
      </c>
      <c r="H1166" s="2">
        <v>72237.67</v>
      </c>
      <c r="I1166" s="2">
        <v>722.38</v>
      </c>
    </row>
    <row r="1167" spans="1:9" x14ac:dyDescent="0.25">
      <c r="A1167" t="s">
        <v>722</v>
      </c>
      <c r="B1167" t="s">
        <v>723</v>
      </c>
      <c r="C1167" t="s">
        <v>42</v>
      </c>
      <c r="D1167" t="s">
        <v>4049</v>
      </c>
      <c r="E1167" t="s">
        <v>4241</v>
      </c>
      <c r="F1167" t="s">
        <v>4051</v>
      </c>
      <c r="G1167">
        <v>0.6</v>
      </c>
      <c r="H1167" s="2">
        <v>9941.22</v>
      </c>
      <c r="I1167" s="2">
        <v>5916.02</v>
      </c>
    </row>
    <row r="1168" spans="1:9" x14ac:dyDescent="0.25">
      <c r="A1168" t="s">
        <v>722</v>
      </c>
      <c r="B1168" t="s">
        <v>723</v>
      </c>
      <c r="C1168" t="s">
        <v>42</v>
      </c>
      <c r="D1168" t="s">
        <v>4049</v>
      </c>
      <c r="E1168" t="s">
        <v>4242</v>
      </c>
      <c r="F1168" t="s">
        <v>4051</v>
      </c>
      <c r="G1168">
        <v>0.6</v>
      </c>
      <c r="H1168" s="2">
        <v>17069.53</v>
      </c>
      <c r="I1168" s="2">
        <v>10158.08</v>
      </c>
    </row>
    <row r="1169" spans="1:9" x14ac:dyDescent="0.25">
      <c r="A1169" t="s">
        <v>722</v>
      </c>
      <c r="B1169" t="s">
        <v>723</v>
      </c>
      <c r="C1169" t="s">
        <v>42</v>
      </c>
      <c r="D1169" t="s">
        <v>4052</v>
      </c>
      <c r="E1169" t="s">
        <v>4053</v>
      </c>
      <c r="F1169" t="s">
        <v>4054</v>
      </c>
      <c r="G1169">
        <v>2</v>
      </c>
      <c r="H1169" s="2">
        <v>16074.1</v>
      </c>
      <c r="I1169" s="2">
        <v>321.48</v>
      </c>
    </row>
    <row r="1170" spans="1:9" x14ac:dyDescent="0.25">
      <c r="A1170" t="s">
        <v>725</v>
      </c>
      <c r="B1170" t="s">
        <v>726</v>
      </c>
      <c r="C1170" t="s">
        <v>42</v>
      </c>
      <c r="D1170" t="s">
        <v>4062</v>
      </c>
      <c r="E1170" t="s">
        <v>4380</v>
      </c>
      <c r="F1170" t="s">
        <v>42</v>
      </c>
      <c r="G1170">
        <v>1.05</v>
      </c>
      <c r="H1170" s="2">
        <v>16665</v>
      </c>
      <c r="I1170" s="2">
        <v>17498.25</v>
      </c>
    </row>
    <row r="1171" spans="1:9" x14ac:dyDescent="0.25">
      <c r="A1171" t="s">
        <v>725</v>
      </c>
      <c r="B1171" t="s">
        <v>726</v>
      </c>
      <c r="C1171" t="s">
        <v>42</v>
      </c>
      <c r="D1171" t="s">
        <v>4062</v>
      </c>
      <c r="E1171" t="s">
        <v>4663</v>
      </c>
      <c r="F1171" t="s">
        <v>63</v>
      </c>
      <c r="G1171">
        <v>0.06</v>
      </c>
      <c r="H1171" s="2">
        <v>5259</v>
      </c>
      <c r="I1171" s="2">
        <v>315.54</v>
      </c>
    </row>
    <row r="1172" spans="1:9" x14ac:dyDescent="0.25">
      <c r="A1172" t="s">
        <v>725</v>
      </c>
      <c r="B1172" t="s">
        <v>726</v>
      </c>
      <c r="C1172" t="s">
        <v>42</v>
      </c>
      <c r="D1172" t="s">
        <v>4062</v>
      </c>
      <c r="E1172" t="s">
        <v>4659</v>
      </c>
      <c r="F1172" t="s">
        <v>4377</v>
      </c>
      <c r="G1172">
        <v>0.01</v>
      </c>
      <c r="H1172" s="2">
        <v>31500</v>
      </c>
      <c r="I1172" s="2">
        <v>315</v>
      </c>
    </row>
    <row r="1173" spans="1:9" x14ac:dyDescent="0.25">
      <c r="A1173" t="s">
        <v>725</v>
      </c>
      <c r="B1173" t="s">
        <v>726</v>
      </c>
      <c r="C1173" t="s">
        <v>42</v>
      </c>
      <c r="D1173" t="s">
        <v>4062</v>
      </c>
      <c r="E1173" t="s">
        <v>4376</v>
      </c>
      <c r="F1173" t="s">
        <v>4377</v>
      </c>
      <c r="G1173">
        <v>0.01</v>
      </c>
      <c r="H1173" s="2">
        <v>72237.67</v>
      </c>
      <c r="I1173" s="2">
        <v>722.38</v>
      </c>
    </row>
    <row r="1174" spans="1:9" x14ac:dyDescent="0.25">
      <c r="A1174" t="s">
        <v>725</v>
      </c>
      <c r="B1174" t="s">
        <v>726</v>
      </c>
      <c r="C1174" t="s">
        <v>42</v>
      </c>
      <c r="D1174" t="s">
        <v>4049</v>
      </c>
      <c r="E1174" t="s">
        <v>4241</v>
      </c>
      <c r="F1174" t="s">
        <v>4051</v>
      </c>
      <c r="G1174">
        <v>0.5</v>
      </c>
      <c r="H1174" s="2">
        <v>9941.22</v>
      </c>
      <c r="I1174" s="2">
        <v>4970.61</v>
      </c>
    </row>
    <row r="1175" spans="1:9" x14ac:dyDescent="0.25">
      <c r="A1175" t="s">
        <v>725</v>
      </c>
      <c r="B1175" t="s">
        <v>726</v>
      </c>
      <c r="C1175" t="s">
        <v>42</v>
      </c>
      <c r="D1175" t="s">
        <v>4049</v>
      </c>
      <c r="E1175" t="s">
        <v>4242</v>
      </c>
      <c r="F1175" t="s">
        <v>4051</v>
      </c>
      <c r="G1175">
        <v>0.5</v>
      </c>
      <c r="H1175" s="2">
        <v>17069.53</v>
      </c>
      <c r="I1175" s="2">
        <v>8534.76</v>
      </c>
    </row>
    <row r="1176" spans="1:9" x14ac:dyDescent="0.25">
      <c r="A1176" t="s">
        <v>725</v>
      </c>
      <c r="B1176" t="s">
        <v>726</v>
      </c>
      <c r="C1176" t="s">
        <v>42</v>
      </c>
      <c r="D1176" t="s">
        <v>4052</v>
      </c>
      <c r="E1176" t="s">
        <v>4053</v>
      </c>
      <c r="F1176" t="s">
        <v>4054</v>
      </c>
      <c r="G1176">
        <v>2</v>
      </c>
      <c r="H1176" s="2">
        <v>13505.37</v>
      </c>
      <c r="I1176" s="2">
        <v>270.11</v>
      </c>
    </row>
    <row r="1177" spans="1:9" x14ac:dyDescent="0.25">
      <c r="A1177" t="s">
        <v>728</v>
      </c>
      <c r="B1177" t="s">
        <v>729</v>
      </c>
      <c r="C1177" t="s">
        <v>42</v>
      </c>
      <c r="D1177" t="s">
        <v>4062</v>
      </c>
      <c r="E1177" t="s">
        <v>4386</v>
      </c>
      <c r="F1177" t="s">
        <v>42</v>
      </c>
      <c r="G1177">
        <v>1.05</v>
      </c>
      <c r="H1177" s="2">
        <v>23228</v>
      </c>
      <c r="I1177" s="2">
        <v>24389.4</v>
      </c>
    </row>
    <row r="1178" spans="1:9" x14ac:dyDescent="0.25">
      <c r="A1178" t="s">
        <v>728</v>
      </c>
      <c r="B1178" t="s">
        <v>729</v>
      </c>
      <c r="C1178" t="s">
        <v>42</v>
      </c>
      <c r="D1178" t="s">
        <v>4062</v>
      </c>
      <c r="E1178" t="s">
        <v>4658</v>
      </c>
      <c r="F1178" t="s">
        <v>63</v>
      </c>
      <c r="G1178">
        <v>0.06</v>
      </c>
      <c r="H1178" s="2">
        <v>13724.66</v>
      </c>
      <c r="I1178" s="2">
        <v>823.48</v>
      </c>
    </row>
    <row r="1179" spans="1:9" x14ac:dyDescent="0.25">
      <c r="A1179" t="s">
        <v>728</v>
      </c>
      <c r="B1179" t="s">
        <v>729</v>
      </c>
      <c r="C1179" t="s">
        <v>42</v>
      </c>
      <c r="D1179" t="s">
        <v>4062</v>
      </c>
      <c r="E1179" t="s">
        <v>4659</v>
      </c>
      <c r="F1179" t="s">
        <v>4377</v>
      </c>
      <c r="G1179">
        <v>0.01</v>
      </c>
      <c r="H1179" s="2">
        <v>31500</v>
      </c>
      <c r="I1179" s="2">
        <v>315</v>
      </c>
    </row>
    <row r="1180" spans="1:9" x14ac:dyDescent="0.25">
      <c r="A1180" t="s">
        <v>728</v>
      </c>
      <c r="B1180" t="s">
        <v>729</v>
      </c>
      <c r="C1180" t="s">
        <v>42</v>
      </c>
      <c r="D1180" t="s">
        <v>4062</v>
      </c>
      <c r="E1180" t="s">
        <v>4376</v>
      </c>
      <c r="F1180" t="s">
        <v>4377</v>
      </c>
      <c r="G1180">
        <v>0.01</v>
      </c>
      <c r="H1180" s="2">
        <v>72237.67</v>
      </c>
      <c r="I1180" s="2">
        <v>722.38</v>
      </c>
    </row>
    <row r="1181" spans="1:9" x14ac:dyDescent="0.25">
      <c r="A1181" t="s">
        <v>728</v>
      </c>
      <c r="B1181" t="s">
        <v>729</v>
      </c>
      <c r="C1181" t="s">
        <v>42</v>
      </c>
      <c r="D1181" t="s">
        <v>4049</v>
      </c>
      <c r="E1181" t="s">
        <v>4241</v>
      </c>
      <c r="F1181" t="s">
        <v>4051</v>
      </c>
      <c r="G1181">
        <v>0.73</v>
      </c>
      <c r="H1181" s="2">
        <v>9941.22</v>
      </c>
      <c r="I1181" s="2">
        <v>7231.24</v>
      </c>
    </row>
    <row r="1182" spans="1:9" x14ac:dyDescent="0.25">
      <c r="A1182" t="s">
        <v>728</v>
      </c>
      <c r="B1182" t="s">
        <v>729</v>
      </c>
      <c r="C1182" t="s">
        <v>42</v>
      </c>
      <c r="D1182" t="s">
        <v>4049</v>
      </c>
      <c r="E1182" t="s">
        <v>4242</v>
      </c>
      <c r="F1182" t="s">
        <v>4051</v>
      </c>
      <c r="G1182">
        <v>0.73</v>
      </c>
      <c r="H1182" s="2">
        <v>17069.53</v>
      </c>
      <c r="I1182" s="2">
        <v>12416.38</v>
      </c>
    </row>
    <row r="1183" spans="1:9" x14ac:dyDescent="0.25">
      <c r="A1183" t="s">
        <v>728</v>
      </c>
      <c r="B1183" t="s">
        <v>729</v>
      </c>
      <c r="C1183" t="s">
        <v>42</v>
      </c>
      <c r="D1183" t="s">
        <v>4052</v>
      </c>
      <c r="E1183" t="s">
        <v>4053</v>
      </c>
      <c r="F1183" t="s">
        <v>4054</v>
      </c>
      <c r="G1183">
        <v>2</v>
      </c>
      <c r="H1183" s="2">
        <v>19647.62</v>
      </c>
      <c r="I1183" s="2">
        <v>392.95</v>
      </c>
    </row>
    <row r="1184" spans="1:9" x14ac:dyDescent="0.25">
      <c r="A1184" t="s">
        <v>731</v>
      </c>
      <c r="B1184" t="s">
        <v>732</v>
      </c>
      <c r="C1184" t="s">
        <v>42</v>
      </c>
      <c r="D1184" t="s">
        <v>4062</v>
      </c>
      <c r="E1184" t="s">
        <v>4670</v>
      </c>
      <c r="F1184" t="s">
        <v>42</v>
      </c>
      <c r="G1184">
        <v>1.05</v>
      </c>
      <c r="H1184" s="2">
        <v>49179</v>
      </c>
      <c r="I1184" s="2">
        <v>51637.95</v>
      </c>
    </row>
    <row r="1185" spans="1:9" x14ac:dyDescent="0.25">
      <c r="A1185" t="s">
        <v>731</v>
      </c>
      <c r="B1185" t="s">
        <v>732</v>
      </c>
      <c r="C1185" t="s">
        <v>42</v>
      </c>
      <c r="D1185" t="s">
        <v>4062</v>
      </c>
      <c r="E1185" t="s">
        <v>4671</v>
      </c>
      <c r="F1185" t="s">
        <v>63</v>
      </c>
      <c r="G1185">
        <v>0.06</v>
      </c>
      <c r="H1185" s="2">
        <v>53525</v>
      </c>
      <c r="I1185" s="2">
        <v>3211.5</v>
      </c>
    </row>
    <row r="1186" spans="1:9" x14ac:dyDescent="0.25">
      <c r="A1186" t="s">
        <v>731</v>
      </c>
      <c r="B1186" t="s">
        <v>732</v>
      </c>
      <c r="C1186" t="s">
        <v>42</v>
      </c>
      <c r="D1186" t="s">
        <v>4062</v>
      </c>
      <c r="E1186" t="s">
        <v>4659</v>
      </c>
      <c r="F1186" t="s">
        <v>4377</v>
      </c>
      <c r="G1186">
        <v>0.01</v>
      </c>
      <c r="H1186" s="2">
        <v>31500</v>
      </c>
      <c r="I1186" s="2">
        <v>315</v>
      </c>
    </row>
    <row r="1187" spans="1:9" x14ac:dyDescent="0.25">
      <c r="A1187" t="s">
        <v>731</v>
      </c>
      <c r="B1187" t="s">
        <v>732</v>
      </c>
      <c r="C1187" t="s">
        <v>42</v>
      </c>
      <c r="D1187" t="s">
        <v>4062</v>
      </c>
      <c r="E1187" t="s">
        <v>4376</v>
      </c>
      <c r="F1187" t="s">
        <v>4377</v>
      </c>
      <c r="G1187">
        <v>0.02</v>
      </c>
      <c r="H1187" s="2">
        <v>72237.67</v>
      </c>
      <c r="I1187" s="2">
        <v>1444.75</v>
      </c>
    </row>
    <row r="1188" spans="1:9" x14ac:dyDescent="0.25">
      <c r="A1188" t="s">
        <v>731</v>
      </c>
      <c r="B1188" t="s">
        <v>732</v>
      </c>
      <c r="C1188" t="s">
        <v>42</v>
      </c>
      <c r="D1188" t="s">
        <v>4049</v>
      </c>
      <c r="E1188" t="s">
        <v>4241</v>
      </c>
      <c r="F1188" t="s">
        <v>4051</v>
      </c>
      <c r="G1188">
        <v>0.7</v>
      </c>
      <c r="H1188" s="2">
        <v>9941.22</v>
      </c>
      <c r="I1188" s="2">
        <v>6958.85</v>
      </c>
    </row>
    <row r="1189" spans="1:9" x14ac:dyDescent="0.25">
      <c r="A1189" t="s">
        <v>731</v>
      </c>
      <c r="B1189" t="s">
        <v>732</v>
      </c>
      <c r="C1189" t="s">
        <v>42</v>
      </c>
      <c r="D1189" t="s">
        <v>4049</v>
      </c>
      <c r="E1189" t="s">
        <v>4242</v>
      </c>
      <c r="F1189" t="s">
        <v>4051</v>
      </c>
      <c r="G1189">
        <v>0.7</v>
      </c>
      <c r="H1189" s="2">
        <v>17069.53</v>
      </c>
      <c r="I1189" s="2">
        <v>11948.67</v>
      </c>
    </row>
    <row r="1190" spans="1:9" x14ac:dyDescent="0.25">
      <c r="A1190" t="s">
        <v>731</v>
      </c>
      <c r="B1190" t="s">
        <v>732</v>
      </c>
      <c r="C1190" t="s">
        <v>42</v>
      </c>
      <c r="D1190" t="s">
        <v>4052</v>
      </c>
      <c r="E1190" t="s">
        <v>4053</v>
      </c>
      <c r="F1190" t="s">
        <v>4054</v>
      </c>
      <c r="G1190">
        <v>5</v>
      </c>
      <c r="H1190" s="2">
        <v>18907.52</v>
      </c>
      <c r="I1190" s="2">
        <v>945.38</v>
      </c>
    </row>
    <row r="1191" spans="1:9" x14ac:dyDescent="0.25">
      <c r="A1191" t="s">
        <v>734</v>
      </c>
      <c r="B1191" t="s">
        <v>735</v>
      </c>
      <c r="C1191" t="s">
        <v>42</v>
      </c>
      <c r="D1191" t="s">
        <v>4062</v>
      </c>
      <c r="E1191" t="s">
        <v>4674</v>
      </c>
      <c r="F1191" t="s">
        <v>42</v>
      </c>
      <c r="G1191">
        <v>1</v>
      </c>
      <c r="H1191" s="2">
        <v>36010</v>
      </c>
      <c r="I1191" s="2">
        <v>36010</v>
      </c>
    </row>
    <row r="1192" spans="1:9" x14ac:dyDescent="0.25">
      <c r="A1192" t="s">
        <v>734</v>
      </c>
      <c r="B1192" t="s">
        <v>735</v>
      </c>
      <c r="C1192" t="s">
        <v>42</v>
      </c>
      <c r="D1192" t="s">
        <v>4062</v>
      </c>
      <c r="E1192" t="s">
        <v>4675</v>
      </c>
      <c r="F1192" t="s">
        <v>4171</v>
      </c>
      <c r="G1192">
        <v>1.75</v>
      </c>
      <c r="H1192" s="2">
        <v>1106.41</v>
      </c>
      <c r="I1192" s="2">
        <v>1936.22</v>
      </c>
    </row>
    <row r="1193" spans="1:9" x14ac:dyDescent="0.25">
      <c r="A1193" t="s">
        <v>734</v>
      </c>
      <c r="B1193" t="s">
        <v>735</v>
      </c>
      <c r="C1193" t="s">
        <v>42</v>
      </c>
      <c r="D1193" t="s">
        <v>4062</v>
      </c>
      <c r="E1193" t="s">
        <v>4676</v>
      </c>
      <c r="F1193" t="s">
        <v>63</v>
      </c>
      <c r="G1193">
        <v>0.25</v>
      </c>
      <c r="H1193" s="2">
        <v>14766.67</v>
      </c>
      <c r="I1193" s="2">
        <v>3691.67</v>
      </c>
    </row>
    <row r="1194" spans="1:9" x14ac:dyDescent="0.25">
      <c r="A1194" t="s">
        <v>734</v>
      </c>
      <c r="B1194" t="s">
        <v>735</v>
      </c>
      <c r="C1194" t="s">
        <v>42</v>
      </c>
      <c r="D1194" t="s">
        <v>4049</v>
      </c>
      <c r="E1194" t="s">
        <v>4241</v>
      </c>
      <c r="F1194" t="s">
        <v>4051</v>
      </c>
      <c r="G1194">
        <v>1.5</v>
      </c>
      <c r="H1194" s="2">
        <v>9941.22</v>
      </c>
      <c r="I1194" s="2">
        <v>14911.83</v>
      </c>
    </row>
    <row r="1195" spans="1:9" x14ac:dyDescent="0.25">
      <c r="A1195" t="s">
        <v>734</v>
      </c>
      <c r="B1195" t="s">
        <v>735</v>
      </c>
      <c r="C1195" t="s">
        <v>42</v>
      </c>
      <c r="D1195" t="s">
        <v>4049</v>
      </c>
      <c r="E1195" t="s">
        <v>4242</v>
      </c>
      <c r="F1195" t="s">
        <v>4051</v>
      </c>
      <c r="G1195">
        <v>1</v>
      </c>
      <c r="H1195" s="2">
        <v>17069.53</v>
      </c>
      <c r="I1195" s="2">
        <v>17069.53</v>
      </c>
    </row>
    <row r="1196" spans="1:9" x14ac:dyDescent="0.25">
      <c r="A1196" t="s">
        <v>734</v>
      </c>
      <c r="B1196" t="s">
        <v>735</v>
      </c>
      <c r="C1196" t="s">
        <v>42</v>
      </c>
      <c r="D1196" t="s">
        <v>4052</v>
      </c>
      <c r="E1196" t="s">
        <v>4053</v>
      </c>
      <c r="F1196" t="s">
        <v>4054</v>
      </c>
      <c r="G1196">
        <v>5</v>
      </c>
      <c r="H1196" s="2">
        <v>31981.36</v>
      </c>
      <c r="I1196" s="2">
        <v>1599.07</v>
      </c>
    </row>
    <row r="1197" spans="1:9" x14ac:dyDescent="0.25">
      <c r="A1197" t="s">
        <v>740</v>
      </c>
      <c r="B1197" t="s">
        <v>741</v>
      </c>
      <c r="C1197" t="s">
        <v>42</v>
      </c>
      <c r="D1197" t="s">
        <v>4062</v>
      </c>
      <c r="E1197" t="s">
        <v>4675</v>
      </c>
      <c r="F1197" t="s">
        <v>4171</v>
      </c>
      <c r="G1197">
        <v>1.25</v>
      </c>
      <c r="H1197" s="2">
        <v>1106.41</v>
      </c>
      <c r="I1197" s="2">
        <v>1383.01</v>
      </c>
    </row>
    <row r="1198" spans="1:9" x14ac:dyDescent="0.25">
      <c r="A1198" t="s">
        <v>740</v>
      </c>
      <c r="B1198" t="s">
        <v>741</v>
      </c>
      <c r="C1198" t="s">
        <v>42</v>
      </c>
      <c r="D1198" t="s">
        <v>4062</v>
      </c>
      <c r="E1198" t="s">
        <v>4679</v>
      </c>
      <c r="F1198" t="s">
        <v>63</v>
      </c>
      <c r="G1198">
        <v>0.8</v>
      </c>
      <c r="H1198" s="2">
        <v>41500</v>
      </c>
      <c r="I1198" s="2">
        <v>33200</v>
      </c>
    </row>
    <row r="1199" spans="1:9" x14ac:dyDescent="0.25">
      <c r="A1199" t="s">
        <v>740</v>
      </c>
      <c r="B1199" t="s">
        <v>741</v>
      </c>
      <c r="C1199" t="s">
        <v>42</v>
      </c>
      <c r="D1199" t="s">
        <v>4062</v>
      </c>
      <c r="E1199" t="s">
        <v>4676</v>
      </c>
      <c r="F1199" t="s">
        <v>63</v>
      </c>
      <c r="G1199">
        <v>0.2</v>
      </c>
      <c r="H1199" s="2">
        <v>14766.67</v>
      </c>
      <c r="I1199" s="2">
        <v>2953.33</v>
      </c>
    </row>
    <row r="1200" spans="1:9" x14ac:dyDescent="0.25">
      <c r="A1200" t="s">
        <v>740</v>
      </c>
      <c r="B1200" t="s">
        <v>741</v>
      </c>
      <c r="C1200" t="s">
        <v>42</v>
      </c>
      <c r="D1200" t="s">
        <v>4049</v>
      </c>
      <c r="E1200" t="s">
        <v>4241</v>
      </c>
      <c r="F1200" t="s">
        <v>4051</v>
      </c>
      <c r="G1200">
        <v>1</v>
      </c>
      <c r="H1200" s="2">
        <v>9941.22</v>
      </c>
      <c r="I1200" s="2">
        <v>9941.22</v>
      </c>
    </row>
    <row r="1201" spans="1:9" x14ac:dyDescent="0.25">
      <c r="A1201" t="s">
        <v>740</v>
      </c>
      <c r="B1201" t="s">
        <v>741</v>
      </c>
      <c r="C1201" t="s">
        <v>42</v>
      </c>
      <c r="D1201" t="s">
        <v>4049</v>
      </c>
      <c r="E1201" t="s">
        <v>4242</v>
      </c>
      <c r="F1201" t="s">
        <v>4051</v>
      </c>
      <c r="G1201">
        <v>1</v>
      </c>
      <c r="H1201" s="2">
        <v>17069.53</v>
      </c>
      <c r="I1201" s="2">
        <v>17069.53</v>
      </c>
    </row>
    <row r="1202" spans="1:9" x14ac:dyDescent="0.25">
      <c r="A1202" t="s">
        <v>740</v>
      </c>
      <c r="B1202" t="s">
        <v>741</v>
      </c>
      <c r="C1202" t="s">
        <v>42</v>
      </c>
      <c r="D1202" t="s">
        <v>4052</v>
      </c>
      <c r="E1202" t="s">
        <v>4053</v>
      </c>
      <c r="F1202" t="s">
        <v>4054</v>
      </c>
      <c r="G1202">
        <v>5</v>
      </c>
      <c r="H1202" s="2">
        <v>27010.75</v>
      </c>
      <c r="I1202" s="2">
        <v>1350.54</v>
      </c>
    </row>
    <row r="1203" spans="1:9" x14ac:dyDescent="0.25">
      <c r="A1203" t="s">
        <v>746</v>
      </c>
      <c r="B1203" t="s">
        <v>747</v>
      </c>
      <c r="C1203" t="s">
        <v>63</v>
      </c>
      <c r="D1203" t="s">
        <v>4062</v>
      </c>
      <c r="E1203" t="s">
        <v>4682</v>
      </c>
      <c r="F1203" t="s">
        <v>63</v>
      </c>
      <c r="G1203">
        <v>2.75</v>
      </c>
      <c r="H1203" s="2">
        <v>13300</v>
      </c>
      <c r="I1203" s="2">
        <v>36575</v>
      </c>
    </row>
    <row r="1204" spans="1:9" x14ac:dyDescent="0.25">
      <c r="A1204" t="s">
        <v>746</v>
      </c>
      <c r="B1204" t="s">
        <v>747</v>
      </c>
      <c r="C1204" t="s">
        <v>63</v>
      </c>
      <c r="D1204" t="s">
        <v>4062</v>
      </c>
      <c r="E1204" t="s">
        <v>4683</v>
      </c>
      <c r="F1204" t="s">
        <v>42</v>
      </c>
      <c r="G1204">
        <v>3</v>
      </c>
      <c r="H1204" s="2">
        <v>16056</v>
      </c>
      <c r="I1204" s="2">
        <v>48168</v>
      </c>
    </row>
    <row r="1205" spans="1:9" x14ac:dyDescent="0.25">
      <c r="A1205" t="s">
        <v>746</v>
      </c>
      <c r="B1205" t="s">
        <v>747</v>
      </c>
      <c r="C1205" t="s">
        <v>63</v>
      </c>
      <c r="D1205" t="s">
        <v>4062</v>
      </c>
      <c r="E1205" t="s">
        <v>4684</v>
      </c>
      <c r="F1205" t="s">
        <v>63</v>
      </c>
      <c r="G1205">
        <v>3</v>
      </c>
      <c r="H1205" s="2">
        <v>4293</v>
      </c>
      <c r="I1205" s="2">
        <v>12879</v>
      </c>
    </row>
    <row r="1206" spans="1:9" x14ac:dyDescent="0.25">
      <c r="A1206" t="s">
        <v>746</v>
      </c>
      <c r="B1206" t="s">
        <v>747</v>
      </c>
      <c r="C1206" t="s">
        <v>63</v>
      </c>
      <c r="D1206" t="s">
        <v>4062</v>
      </c>
      <c r="E1206" t="s">
        <v>4685</v>
      </c>
      <c r="F1206" t="s">
        <v>63</v>
      </c>
      <c r="G1206">
        <v>1</v>
      </c>
      <c r="H1206" s="2">
        <v>19280</v>
      </c>
      <c r="I1206" s="2">
        <v>19280</v>
      </c>
    </row>
    <row r="1207" spans="1:9" x14ac:dyDescent="0.25">
      <c r="A1207" t="s">
        <v>746</v>
      </c>
      <c r="B1207" t="s">
        <v>747</v>
      </c>
      <c r="C1207" t="s">
        <v>63</v>
      </c>
      <c r="D1207" t="s">
        <v>4062</v>
      </c>
      <c r="E1207" t="s">
        <v>4686</v>
      </c>
      <c r="F1207" t="s">
        <v>63</v>
      </c>
      <c r="G1207">
        <v>2.5</v>
      </c>
      <c r="H1207" s="2">
        <v>8177.67</v>
      </c>
      <c r="I1207" s="2">
        <v>20444.17</v>
      </c>
    </row>
    <row r="1208" spans="1:9" x14ac:dyDescent="0.25">
      <c r="A1208" t="s">
        <v>746</v>
      </c>
      <c r="B1208" t="s">
        <v>747</v>
      </c>
      <c r="C1208" t="s">
        <v>63</v>
      </c>
      <c r="D1208" t="s">
        <v>4062</v>
      </c>
      <c r="E1208" t="s">
        <v>4659</v>
      </c>
      <c r="F1208" t="s">
        <v>4377</v>
      </c>
      <c r="G1208">
        <v>0.05</v>
      </c>
      <c r="H1208" s="2">
        <v>31500</v>
      </c>
      <c r="I1208" s="2">
        <v>1575</v>
      </c>
    </row>
    <row r="1209" spans="1:9" x14ac:dyDescent="0.25">
      <c r="A1209" t="s">
        <v>746</v>
      </c>
      <c r="B1209" t="s">
        <v>747</v>
      </c>
      <c r="C1209" t="s">
        <v>63</v>
      </c>
      <c r="D1209" t="s">
        <v>4062</v>
      </c>
      <c r="E1209" t="s">
        <v>4687</v>
      </c>
      <c r="F1209" t="s">
        <v>63</v>
      </c>
      <c r="G1209">
        <v>1</v>
      </c>
      <c r="H1209" s="2">
        <v>226403.53</v>
      </c>
      <c r="I1209" s="2">
        <v>226403.53</v>
      </c>
    </row>
    <row r="1210" spans="1:9" x14ac:dyDescent="0.25">
      <c r="A1210" t="s">
        <v>746</v>
      </c>
      <c r="B1210" t="s">
        <v>747</v>
      </c>
      <c r="C1210" t="s">
        <v>63</v>
      </c>
      <c r="D1210" t="s">
        <v>4062</v>
      </c>
      <c r="E1210" t="s">
        <v>4376</v>
      </c>
      <c r="F1210" t="s">
        <v>4377</v>
      </c>
      <c r="G1210">
        <v>0.05</v>
      </c>
      <c r="H1210" s="2">
        <v>72237.67</v>
      </c>
      <c r="I1210" s="2">
        <v>3611.88</v>
      </c>
    </row>
    <row r="1211" spans="1:9" x14ac:dyDescent="0.25">
      <c r="A1211" t="s">
        <v>746</v>
      </c>
      <c r="B1211" t="s">
        <v>747</v>
      </c>
      <c r="C1211" t="s">
        <v>63</v>
      </c>
      <c r="D1211" t="s">
        <v>4049</v>
      </c>
      <c r="E1211" t="s">
        <v>4241</v>
      </c>
      <c r="F1211" t="s">
        <v>4051</v>
      </c>
      <c r="G1211">
        <v>4</v>
      </c>
      <c r="H1211" s="2">
        <v>9941.22</v>
      </c>
      <c r="I1211" s="2">
        <v>39764.88</v>
      </c>
    </row>
    <row r="1212" spans="1:9" x14ac:dyDescent="0.25">
      <c r="A1212" t="s">
        <v>746</v>
      </c>
      <c r="B1212" t="s">
        <v>747</v>
      </c>
      <c r="C1212" t="s">
        <v>63</v>
      </c>
      <c r="D1212" t="s">
        <v>4049</v>
      </c>
      <c r="E1212" t="s">
        <v>4242</v>
      </c>
      <c r="F1212" t="s">
        <v>4051</v>
      </c>
      <c r="G1212">
        <v>4</v>
      </c>
      <c r="H1212" s="2">
        <v>17069.53</v>
      </c>
      <c r="I1212" s="2">
        <v>68278.12</v>
      </c>
    </row>
    <row r="1213" spans="1:9" x14ac:dyDescent="0.25">
      <c r="A1213" t="s">
        <v>746</v>
      </c>
      <c r="B1213" t="s">
        <v>747</v>
      </c>
      <c r="C1213" t="s">
        <v>63</v>
      </c>
      <c r="D1213" t="s">
        <v>4052</v>
      </c>
      <c r="E1213" t="s">
        <v>4053</v>
      </c>
      <c r="F1213" t="s">
        <v>4054</v>
      </c>
      <c r="G1213">
        <v>12</v>
      </c>
      <c r="H1213" s="2">
        <v>108043</v>
      </c>
      <c r="I1213" s="2">
        <v>12965.16</v>
      </c>
    </row>
    <row r="1214" spans="1:9" x14ac:dyDescent="0.25">
      <c r="A1214" t="s">
        <v>749</v>
      </c>
      <c r="B1214" t="s">
        <v>750</v>
      </c>
      <c r="C1214" t="s">
        <v>63</v>
      </c>
      <c r="D1214" t="s">
        <v>4062</v>
      </c>
      <c r="E1214" t="s">
        <v>4690</v>
      </c>
      <c r="F1214" t="s">
        <v>231</v>
      </c>
      <c r="G1214">
        <v>0.75</v>
      </c>
      <c r="H1214" s="2">
        <v>2025</v>
      </c>
      <c r="I1214" s="2">
        <v>1518.75</v>
      </c>
    </row>
    <row r="1215" spans="1:9" x14ac:dyDescent="0.25">
      <c r="A1215" t="s">
        <v>749</v>
      </c>
      <c r="B1215" t="s">
        <v>750</v>
      </c>
      <c r="C1215" t="s">
        <v>63</v>
      </c>
      <c r="D1215" t="s">
        <v>4062</v>
      </c>
      <c r="E1215" t="s">
        <v>4691</v>
      </c>
      <c r="F1215" t="s">
        <v>4532</v>
      </c>
      <c r="G1215">
        <v>1</v>
      </c>
      <c r="H1215" s="2">
        <v>748</v>
      </c>
      <c r="I1215" s="2">
        <v>748</v>
      </c>
    </row>
    <row r="1216" spans="1:9" x14ac:dyDescent="0.25">
      <c r="A1216" t="s">
        <v>749</v>
      </c>
      <c r="B1216" t="s">
        <v>750</v>
      </c>
      <c r="C1216" t="s">
        <v>63</v>
      </c>
      <c r="D1216" t="s">
        <v>4049</v>
      </c>
      <c r="E1216" t="s">
        <v>4241</v>
      </c>
      <c r="F1216" t="s">
        <v>4051</v>
      </c>
      <c r="G1216">
        <v>2</v>
      </c>
      <c r="H1216" s="2">
        <v>9941.22</v>
      </c>
      <c r="I1216" s="2">
        <v>19882.44</v>
      </c>
    </row>
    <row r="1217" spans="1:9" x14ac:dyDescent="0.25">
      <c r="A1217" t="s">
        <v>749</v>
      </c>
      <c r="B1217" t="s">
        <v>750</v>
      </c>
      <c r="C1217" t="s">
        <v>63</v>
      </c>
      <c r="D1217" t="s">
        <v>4049</v>
      </c>
      <c r="E1217" t="s">
        <v>4242</v>
      </c>
      <c r="F1217" t="s">
        <v>4051</v>
      </c>
      <c r="G1217">
        <v>2</v>
      </c>
      <c r="H1217" s="2">
        <v>17069.53</v>
      </c>
      <c r="I1217" s="2">
        <v>34139.06</v>
      </c>
    </row>
    <row r="1218" spans="1:9" x14ac:dyDescent="0.25">
      <c r="A1218" t="s">
        <v>749</v>
      </c>
      <c r="B1218" t="s">
        <v>750</v>
      </c>
      <c r="C1218" t="s">
        <v>63</v>
      </c>
      <c r="D1218" t="s">
        <v>4052</v>
      </c>
      <c r="E1218" t="s">
        <v>4053</v>
      </c>
      <c r="F1218" t="s">
        <v>4054</v>
      </c>
      <c r="G1218">
        <v>5</v>
      </c>
      <c r="H1218" s="2">
        <v>54021.5</v>
      </c>
      <c r="I1218" s="2">
        <v>2701.07</v>
      </c>
    </row>
    <row r="1219" spans="1:9" x14ac:dyDescent="0.25">
      <c r="A1219" t="s">
        <v>753</v>
      </c>
      <c r="B1219" t="s">
        <v>754</v>
      </c>
      <c r="C1219" t="s">
        <v>63</v>
      </c>
      <c r="D1219" t="s">
        <v>4062</v>
      </c>
      <c r="E1219" t="s">
        <v>4694</v>
      </c>
      <c r="F1219" t="s">
        <v>63</v>
      </c>
      <c r="G1219">
        <v>3</v>
      </c>
      <c r="H1219" s="2">
        <v>1386</v>
      </c>
      <c r="I1219" s="2">
        <v>4158</v>
      </c>
    </row>
    <row r="1220" spans="1:9" x14ac:dyDescent="0.25">
      <c r="A1220" t="s">
        <v>753</v>
      </c>
      <c r="B1220" t="s">
        <v>754</v>
      </c>
      <c r="C1220" t="s">
        <v>63</v>
      </c>
      <c r="D1220" t="s">
        <v>4062</v>
      </c>
      <c r="E1220" t="s">
        <v>4695</v>
      </c>
      <c r="F1220" t="s">
        <v>42</v>
      </c>
      <c r="G1220">
        <v>3.75</v>
      </c>
      <c r="H1220" s="2">
        <v>7284</v>
      </c>
      <c r="I1220" s="2">
        <v>27315</v>
      </c>
    </row>
    <row r="1221" spans="1:9" x14ac:dyDescent="0.25">
      <c r="A1221" t="s">
        <v>753</v>
      </c>
      <c r="B1221" t="s">
        <v>754</v>
      </c>
      <c r="C1221" t="s">
        <v>63</v>
      </c>
      <c r="D1221" t="s">
        <v>4062</v>
      </c>
      <c r="E1221" t="s">
        <v>4691</v>
      </c>
      <c r="F1221" t="s">
        <v>4532</v>
      </c>
      <c r="G1221">
        <v>1</v>
      </c>
      <c r="H1221" s="2">
        <v>748</v>
      </c>
      <c r="I1221" s="2">
        <v>748</v>
      </c>
    </row>
    <row r="1222" spans="1:9" x14ac:dyDescent="0.25">
      <c r="A1222" t="s">
        <v>753</v>
      </c>
      <c r="B1222" t="s">
        <v>754</v>
      </c>
      <c r="C1222" t="s">
        <v>63</v>
      </c>
      <c r="D1222" t="s">
        <v>4062</v>
      </c>
      <c r="E1222" t="s">
        <v>4696</v>
      </c>
      <c r="F1222" t="s">
        <v>63</v>
      </c>
      <c r="G1222">
        <v>3</v>
      </c>
      <c r="H1222" s="2">
        <v>1047.4</v>
      </c>
      <c r="I1222" s="2">
        <v>3142.2</v>
      </c>
    </row>
    <row r="1223" spans="1:9" x14ac:dyDescent="0.25">
      <c r="A1223" t="s">
        <v>753</v>
      </c>
      <c r="B1223" t="s">
        <v>754</v>
      </c>
      <c r="C1223" t="s">
        <v>63</v>
      </c>
      <c r="D1223" t="s">
        <v>4062</v>
      </c>
      <c r="E1223" t="s">
        <v>4697</v>
      </c>
      <c r="F1223" t="s">
        <v>63</v>
      </c>
      <c r="G1223">
        <v>3</v>
      </c>
      <c r="H1223" s="2">
        <v>1003.33</v>
      </c>
      <c r="I1223" s="2">
        <v>3009.99</v>
      </c>
    </row>
    <row r="1224" spans="1:9" x14ac:dyDescent="0.25">
      <c r="A1224" t="s">
        <v>753</v>
      </c>
      <c r="B1224" t="s">
        <v>754</v>
      </c>
      <c r="C1224" t="s">
        <v>63</v>
      </c>
      <c r="D1224" t="s">
        <v>4062</v>
      </c>
      <c r="E1224" t="s">
        <v>4698</v>
      </c>
      <c r="F1224" t="s">
        <v>63</v>
      </c>
      <c r="G1224">
        <v>3</v>
      </c>
      <c r="H1224" s="2">
        <v>1675</v>
      </c>
      <c r="I1224" s="2">
        <v>5025</v>
      </c>
    </row>
    <row r="1225" spans="1:9" x14ac:dyDescent="0.25">
      <c r="A1225" t="s">
        <v>753</v>
      </c>
      <c r="B1225" t="s">
        <v>754</v>
      </c>
      <c r="C1225" t="s">
        <v>63</v>
      </c>
      <c r="D1225" t="s">
        <v>4062</v>
      </c>
      <c r="E1225" t="s">
        <v>4659</v>
      </c>
      <c r="F1225" t="s">
        <v>4377</v>
      </c>
      <c r="G1225">
        <v>0.04</v>
      </c>
      <c r="H1225" s="2">
        <v>31500</v>
      </c>
      <c r="I1225" s="2">
        <v>1260</v>
      </c>
    </row>
    <row r="1226" spans="1:9" x14ac:dyDescent="0.25">
      <c r="A1226" t="s">
        <v>753</v>
      </c>
      <c r="B1226" t="s">
        <v>754</v>
      </c>
      <c r="C1226" t="s">
        <v>63</v>
      </c>
      <c r="D1226" t="s">
        <v>4062</v>
      </c>
      <c r="E1226" t="s">
        <v>4376</v>
      </c>
      <c r="F1226" t="s">
        <v>4377</v>
      </c>
      <c r="G1226">
        <v>0.04</v>
      </c>
      <c r="H1226" s="2">
        <v>72237.67</v>
      </c>
      <c r="I1226" s="2">
        <v>2889.51</v>
      </c>
    </row>
    <row r="1227" spans="1:9" x14ac:dyDescent="0.25">
      <c r="A1227" t="s">
        <v>753</v>
      </c>
      <c r="B1227" t="s">
        <v>754</v>
      </c>
      <c r="C1227" t="s">
        <v>63</v>
      </c>
      <c r="D1227" t="s">
        <v>4049</v>
      </c>
      <c r="E1227" t="s">
        <v>4241</v>
      </c>
      <c r="F1227" t="s">
        <v>4051</v>
      </c>
      <c r="G1227">
        <v>3.5</v>
      </c>
      <c r="H1227" s="2">
        <v>9941.22</v>
      </c>
      <c r="I1227" s="2">
        <v>34794.27</v>
      </c>
    </row>
    <row r="1228" spans="1:9" x14ac:dyDescent="0.25">
      <c r="A1228" t="s">
        <v>753</v>
      </c>
      <c r="B1228" t="s">
        <v>754</v>
      </c>
      <c r="C1228" t="s">
        <v>63</v>
      </c>
      <c r="D1228" t="s">
        <v>4049</v>
      </c>
      <c r="E1228" t="s">
        <v>4242</v>
      </c>
      <c r="F1228" t="s">
        <v>4051</v>
      </c>
      <c r="G1228">
        <v>1.75</v>
      </c>
      <c r="H1228" s="2">
        <v>17069.53</v>
      </c>
      <c r="I1228" s="2">
        <v>29871.68</v>
      </c>
    </row>
    <row r="1229" spans="1:9" x14ac:dyDescent="0.25">
      <c r="A1229" t="s">
        <v>753</v>
      </c>
      <c r="B1229" t="s">
        <v>754</v>
      </c>
      <c r="C1229" t="s">
        <v>63</v>
      </c>
      <c r="D1229" t="s">
        <v>4052</v>
      </c>
      <c r="E1229" t="s">
        <v>4053</v>
      </c>
      <c r="F1229" t="s">
        <v>4054</v>
      </c>
      <c r="G1229">
        <v>5</v>
      </c>
      <c r="H1229" s="2">
        <v>64665.95</v>
      </c>
      <c r="I1229" s="2">
        <v>3233.3</v>
      </c>
    </row>
    <row r="1230" spans="1:9" x14ac:dyDescent="0.25">
      <c r="A1230" t="s">
        <v>756</v>
      </c>
      <c r="B1230" t="s">
        <v>757</v>
      </c>
      <c r="C1230" t="s">
        <v>63</v>
      </c>
      <c r="D1230" t="s">
        <v>4062</v>
      </c>
      <c r="E1230" t="s">
        <v>4694</v>
      </c>
      <c r="F1230" t="s">
        <v>63</v>
      </c>
      <c r="G1230">
        <v>1</v>
      </c>
      <c r="H1230" s="2">
        <v>1386</v>
      </c>
      <c r="I1230" s="2">
        <v>1386</v>
      </c>
    </row>
    <row r="1231" spans="1:9" x14ac:dyDescent="0.25">
      <c r="A1231" t="s">
        <v>756</v>
      </c>
      <c r="B1231" t="s">
        <v>757</v>
      </c>
      <c r="C1231" t="s">
        <v>63</v>
      </c>
      <c r="D1231" t="s">
        <v>4062</v>
      </c>
      <c r="E1231" t="s">
        <v>4701</v>
      </c>
      <c r="F1231" t="s">
        <v>42</v>
      </c>
      <c r="G1231">
        <v>3.75</v>
      </c>
      <c r="H1231" s="2">
        <v>3804</v>
      </c>
      <c r="I1231" s="2">
        <v>14265</v>
      </c>
    </row>
    <row r="1232" spans="1:9" x14ac:dyDescent="0.25">
      <c r="A1232" t="s">
        <v>756</v>
      </c>
      <c r="B1232" t="s">
        <v>757</v>
      </c>
      <c r="C1232" t="s">
        <v>63</v>
      </c>
      <c r="D1232" t="s">
        <v>4062</v>
      </c>
      <c r="E1232" t="s">
        <v>4691</v>
      </c>
      <c r="F1232" t="s">
        <v>4532</v>
      </c>
      <c r="G1232">
        <v>3</v>
      </c>
      <c r="H1232" s="2">
        <v>748</v>
      </c>
      <c r="I1232" s="2">
        <v>2244</v>
      </c>
    </row>
    <row r="1233" spans="1:9" x14ac:dyDescent="0.25">
      <c r="A1233" t="s">
        <v>756</v>
      </c>
      <c r="B1233" t="s">
        <v>757</v>
      </c>
      <c r="C1233" t="s">
        <v>63</v>
      </c>
      <c r="D1233" t="s">
        <v>4062</v>
      </c>
      <c r="E1233" t="s">
        <v>4702</v>
      </c>
      <c r="F1233" t="s">
        <v>63</v>
      </c>
      <c r="G1233">
        <v>3</v>
      </c>
      <c r="H1233" s="2">
        <v>1076.33</v>
      </c>
      <c r="I1233" s="2">
        <v>3228.99</v>
      </c>
    </row>
    <row r="1234" spans="1:9" x14ac:dyDescent="0.25">
      <c r="A1234" t="s">
        <v>756</v>
      </c>
      <c r="B1234" t="s">
        <v>757</v>
      </c>
      <c r="C1234" t="s">
        <v>63</v>
      </c>
      <c r="D1234" t="s">
        <v>4062</v>
      </c>
      <c r="E1234" t="s">
        <v>4703</v>
      </c>
      <c r="F1234" t="s">
        <v>63</v>
      </c>
      <c r="G1234">
        <v>3</v>
      </c>
      <c r="H1234" s="2">
        <v>546</v>
      </c>
      <c r="I1234" s="2">
        <v>1638</v>
      </c>
    </row>
    <row r="1235" spans="1:9" x14ac:dyDescent="0.25">
      <c r="A1235" t="s">
        <v>756</v>
      </c>
      <c r="B1235" t="s">
        <v>757</v>
      </c>
      <c r="C1235" t="s">
        <v>63</v>
      </c>
      <c r="D1235" t="s">
        <v>4062</v>
      </c>
      <c r="E1235" t="s">
        <v>4704</v>
      </c>
      <c r="F1235" t="s">
        <v>63</v>
      </c>
      <c r="G1235">
        <v>3</v>
      </c>
      <c r="H1235" s="2">
        <v>461</v>
      </c>
      <c r="I1235" s="2">
        <v>1383</v>
      </c>
    </row>
    <row r="1236" spans="1:9" x14ac:dyDescent="0.25">
      <c r="A1236" t="s">
        <v>756</v>
      </c>
      <c r="B1236" t="s">
        <v>757</v>
      </c>
      <c r="C1236" t="s">
        <v>63</v>
      </c>
      <c r="D1236" t="s">
        <v>4062</v>
      </c>
      <c r="E1236" t="s">
        <v>4705</v>
      </c>
      <c r="F1236" t="s">
        <v>63</v>
      </c>
      <c r="G1236">
        <v>3</v>
      </c>
      <c r="H1236" s="2">
        <v>408</v>
      </c>
      <c r="I1236" s="2">
        <v>1224</v>
      </c>
    </row>
    <row r="1237" spans="1:9" x14ac:dyDescent="0.25">
      <c r="A1237" t="s">
        <v>756</v>
      </c>
      <c r="B1237" t="s">
        <v>757</v>
      </c>
      <c r="C1237" t="s">
        <v>63</v>
      </c>
      <c r="D1237" t="s">
        <v>4062</v>
      </c>
      <c r="E1237" t="s">
        <v>4659</v>
      </c>
      <c r="F1237" t="s">
        <v>4377</v>
      </c>
      <c r="G1237">
        <v>0.04</v>
      </c>
      <c r="H1237" s="2">
        <v>31500</v>
      </c>
      <c r="I1237" s="2">
        <v>1260</v>
      </c>
    </row>
    <row r="1238" spans="1:9" x14ac:dyDescent="0.25">
      <c r="A1238" t="s">
        <v>756</v>
      </c>
      <c r="B1238" t="s">
        <v>757</v>
      </c>
      <c r="C1238" t="s">
        <v>63</v>
      </c>
      <c r="D1238" t="s">
        <v>4062</v>
      </c>
      <c r="E1238" t="s">
        <v>4376</v>
      </c>
      <c r="F1238" t="s">
        <v>4377</v>
      </c>
      <c r="G1238">
        <v>0.04</v>
      </c>
      <c r="H1238" s="2">
        <v>72237.67</v>
      </c>
      <c r="I1238" s="2">
        <v>2889.51</v>
      </c>
    </row>
    <row r="1239" spans="1:9" x14ac:dyDescent="0.25">
      <c r="A1239" t="s">
        <v>756</v>
      </c>
      <c r="B1239" t="s">
        <v>757</v>
      </c>
      <c r="C1239" t="s">
        <v>63</v>
      </c>
      <c r="D1239" t="s">
        <v>4049</v>
      </c>
      <c r="E1239" t="s">
        <v>4241</v>
      </c>
      <c r="F1239" t="s">
        <v>4051</v>
      </c>
      <c r="G1239">
        <v>3</v>
      </c>
      <c r="H1239" s="2">
        <v>9941.22</v>
      </c>
      <c r="I1239" s="2">
        <v>29823.66</v>
      </c>
    </row>
    <row r="1240" spans="1:9" x14ac:dyDescent="0.25">
      <c r="A1240" t="s">
        <v>756</v>
      </c>
      <c r="B1240" t="s">
        <v>757</v>
      </c>
      <c r="C1240" t="s">
        <v>63</v>
      </c>
      <c r="D1240" t="s">
        <v>4049</v>
      </c>
      <c r="E1240" t="s">
        <v>4242</v>
      </c>
      <c r="F1240" t="s">
        <v>4051</v>
      </c>
      <c r="G1240">
        <v>1.5</v>
      </c>
      <c r="H1240" s="2">
        <v>17069.53</v>
      </c>
      <c r="I1240" s="2">
        <v>25604.29</v>
      </c>
    </row>
    <row r="1241" spans="1:9" x14ac:dyDescent="0.25">
      <c r="A1241" t="s">
        <v>756</v>
      </c>
      <c r="B1241" t="s">
        <v>757</v>
      </c>
      <c r="C1241" t="s">
        <v>63</v>
      </c>
      <c r="D1241" t="s">
        <v>4052</v>
      </c>
      <c r="E1241" t="s">
        <v>4053</v>
      </c>
      <c r="F1241" t="s">
        <v>4054</v>
      </c>
      <c r="G1241">
        <v>3.3</v>
      </c>
      <c r="H1241" s="2">
        <v>55427.95</v>
      </c>
      <c r="I1241" s="2">
        <v>1829.12</v>
      </c>
    </row>
    <row r="1242" spans="1:9" x14ac:dyDescent="0.25">
      <c r="A1242" t="s">
        <v>759</v>
      </c>
      <c r="B1242" t="s">
        <v>760</v>
      </c>
      <c r="C1242" t="s">
        <v>63</v>
      </c>
      <c r="D1242" t="s">
        <v>4062</v>
      </c>
      <c r="E1242" t="s">
        <v>4708</v>
      </c>
      <c r="F1242" t="s">
        <v>42</v>
      </c>
      <c r="G1242">
        <v>0.75</v>
      </c>
      <c r="H1242" s="2">
        <v>9130</v>
      </c>
      <c r="I1242" s="2">
        <v>6847.5</v>
      </c>
    </row>
    <row r="1243" spans="1:9" x14ac:dyDescent="0.25">
      <c r="A1243" t="s">
        <v>759</v>
      </c>
      <c r="B1243" t="s">
        <v>760</v>
      </c>
      <c r="C1243" t="s">
        <v>63</v>
      </c>
      <c r="D1243" t="s">
        <v>4062</v>
      </c>
      <c r="E1243" t="s">
        <v>4709</v>
      </c>
      <c r="F1243" t="s">
        <v>42</v>
      </c>
      <c r="G1243">
        <v>0.58</v>
      </c>
      <c r="H1243" s="2">
        <v>10902</v>
      </c>
      <c r="I1243" s="2">
        <v>6323.16</v>
      </c>
    </row>
    <row r="1244" spans="1:9" x14ac:dyDescent="0.25">
      <c r="A1244" t="s">
        <v>759</v>
      </c>
      <c r="B1244" t="s">
        <v>760</v>
      </c>
      <c r="C1244" t="s">
        <v>63</v>
      </c>
      <c r="D1244" t="s">
        <v>4062</v>
      </c>
      <c r="E1244" t="s">
        <v>4710</v>
      </c>
      <c r="F1244" t="s">
        <v>42</v>
      </c>
      <c r="G1244">
        <v>0.49</v>
      </c>
      <c r="H1244" s="2">
        <v>15139</v>
      </c>
      <c r="I1244" s="2">
        <v>7418.11</v>
      </c>
    </row>
    <row r="1245" spans="1:9" x14ac:dyDescent="0.25">
      <c r="A1245" t="s">
        <v>759</v>
      </c>
      <c r="B1245" t="s">
        <v>760</v>
      </c>
      <c r="C1245" t="s">
        <v>63</v>
      </c>
      <c r="D1245" t="s">
        <v>4062</v>
      </c>
      <c r="E1245" t="s">
        <v>4711</v>
      </c>
      <c r="F1245" t="s">
        <v>42</v>
      </c>
      <c r="G1245">
        <v>0.43</v>
      </c>
      <c r="H1245" s="2">
        <v>25286</v>
      </c>
      <c r="I1245" s="2">
        <v>10872.98</v>
      </c>
    </row>
    <row r="1246" spans="1:9" x14ac:dyDescent="0.25">
      <c r="A1246" t="s">
        <v>759</v>
      </c>
      <c r="B1246" t="s">
        <v>760</v>
      </c>
      <c r="C1246" t="s">
        <v>63</v>
      </c>
      <c r="D1246" t="s">
        <v>4062</v>
      </c>
      <c r="E1246" t="s">
        <v>4712</v>
      </c>
      <c r="F1246" t="s">
        <v>63</v>
      </c>
      <c r="G1246">
        <v>1.51</v>
      </c>
      <c r="H1246" s="2">
        <v>4136</v>
      </c>
      <c r="I1246" s="2">
        <v>6245.36</v>
      </c>
    </row>
    <row r="1247" spans="1:9" x14ac:dyDescent="0.25">
      <c r="A1247" t="s">
        <v>759</v>
      </c>
      <c r="B1247" t="s">
        <v>760</v>
      </c>
      <c r="C1247" t="s">
        <v>63</v>
      </c>
      <c r="D1247" t="s">
        <v>4062</v>
      </c>
      <c r="E1247" t="s">
        <v>4713</v>
      </c>
      <c r="F1247" t="s">
        <v>63</v>
      </c>
      <c r="G1247">
        <v>2.46</v>
      </c>
      <c r="H1247" s="2">
        <v>1647</v>
      </c>
      <c r="I1247" s="2">
        <v>4051.62</v>
      </c>
    </row>
    <row r="1248" spans="1:9" x14ac:dyDescent="0.25">
      <c r="A1248" t="s">
        <v>759</v>
      </c>
      <c r="B1248" t="s">
        <v>760</v>
      </c>
      <c r="C1248" t="s">
        <v>63</v>
      </c>
      <c r="D1248" t="s">
        <v>4062</v>
      </c>
      <c r="E1248" t="s">
        <v>4714</v>
      </c>
      <c r="F1248" t="s">
        <v>63</v>
      </c>
      <c r="G1248">
        <v>1.07</v>
      </c>
      <c r="H1248" s="2">
        <v>3019</v>
      </c>
      <c r="I1248" s="2">
        <v>3230.33</v>
      </c>
    </row>
    <row r="1249" spans="1:9" x14ac:dyDescent="0.25">
      <c r="A1249" t="s">
        <v>759</v>
      </c>
      <c r="B1249" t="s">
        <v>760</v>
      </c>
      <c r="C1249" t="s">
        <v>63</v>
      </c>
      <c r="D1249" t="s">
        <v>4062</v>
      </c>
      <c r="E1249" t="s">
        <v>4715</v>
      </c>
      <c r="F1249" t="s">
        <v>63</v>
      </c>
      <c r="G1249">
        <v>0.5</v>
      </c>
      <c r="H1249" s="2">
        <v>41000</v>
      </c>
      <c r="I1249" s="2">
        <v>20500</v>
      </c>
    </row>
    <row r="1250" spans="1:9" x14ac:dyDescent="0.25">
      <c r="A1250" t="s">
        <v>759</v>
      </c>
      <c r="B1250" t="s">
        <v>760</v>
      </c>
      <c r="C1250" t="s">
        <v>63</v>
      </c>
      <c r="D1250" t="s">
        <v>4049</v>
      </c>
      <c r="E1250" t="s">
        <v>4241</v>
      </c>
      <c r="F1250" t="s">
        <v>4051</v>
      </c>
      <c r="G1250">
        <v>1.8</v>
      </c>
      <c r="H1250" s="2">
        <v>9941.22</v>
      </c>
      <c r="I1250" s="2">
        <v>17894.2</v>
      </c>
    </row>
    <row r="1251" spans="1:9" x14ac:dyDescent="0.25">
      <c r="A1251" t="s">
        <v>759</v>
      </c>
      <c r="B1251" t="s">
        <v>760</v>
      </c>
      <c r="C1251" t="s">
        <v>63</v>
      </c>
      <c r="D1251" t="s">
        <v>4049</v>
      </c>
      <c r="E1251" t="s">
        <v>4242</v>
      </c>
      <c r="F1251" t="s">
        <v>4051</v>
      </c>
      <c r="G1251">
        <v>1.8</v>
      </c>
      <c r="H1251" s="2">
        <v>17069.53</v>
      </c>
      <c r="I1251" s="2">
        <v>30725.15</v>
      </c>
    </row>
    <row r="1252" spans="1:9" x14ac:dyDescent="0.25">
      <c r="A1252" t="s">
        <v>759</v>
      </c>
      <c r="B1252" t="s">
        <v>760</v>
      </c>
      <c r="C1252" t="s">
        <v>63</v>
      </c>
      <c r="D1252" t="s">
        <v>4052</v>
      </c>
      <c r="E1252" t="s">
        <v>4053</v>
      </c>
      <c r="F1252" t="s">
        <v>4054</v>
      </c>
      <c r="G1252">
        <v>5</v>
      </c>
      <c r="H1252" s="2">
        <v>48619.35</v>
      </c>
      <c r="I1252" s="2">
        <v>2430.97</v>
      </c>
    </row>
    <row r="1253" spans="1:9" x14ac:dyDescent="0.25">
      <c r="A1253" t="s">
        <v>762</v>
      </c>
      <c r="B1253" t="s">
        <v>763</v>
      </c>
      <c r="C1253" t="s">
        <v>42</v>
      </c>
      <c r="D1253" t="s">
        <v>4062</v>
      </c>
      <c r="E1253" t="s">
        <v>4718</v>
      </c>
      <c r="F1253" t="s">
        <v>63</v>
      </c>
      <c r="G1253">
        <v>0.5</v>
      </c>
      <c r="H1253" s="2">
        <v>1127</v>
      </c>
      <c r="I1253" s="2">
        <v>563.5</v>
      </c>
    </row>
    <row r="1254" spans="1:9" x14ac:dyDescent="0.25">
      <c r="A1254" t="s">
        <v>762</v>
      </c>
      <c r="B1254" t="s">
        <v>763</v>
      </c>
      <c r="C1254" t="s">
        <v>42</v>
      </c>
      <c r="D1254" t="s">
        <v>4062</v>
      </c>
      <c r="E1254" t="s">
        <v>4695</v>
      </c>
      <c r="F1254" t="s">
        <v>42</v>
      </c>
      <c r="G1254">
        <v>1.05</v>
      </c>
      <c r="H1254" s="2">
        <v>7284</v>
      </c>
      <c r="I1254" s="2">
        <v>7648.2</v>
      </c>
    </row>
    <row r="1255" spans="1:9" x14ac:dyDescent="0.25">
      <c r="A1255" t="s">
        <v>762</v>
      </c>
      <c r="B1255" t="s">
        <v>763</v>
      </c>
      <c r="C1255" t="s">
        <v>42</v>
      </c>
      <c r="D1255" t="s">
        <v>4062</v>
      </c>
      <c r="E1255" t="s">
        <v>4697</v>
      </c>
      <c r="F1255" t="s">
        <v>63</v>
      </c>
      <c r="G1255">
        <v>0.5</v>
      </c>
      <c r="H1255" s="2">
        <v>1003.33</v>
      </c>
      <c r="I1255" s="2">
        <v>501.67</v>
      </c>
    </row>
    <row r="1256" spans="1:9" x14ac:dyDescent="0.25">
      <c r="A1256" t="s">
        <v>762</v>
      </c>
      <c r="B1256" t="s">
        <v>763</v>
      </c>
      <c r="C1256" t="s">
        <v>42</v>
      </c>
      <c r="D1256" t="s">
        <v>4062</v>
      </c>
      <c r="E1256" t="s">
        <v>4719</v>
      </c>
      <c r="F1256" t="s">
        <v>63</v>
      </c>
      <c r="G1256">
        <v>0.5</v>
      </c>
      <c r="H1256" s="2">
        <v>1584</v>
      </c>
      <c r="I1256" s="2">
        <v>792</v>
      </c>
    </row>
    <row r="1257" spans="1:9" x14ac:dyDescent="0.25">
      <c r="A1257" t="s">
        <v>762</v>
      </c>
      <c r="B1257" t="s">
        <v>763</v>
      </c>
      <c r="C1257" t="s">
        <v>42</v>
      </c>
      <c r="D1257" t="s">
        <v>4062</v>
      </c>
      <c r="E1257" t="s">
        <v>4659</v>
      </c>
      <c r="F1257" t="s">
        <v>4377</v>
      </c>
      <c r="G1257">
        <v>0.01</v>
      </c>
      <c r="H1257" s="2">
        <v>31500</v>
      </c>
      <c r="I1257" s="2">
        <v>315</v>
      </c>
    </row>
    <row r="1258" spans="1:9" x14ac:dyDescent="0.25">
      <c r="A1258" t="s">
        <v>762</v>
      </c>
      <c r="B1258" t="s">
        <v>763</v>
      </c>
      <c r="C1258" t="s">
        <v>42</v>
      </c>
      <c r="D1258" t="s">
        <v>4062</v>
      </c>
      <c r="E1258" t="s">
        <v>4376</v>
      </c>
      <c r="F1258" t="s">
        <v>4377</v>
      </c>
      <c r="G1258">
        <v>0.01</v>
      </c>
      <c r="H1258" s="2">
        <v>72237.67</v>
      </c>
      <c r="I1258" s="2">
        <v>722.38</v>
      </c>
    </row>
    <row r="1259" spans="1:9" x14ac:dyDescent="0.25">
      <c r="A1259" t="s">
        <v>762</v>
      </c>
      <c r="B1259" t="s">
        <v>763</v>
      </c>
      <c r="C1259" t="s">
        <v>42</v>
      </c>
      <c r="D1259" t="s">
        <v>4062</v>
      </c>
      <c r="E1259" t="s">
        <v>4720</v>
      </c>
      <c r="F1259" t="s">
        <v>63</v>
      </c>
      <c r="G1259">
        <v>0.5</v>
      </c>
      <c r="H1259" s="2">
        <v>1691</v>
      </c>
      <c r="I1259" s="2">
        <v>845.5</v>
      </c>
    </row>
    <row r="1260" spans="1:9" x14ac:dyDescent="0.25">
      <c r="A1260" t="s">
        <v>762</v>
      </c>
      <c r="B1260" t="s">
        <v>763</v>
      </c>
      <c r="C1260" t="s">
        <v>42</v>
      </c>
      <c r="D1260" t="s">
        <v>4062</v>
      </c>
      <c r="E1260" t="s">
        <v>4721</v>
      </c>
      <c r="F1260" t="s">
        <v>42</v>
      </c>
      <c r="G1260">
        <v>1.05</v>
      </c>
      <c r="H1260" s="2">
        <v>11904</v>
      </c>
      <c r="I1260" s="2">
        <v>12499.2</v>
      </c>
    </row>
    <row r="1261" spans="1:9" x14ac:dyDescent="0.25">
      <c r="A1261" t="s">
        <v>762</v>
      </c>
      <c r="B1261" t="s">
        <v>763</v>
      </c>
      <c r="C1261" t="s">
        <v>42</v>
      </c>
      <c r="D1261" t="s">
        <v>4062</v>
      </c>
      <c r="E1261" t="s">
        <v>4722</v>
      </c>
      <c r="F1261" t="s">
        <v>63</v>
      </c>
      <c r="G1261">
        <v>0.5</v>
      </c>
      <c r="H1261" s="2">
        <v>2042.67</v>
      </c>
      <c r="I1261" s="2">
        <v>1021.34</v>
      </c>
    </row>
    <row r="1262" spans="1:9" x14ac:dyDescent="0.25">
      <c r="A1262" t="s">
        <v>762</v>
      </c>
      <c r="B1262" t="s">
        <v>763</v>
      </c>
      <c r="C1262" t="s">
        <v>42</v>
      </c>
      <c r="D1262" t="s">
        <v>4062</v>
      </c>
      <c r="E1262" t="s">
        <v>4723</v>
      </c>
      <c r="F1262" t="s">
        <v>63</v>
      </c>
      <c r="G1262">
        <v>0.5</v>
      </c>
      <c r="H1262" s="2">
        <v>680</v>
      </c>
      <c r="I1262" s="2">
        <v>340</v>
      </c>
    </row>
    <row r="1263" spans="1:9" x14ac:dyDescent="0.25">
      <c r="A1263" t="s">
        <v>762</v>
      </c>
      <c r="B1263" t="s">
        <v>763</v>
      </c>
      <c r="C1263" t="s">
        <v>42</v>
      </c>
      <c r="D1263" t="s">
        <v>4049</v>
      </c>
      <c r="E1263" t="s">
        <v>4241</v>
      </c>
      <c r="F1263" t="s">
        <v>4051</v>
      </c>
      <c r="G1263">
        <v>0.15</v>
      </c>
      <c r="H1263" s="2">
        <v>9941.22</v>
      </c>
      <c r="I1263" s="2">
        <v>1491.18</v>
      </c>
    </row>
    <row r="1264" spans="1:9" x14ac:dyDescent="0.25">
      <c r="A1264" t="s">
        <v>762</v>
      </c>
      <c r="B1264" t="s">
        <v>763</v>
      </c>
      <c r="C1264" t="s">
        <v>42</v>
      </c>
      <c r="D1264" t="s">
        <v>4049</v>
      </c>
      <c r="E1264" t="s">
        <v>4242</v>
      </c>
      <c r="F1264" t="s">
        <v>4051</v>
      </c>
      <c r="G1264">
        <v>0.15</v>
      </c>
      <c r="H1264" s="2">
        <v>17069.53</v>
      </c>
      <c r="I1264" s="2">
        <v>2560.43</v>
      </c>
    </row>
    <row r="1265" spans="1:9" x14ac:dyDescent="0.25">
      <c r="A1265" t="s">
        <v>762</v>
      </c>
      <c r="B1265" t="s">
        <v>763</v>
      </c>
      <c r="C1265" t="s">
        <v>42</v>
      </c>
      <c r="D1265" t="s">
        <v>4049</v>
      </c>
      <c r="E1265" t="s">
        <v>4241</v>
      </c>
      <c r="F1265" t="s">
        <v>4051</v>
      </c>
      <c r="G1265">
        <v>0.18</v>
      </c>
      <c r="H1265" s="2">
        <v>9941.22</v>
      </c>
      <c r="I1265" s="2">
        <v>1789.42</v>
      </c>
    </row>
    <row r="1266" spans="1:9" x14ac:dyDescent="0.25">
      <c r="A1266" t="s">
        <v>762</v>
      </c>
      <c r="B1266" t="s">
        <v>763</v>
      </c>
      <c r="C1266" t="s">
        <v>42</v>
      </c>
      <c r="D1266" t="s">
        <v>4049</v>
      </c>
      <c r="E1266" t="s">
        <v>4242</v>
      </c>
      <c r="F1266" t="s">
        <v>4051</v>
      </c>
      <c r="G1266">
        <v>0.08</v>
      </c>
      <c r="H1266" s="2">
        <v>17069.53</v>
      </c>
      <c r="I1266" s="2">
        <v>1365.56</v>
      </c>
    </row>
    <row r="1267" spans="1:9" x14ac:dyDescent="0.25">
      <c r="A1267" t="s">
        <v>762</v>
      </c>
      <c r="B1267" t="s">
        <v>763</v>
      </c>
      <c r="C1267" t="s">
        <v>42</v>
      </c>
      <c r="D1267" t="s">
        <v>4052</v>
      </c>
      <c r="E1267" t="s">
        <v>4053</v>
      </c>
      <c r="F1267" t="s">
        <v>4054</v>
      </c>
      <c r="G1267">
        <v>3.3</v>
      </c>
      <c r="H1267" s="2">
        <v>4051.61</v>
      </c>
      <c r="I1267" s="2">
        <v>133.7</v>
      </c>
    </row>
    <row r="1268" spans="1:9" x14ac:dyDescent="0.25">
      <c r="A1268" t="s">
        <v>762</v>
      </c>
      <c r="B1268" t="s">
        <v>763</v>
      </c>
      <c r="C1268" t="s">
        <v>42</v>
      </c>
      <c r="D1268" t="s">
        <v>4052</v>
      </c>
      <c r="E1268" t="s">
        <v>4053</v>
      </c>
      <c r="F1268" t="s">
        <v>4054</v>
      </c>
      <c r="G1268">
        <v>3.3</v>
      </c>
      <c r="H1268" s="2">
        <v>3154.98</v>
      </c>
      <c r="I1268" s="2">
        <v>104.11</v>
      </c>
    </row>
    <row r="1269" spans="1:9" x14ac:dyDescent="0.25">
      <c r="A1269" t="s">
        <v>766</v>
      </c>
      <c r="B1269" t="s">
        <v>767</v>
      </c>
      <c r="C1269" t="s">
        <v>42</v>
      </c>
      <c r="D1269" t="s">
        <v>4062</v>
      </c>
      <c r="E1269" t="s">
        <v>4708</v>
      </c>
      <c r="F1269" t="s">
        <v>42</v>
      </c>
      <c r="G1269">
        <v>1.05</v>
      </c>
      <c r="H1269" s="2">
        <v>9130</v>
      </c>
      <c r="I1269" s="2">
        <v>9586.5</v>
      </c>
    </row>
    <row r="1270" spans="1:9" x14ac:dyDescent="0.25">
      <c r="A1270" t="s">
        <v>766</v>
      </c>
      <c r="B1270" t="s">
        <v>767</v>
      </c>
      <c r="C1270" t="s">
        <v>42</v>
      </c>
      <c r="D1270" t="s">
        <v>4062</v>
      </c>
      <c r="E1270" t="s">
        <v>4713</v>
      </c>
      <c r="F1270" t="s">
        <v>63</v>
      </c>
      <c r="G1270">
        <v>1</v>
      </c>
      <c r="H1270" s="2">
        <v>1647</v>
      </c>
      <c r="I1270" s="2">
        <v>1647</v>
      </c>
    </row>
    <row r="1271" spans="1:9" x14ac:dyDescent="0.25">
      <c r="A1271" t="s">
        <v>766</v>
      </c>
      <c r="B1271" t="s">
        <v>767</v>
      </c>
      <c r="C1271" t="s">
        <v>42</v>
      </c>
      <c r="D1271" t="s">
        <v>4049</v>
      </c>
      <c r="E1271" t="s">
        <v>4241</v>
      </c>
      <c r="F1271" t="s">
        <v>4051</v>
      </c>
      <c r="G1271">
        <v>1</v>
      </c>
      <c r="H1271" s="2">
        <v>9941.22</v>
      </c>
      <c r="I1271" s="2">
        <v>9941.22</v>
      </c>
    </row>
    <row r="1272" spans="1:9" x14ac:dyDescent="0.25">
      <c r="A1272" t="s">
        <v>766</v>
      </c>
      <c r="B1272" t="s">
        <v>767</v>
      </c>
      <c r="C1272" t="s">
        <v>42</v>
      </c>
      <c r="D1272" t="s">
        <v>4049</v>
      </c>
      <c r="E1272" t="s">
        <v>4242</v>
      </c>
      <c r="F1272" t="s">
        <v>4051</v>
      </c>
      <c r="G1272">
        <v>0.5</v>
      </c>
      <c r="H1272" s="2">
        <v>17069.53</v>
      </c>
      <c r="I1272" s="2">
        <v>8534.76</v>
      </c>
    </row>
    <row r="1273" spans="1:9" x14ac:dyDescent="0.25">
      <c r="A1273" t="s">
        <v>766</v>
      </c>
      <c r="B1273" t="s">
        <v>767</v>
      </c>
      <c r="C1273" t="s">
        <v>42</v>
      </c>
      <c r="D1273" t="s">
        <v>4052</v>
      </c>
      <c r="E1273" t="s">
        <v>4053</v>
      </c>
      <c r="F1273" t="s">
        <v>4054</v>
      </c>
      <c r="G1273">
        <v>5</v>
      </c>
      <c r="H1273" s="2">
        <v>18475.98</v>
      </c>
      <c r="I1273" s="2">
        <v>923.8</v>
      </c>
    </row>
    <row r="1274" spans="1:9" x14ac:dyDescent="0.25">
      <c r="A1274" t="s">
        <v>769</v>
      </c>
      <c r="B1274" t="s">
        <v>770</v>
      </c>
      <c r="C1274" t="s">
        <v>42</v>
      </c>
      <c r="D1274" t="s">
        <v>4062</v>
      </c>
      <c r="E1274" t="s">
        <v>4709</v>
      </c>
      <c r="F1274" t="s">
        <v>42</v>
      </c>
      <c r="G1274">
        <v>1.05</v>
      </c>
      <c r="H1274" s="2">
        <v>10902</v>
      </c>
      <c r="I1274" s="2">
        <v>11447.1</v>
      </c>
    </row>
    <row r="1275" spans="1:9" x14ac:dyDescent="0.25">
      <c r="A1275" t="s">
        <v>769</v>
      </c>
      <c r="B1275" t="s">
        <v>770</v>
      </c>
      <c r="C1275" t="s">
        <v>42</v>
      </c>
      <c r="D1275" t="s">
        <v>4062</v>
      </c>
      <c r="E1275" t="s">
        <v>4714</v>
      </c>
      <c r="F1275" t="s">
        <v>63</v>
      </c>
      <c r="G1275">
        <v>1</v>
      </c>
      <c r="H1275" s="2">
        <v>3019</v>
      </c>
      <c r="I1275" s="2">
        <v>3019</v>
      </c>
    </row>
    <row r="1276" spans="1:9" x14ac:dyDescent="0.25">
      <c r="A1276" t="s">
        <v>769</v>
      </c>
      <c r="B1276" t="s">
        <v>770</v>
      </c>
      <c r="C1276" t="s">
        <v>42</v>
      </c>
      <c r="D1276" t="s">
        <v>4049</v>
      </c>
      <c r="E1276" t="s">
        <v>4241</v>
      </c>
      <c r="F1276" t="s">
        <v>4051</v>
      </c>
      <c r="G1276">
        <v>1</v>
      </c>
      <c r="H1276" s="2">
        <v>9941.22</v>
      </c>
      <c r="I1276" s="2">
        <v>9941.22</v>
      </c>
    </row>
    <row r="1277" spans="1:9" x14ac:dyDescent="0.25">
      <c r="A1277" t="s">
        <v>769</v>
      </c>
      <c r="B1277" t="s">
        <v>770</v>
      </c>
      <c r="C1277" t="s">
        <v>42</v>
      </c>
      <c r="D1277" t="s">
        <v>4049</v>
      </c>
      <c r="E1277" t="s">
        <v>4242</v>
      </c>
      <c r="F1277" t="s">
        <v>4051</v>
      </c>
      <c r="G1277">
        <v>0.6</v>
      </c>
      <c r="H1277" s="2">
        <v>17069.53</v>
      </c>
      <c r="I1277" s="2">
        <v>10241.72</v>
      </c>
    </row>
    <row r="1278" spans="1:9" x14ac:dyDescent="0.25">
      <c r="A1278" t="s">
        <v>769</v>
      </c>
      <c r="B1278" t="s">
        <v>770</v>
      </c>
      <c r="C1278" t="s">
        <v>42</v>
      </c>
      <c r="D1278" t="s">
        <v>4052</v>
      </c>
      <c r="E1278" t="s">
        <v>4053</v>
      </c>
      <c r="F1278" t="s">
        <v>4054</v>
      </c>
      <c r="G1278">
        <v>5</v>
      </c>
      <c r="H1278" s="2">
        <v>20182.94</v>
      </c>
      <c r="I1278" s="2">
        <v>1009.15</v>
      </c>
    </row>
    <row r="1279" spans="1:9" x14ac:dyDescent="0.25">
      <c r="A1279" t="s">
        <v>772</v>
      </c>
      <c r="B1279" t="s">
        <v>773</v>
      </c>
      <c r="C1279" t="s">
        <v>42</v>
      </c>
      <c r="D1279" t="s">
        <v>4062</v>
      </c>
      <c r="E1279" t="s">
        <v>4730</v>
      </c>
      <c r="F1279" t="s">
        <v>63</v>
      </c>
      <c r="G1279">
        <v>2</v>
      </c>
      <c r="H1279" s="2">
        <v>1255</v>
      </c>
      <c r="I1279" s="2">
        <v>2510</v>
      </c>
    </row>
    <row r="1280" spans="1:9" x14ac:dyDescent="0.25">
      <c r="A1280" t="s">
        <v>772</v>
      </c>
      <c r="B1280" t="s">
        <v>773</v>
      </c>
      <c r="C1280" t="s">
        <v>42</v>
      </c>
      <c r="D1280" t="s">
        <v>4062</v>
      </c>
      <c r="E1280" t="s">
        <v>4731</v>
      </c>
      <c r="F1280" t="s">
        <v>42</v>
      </c>
      <c r="G1280">
        <v>1.1</v>
      </c>
      <c r="H1280" s="2">
        <v>16092.44</v>
      </c>
      <c r="I1280" s="2">
        <v>17701.68</v>
      </c>
    </row>
    <row r="1281" spans="1:9" x14ac:dyDescent="0.25">
      <c r="A1281" t="s">
        <v>772</v>
      </c>
      <c r="B1281" t="s">
        <v>773</v>
      </c>
      <c r="C1281" t="s">
        <v>42</v>
      </c>
      <c r="D1281" t="s">
        <v>4062</v>
      </c>
      <c r="E1281" t="s">
        <v>4732</v>
      </c>
      <c r="F1281" t="s">
        <v>63</v>
      </c>
      <c r="G1281">
        <v>1</v>
      </c>
      <c r="H1281" s="2">
        <v>176.67</v>
      </c>
      <c r="I1281" s="2">
        <v>176.67</v>
      </c>
    </row>
    <row r="1282" spans="1:9" x14ac:dyDescent="0.25">
      <c r="A1282" t="s">
        <v>772</v>
      </c>
      <c r="B1282" t="s">
        <v>773</v>
      </c>
      <c r="C1282" t="s">
        <v>42</v>
      </c>
      <c r="D1282" t="s">
        <v>4062</v>
      </c>
      <c r="E1282" t="s">
        <v>4733</v>
      </c>
      <c r="F1282" t="s">
        <v>4066</v>
      </c>
      <c r="G1282">
        <v>0.04</v>
      </c>
      <c r="H1282" s="2">
        <v>132697.24</v>
      </c>
      <c r="I1282" s="2">
        <v>5307.89</v>
      </c>
    </row>
    <row r="1283" spans="1:9" x14ac:dyDescent="0.25">
      <c r="A1283" t="s">
        <v>772</v>
      </c>
      <c r="B1283" t="s">
        <v>773</v>
      </c>
      <c r="C1283" t="s">
        <v>42</v>
      </c>
      <c r="D1283" t="s">
        <v>4049</v>
      </c>
      <c r="E1283" t="s">
        <v>4241</v>
      </c>
      <c r="F1283" t="s">
        <v>4051</v>
      </c>
      <c r="G1283">
        <v>1</v>
      </c>
      <c r="H1283" s="2">
        <v>9941.22</v>
      </c>
      <c r="I1283" s="2">
        <v>9941.22</v>
      </c>
    </row>
    <row r="1284" spans="1:9" x14ac:dyDescent="0.25">
      <c r="A1284" t="s">
        <v>772</v>
      </c>
      <c r="B1284" t="s">
        <v>773</v>
      </c>
      <c r="C1284" t="s">
        <v>42</v>
      </c>
      <c r="D1284" t="s">
        <v>4049</v>
      </c>
      <c r="E1284" t="s">
        <v>4242</v>
      </c>
      <c r="F1284" t="s">
        <v>4051</v>
      </c>
      <c r="G1284">
        <v>1</v>
      </c>
      <c r="H1284" s="2">
        <v>17069.53</v>
      </c>
      <c r="I1284" s="2">
        <v>17069.53</v>
      </c>
    </row>
    <row r="1285" spans="1:9" x14ac:dyDescent="0.25">
      <c r="A1285" t="s">
        <v>772</v>
      </c>
      <c r="B1285" t="s">
        <v>773</v>
      </c>
      <c r="C1285" t="s">
        <v>42</v>
      </c>
      <c r="D1285" t="s">
        <v>4052</v>
      </c>
      <c r="E1285" t="s">
        <v>4053</v>
      </c>
      <c r="F1285" t="s">
        <v>4054</v>
      </c>
      <c r="G1285">
        <v>5</v>
      </c>
      <c r="H1285" s="2">
        <v>27010.75</v>
      </c>
      <c r="I1285" s="2">
        <v>1350.54</v>
      </c>
    </row>
    <row r="1286" spans="1:9" x14ac:dyDescent="0.25">
      <c r="A1286" t="s">
        <v>778</v>
      </c>
      <c r="B1286" t="s">
        <v>779</v>
      </c>
      <c r="C1286" t="s">
        <v>42</v>
      </c>
      <c r="D1286" t="s">
        <v>4062</v>
      </c>
      <c r="E1286" t="s">
        <v>4736</v>
      </c>
      <c r="F1286" t="s">
        <v>63</v>
      </c>
      <c r="G1286">
        <v>0.25</v>
      </c>
      <c r="H1286" s="2">
        <v>2318</v>
      </c>
      <c r="I1286" s="2">
        <v>579.5</v>
      </c>
    </row>
    <row r="1287" spans="1:9" x14ac:dyDescent="0.25">
      <c r="A1287" t="s">
        <v>778</v>
      </c>
      <c r="B1287" t="s">
        <v>779</v>
      </c>
      <c r="C1287" t="s">
        <v>42</v>
      </c>
      <c r="D1287" t="s">
        <v>4062</v>
      </c>
      <c r="E1287" t="s">
        <v>4737</v>
      </c>
      <c r="F1287" t="s">
        <v>42</v>
      </c>
      <c r="G1287">
        <v>1.05</v>
      </c>
      <c r="H1287" s="2">
        <v>6446</v>
      </c>
      <c r="I1287" s="2">
        <v>6768.3</v>
      </c>
    </row>
    <row r="1288" spans="1:9" x14ac:dyDescent="0.25">
      <c r="A1288" t="s">
        <v>778</v>
      </c>
      <c r="B1288" t="s">
        <v>779</v>
      </c>
      <c r="C1288" t="s">
        <v>42</v>
      </c>
      <c r="D1288" t="s">
        <v>4062</v>
      </c>
      <c r="E1288" t="s">
        <v>4738</v>
      </c>
      <c r="F1288" t="s">
        <v>63</v>
      </c>
      <c r="G1288">
        <v>1</v>
      </c>
      <c r="H1288" s="2">
        <v>1004</v>
      </c>
      <c r="I1288" s="2">
        <v>1004</v>
      </c>
    </row>
    <row r="1289" spans="1:9" x14ac:dyDescent="0.25">
      <c r="A1289" t="s">
        <v>778</v>
      </c>
      <c r="B1289" t="s">
        <v>779</v>
      </c>
      <c r="C1289" t="s">
        <v>42</v>
      </c>
      <c r="D1289" t="s">
        <v>4062</v>
      </c>
      <c r="E1289" t="s">
        <v>4739</v>
      </c>
      <c r="F1289" t="s">
        <v>63</v>
      </c>
      <c r="G1289">
        <v>0.25</v>
      </c>
      <c r="H1289" s="2">
        <v>2066.07</v>
      </c>
      <c r="I1289" s="2">
        <v>516.52</v>
      </c>
    </row>
    <row r="1290" spans="1:9" x14ac:dyDescent="0.25">
      <c r="A1290" t="s">
        <v>778</v>
      </c>
      <c r="B1290" t="s">
        <v>779</v>
      </c>
      <c r="C1290" t="s">
        <v>42</v>
      </c>
      <c r="D1290" t="s">
        <v>4062</v>
      </c>
      <c r="E1290" t="s">
        <v>4740</v>
      </c>
      <c r="F1290" t="s">
        <v>63</v>
      </c>
      <c r="G1290">
        <v>0.5</v>
      </c>
      <c r="H1290" s="2">
        <v>1249.07</v>
      </c>
      <c r="I1290" s="2">
        <v>624.53</v>
      </c>
    </row>
    <row r="1291" spans="1:9" x14ac:dyDescent="0.25">
      <c r="A1291" t="s">
        <v>778</v>
      </c>
      <c r="B1291" t="s">
        <v>779</v>
      </c>
      <c r="C1291" t="s">
        <v>42</v>
      </c>
      <c r="D1291" t="s">
        <v>4062</v>
      </c>
      <c r="E1291" t="s">
        <v>4659</v>
      </c>
      <c r="F1291" t="s">
        <v>4377</v>
      </c>
      <c r="G1291">
        <v>0.01</v>
      </c>
      <c r="H1291" s="2">
        <v>31500</v>
      </c>
      <c r="I1291" s="2">
        <v>315</v>
      </c>
    </row>
    <row r="1292" spans="1:9" x14ac:dyDescent="0.25">
      <c r="A1292" t="s">
        <v>778</v>
      </c>
      <c r="B1292" t="s">
        <v>779</v>
      </c>
      <c r="C1292" t="s">
        <v>42</v>
      </c>
      <c r="D1292" t="s">
        <v>4062</v>
      </c>
      <c r="E1292" t="s">
        <v>4376</v>
      </c>
      <c r="F1292" t="s">
        <v>4377</v>
      </c>
      <c r="G1292">
        <v>0.01</v>
      </c>
      <c r="H1292" s="2">
        <v>72237.67</v>
      </c>
      <c r="I1292" s="2">
        <v>722.38</v>
      </c>
    </row>
    <row r="1293" spans="1:9" x14ac:dyDescent="0.25">
      <c r="A1293" t="s">
        <v>778</v>
      </c>
      <c r="B1293" t="s">
        <v>779</v>
      </c>
      <c r="C1293" t="s">
        <v>42</v>
      </c>
      <c r="D1293" t="s">
        <v>4049</v>
      </c>
      <c r="E1293" t="s">
        <v>4241</v>
      </c>
      <c r="F1293" t="s">
        <v>4051</v>
      </c>
      <c r="G1293">
        <v>0.14</v>
      </c>
      <c r="H1293" s="2">
        <v>9941.22</v>
      </c>
      <c r="I1293" s="2">
        <v>1391.77</v>
      </c>
    </row>
    <row r="1294" spans="1:9" x14ac:dyDescent="0.25">
      <c r="A1294" t="s">
        <v>778</v>
      </c>
      <c r="B1294" t="s">
        <v>779</v>
      </c>
      <c r="C1294" t="s">
        <v>42</v>
      </c>
      <c r="D1294" t="s">
        <v>4049</v>
      </c>
      <c r="E1294" t="s">
        <v>4242</v>
      </c>
      <c r="F1294" t="s">
        <v>4051</v>
      </c>
      <c r="G1294">
        <v>0.14</v>
      </c>
      <c r="H1294" s="2">
        <v>17069.53</v>
      </c>
      <c r="I1294" s="2">
        <v>2389.73</v>
      </c>
    </row>
    <row r="1295" spans="1:9" x14ac:dyDescent="0.25">
      <c r="A1295" t="s">
        <v>778</v>
      </c>
      <c r="B1295" t="s">
        <v>779</v>
      </c>
      <c r="C1295" t="s">
        <v>42</v>
      </c>
      <c r="D1295" t="s">
        <v>4052</v>
      </c>
      <c r="E1295" t="s">
        <v>4053</v>
      </c>
      <c r="F1295" t="s">
        <v>4054</v>
      </c>
      <c r="G1295">
        <v>5</v>
      </c>
      <c r="H1295" s="2">
        <v>3781.5</v>
      </c>
      <c r="I1295" s="2">
        <v>189.07</v>
      </c>
    </row>
    <row r="1296" spans="1:9" x14ac:dyDescent="0.25">
      <c r="A1296" t="s">
        <v>781</v>
      </c>
      <c r="B1296" t="s">
        <v>782</v>
      </c>
      <c r="C1296" t="s">
        <v>42</v>
      </c>
      <c r="D1296" t="s">
        <v>4062</v>
      </c>
      <c r="E1296" t="s">
        <v>4743</v>
      </c>
      <c r="F1296" t="s">
        <v>63</v>
      </c>
      <c r="G1296">
        <v>1</v>
      </c>
      <c r="H1296" s="2">
        <v>1107</v>
      </c>
      <c r="I1296" s="2">
        <v>1107</v>
      </c>
    </row>
    <row r="1297" spans="1:9" x14ac:dyDescent="0.25">
      <c r="A1297" t="s">
        <v>781</v>
      </c>
      <c r="B1297" t="s">
        <v>782</v>
      </c>
      <c r="C1297" t="s">
        <v>42</v>
      </c>
      <c r="D1297" t="s">
        <v>4062</v>
      </c>
      <c r="E1297" t="s">
        <v>4744</v>
      </c>
      <c r="F1297" t="s">
        <v>42</v>
      </c>
      <c r="G1297">
        <v>1.05</v>
      </c>
      <c r="H1297" s="2">
        <v>4776</v>
      </c>
      <c r="I1297" s="2">
        <v>5014.8</v>
      </c>
    </row>
    <row r="1298" spans="1:9" x14ac:dyDescent="0.25">
      <c r="A1298" t="s">
        <v>781</v>
      </c>
      <c r="B1298" t="s">
        <v>782</v>
      </c>
      <c r="C1298" t="s">
        <v>42</v>
      </c>
      <c r="D1298" t="s">
        <v>4062</v>
      </c>
      <c r="E1298" t="s">
        <v>4745</v>
      </c>
      <c r="F1298" t="s">
        <v>63</v>
      </c>
      <c r="G1298">
        <v>1</v>
      </c>
      <c r="H1298" s="2">
        <v>599</v>
      </c>
      <c r="I1298" s="2">
        <v>599</v>
      </c>
    </row>
    <row r="1299" spans="1:9" x14ac:dyDescent="0.25">
      <c r="A1299" t="s">
        <v>781</v>
      </c>
      <c r="B1299" t="s">
        <v>782</v>
      </c>
      <c r="C1299" t="s">
        <v>42</v>
      </c>
      <c r="D1299" t="s">
        <v>4062</v>
      </c>
      <c r="E1299" t="s">
        <v>4746</v>
      </c>
      <c r="F1299" t="s">
        <v>63</v>
      </c>
      <c r="G1299">
        <v>0.5</v>
      </c>
      <c r="H1299" s="2">
        <v>1309.4</v>
      </c>
      <c r="I1299" s="2">
        <v>654.7</v>
      </c>
    </row>
    <row r="1300" spans="1:9" x14ac:dyDescent="0.25">
      <c r="A1300" t="s">
        <v>781</v>
      </c>
      <c r="B1300" t="s">
        <v>782</v>
      </c>
      <c r="C1300" t="s">
        <v>42</v>
      </c>
      <c r="D1300" t="s">
        <v>4062</v>
      </c>
      <c r="E1300" t="s">
        <v>4747</v>
      </c>
      <c r="F1300" t="s">
        <v>63</v>
      </c>
      <c r="G1300">
        <v>0.5</v>
      </c>
      <c r="H1300" s="2">
        <v>584.73</v>
      </c>
      <c r="I1300" s="2">
        <v>292.37</v>
      </c>
    </row>
    <row r="1301" spans="1:9" x14ac:dyDescent="0.25">
      <c r="A1301" t="s">
        <v>781</v>
      </c>
      <c r="B1301" t="s">
        <v>782</v>
      </c>
      <c r="C1301" t="s">
        <v>42</v>
      </c>
      <c r="D1301" t="s">
        <v>4062</v>
      </c>
      <c r="E1301" t="s">
        <v>4659</v>
      </c>
      <c r="F1301" t="s">
        <v>4377</v>
      </c>
      <c r="G1301">
        <v>0.01</v>
      </c>
      <c r="H1301" s="2">
        <v>31500</v>
      </c>
      <c r="I1301" s="2">
        <v>315</v>
      </c>
    </row>
    <row r="1302" spans="1:9" x14ac:dyDescent="0.25">
      <c r="A1302" t="s">
        <v>781</v>
      </c>
      <c r="B1302" t="s">
        <v>782</v>
      </c>
      <c r="C1302" t="s">
        <v>42</v>
      </c>
      <c r="D1302" t="s">
        <v>4062</v>
      </c>
      <c r="E1302" t="s">
        <v>4376</v>
      </c>
      <c r="F1302" t="s">
        <v>4377</v>
      </c>
      <c r="G1302">
        <v>0.01</v>
      </c>
      <c r="H1302" s="2">
        <v>72237.67</v>
      </c>
      <c r="I1302" s="2">
        <v>722.38</v>
      </c>
    </row>
    <row r="1303" spans="1:9" x14ac:dyDescent="0.25">
      <c r="A1303" t="s">
        <v>781</v>
      </c>
      <c r="B1303" t="s">
        <v>782</v>
      </c>
      <c r="C1303" t="s">
        <v>42</v>
      </c>
      <c r="D1303" t="s">
        <v>4049</v>
      </c>
      <c r="E1303" t="s">
        <v>4241</v>
      </c>
      <c r="F1303" t="s">
        <v>4051</v>
      </c>
      <c r="G1303">
        <v>0.14</v>
      </c>
      <c r="H1303" s="2">
        <v>9941.22</v>
      </c>
      <c r="I1303" s="2">
        <v>1391.77</v>
      </c>
    </row>
    <row r="1304" spans="1:9" x14ac:dyDescent="0.25">
      <c r="A1304" t="s">
        <v>781</v>
      </c>
      <c r="B1304" t="s">
        <v>782</v>
      </c>
      <c r="C1304" t="s">
        <v>42</v>
      </c>
      <c r="D1304" t="s">
        <v>4049</v>
      </c>
      <c r="E1304" t="s">
        <v>4242</v>
      </c>
      <c r="F1304" t="s">
        <v>4051</v>
      </c>
      <c r="G1304">
        <v>0.14</v>
      </c>
      <c r="H1304" s="2">
        <v>17069.53</v>
      </c>
      <c r="I1304" s="2">
        <v>2389.73</v>
      </c>
    </row>
    <row r="1305" spans="1:9" x14ac:dyDescent="0.25">
      <c r="A1305" t="s">
        <v>781</v>
      </c>
      <c r="B1305" t="s">
        <v>782</v>
      </c>
      <c r="C1305" t="s">
        <v>42</v>
      </c>
      <c r="D1305" t="s">
        <v>4052</v>
      </c>
      <c r="E1305" t="s">
        <v>4053</v>
      </c>
      <c r="F1305" t="s">
        <v>4054</v>
      </c>
      <c r="G1305">
        <v>3.3</v>
      </c>
      <c r="H1305" s="2">
        <v>3781.5</v>
      </c>
      <c r="I1305" s="2">
        <v>124.79</v>
      </c>
    </row>
    <row r="1306" spans="1:9" x14ac:dyDescent="0.25">
      <c r="A1306" t="s">
        <v>784</v>
      </c>
      <c r="B1306" t="s">
        <v>785</v>
      </c>
      <c r="C1306" t="s">
        <v>42</v>
      </c>
      <c r="D1306" t="s">
        <v>4062</v>
      </c>
      <c r="E1306" t="s">
        <v>4750</v>
      </c>
      <c r="F1306" t="s">
        <v>63</v>
      </c>
      <c r="G1306">
        <v>1</v>
      </c>
      <c r="H1306" s="2">
        <v>741</v>
      </c>
      <c r="I1306" s="2">
        <v>741</v>
      </c>
    </row>
    <row r="1307" spans="1:9" x14ac:dyDescent="0.25">
      <c r="A1307" t="s">
        <v>784</v>
      </c>
      <c r="B1307" t="s">
        <v>785</v>
      </c>
      <c r="C1307" t="s">
        <v>42</v>
      </c>
      <c r="D1307" t="s">
        <v>4062</v>
      </c>
      <c r="E1307" t="s">
        <v>4701</v>
      </c>
      <c r="F1307" t="s">
        <v>42</v>
      </c>
      <c r="G1307">
        <v>1.05</v>
      </c>
      <c r="H1307" s="2">
        <v>3804</v>
      </c>
      <c r="I1307" s="2">
        <v>3994.2</v>
      </c>
    </row>
    <row r="1308" spans="1:9" x14ac:dyDescent="0.25">
      <c r="A1308" t="s">
        <v>784</v>
      </c>
      <c r="B1308" t="s">
        <v>785</v>
      </c>
      <c r="C1308" t="s">
        <v>42</v>
      </c>
      <c r="D1308" t="s">
        <v>4062</v>
      </c>
      <c r="E1308" t="s">
        <v>4751</v>
      </c>
      <c r="F1308" t="s">
        <v>63</v>
      </c>
      <c r="G1308">
        <v>1</v>
      </c>
      <c r="H1308" s="2">
        <v>1237</v>
      </c>
      <c r="I1308" s="2">
        <v>1237</v>
      </c>
    </row>
    <row r="1309" spans="1:9" x14ac:dyDescent="0.25">
      <c r="A1309" t="s">
        <v>784</v>
      </c>
      <c r="B1309" t="s">
        <v>785</v>
      </c>
      <c r="C1309" t="s">
        <v>42</v>
      </c>
      <c r="D1309" t="s">
        <v>4062</v>
      </c>
      <c r="E1309" t="s">
        <v>4752</v>
      </c>
      <c r="F1309" t="s">
        <v>63</v>
      </c>
      <c r="G1309">
        <v>1</v>
      </c>
      <c r="H1309" s="2">
        <v>382.07</v>
      </c>
      <c r="I1309" s="2">
        <v>382.07</v>
      </c>
    </row>
    <row r="1310" spans="1:9" x14ac:dyDescent="0.25">
      <c r="A1310" t="s">
        <v>784</v>
      </c>
      <c r="B1310" t="s">
        <v>785</v>
      </c>
      <c r="C1310" t="s">
        <v>42</v>
      </c>
      <c r="D1310" t="s">
        <v>4062</v>
      </c>
      <c r="E1310" t="s">
        <v>4659</v>
      </c>
      <c r="F1310" t="s">
        <v>4377</v>
      </c>
      <c r="G1310">
        <v>0.01</v>
      </c>
      <c r="H1310" s="2">
        <v>31500</v>
      </c>
      <c r="I1310" s="2">
        <v>315</v>
      </c>
    </row>
    <row r="1311" spans="1:9" x14ac:dyDescent="0.25">
      <c r="A1311" t="s">
        <v>784</v>
      </c>
      <c r="B1311" t="s">
        <v>785</v>
      </c>
      <c r="C1311" t="s">
        <v>42</v>
      </c>
      <c r="D1311" t="s">
        <v>4062</v>
      </c>
      <c r="E1311" t="s">
        <v>4376</v>
      </c>
      <c r="F1311" t="s">
        <v>4377</v>
      </c>
      <c r="G1311">
        <v>0.01</v>
      </c>
      <c r="H1311" s="2">
        <v>72237.67</v>
      </c>
      <c r="I1311" s="2">
        <v>722.38</v>
      </c>
    </row>
    <row r="1312" spans="1:9" x14ac:dyDescent="0.25">
      <c r="A1312" t="s">
        <v>784</v>
      </c>
      <c r="B1312" t="s">
        <v>785</v>
      </c>
      <c r="C1312" t="s">
        <v>42</v>
      </c>
      <c r="D1312" t="s">
        <v>4049</v>
      </c>
      <c r="E1312" t="s">
        <v>4241</v>
      </c>
      <c r="F1312" t="s">
        <v>4051</v>
      </c>
      <c r="G1312">
        <v>0.1</v>
      </c>
      <c r="H1312" s="2">
        <v>9941.22</v>
      </c>
      <c r="I1312" s="2">
        <v>994.12</v>
      </c>
    </row>
    <row r="1313" spans="1:9" x14ac:dyDescent="0.25">
      <c r="A1313" t="s">
        <v>784</v>
      </c>
      <c r="B1313" t="s">
        <v>785</v>
      </c>
      <c r="C1313" t="s">
        <v>42</v>
      </c>
      <c r="D1313" t="s">
        <v>4049</v>
      </c>
      <c r="E1313" t="s">
        <v>4242</v>
      </c>
      <c r="F1313" t="s">
        <v>4051</v>
      </c>
      <c r="G1313">
        <v>0.1</v>
      </c>
      <c r="H1313" s="2">
        <v>17069.53</v>
      </c>
      <c r="I1313" s="2">
        <v>1706.95</v>
      </c>
    </row>
    <row r="1314" spans="1:9" x14ac:dyDescent="0.25">
      <c r="A1314" t="s">
        <v>784</v>
      </c>
      <c r="B1314" t="s">
        <v>785</v>
      </c>
      <c r="C1314" t="s">
        <v>42</v>
      </c>
      <c r="D1314" t="s">
        <v>4052</v>
      </c>
      <c r="E1314" t="s">
        <v>4053</v>
      </c>
      <c r="F1314" t="s">
        <v>4054</v>
      </c>
      <c r="G1314">
        <v>3.3</v>
      </c>
      <c r="H1314" s="2">
        <v>2701.07</v>
      </c>
      <c r="I1314" s="2">
        <v>89.14</v>
      </c>
    </row>
    <row r="1315" spans="1:9" x14ac:dyDescent="0.25">
      <c r="A1315" t="s">
        <v>787</v>
      </c>
      <c r="B1315" t="s">
        <v>788</v>
      </c>
      <c r="C1315" t="s">
        <v>63</v>
      </c>
      <c r="D1315" t="s">
        <v>4062</v>
      </c>
      <c r="E1315" t="s">
        <v>4755</v>
      </c>
      <c r="F1315" t="s">
        <v>63</v>
      </c>
      <c r="G1315">
        <v>1</v>
      </c>
      <c r="H1315" s="2">
        <v>32520</v>
      </c>
      <c r="I1315" s="2">
        <v>32520</v>
      </c>
    </row>
    <row r="1316" spans="1:9" x14ac:dyDescent="0.25">
      <c r="A1316" t="s">
        <v>787</v>
      </c>
      <c r="B1316" t="s">
        <v>788</v>
      </c>
      <c r="C1316" t="s">
        <v>63</v>
      </c>
      <c r="D1316" t="s">
        <v>4049</v>
      </c>
      <c r="E1316" t="s">
        <v>4241</v>
      </c>
      <c r="F1316" t="s">
        <v>4051</v>
      </c>
      <c r="G1316">
        <v>0.3</v>
      </c>
      <c r="H1316" s="2">
        <v>9941.22</v>
      </c>
      <c r="I1316" s="2">
        <v>2982.37</v>
      </c>
    </row>
    <row r="1317" spans="1:9" x14ac:dyDescent="0.25">
      <c r="A1317" t="s">
        <v>787</v>
      </c>
      <c r="B1317" t="s">
        <v>788</v>
      </c>
      <c r="C1317" t="s">
        <v>63</v>
      </c>
      <c r="D1317" t="s">
        <v>4049</v>
      </c>
      <c r="E1317" t="s">
        <v>4242</v>
      </c>
      <c r="F1317" t="s">
        <v>4051</v>
      </c>
      <c r="G1317">
        <v>0.3</v>
      </c>
      <c r="H1317" s="2">
        <v>17069.53</v>
      </c>
      <c r="I1317" s="2">
        <v>5120.86</v>
      </c>
    </row>
    <row r="1318" spans="1:9" x14ac:dyDescent="0.25">
      <c r="A1318" t="s">
        <v>787</v>
      </c>
      <c r="B1318" t="s">
        <v>788</v>
      </c>
      <c r="C1318" t="s">
        <v>63</v>
      </c>
      <c r="D1318" t="s">
        <v>4052</v>
      </c>
      <c r="E1318" t="s">
        <v>4053</v>
      </c>
      <c r="F1318" t="s">
        <v>4054</v>
      </c>
      <c r="G1318">
        <v>1</v>
      </c>
      <c r="H1318" s="2">
        <v>8103.23</v>
      </c>
      <c r="I1318" s="2">
        <v>81.03</v>
      </c>
    </row>
    <row r="1319" spans="1:9" x14ac:dyDescent="0.25">
      <c r="A1319" t="s">
        <v>790</v>
      </c>
      <c r="B1319" t="s">
        <v>791</v>
      </c>
      <c r="C1319" t="s">
        <v>63</v>
      </c>
      <c r="D1319" t="s">
        <v>4062</v>
      </c>
      <c r="E1319" t="s">
        <v>4758</v>
      </c>
      <c r="F1319" t="s">
        <v>63</v>
      </c>
      <c r="G1319">
        <v>1</v>
      </c>
      <c r="H1319" s="2">
        <v>61320</v>
      </c>
      <c r="I1319" s="2">
        <v>61320</v>
      </c>
    </row>
    <row r="1320" spans="1:9" x14ac:dyDescent="0.25">
      <c r="A1320" t="s">
        <v>790</v>
      </c>
      <c r="B1320" t="s">
        <v>791</v>
      </c>
      <c r="C1320" t="s">
        <v>63</v>
      </c>
      <c r="D1320" t="s">
        <v>4049</v>
      </c>
      <c r="E1320" t="s">
        <v>4241</v>
      </c>
      <c r="F1320" t="s">
        <v>4051</v>
      </c>
      <c r="G1320">
        <v>0.7</v>
      </c>
      <c r="H1320" s="2">
        <v>9941.22</v>
      </c>
      <c r="I1320" s="2">
        <v>6958.85</v>
      </c>
    </row>
    <row r="1321" spans="1:9" x14ac:dyDescent="0.25">
      <c r="A1321" t="s">
        <v>790</v>
      </c>
      <c r="B1321" t="s">
        <v>791</v>
      </c>
      <c r="C1321" t="s">
        <v>63</v>
      </c>
      <c r="D1321" t="s">
        <v>4049</v>
      </c>
      <c r="E1321" t="s">
        <v>4242</v>
      </c>
      <c r="F1321" t="s">
        <v>4051</v>
      </c>
      <c r="G1321">
        <v>0.7</v>
      </c>
      <c r="H1321" s="2">
        <v>17069.53</v>
      </c>
      <c r="I1321" s="2">
        <v>11948.67</v>
      </c>
    </row>
    <row r="1322" spans="1:9" x14ac:dyDescent="0.25">
      <c r="A1322" t="s">
        <v>790</v>
      </c>
      <c r="B1322" t="s">
        <v>791</v>
      </c>
      <c r="C1322" t="s">
        <v>63</v>
      </c>
      <c r="D1322" t="s">
        <v>4052</v>
      </c>
      <c r="E1322" t="s">
        <v>4053</v>
      </c>
      <c r="F1322" t="s">
        <v>4054</v>
      </c>
      <c r="G1322">
        <v>5</v>
      </c>
      <c r="H1322" s="2">
        <v>18907.52</v>
      </c>
      <c r="I1322" s="2">
        <v>945.38</v>
      </c>
    </row>
    <row r="1323" spans="1:9" x14ac:dyDescent="0.25">
      <c r="A1323" t="s">
        <v>793</v>
      </c>
      <c r="B1323" t="s">
        <v>794</v>
      </c>
      <c r="C1323" t="s">
        <v>63</v>
      </c>
      <c r="D1323" t="s">
        <v>4062</v>
      </c>
      <c r="E1323" t="s">
        <v>4715</v>
      </c>
      <c r="F1323" t="s">
        <v>63</v>
      </c>
      <c r="G1323">
        <v>1</v>
      </c>
      <c r="H1323" s="2">
        <v>41000</v>
      </c>
      <c r="I1323" s="2">
        <v>41000</v>
      </c>
    </row>
    <row r="1324" spans="1:9" x14ac:dyDescent="0.25">
      <c r="A1324" t="s">
        <v>793</v>
      </c>
      <c r="B1324" t="s">
        <v>794</v>
      </c>
      <c r="C1324" t="s">
        <v>63</v>
      </c>
      <c r="D1324" t="s">
        <v>4049</v>
      </c>
      <c r="E1324" t="s">
        <v>4241</v>
      </c>
      <c r="F1324" t="s">
        <v>4051</v>
      </c>
      <c r="G1324">
        <v>0.55</v>
      </c>
      <c r="H1324" s="2">
        <v>9941.22</v>
      </c>
      <c r="I1324" s="2">
        <v>5467.67</v>
      </c>
    </row>
    <row r="1325" spans="1:9" x14ac:dyDescent="0.25">
      <c r="A1325" t="s">
        <v>793</v>
      </c>
      <c r="B1325" t="s">
        <v>794</v>
      </c>
      <c r="C1325" t="s">
        <v>63</v>
      </c>
      <c r="D1325" t="s">
        <v>4049</v>
      </c>
      <c r="E1325" t="s">
        <v>4242</v>
      </c>
      <c r="F1325" t="s">
        <v>4051</v>
      </c>
      <c r="G1325">
        <v>0.55</v>
      </c>
      <c r="H1325" s="2">
        <v>17069.53</v>
      </c>
      <c r="I1325" s="2">
        <v>9388.24</v>
      </c>
    </row>
    <row r="1326" spans="1:9" x14ac:dyDescent="0.25">
      <c r="A1326" t="s">
        <v>793</v>
      </c>
      <c r="B1326" t="s">
        <v>794</v>
      </c>
      <c r="C1326" t="s">
        <v>63</v>
      </c>
      <c r="D1326" t="s">
        <v>4052</v>
      </c>
      <c r="E1326" t="s">
        <v>4053</v>
      </c>
      <c r="F1326" t="s">
        <v>4054</v>
      </c>
      <c r="G1326">
        <v>5</v>
      </c>
      <c r="H1326" s="2">
        <v>14855.91</v>
      </c>
      <c r="I1326" s="2">
        <v>742.8</v>
      </c>
    </row>
    <row r="1327" spans="1:9" x14ac:dyDescent="0.25">
      <c r="A1327" t="s">
        <v>796</v>
      </c>
      <c r="B1327" t="s">
        <v>797</v>
      </c>
      <c r="C1327" t="s">
        <v>42</v>
      </c>
      <c r="D1327" t="s">
        <v>4062</v>
      </c>
      <c r="E1327" t="s">
        <v>4763</v>
      </c>
      <c r="F1327" t="s">
        <v>42</v>
      </c>
      <c r="G1327">
        <v>1.05</v>
      </c>
      <c r="H1327" s="2">
        <v>10275</v>
      </c>
      <c r="I1327" s="2">
        <v>10788.75</v>
      </c>
    </row>
    <row r="1328" spans="1:9" x14ac:dyDescent="0.25">
      <c r="A1328" t="s">
        <v>796</v>
      </c>
      <c r="B1328" t="s">
        <v>797</v>
      </c>
      <c r="C1328" t="s">
        <v>42</v>
      </c>
      <c r="D1328" t="s">
        <v>4062</v>
      </c>
      <c r="E1328" t="s">
        <v>4663</v>
      </c>
      <c r="F1328" t="s">
        <v>63</v>
      </c>
      <c r="G1328">
        <v>0.25</v>
      </c>
      <c r="H1328" s="2">
        <v>5259</v>
      </c>
      <c r="I1328" s="2">
        <v>1314.75</v>
      </c>
    </row>
    <row r="1329" spans="1:9" x14ac:dyDescent="0.25">
      <c r="A1329" t="s">
        <v>796</v>
      </c>
      <c r="B1329" t="s">
        <v>797</v>
      </c>
      <c r="C1329" t="s">
        <v>42</v>
      </c>
      <c r="D1329" t="s">
        <v>4062</v>
      </c>
      <c r="E1329" t="s">
        <v>4659</v>
      </c>
      <c r="F1329" t="s">
        <v>4377</v>
      </c>
      <c r="G1329">
        <v>0.01</v>
      </c>
      <c r="H1329" s="2">
        <v>31500</v>
      </c>
      <c r="I1329" s="2">
        <v>315</v>
      </c>
    </row>
    <row r="1330" spans="1:9" x14ac:dyDescent="0.25">
      <c r="A1330" t="s">
        <v>796</v>
      </c>
      <c r="B1330" t="s">
        <v>797</v>
      </c>
      <c r="C1330" t="s">
        <v>42</v>
      </c>
      <c r="D1330" t="s">
        <v>4062</v>
      </c>
      <c r="E1330" t="s">
        <v>4376</v>
      </c>
      <c r="F1330" t="s">
        <v>4377</v>
      </c>
      <c r="G1330">
        <v>0.01</v>
      </c>
      <c r="H1330" s="2">
        <v>72237.67</v>
      </c>
      <c r="I1330" s="2">
        <v>722.38</v>
      </c>
    </row>
    <row r="1331" spans="1:9" x14ac:dyDescent="0.25">
      <c r="A1331" t="s">
        <v>796</v>
      </c>
      <c r="B1331" t="s">
        <v>797</v>
      </c>
      <c r="C1331" t="s">
        <v>42</v>
      </c>
      <c r="D1331" t="s">
        <v>4049</v>
      </c>
      <c r="E1331" t="s">
        <v>4241</v>
      </c>
      <c r="F1331" t="s">
        <v>4051</v>
      </c>
      <c r="G1331">
        <v>0.4</v>
      </c>
      <c r="H1331" s="2">
        <v>9941.22</v>
      </c>
      <c r="I1331" s="2">
        <v>3976.49</v>
      </c>
    </row>
    <row r="1332" spans="1:9" x14ac:dyDescent="0.25">
      <c r="A1332" t="s">
        <v>796</v>
      </c>
      <c r="B1332" t="s">
        <v>797</v>
      </c>
      <c r="C1332" t="s">
        <v>42</v>
      </c>
      <c r="D1332" t="s">
        <v>4049</v>
      </c>
      <c r="E1332" t="s">
        <v>4242</v>
      </c>
      <c r="F1332" t="s">
        <v>4051</v>
      </c>
      <c r="G1332">
        <v>0.4</v>
      </c>
      <c r="H1332" s="2">
        <v>17069.53</v>
      </c>
      <c r="I1332" s="2">
        <v>6827.81</v>
      </c>
    </row>
    <row r="1333" spans="1:9" x14ac:dyDescent="0.25">
      <c r="A1333" t="s">
        <v>796</v>
      </c>
      <c r="B1333" t="s">
        <v>797</v>
      </c>
      <c r="C1333" t="s">
        <v>42</v>
      </c>
      <c r="D1333" t="s">
        <v>4052</v>
      </c>
      <c r="E1333" t="s">
        <v>4053</v>
      </c>
      <c r="F1333" t="s">
        <v>4054</v>
      </c>
      <c r="G1333">
        <v>5</v>
      </c>
      <c r="H1333" s="2">
        <v>10804.3</v>
      </c>
      <c r="I1333" s="2">
        <v>540.22</v>
      </c>
    </row>
    <row r="1334" spans="1:9" x14ac:dyDescent="0.25">
      <c r="A1334" t="s">
        <v>799</v>
      </c>
      <c r="B1334" t="s">
        <v>800</v>
      </c>
      <c r="C1334" t="s">
        <v>63</v>
      </c>
      <c r="D1334" t="s">
        <v>4062</v>
      </c>
      <c r="E1334" t="s">
        <v>4380</v>
      </c>
      <c r="F1334" t="s">
        <v>42</v>
      </c>
      <c r="G1334">
        <v>2.75</v>
      </c>
      <c r="H1334" s="2">
        <v>16665</v>
      </c>
      <c r="I1334" s="2">
        <v>45828.75</v>
      </c>
    </row>
    <row r="1335" spans="1:9" x14ac:dyDescent="0.25">
      <c r="A1335" t="s">
        <v>799</v>
      </c>
      <c r="B1335" t="s">
        <v>800</v>
      </c>
      <c r="C1335" t="s">
        <v>63</v>
      </c>
      <c r="D1335" t="s">
        <v>4062</v>
      </c>
      <c r="E1335" t="s">
        <v>4766</v>
      </c>
      <c r="F1335" t="s">
        <v>63</v>
      </c>
      <c r="G1335">
        <v>1</v>
      </c>
      <c r="H1335" s="2">
        <v>14405</v>
      </c>
      <c r="I1335" s="2">
        <v>14405</v>
      </c>
    </row>
    <row r="1336" spans="1:9" x14ac:dyDescent="0.25">
      <c r="A1336" t="s">
        <v>799</v>
      </c>
      <c r="B1336" t="s">
        <v>800</v>
      </c>
      <c r="C1336" t="s">
        <v>63</v>
      </c>
      <c r="D1336" t="s">
        <v>4062</v>
      </c>
      <c r="E1336" t="s">
        <v>4663</v>
      </c>
      <c r="F1336" t="s">
        <v>63</v>
      </c>
      <c r="G1336">
        <v>1</v>
      </c>
      <c r="H1336" s="2">
        <v>5259</v>
      </c>
      <c r="I1336" s="2">
        <v>5259</v>
      </c>
    </row>
    <row r="1337" spans="1:9" x14ac:dyDescent="0.25">
      <c r="A1337" t="s">
        <v>799</v>
      </c>
      <c r="B1337" t="s">
        <v>800</v>
      </c>
      <c r="C1337" t="s">
        <v>63</v>
      </c>
      <c r="D1337" t="s">
        <v>4062</v>
      </c>
      <c r="E1337" t="s">
        <v>4767</v>
      </c>
      <c r="F1337" t="s">
        <v>63</v>
      </c>
      <c r="G1337">
        <v>1</v>
      </c>
      <c r="H1337" s="2">
        <v>7248</v>
      </c>
      <c r="I1337" s="2">
        <v>7248</v>
      </c>
    </row>
    <row r="1338" spans="1:9" x14ac:dyDescent="0.25">
      <c r="A1338" t="s">
        <v>799</v>
      </c>
      <c r="B1338" t="s">
        <v>800</v>
      </c>
      <c r="C1338" t="s">
        <v>63</v>
      </c>
      <c r="D1338" t="s">
        <v>4062</v>
      </c>
      <c r="E1338" t="s">
        <v>4659</v>
      </c>
      <c r="F1338" t="s">
        <v>4377</v>
      </c>
      <c r="G1338">
        <v>0.05</v>
      </c>
      <c r="H1338" s="2">
        <v>31500</v>
      </c>
      <c r="I1338" s="2">
        <v>1575</v>
      </c>
    </row>
    <row r="1339" spans="1:9" x14ac:dyDescent="0.25">
      <c r="A1339" t="s">
        <v>799</v>
      </c>
      <c r="B1339" t="s">
        <v>800</v>
      </c>
      <c r="C1339" t="s">
        <v>63</v>
      </c>
      <c r="D1339" t="s">
        <v>4062</v>
      </c>
      <c r="E1339" t="s">
        <v>4376</v>
      </c>
      <c r="F1339" t="s">
        <v>4377</v>
      </c>
      <c r="G1339">
        <v>0.1</v>
      </c>
      <c r="H1339" s="2">
        <v>72237.67</v>
      </c>
      <c r="I1339" s="2">
        <v>7223.77</v>
      </c>
    </row>
    <row r="1340" spans="1:9" x14ac:dyDescent="0.25">
      <c r="A1340" t="s">
        <v>799</v>
      </c>
      <c r="B1340" t="s">
        <v>800</v>
      </c>
      <c r="C1340" t="s">
        <v>63</v>
      </c>
      <c r="D1340" t="s">
        <v>4049</v>
      </c>
      <c r="E1340" t="s">
        <v>4241</v>
      </c>
      <c r="F1340" t="s">
        <v>4051</v>
      </c>
      <c r="G1340">
        <v>2</v>
      </c>
      <c r="H1340" s="2">
        <v>9941.22</v>
      </c>
      <c r="I1340" s="2">
        <v>19882.44</v>
      </c>
    </row>
    <row r="1341" spans="1:9" x14ac:dyDescent="0.25">
      <c r="A1341" t="s">
        <v>799</v>
      </c>
      <c r="B1341" t="s">
        <v>800</v>
      </c>
      <c r="C1341" t="s">
        <v>63</v>
      </c>
      <c r="D1341" t="s">
        <v>4049</v>
      </c>
      <c r="E1341" t="s">
        <v>4242</v>
      </c>
      <c r="F1341" t="s">
        <v>4051</v>
      </c>
      <c r="G1341">
        <v>1</v>
      </c>
      <c r="H1341" s="2">
        <v>17069.53</v>
      </c>
      <c r="I1341" s="2">
        <v>17069.53</v>
      </c>
    </row>
    <row r="1342" spans="1:9" x14ac:dyDescent="0.25">
      <c r="A1342" t="s">
        <v>799</v>
      </c>
      <c r="B1342" t="s">
        <v>800</v>
      </c>
      <c r="C1342" t="s">
        <v>63</v>
      </c>
      <c r="D1342" t="s">
        <v>4052</v>
      </c>
      <c r="E1342" t="s">
        <v>4053</v>
      </c>
      <c r="F1342" t="s">
        <v>4054</v>
      </c>
      <c r="G1342">
        <v>5</v>
      </c>
      <c r="H1342" s="2">
        <v>36951.97</v>
      </c>
      <c r="I1342" s="2">
        <v>1847.6</v>
      </c>
    </row>
    <row r="1343" spans="1:9" x14ac:dyDescent="0.25">
      <c r="A1343" t="s">
        <v>802</v>
      </c>
      <c r="B1343" t="s">
        <v>803</v>
      </c>
      <c r="C1343" t="s">
        <v>63</v>
      </c>
      <c r="D1343" t="s">
        <v>4062</v>
      </c>
      <c r="E1343" t="s">
        <v>4770</v>
      </c>
      <c r="F1343" t="s">
        <v>63</v>
      </c>
      <c r="G1343">
        <v>1</v>
      </c>
      <c r="H1343" s="2">
        <v>15486</v>
      </c>
      <c r="I1343" s="2">
        <v>15486</v>
      </c>
    </row>
    <row r="1344" spans="1:9" x14ac:dyDescent="0.25">
      <c r="A1344" t="s">
        <v>802</v>
      </c>
      <c r="B1344" t="s">
        <v>803</v>
      </c>
      <c r="C1344" t="s">
        <v>63</v>
      </c>
      <c r="D1344" t="s">
        <v>4062</v>
      </c>
      <c r="E1344" t="s">
        <v>4771</v>
      </c>
      <c r="F1344" t="s">
        <v>63</v>
      </c>
      <c r="G1344">
        <v>1</v>
      </c>
      <c r="H1344" s="2">
        <v>168980.07</v>
      </c>
      <c r="I1344" s="2">
        <v>168980.07</v>
      </c>
    </row>
    <row r="1345" spans="1:9" x14ac:dyDescent="0.25">
      <c r="A1345" t="s">
        <v>802</v>
      </c>
      <c r="B1345" t="s">
        <v>803</v>
      </c>
      <c r="C1345" t="s">
        <v>63</v>
      </c>
      <c r="D1345" t="s">
        <v>4049</v>
      </c>
      <c r="E1345" t="s">
        <v>4241</v>
      </c>
      <c r="F1345" t="s">
        <v>4051</v>
      </c>
      <c r="G1345">
        <v>0.5</v>
      </c>
      <c r="H1345" s="2">
        <v>9941.22</v>
      </c>
      <c r="I1345" s="2">
        <v>4970.61</v>
      </c>
    </row>
    <row r="1346" spans="1:9" x14ac:dyDescent="0.25">
      <c r="A1346" t="s">
        <v>802</v>
      </c>
      <c r="B1346" t="s">
        <v>803</v>
      </c>
      <c r="C1346" t="s">
        <v>63</v>
      </c>
      <c r="D1346" t="s">
        <v>4049</v>
      </c>
      <c r="E1346" t="s">
        <v>4242</v>
      </c>
      <c r="F1346" t="s">
        <v>4051</v>
      </c>
      <c r="G1346">
        <v>0.5</v>
      </c>
      <c r="H1346" s="2">
        <v>17069.53</v>
      </c>
      <c r="I1346" s="2">
        <v>8534.76</v>
      </c>
    </row>
    <row r="1347" spans="1:9" x14ac:dyDescent="0.25">
      <c r="A1347" t="s">
        <v>802</v>
      </c>
      <c r="B1347" t="s">
        <v>803</v>
      </c>
      <c r="C1347" t="s">
        <v>63</v>
      </c>
      <c r="D1347" t="s">
        <v>4052</v>
      </c>
      <c r="E1347" t="s">
        <v>4053</v>
      </c>
      <c r="F1347" t="s">
        <v>4054</v>
      </c>
      <c r="G1347">
        <v>5</v>
      </c>
      <c r="H1347" s="2">
        <v>13505.37</v>
      </c>
      <c r="I1347" s="2">
        <v>675.27</v>
      </c>
    </row>
    <row r="1348" spans="1:9" x14ac:dyDescent="0.25">
      <c r="A1348" t="s">
        <v>808</v>
      </c>
      <c r="B1348" t="s">
        <v>809</v>
      </c>
      <c r="C1348" t="s">
        <v>63</v>
      </c>
      <c r="D1348" t="s">
        <v>4062</v>
      </c>
      <c r="E1348" t="s">
        <v>4774</v>
      </c>
      <c r="F1348" t="s">
        <v>63</v>
      </c>
      <c r="G1348">
        <v>1</v>
      </c>
      <c r="H1348" s="2">
        <v>13135</v>
      </c>
      <c r="I1348" s="2">
        <v>13135</v>
      </c>
    </row>
    <row r="1349" spans="1:9" x14ac:dyDescent="0.25">
      <c r="A1349" t="s">
        <v>808</v>
      </c>
      <c r="B1349" t="s">
        <v>809</v>
      </c>
      <c r="C1349" t="s">
        <v>63</v>
      </c>
      <c r="D1349" t="s">
        <v>4062</v>
      </c>
      <c r="E1349" t="s">
        <v>4775</v>
      </c>
      <c r="F1349" t="s">
        <v>63</v>
      </c>
      <c r="G1349">
        <v>1</v>
      </c>
      <c r="H1349" s="2">
        <v>72871</v>
      </c>
      <c r="I1349" s="2">
        <v>72871</v>
      </c>
    </row>
    <row r="1350" spans="1:9" x14ac:dyDescent="0.25">
      <c r="A1350" t="s">
        <v>808</v>
      </c>
      <c r="B1350" t="s">
        <v>809</v>
      </c>
      <c r="C1350" t="s">
        <v>63</v>
      </c>
      <c r="D1350" t="s">
        <v>4049</v>
      </c>
      <c r="E1350" t="s">
        <v>4241</v>
      </c>
      <c r="F1350" t="s">
        <v>4051</v>
      </c>
      <c r="G1350">
        <v>0.5</v>
      </c>
      <c r="H1350" s="2">
        <v>9941.22</v>
      </c>
      <c r="I1350" s="2">
        <v>4970.61</v>
      </c>
    </row>
    <row r="1351" spans="1:9" x14ac:dyDescent="0.25">
      <c r="A1351" t="s">
        <v>808</v>
      </c>
      <c r="B1351" t="s">
        <v>809</v>
      </c>
      <c r="C1351" t="s">
        <v>63</v>
      </c>
      <c r="D1351" t="s">
        <v>4049</v>
      </c>
      <c r="E1351" t="s">
        <v>4242</v>
      </c>
      <c r="F1351" t="s">
        <v>4051</v>
      </c>
      <c r="G1351">
        <v>0.5</v>
      </c>
      <c r="H1351" s="2">
        <v>17069.53</v>
      </c>
      <c r="I1351" s="2">
        <v>8534.76</v>
      </c>
    </row>
    <row r="1352" spans="1:9" x14ac:dyDescent="0.25">
      <c r="A1352" t="s">
        <v>808</v>
      </c>
      <c r="B1352" t="s">
        <v>809</v>
      </c>
      <c r="C1352" t="s">
        <v>63</v>
      </c>
      <c r="D1352" t="s">
        <v>4052</v>
      </c>
      <c r="E1352" t="s">
        <v>4053</v>
      </c>
      <c r="F1352" t="s">
        <v>4054</v>
      </c>
      <c r="G1352">
        <v>3</v>
      </c>
      <c r="H1352" s="2">
        <v>13505.37</v>
      </c>
      <c r="I1352" s="2">
        <v>405.16</v>
      </c>
    </row>
    <row r="1353" spans="1:9" x14ac:dyDescent="0.25">
      <c r="A1353" t="s">
        <v>811</v>
      </c>
      <c r="B1353" t="s">
        <v>812</v>
      </c>
      <c r="C1353" t="s">
        <v>63</v>
      </c>
      <c r="D1353" t="s">
        <v>4062</v>
      </c>
      <c r="E1353" t="s">
        <v>4778</v>
      </c>
      <c r="F1353" t="s">
        <v>63</v>
      </c>
      <c r="G1353">
        <v>1</v>
      </c>
      <c r="H1353" s="2">
        <v>38463</v>
      </c>
      <c r="I1353" s="2">
        <v>38463</v>
      </c>
    </row>
    <row r="1354" spans="1:9" x14ac:dyDescent="0.25">
      <c r="A1354" t="s">
        <v>811</v>
      </c>
      <c r="B1354" t="s">
        <v>812</v>
      </c>
      <c r="C1354" t="s">
        <v>63</v>
      </c>
      <c r="D1354" t="s">
        <v>4062</v>
      </c>
      <c r="E1354" t="s">
        <v>4779</v>
      </c>
      <c r="F1354" t="s">
        <v>63</v>
      </c>
      <c r="G1354">
        <v>1</v>
      </c>
      <c r="H1354" s="2">
        <v>701.4</v>
      </c>
      <c r="I1354" s="2">
        <v>701.4</v>
      </c>
    </row>
    <row r="1355" spans="1:9" x14ac:dyDescent="0.25">
      <c r="A1355" t="s">
        <v>811</v>
      </c>
      <c r="B1355" t="s">
        <v>812</v>
      </c>
      <c r="C1355" t="s">
        <v>63</v>
      </c>
      <c r="D1355" t="s">
        <v>4062</v>
      </c>
      <c r="E1355" t="s">
        <v>4780</v>
      </c>
      <c r="F1355" t="s">
        <v>63</v>
      </c>
      <c r="G1355">
        <v>1</v>
      </c>
      <c r="H1355" s="2">
        <v>832</v>
      </c>
      <c r="I1355" s="2">
        <v>832</v>
      </c>
    </row>
    <row r="1356" spans="1:9" x14ac:dyDescent="0.25">
      <c r="A1356" t="s">
        <v>811</v>
      </c>
      <c r="B1356" t="s">
        <v>812</v>
      </c>
      <c r="C1356" t="s">
        <v>63</v>
      </c>
      <c r="D1356" t="s">
        <v>4062</v>
      </c>
      <c r="E1356" t="s">
        <v>4781</v>
      </c>
      <c r="F1356" t="s">
        <v>63</v>
      </c>
      <c r="G1356">
        <v>1</v>
      </c>
      <c r="H1356" s="2">
        <v>7783</v>
      </c>
      <c r="I1356" s="2">
        <v>7783</v>
      </c>
    </row>
    <row r="1357" spans="1:9" x14ac:dyDescent="0.25">
      <c r="A1357" t="s">
        <v>811</v>
      </c>
      <c r="B1357" t="s">
        <v>812</v>
      </c>
      <c r="C1357" t="s">
        <v>63</v>
      </c>
      <c r="D1357" t="s">
        <v>4062</v>
      </c>
      <c r="E1357" t="s">
        <v>4782</v>
      </c>
      <c r="F1357" t="s">
        <v>63</v>
      </c>
      <c r="G1357">
        <v>2</v>
      </c>
      <c r="H1357" s="2">
        <v>3493</v>
      </c>
      <c r="I1357" s="2">
        <v>6986</v>
      </c>
    </row>
    <row r="1358" spans="1:9" x14ac:dyDescent="0.25">
      <c r="A1358" t="s">
        <v>811</v>
      </c>
      <c r="B1358" t="s">
        <v>812</v>
      </c>
      <c r="C1358" t="s">
        <v>63</v>
      </c>
      <c r="D1358" t="s">
        <v>4062</v>
      </c>
      <c r="E1358" t="s">
        <v>4783</v>
      </c>
      <c r="F1358" t="s">
        <v>63</v>
      </c>
      <c r="G1358">
        <v>1</v>
      </c>
      <c r="H1358" s="2">
        <v>59357</v>
      </c>
      <c r="I1358" s="2">
        <v>59357</v>
      </c>
    </row>
    <row r="1359" spans="1:9" x14ac:dyDescent="0.25">
      <c r="A1359" t="s">
        <v>811</v>
      </c>
      <c r="B1359" t="s">
        <v>812</v>
      </c>
      <c r="C1359" t="s">
        <v>63</v>
      </c>
      <c r="D1359" t="s">
        <v>4062</v>
      </c>
      <c r="E1359" t="s">
        <v>4784</v>
      </c>
      <c r="F1359" t="s">
        <v>42</v>
      </c>
      <c r="G1359">
        <v>6</v>
      </c>
      <c r="H1359" s="2">
        <v>4511</v>
      </c>
      <c r="I1359" s="2">
        <v>27066</v>
      </c>
    </row>
    <row r="1360" spans="1:9" x14ac:dyDescent="0.25">
      <c r="A1360" t="s">
        <v>811</v>
      </c>
      <c r="B1360" t="s">
        <v>812</v>
      </c>
      <c r="C1360" t="s">
        <v>63</v>
      </c>
      <c r="D1360" t="s">
        <v>4062</v>
      </c>
      <c r="E1360" t="s">
        <v>4785</v>
      </c>
      <c r="F1360" t="s">
        <v>63</v>
      </c>
      <c r="G1360">
        <v>1</v>
      </c>
      <c r="H1360" s="2">
        <v>71721.91</v>
      </c>
      <c r="I1360" s="2">
        <v>71721.91</v>
      </c>
    </row>
    <row r="1361" spans="1:9" x14ac:dyDescent="0.25">
      <c r="A1361" t="s">
        <v>811</v>
      </c>
      <c r="B1361" t="s">
        <v>812</v>
      </c>
      <c r="C1361" t="s">
        <v>63</v>
      </c>
      <c r="D1361" t="s">
        <v>4049</v>
      </c>
      <c r="E1361" t="s">
        <v>4241</v>
      </c>
      <c r="F1361" t="s">
        <v>4051</v>
      </c>
      <c r="G1361">
        <v>1</v>
      </c>
      <c r="H1361" s="2">
        <v>9941.22</v>
      </c>
      <c r="I1361" s="2">
        <v>9941.22</v>
      </c>
    </row>
    <row r="1362" spans="1:9" x14ac:dyDescent="0.25">
      <c r="A1362" t="s">
        <v>811</v>
      </c>
      <c r="B1362" t="s">
        <v>812</v>
      </c>
      <c r="C1362" t="s">
        <v>63</v>
      </c>
      <c r="D1362" t="s">
        <v>4049</v>
      </c>
      <c r="E1362" t="s">
        <v>4242</v>
      </c>
      <c r="F1362" t="s">
        <v>4051</v>
      </c>
      <c r="G1362">
        <v>1</v>
      </c>
      <c r="H1362" s="2">
        <v>17069.53</v>
      </c>
      <c r="I1362" s="2">
        <v>17069.53</v>
      </c>
    </row>
    <row r="1363" spans="1:9" x14ac:dyDescent="0.25">
      <c r="A1363" t="s">
        <v>811</v>
      </c>
      <c r="B1363" t="s">
        <v>812</v>
      </c>
      <c r="C1363" t="s">
        <v>63</v>
      </c>
      <c r="D1363" t="s">
        <v>4052</v>
      </c>
      <c r="E1363" t="s">
        <v>4053</v>
      </c>
      <c r="F1363" t="s">
        <v>4054</v>
      </c>
      <c r="G1363">
        <v>1</v>
      </c>
      <c r="H1363" s="2">
        <v>27010.75</v>
      </c>
      <c r="I1363" s="2">
        <v>270.11</v>
      </c>
    </row>
    <row r="1364" spans="1:9" x14ac:dyDescent="0.25">
      <c r="A1364" t="s">
        <v>815</v>
      </c>
      <c r="B1364" t="s">
        <v>816</v>
      </c>
      <c r="C1364" t="s">
        <v>63</v>
      </c>
      <c r="D1364" t="s">
        <v>4062</v>
      </c>
      <c r="E1364" t="s">
        <v>4788</v>
      </c>
      <c r="F1364" t="s">
        <v>63</v>
      </c>
      <c r="G1364">
        <v>1</v>
      </c>
      <c r="H1364" s="2">
        <v>647</v>
      </c>
      <c r="I1364" s="2">
        <v>647</v>
      </c>
    </row>
    <row r="1365" spans="1:9" x14ac:dyDescent="0.25">
      <c r="A1365" t="s">
        <v>815</v>
      </c>
      <c r="B1365" t="s">
        <v>816</v>
      </c>
      <c r="C1365" t="s">
        <v>63</v>
      </c>
      <c r="D1365" t="s">
        <v>4062</v>
      </c>
      <c r="E1365" t="s">
        <v>4704</v>
      </c>
      <c r="F1365" t="s">
        <v>63</v>
      </c>
      <c r="G1365">
        <v>1</v>
      </c>
      <c r="H1365" s="2">
        <v>461</v>
      </c>
      <c r="I1365" s="2">
        <v>461</v>
      </c>
    </row>
    <row r="1366" spans="1:9" x14ac:dyDescent="0.25">
      <c r="A1366" t="s">
        <v>815</v>
      </c>
      <c r="B1366" t="s">
        <v>816</v>
      </c>
      <c r="C1366" t="s">
        <v>63</v>
      </c>
      <c r="D1366" t="s">
        <v>4062</v>
      </c>
      <c r="E1366" t="s">
        <v>4789</v>
      </c>
      <c r="F1366" t="s">
        <v>63</v>
      </c>
      <c r="G1366">
        <v>1</v>
      </c>
      <c r="H1366" s="2">
        <v>10300</v>
      </c>
      <c r="I1366" s="2">
        <v>10300</v>
      </c>
    </row>
    <row r="1367" spans="1:9" x14ac:dyDescent="0.25">
      <c r="A1367" t="s">
        <v>815</v>
      </c>
      <c r="B1367" t="s">
        <v>816</v>
      </c>
      <c r="C1367" t="s">
        <v>63</v>
      </c>
      <c r="D1367" t="s">
        <v>4062</v>
      </c>
      <c r="E1367" t="s">
        <v>4790</v>
      </c>
      <c r="F1367" t="s">
        <v>63</v>
      </c>
      <c r="G1367">
        <v>2</v>
      </c>
      <c r="H1367" s="2">
        <v>2000</v>
      </c>
      <c r="I1367" s="2">
        <v>4000</v>
      </c>
    </row>
    <row r="1368" spans="1:9" x14ac:dyDescent="0.25">
      <c r="A1368" t="s">
        <v>815</v>
      </c>
      <c r="B1368" t="s">
        <v>816</v>
      </c>
      <c r="C1368" t="s">
        <v>63</v>
      </c>
      <c r="D1368" t="s">
        <v>4062</v>
      </c>
      <c r="E1368" t="s">
        <v>4791</v>
      </c>
      <c r="F1368" t="s">
        <v>63</v>
      </c>
      <c r="G1368">
        <v>1</v>
      </c>
      <c r="H1368" s="2">
        <v>23550</v>
      </c>
      <c r="I1368" s="2">
        <v>23550</v>
      </c>
    </row>
    <row r="1369" spans="1:9" x14ac:dyDescent="0.25">
      <c r="A1369" t="s">
        <v>815</v>
      </c>
      <c r="B1369" t="s">
        <v>816</v>
      </c>
      <c r="C1369" t="s">
        <v>63</v>
      </c>
      <c r="D1369" t="s">
        <v>4062</v>
      </c>
      <c r="E1369" t="s">
        <v>4792</v>
      </c>
      <c r="F1369" t="s">
        <v>42</v>
      </c>
      <c r="G1369">
        <v>6</v>
      </c>
      <c r="H1369" s="2">
        <v>2294</v>
      </c>
      <c r="I1369" s="2">
        <v>13764</v>
      </c>
    </row>
    <row r="1370" spans="1:9" x14ac:dyDescent="0.25">
      <c r="A1370" t="s">
        <v>815</v>
      </c>
      <c r="B1370" t="s">
        <v>816</v>
      </c>
      <c r="C1370" t="s">
        <v>63</v>
      </c>
      <c r="D1370" t="s">
        <v>4062</v>
      </c>
      <c r="E1370" t="s">
        <v>4793</v>
      </c>
      <c r="F1370" t="s">
        <v>63</v>
      </c>
      <c r="G1370">
        <v>1</v>
      </c>
      <c r="H1370" s="2">
        <v>19610.34</v>
      </c>
      <c r="I1370" s="2">
        <v>19610.34</v>
      </c>
    </row>
    <row r="1371" spans="1:9" x14ac:dyDescent="0.25">
      <c r="A1371" t="s">
        <v>815</v>
      </c>
      <c r="B1371" t="s">
        <v>816</v>
      </c>
      <c r="C1371" t="s">
        <v>63</v>
      </c>
      <c r="D1371" t="s">
        <v>4049</v>
      </c>
      <c r="E1371" t="s">
        <v>4241</v>
      </c>
      <c r="F1371" t="s">
        <v>4051</v>
      </c>
      <c r="G1371">
        <v>1</v>
      </c>
      <c r="H1371" s="2">
        <v>9941.22</v>
      </c>
      <c r="I1371" s="2">
        <v>9941.22</v>
      </c>
    </row>
    <row r="1372" spans="1:9" x14ac:dyDescent="0.25">
      <c r="A1372" t="s">
        <v>815</v>
      </c>
      <c r="B1372" t="s">
        <v>816</v>
      </c>
      <c r="C1372" t="s">
        <v>63</v>
      </c>
      <c r="D1372" t="s">
        <v>4049</v>
      </c>
      <c r="E1372" t="s">
        <v>4242</v>
      </c>
      <c r="F1372" t="s">
        <v>4051</v>
      </c>
      <c r="G1372">
        <v>1</v>
      </c>
      <c r="H1372" s="2">
        <v>17069.53</v>
      </c>
      <c r="I1372" s="2">
        <v>17069.53</v>
      </c>
    </row>
    <row r="1373" spans="1:9" x14ac:dyDescent="0.25">
      <c r="A1373" t="s">
        <v>815</v>
      </c>
      <c r="B1373" t="s">
        <v>816</v>
      </c>
      <c r="C1373" t="s">
        <v>63</v>
      </c>
      <c r="D1373" t="s">
        <v>4052</v>
      </c>
      <c r="E1373" t="s">
        <v>4053</v>
      </c>
      <c r="F1373" t="s">
        <v>4054</v>
      </c>
      <c r="G1373">
        <v>1</v>
      </c>
      <c r="H1373" s="2">
        <v>27010.75</v>
      </c>
      <c r="I1373" s="2">
        <v>270.11</v>
      </c>
    </row>
    <row r="1374" spans="1:9" x14ac:dyDescent="0.25">
      <c r="A1374" t="s">
        <v>818</v>
      </c>
      <c r="B1374" t="s">
        <v>819</v>
      </c>
      <c r="C1374" t="s">
        <v>63</v>
      </c>
      <c r="D1374" t="s">
        <v>4062</v>
      </c>
      <c r="E1374" t="s">
        <v>4778</v>
      </c>
      <c r="F1374" t="s">
        <v>63</v>
      </c>
      <c r="G1374">
        <v>1</v>
      </c>
      <c r="H1374" s="2">
        <v>38463</v>
      </c>
      <c r="I1374" s="2">
        <v>38463</v>
      </c>
    </row>
    <row r="1375" spans="1:9" x14ac:dyDescent="0.25">
      <c r="A1375" t="s">
        <v>818</v>
      </c>
      <c r="B1375" t="s">
        <v>819</v>
      </c>
      <c r="C1375" t="s">
        <v>63</v>
      </c>
      <c r="D1375" t="s">
        <v>4062</v>
      </c>
      <c r="E1375" t="s">
        <v>4779</v>
      </c>
      <c r="F1375" t="s">
        <v>63</v>
      </c>
      <c r="G1375">
        <v>1</v>
      </c>
      <c r="H1375" s="2">
        <v>701.4</v>
      </c>
      <c r="I1375" s="2">
        <v>701.4</v>
      </c>
    </row>
    <row r="1376" spans="1:9" x14ac:dyDescent="0.25">
      <c r="A1376" t="s">
        <v>818</v>
      </c>
      <c r="B1376" t="s">
        <v>819</v>
      </c>
      <c r="C1376" t="s">
        <v>63</v>
      </c>
      <c r="D1376" t="s">
        <v>4062</v>
      </c>
      <c r="E1376" t="s">
        <v>4780</v>
      </c>
      <c r="F1376" t="s">
        <v>63</v>
      </c>
      <c r="G1376">
        <v>1</v>
      </c>
      <c r="H1376" s="2">
        <v>832</v>
      </c>
      <c r="I1376" s="2">
        <v>832</v>
      </c>
    </row>
    <row r="1377" spans="1:9" x14ac:dyDescent="0.25">
      <c r="A1377" t="s">
        <v>818</v>
      </c>
      <c r="B1377" t="s">
        <v>819</v>
      </c>
      <c r="C1377" t="s">
        <v>63</v>
      </c>
      <c r="D1377" t="s">
        <v>4062</v>
      </c>
      <c r="E1377" t="s">
        <v>4796</v>
      </c>
      <c r="F1377" t="s">
        <v>63</v>
      </c>
      <c r="G1377">
        <v>1</v>
      </c>
      <c r="H1377" s="2">
        <v>16666.66</v>
      </c>
      <c r="I1377" s="2">
        <v>16666.66</v>
      </c>
    </row>
    <row r="1378" spans="1:9" x14ac:dyDescent="0.25">
      <c r="A1378" t="s">
        <v>818</v>
      </c>
      <c r="B1378" t="s">
        <v>819</v>
      </c>
      <c r="C1378" t="s">
        <v>63</v>
      </c>
      <c r="D1378" t="s">
        <v>4062</v>
      </c>
      <c r="E1378" t="s">
        <v>4782</v>
      </c>
      <c r="F1378" t="s">
        <v>63</v>
      </c>
      <c r="G1378">
        <v>2</v>
      </c>
      <c r="H1378" s="2">
        <v>3493</v>
      </c>
      <c r="I1378" s="2">
        <v>6986</v>
      </c>
    </row>
    <row r="1379" spans="1:9" x14ac:dyDescent="0.25">
      <c r="A1379" t="s">
        <v>818</v>
      </c>
      <c r="B1379" t="s">
        <v>819</v>
      </c>
      <c r="C1379" t="s">
        <v>63</v>
      </c>
      <c r="D1379" t="s">
        <v>4062</v>
      </c>
      <c r="E1379" t="s">
        <v>4783</v>
      </c>
      <c r="F1379" t="s">
        <v>63</v>
      </c>
      <c r="G1379">
        <v>1</v>
      </c>
      <c r="H1379" s="2">
        <v>59357</v>
      </c>
      <c r="I1379" s="2">
        <v>59357</v>
      </c>
    </row>
    <row r="1380" spans="1:9" x14ac:dyDescent="0.25">
      <c r="A1380" t="s">
        <v>818</v>
      </c>
      <c r="B1380" t="s">
        <v>819</v>
      </c>
      <c r="C1380" t="s">
        <v>63</v>
      </c>
      <c r="D1380" t="s">
        <v>4062</v>
      </c>
      <c r="E1380" t="s">
        <v>4784</v>
      </c>
      <c r="F1380" t="s">
        <v>42</v>
      </c>
      <c r="G1380">
        <v>6</v>
      </c>
      <c r="H1380" s="2">
        <v>4511</v>
      </c>
      <c r="I1380" s="2">
        <v>27066</v>
      </c>
    </row>
    <row r="1381" spans="1:9" x14ac:dyDescent="0.25">
      <c r="A1381" t="s">
        <v>818</v>
      </c>
      <c r="B1381" t="s">
        <v>819</v>
      </c>
      <c r="C1381" t="s">
        <v>63</v>
      </c>
      <c r="D1381" t="s">
        <v>4062</v>
      </c>
      <c r="E1381" t="s">
        <v>4785</v>
      </c>
      <c r="F1381" t="s">
        <v>63</v>
      </c>
      <c r="G1381">
        <v>1</v>
      </c>
      <c r="H1381" s="2">
        <v>71721.91</v>
      </c>
      <c r="I1381" s="2">
        <v>71721.91</v>
      </c>
    </row>
    <row r="1382" spans="1:9" x14ac:dyDescent="0.25">
      <c r="A1382" t="s">
        <v>818</v>
      </c>
      <c r="B1382" t="s">
        <v>819</v>
      </c>
      <c r="C1382" t="s">
        <v>63</v>
      </c>
      <c r="D1382" t="s">
        <v>4049</v>
      </c>
      <c r="E1382" t="s">
        <v>4241</v>
      </c>
      <c r="F1382" t="s">
        <v>4051</v>
      </c>
      <c r="G1382">
        <v>1</v>
      </c>
      <c r="H1382" s="2">
        <v>9941.22</v>
      </c>
      <c r="I1382" s="2">
        <v>9941.22</v>
      </c>
    </row>
    <row r="1383" spans="1:9" x14ac:dyDescent="0.25">
      <c r="A1383" t="s">
        <v>818</v>
      </c>
      <c r="B1383" t="s">
        <v>819</v>
      </c>
      <c r="C1383" t="s">
        <v>63</v>
      </c>
      <c r="D1383" t="s">
        <v>4049</v>
      </c>
      <c r="E1383" t="s">
        <v>4242</v>
      </c>
      <c r="F1383" t="s">
        <v>4051</v>
      </c>
      <c r="G1383">
        <v>1</v>
      </c>
      <c r="H1383" s="2">
        <v>17069.53</v>
      </c>
      <c r="I1383" s="2">
        <v>17069.53</v>
      </c>
    </row>
    <row r="1384" spans="1:9" x14ac:dyDescent="0.25">
      <c r="A1384" t="s">
        <v>818</v>
      </c>
      <c r="B1384" t="s">
        <v>819</v>
      </c>
      <c r="C1384" t="s">
        <v>63</v>
      </c>
      <c r="D1384" t="s">
        <v>4052</v>
      </c>
      <c r="E1384" t="s">
        <v>4053</v>
      </c>
      <c r="F1384" t="s">
        <v>4054</v>
      </c>
      <c r="G1384">
        <v>1</v>
      </c>
      <c r="H1384" s="2">
        <v>27010.75</v>
      </c>
      <c r="I1384" s="2">
        <v>270.11</v>
      </c>
    </row>
    <row r="1385" spans="1:9" x14ac:dyDescent="0.25">
      <c r="A1385" t="s">
        <v>821</v>
      </c>
      <c r="B1385" t="s">
        <v>822</v>
      </c>
      <c r="C1385" t="s">
        <v>63</v>
      </c>
      <c r="D1385" t="s">
        <v>4062</v>
      </c>
      <c r="E1385" t="s">
        <v>4788</v>
      </c>
      <c r="F1385" t="s">
        <v>63</v>
      </c>
      <c r="G1385">
        <v>1</v>
      </c>
      <c r="H1385" s="2">
        <v>647</v>
      </c>
      <c r="I1385" s="2">
        <v>647</v>
      </c>
    </row>
    <row r="1386" spans="1:9" x14ac:dyDescent="0.25">
      <c r="A1386" t="s">
        <v>821</v>
      </c>
      <c r="B1386" t="s">
        <v>822</v>
      </c>
      <c r="C1386" t="s">
        <v>63</v>
      </c>
      <c r="D1386" t="s">
        <v>4062</v>
      </c>
      <c r="E1386" t="s">
        <v>4704</v>
      </c>
      <c r="F1386" t="s">
        <v>63</v>
      </c>
      <c r="G1386">
        <v>1</v>
      </c>
      <c r="H1386" s="2">
        <v>461</v>
      </c>
      <c r="I1386" s="2">
        <v>461</v>
      </c>
    </row>
    <row r="1387" spans="1:9" x14ac:dyDescent="0.25">
      <c r="A1387" t="s">
        <v>821</v>
      </c>
      <c r="B1387" t="s">
        <v>822</v>
      </c>
      <c r="C1387" t="s">
        <v>63</v>
      </c>
      <c r="D1387" t="s">
        <v>4062</v>
      </c>
      <c r="E1387" t="s">
        <v>4799</v>
      </c>
      <c r="F1387" t="s">
        <v>63</v>
      </c>
      <c r="G1387">
        <v>1</v>
      </c>
      <c r="H1387" s="2">
        <v>13414.67</v>
      </c>
      <c r="I1387" s="2">
        <v>13414.67</v>
      </c>
    </row>
    <row r="1388" spans="1:9" x14ac:dyDescent="0.25">
      <c r="A1388" t="s">
        <v>821</v>
      </c>
      <c r="B1388" t="s">
        <v>822</v>
      </c>
      <c r="C1388" t="s">
        <v>63</v>
      </c>
      <c r="D1388" t="s">
        <v>4062</v>
      </c>
      <c r="E1388" t="s">
        <v>4790</v>
      </c>
      <c r="F1388" t="s">
        <v>63</v>
      </c>
      <c r="G1388">
        <v>1</v>
      </c>
      <c r="H1388" s="2">
        <v>2000</v>
      </c>
      <c r="I1388" s="2">
        <v>2000</v>
      </c>
    </row>
    <row r="1389" spans="1:9" x14ac:dyDescent="0.25">
      <c r="A1389" t="s">
        <v>821</v>
      </c>
      <c r="B1389" t="s">
        <v>822</v>
      </c>
      <c r="C1389" t="s">
        <v>63</v>
      </c>
      <c r="D1389" t="s">
        <v>4062</v>
      </c>
      <c r="E1389" t="s">
        <v>4791</v>
      </c>
      <c r="F1389" t="s">
        <v>63</v>
      </c>
      <c r="G1389">
        <v>1</v>
      </c>
      <c r="H1389" s="2">
        <v>23550</v>
      </c>
      <c r="I1389" s="2">
        <v>23550</v>
      </c>
    </row>
    <row r="1390" spans="1:9" x14ac:dyDescent="0.25">
      <c r="A1390" t="s">
        <v>821</v>
      </c>
      <c r="B1390" t="s">
        <v>822</v>
      </c>
      <c r="C1390" t="s">
        <v>63</v>
      </c>
      <c r="D1390" t="s">
        <v>4062</v>
      </c>
      <c r="E1390" t="s">
        <v>4792</v>
      </c>
      <c r="F1390" t="s">
        <v>42</v>
      </c>
      <c r="G1390">
        <v>6</v>
      </c>
      <c r="H1390" s="2">
        <v>2294</v>
      </c>
      <c r="I1390" s="2">
        <v>13764</v>
      </c>
    </row>
    <row r="1391" spans="1:9" x14ac:dyDescent="0.25">
      <c r="A1391" t="s">
        <v>821</v>
      </c>
      <c r="B1391" t="s">
        <v>822</v>
      </c>
      <c r="C1391" t="s">
        <v>63</v>
      </c>
      <c r="D1391" t="s">
        <v>4062</v>
      </c>
      <c r="E1391" t="s">
        <v>4793</v>
      </c>
      <c r="F1391" t="s">
        <v>63</v>
      </c>
      <c r="G1391">
        <v>1</v>
      </c>
      <c r="H1391" s="2">
        <v>19610.34</v>
      </c>
      <c r="I1391" s="2">
        <v>19610.34</v>
      </c>
    </row>
    <row r="1392" spans="1:9" x14ac:dyDescent="0.25">
      <c r="A1392" t="s">
        <v>821</v>
      </c>
      <c r="B1392" t="s">
        <v>822</v>
      </c>
      <c r="C1392" t="s">
        <v>63</v>
      </c>
      <c r="D1392" t="s">
        <v>4049</v>
      </c>
      <c r="E1392" t="s">
        <v>4241</v>
      </c>
      <c r="F1392" t="s">
        <v>4051</v>
      </c>
      <c r="G1392">
        <v>1</v>
      </c>
      <c r="H1392" s="2">
        <v>9941.22</v>
      </c>
      <c r="I1392" s="2">
        <v>9941.22</v>
      </c>
    </row>
    <row r="1393" spans="1:9" x14ac:dyDescent="0.25">
      <c r="A1393" t="s">
        <v>821</v>
      </c>
      <c r="B1393" t="s">
        <v>822</v>
      </c>
      <c r="C1393" t="s">
        <v>63</v>
      </c>
      <c r="D1393" t="s">
        <v>4049</v>
      </c>
      <c r="E1393" t="s">
        <v>4242</v>
      </c>
      <c r="F1393" t="s">
        <v>4051</v>
      </c>
      <c r="G1393">
        <v>1</v>
      </c>
      <c r="H1393" s="2">
        <v>17069.53</v>
      </c>
      <c r="I1393" s="2">
        <v>17069.53</v>
      </c>
    </row>
    <row r="1394" spans="1:9" x14ac:dyDescent="0.25">
      <c r="A1394" t="s">
        <v>821</v>
      </c>
      <c r="B1394" t="s">
        <v>822</v>
      </c>
      <c r="C1394" t="s">
        <v>63</v>
      </c>
      <c r="D1394" t="s">
        <v>4052</v>
      </c>
      <c r="E1394" t="s">
        <v>4053</v>
      </c>
      <c r="F1394" t="s">
        <v>4054</v>
      </c>
      <c r="G1394">
        <v>1</v>
      </c>
      <c r="H1394" s="2">
        <v>27010.75</v>
      </c>
      <c r="I1394" s="2">
        <v>270.11</v>
      </c>
    </row>
    <row r="1395" spans="1:9" x14ac:dyDescent="0.25">
      <c r="A1395" t="s">
        <v>824</v>
      </c>
      <c r="B1395" t="s">
        <v>825</v>
      </c>
      <c r="C1395" t="s">
        <v>63</v>
      </c>
      <c r="D1395" t="s">
        <v>4062</v>
      </c>
      <c r="E1395" t="s">
        <v>4802</v>
      </c>
      <c r="F1395" t="s">
        <v>63</v>
      </c>
      <c r="G1395">
        <v>1</v>
      </c>
      <c r="H1395" s="2">
        <v>300950</v>
      </c>
      <c r="I1395" s="2">
        <v>300950</v>
      </c>
    </row>
    <row r="1396" spans="1:9" x14ac:dyDescent="0.25">
      <c r="A1396" t="s">
        <v>824</v>
      </c>
      <c r="B1396" t="s">
        <v>825</v>
      </c>
      <c r="C1396" t="s">
        <v>63</v>
      </c>
      <c r="D1396" t="s">
        <v>4062</v>
      </c>
      <c r="E1396" t="s">
        <v>4737</v>
      </c>
      <c r="F1396" t="s">
        <v>42</v>
      </c>
      <c r="G1396">
        <v>1.05</v>
      </c>
      <c r="H1396" s="2">
        <v>6446</v>
      </c>
      <c r="I1396" s="2">
        <v>6768.3</v>
      </c>
    </row>
    <row r="1397" spans="1:9" x14ac:dyDescent="0.25">
      <c r="A1397" t="s">
        <v>824</v>
      </c>
      <c r="B1397" t="s">
        <v>825</v>
      </c>
      <c r="C1397" t="s">
        <v>63</v>
      </c>
      <c r="D1397" t="s">
        <v>4062</v>
      </c>
      <c r="E1397" t="s">
        <v>4683</v>
      </c>
      <c r="F1397" t="s">
        <v>42</v>
      </c>
      <c r="G1397">
        <v>1.05</v>
      </c>
      <c r="H1397" s="2">
        <v>16056</v>
      </c>
      <c r="I1397" s="2">
        <v>16858.8</v>
      </c>
    </row>
    <row r="1398" spans="1:9" x14ac:dyDescent="0.25">
      <c r="A1398" t="s">
        <v>824</v>
      </c>
      <c r="B1398" t="s">
        <v>825</v>
      </c>
      <c r="C1398" t="s">
        <v>63</v>
      </c>
      <c r="D1398" t="s">
        <v>4062</v>
      </c>
      <c r="E1398" t="s">
        <v>4691</v>
      </c>
      <c r="F1398" t="s">
        <v>4532</v>
      </c>
      <c r="G1398">
        <v>1</v>
      </c>
      <c r="H1398" s="2">
        <v>748</v>
      </c>
      <c r="I1398" s="2">
        <v>748</v>
      </c>
    </row>
    <row r="1399" spans="1:9" x14ac:dyDescent="0.25">
      <c r="A1399" t="s">
        <v>824</v>
      </c>
      <c r="B1399" t="s">
        <v>825</v>
      </c>
      <c r="C1399" t="s">
        <v>63</v>
      </c>
      <c r="D1399" t="s">
        <v>4062</v>
      </c>
      <c r="E1399" t="s">
        <v>4740</v>
      </c>
      <c r="F1399" t="s">
        <v>63</v>
      </c>
      <c r="G1399">
        <v>2.1</v>
      </c>
      <c r="H1399" s="2">
        <v>1249.07</v>
      </c>
      <c r="I1399" s="2">
        <v>2623.05</v>
      </c>
    </row>
    <row r="1400" spans="1:9" x14ac:dyDescent="0.25">
      <c r="A1400" t="s">
        <v>824</v>
      </c>
      <c r="B1400" t="s">
        <v>825</v>
      </c>
      <c r="C1400" t="s">
        <v>63</v>
      </c>
      <c r="D1400" t="s">
        <v>4062</v>
      </c>
      <c r="E1400" t="s">
        <v>4686</v>
      </c>
      <c r="F1400" t="s">
        <v>63</v>
      </c>
      <c r="G1400">
        <v>2.1</v>
      </c>
      <c r="H1400" s="2">
        <v>8177.67</v>
      </c>
      <c r="I1400" s="2">
        <v>17173.11</v>
      </c>
    </row>
    <row r="1401" spans="1:9" x14ac:dyDescent="0.25">
      <c r="A1401" t="s">
        <v>824</v>
      </c>
      <c r="B1401" t="s">
        <v>825</v>
      </c>
      <c r="C1401" t="s">
        <v>63</v>
      </c>
      <c r="D1401" t="s">
        <v>4062</v>
      </c>
      <c r="E1401" t="s">
        <v>4659</v>
      </c>
      <c r="F1401" t="s">
        <v>4377</v>
      </c>
      <c r="G1401">
        <v>0.01</v>
      </c>
      <c r="H1401" s="2">
        <v>31500</v>
      </c>
      <c r="I1401" s="2">
        <v>315</v>
      </c>
    </row>
    <row r="1402" spans="1:9" x14ac:dyDescent="0.25">
      <c r="A1402" t="s">
        <v>824</v>
      </c>
      <c r="B1402" t="s">
        <v>825</v>
      </c>
      <c r="C1402" t="s">
        <v>63</v>
      </c>
      <c r="D1402" t="s">
        <v>4062</v>
      </c>
      <c r="E1402" t="s">
        <v>4376</v>
      </c>
      <c r="F1402" t="s">
        <v>4377</v>
      </c>
      <c r="G1402">
        <v>0.05</v>
      </c>
      <c r="H1402" s="2">
        <v>72237.67</v>
      </c>
      <c r="I1402" s="2">
        <v>3611.88</v>
      </c>
    </row>
    <row r="1403" spans="1:9" x14ac:dyDescent="0.25">
      <c r="A1403" t="s">
        <v>824</v>
      </c>
      <c r="B1403" t="s">
        <v>825</v>
      </c>
      <c r="C1403" t="s">
        <v>63</v>
      </c>
      <c r="D1403" t="s">
        <v>4049</v>
      </c>
      <c r="E1403" t="s">
        <v>4241</v>
      </c>
      <c r="F1403" t="s">
        <v>4051</v>
      </c>
      <c r="G1403">
        <v>4</v>
      </c>
      <c r="H1403" s="2">
        <v>9941.22</v>
      </c>
      <c r="I1403" s="2">
        <v>39764.88</v>
      </c>
    </row>
    <row r="1404" spans="1:9" x14ac:dyDescent="0.25">
      <c r="A1404" t="s">
        <v>824</v>
      </c>
      <c r="B1404" t="s">
        <v>825</v>
      </c>
      <c r="C1404" t="s">
        <v>63</v>
      </c>
      <c r="D1404" t="s">
        <v>4049</v>
      </c>
      <c r="E1404" t="s">
        <v>4242</v>
      </c>
      <c r="F1404" t="s">
        <v>4051</v>
      </c>
      <c r="G1404">
        <v>2</v>
      </c>
      <c r="H1404" s="2">
        <v>17069.53</v>
      </c>
      <c r="I1404" s="2">
        <v>34139.06</v>
      </c>
    </row>
    <row r="1405" spans="1:9" x14ac:dyDescent="0.25">
      <c r="A1405" t="s">
        <v>824</v>
      </c>
      <c r="B1405" t="s">
        <v>825</v>
      </c>
      <c r="C1405" t="s">
        <v>63</v>
      </c>
      <c r="D1405" t="s">
        <v>4052</v>
      </c>
      <c r="E1405" t="s">
        <v>4053</v>
      </c>
      <c r="F1405" t="s">
        <v>4054</v>
      </c>
      <c r="G1405">
        <v>12</v>
      </c>
      <c r="H1405" s="2">
        <v>73903.94</v>
      </c>
      <c r="I1405" s="2">
        <v>8868.47</v>
      </c>
    </row>
    <row r="1406" spans="1:9" x14ac:dyDescent="0.25">
      <c r="A1406" t="s">
        <v>827</v>
      </c>
      <c r="B1406" t="s">
        <v>828</v>
      </c>
      <c r="C1406" t="s">
        <v>63</v>
      </c>
      <c r="D1406" t="s">
        <v>4062</v>
      </c>
      <c r="E1406" t="s">
        <v>4805</v>
      </c>
      <c r="F1406" t="s">
        <v>63</v>
      </c>
      <c r="G1406">
        <v>1</v>
      </c>
      <c r="H1406" s="2">
        <v>565500</v>
      </c>
      <c r="I1406" s="2">
        <v>565500</v>
      </c>
    </row>
    <row r="1407" spans="1:9" x14ac:dyDescent="0.25">
      <c r="A1407" t="s">
        <v>827</v>
      </c>
      <c r="B1407" t="s">
        <v>828</v>
      </c>
      <c r="C1407" t="s">
        <v>63</v>
      </c>
      <c r="D1407" t="s">
        <v>4062</v>
      </c>
      <c r="E1407" t="s">
        <v>4737</v>
      </c>
      <c r="F1407" t="s">
        <v>42</v>
      </c>
      <c r="G1407">
        <v>1.05</v>
      </c>
      <c r="H1407" s="2">
        <v>6446</v>
      </c>
      <c r="I1407" s="2">
        <v>6768.3</v>
      </c>
    </row>
    <row r="1408" spans="1:9" x14ac:dyDescent="0.25">
      <c r="A1408" t="s">
        <v>827</v>
      </c>
      <c r="B1408" t="s">
        <v>828</v>
      </c>
      <c r="C1408" t="s">
        <v>63</v>
      </c>
      <c r="D1408" t="s">
        <v>4062</v>
      </c>
      <c r="E1408" t="s">
        <v>4683</v>
      </c>
      <c r="F1408" t="s">
        <v>42</v>
      </c>
      <c r="G1408">
        <v>1.05</v>
      </c>
      <c r="H1408" s="2">
        <v>16056</v>
      </c>
      <c r="I1408" s="2">
        <v>16858.8</v>
      </c>
    </row>
    <row r="1409" spans="1:9" x14ac:dyDescent="0.25">
      <c r="A1409" t="s">
        <v>827</v>
      </c>
      <c r="B1409" t="s">
        <v>828</v>
      </c>
      <c r="C1409" t="s">
        <v>63</v>
      </c>
      <c r="D1409" t="s">
        <v>4062</v>
      </c>
      <c r="E1409" t="s">
        <v>4691</v>
      </c>
      <c r="F1409" t="s">
        <v>4532</v>
      </c>
      <c r="G1409">
        <v>1</v>
      </c>
      <c r="H1409" s="2">
        <v>748</v>
      </c>
      <c r="I1409" s="2">
        <v>748</v>
      </c>
    </row>
    <row r="1410" spans="1:9" x14ac:dyDescent="0.25">
      <c r="A1410" t="s">
        <v>827</v>
      </c>
      <c r="B1410" t="s">
        <v>828</v>
      </c>
      <c r="C1410" t="s">
        <v>63</v>
      </c>
      <c r="D1410" t="s">
        <v>4062</v>
      </c>
      <c r="E1410" t="s">
        <v>4740</v>
      </c>
      <c r="F1410" t="s">
        <v>63</v>
      </c>
      <c r="G1410">
        <v>2.1</v>
      </c>
      <c r="H1410" s="2">
        <v>1249.07</v>
      </c>
      <c r="I1410" s="2">
        <v>2623.05</v>
      </c>
    </row>
    <row r="1411" spans="1:9" x14ac:dyDescent="0.25">
      <c r="A1411" t="s">
        <v>827</v>
      </c>
      <c r="B1411" t="s">
        <v>828</v>
      </c>
      <c r="C1411" t="s">
        <v>63</v>
      </c>
      <c r="D1411" t="s">
        <v>4062</v>
      </c>
      <c r="E1411" t="s">
        <v>4686</v>
      </c>
      <c r="F1411" t="s">
        <v>63</v>
      </c>
      <c r="G1411">
        <v>2.1</v>
      </c>
      <c r="H1411" s="2">
        <v>8177.67</v>
      </c>
      <c r="I1411" s="2">
        <v>17173.11</v>
      </c>
    </row>
    <row r="1412" spans="1:9" x14ac:dyDescent="0.25">
      <c r="A1412" t="s">
        <v>827</v>
      </c>
      <c r="B1412" t="s">
        <v>828</v>
      </c>
      <c r="C1412" t="s">
        <v>63</v>
      </c>
      <c r="D1412" t="s">
        <v>4062</v>
      </c>
      <c r="E1412" t="s">
        <v>4659</v>
      </c>
      <c r="F1412" t="s">
        <v>4377</v>
      </c>
      <c r="G1412">
        <v>0.01</v>
      </c>
      <c r="H1412" s="2">
        <v>31500</v>
      </c>
      <c r="I1412" s="2">
        <v>315</v>
      </c>
    </row>
    <row r="1413" spans="1:9" x14ac:dyDescent="0.25">
      <c r="A1413" t="s">
        <v>827</v>
      </c>
      <c r="B1413" t="s">
        <v>828</v>
      </c>
      <c r="C1413" t="s">
        <v>63</v>
      </c>
      <c r="D1413" t="s">
        <v>4062</v>
      </c>
      <c r="E1413" t="s">
        <v>4376</v>
      </c>
      <c r="F1413" t="s">
        <v>4377</v>
      </c>
      <c r="G1413">
        <v>0.05</v>
      </c>
      <c r="H1413" s="2">
        <v>72237.67</v>
      </c>
      <c r="I1413" s="2">
        <v>3611.88</v>
      </c>
    </row>
    <row r="1414" spans="1:9" x14ac:dyDescent="0.25">
      <c r="A1414" t="s">
        <v>827</v>
      </c>
      <c r="B1414" t="s">
        <v>828</v>
      </c>
      <c r="C1414" t="s">
        <v>63</v>
      </c>
      <c r="D1414" t="s">
        <v>4049</v>
      </c>
      <c r="E1414" t="s">
        <v>4241</v>
      </c>
      <c r="F1414" t="s">
        <v>4051</v>
      </c>
      <c r="G1414">
        <v>4</v>
      </c>
      <c r="H1414" s="2">
        <v>9941.22</v>
      </c>
      <c r="I1414" s="2">
        <v>39764.88</v>
      </c>
    </row>
    <row r="1415" spans="1:9" x14ac:dyDescent="0.25">
      <c r="A1415" t="s">
        <v>827</v>
      </c>
      <c r="B1415" t="s">
        <v>828</v>
      </c>
      <c r="C1415" t="s">
        <v>63</v>
      </c>
      <c r="D1415" t="s">
        <v>4049</v>
      </c>
      <c r="E1415" t="s">
        <v>4242</v>
      </c>
      <c r="F1415" t="s">
        <v>4051</v>
      </c>
      <c r="G1415">
        <v>2</v>
      </c>
      <c r="H1415" s="2">
        <v>17069.53</v>
      </c>
      <c r="I1415" s="2">
        <v>34139.06</v>
      </c>
    </row>
    <row r="1416" spans="1:9" x14ac:dyDescent="0.25">
      <c r="A1416" t="s">
        <v>827</v>
      </c>
      <c r="B1416" t="s">
        <v>828</v>
      </c>
      <c r="C1416" t="s">
        <v>63</v>
      </c>
      <c r="D1416" t="s">
        <v>4052</v>
      </c>
      <c r="E1416" t="s">
        <v>4053</v>
      </c>
      <c r="F1416" t="s">
        <v>4054</v>
      </c>
      <c r="G1416">
        <v>12</v>
      </c>
      <c r="H1416" s="2">
        <v>73903.94</v>
      </c>
      <c r="I1416" s="2">
        <v>8868.47</v>
      </c>
    </row>
    <row r="1417" spans="1:9" x14ac:dyDescent="0.25">
      <c r="A1417" t="s">
        <v>830</v>
      </c>
      <c r="B1417" t="s">
        <v>831</v>
      </c>
      <c r="C1417" t="s">
        <v>63</v>
      </c>
      <c r="D1417" t="s">
        <v>4062</v>
      </c>
      <c r="E1417" t="s">
        <v>4808</v>
      </c>
      <c r="F1417" t="s">
        <v>63</v>
      </c>
      <c r="G1417">
        <v>1</v>
      </c>
      <c r="H1417" s="2">
        <v>117400</v>
      </c>
      <c r="I1417" s="2">
        <v>117400</v>
      </c>
    </row>
    <row r="1418" spans="1:9" x14ac:dyDescent="0.25">
      <c r="A1418" t="s">
        <v>830</v>
      </c>
      <c r="B1418" t="s">
        <v>831</v>
      </c>
      <c r="C1418" t="s">
        <v>63</v>
      </c>
      <c r="D1418" t="s">
        <v>4062</v>
      </c>
      <c r="E1418" t="s">
        <v>4737</v>
      </c>
      <c r="F1418" t="s">
        <v>42</v>
      </c>
      <c r="G1418">
        <v>1.05</v>
      </c>
      <c r="H1418" s="2">
        <v>6446</v>
      </c>
      <c r="I1418" s="2">
        <v>6768.3</v>
      </c>
    </row>
    <row r="1419" spans="1:9" x14ac:dyDescent="0.25">
      <c r="A1419" t="s">
        <v>830</v>
      </c>
      <c r="B1419" t="s">
        <v>831</v>
      </c>
      <c r="C1419" t="s">
        <v>63</v>
      </c>
      <c r="D1419" t="s">
        <v>4062</v>
      </c>
      <c r="E1419" t="s">
        <v>4683</v>
      </c>
      <c r="F1419" t="s">
        <v>42</v>
      </c>
      <c r="G1419">
        <v>1.05</v>
      </c>
      <c r="H1419" s="2">
        <v>16056</v>
      </c>
      <c r="I1419" s="2">
        <v>16858.8</v>
      </c>
    </row>
    <row r="1420" spans="1:9" x14ac:dyDescent="0.25">
      <c r="A1420" t="s">
        <v>830</v>
      </c>
      <c r="B1420" t="s">
        <v>831</v>
      </c>
      <c r="C1420" t="s">
        <v>63</v>
      </c>
      <c r="D1420" t="s">
        <v>4062</v>
      </c>
      <c r="E1420" t="s">
        <v>4691</v>
      </c>
      <c r="F1420" t="s">
        <v>4532</v>
      </c>
      <c r="G1420">
        <v>0.7</v>
      </c>
      <c r="H1420" s="2">
        <v>748</v>
      </c>
      <c r="I1420" s="2">
        <v>523.6</v>
      </c>
    </row>
    <row r="1421" spans="1:9" x14ac:dyDescent="0.25">
      <c r="A1421" t="s">
        <v>830</v>
      </c>
      <c r="B1421" t="s">
        <v>831</v>
      </c>
      <c r="C1421" t="s">
        <v>63</v>
      </c>
      <c r="D1421" t="s">
        <v>4062</v>
      </c>
      <c r="E1421" t="s">
        <v>4740</v>
      </c>
      <c r="F1421" t="s">
        <v>63</v>
      </c>
      <c r="G1421">
        <v>2.1</v>
      </c>
      <c r="H1421" s="2">
        <v>1249.07</v>
      </c>
      <c r="I1421" s="2">
        <v>2623.05</v>
      </c>
    </row>
    <row r="1422" spans="1:9" x14ac:dyDescent="0.25">
      <c r="A1422" t="s">
        <v>830</v>
      </c>
      <c r="B1422" t="s">
        <v>831</v>
      </c>
      <c r="C1422" t="s">
        <v>63</v>
      </c>
      <c r="D1422" t="s">
        <v>4062</v>
      </c>
      <c r="E1422" t="s">
        <v>4686</v>
      </c>
      <c r="F1422" t="s">
        <v>63</v>
      </c>
      <c r="G1422">
        <v>2.1</v>
      </c>
      <c r="H1422" s="2">
        <v>8177.67</v>
      </c>
      <c r="I1422" s="2">
        <v>17173.11</v>
      </c>
    </row>
    <row r="1423" spans="1:9" x14ac:dyDescent="0.25">
      <c r="A1423" t="s">
        <v>830</v>
      </c>
      <c r="B1423" t="s">
        <v>831</v>
      </c>
      <c r="C1423" t="s">
        <v>63</v>
      </c>
      <c r="D1423" t="s">
        <v>4062</v>
      </c>
      <c r="E1423" t="s">
        <v>4659</v>
      </c>
      <c r="F1423" t="s">
        <v>4377</v>
      </c>
      <c r="G1423">
        <v>0.01</v>
      </c>
      <c r="H1423" s="2">
        <v>31500</v>
      </c>
      <c r="I1423" s="2">
        <v>315</v>
      </c>
    </row>
    <row r="1424" spans="1:9" x14ac:dyDescent="0.25">
      <c r="A1424" t="s">
        <v>830</v>
      </c>
      <c r="B1424" t="s">
        <v>831</v>
      </c>
      <c r="C1424" t="s">
        <v>63</v>
      </c>
      <c r="D1424" t="s">
        <v>4062</v>
      </c>
      <c r="E1424" t="s">
        <v>4376</v>
      </c>
      <c r="F1424" t="s">
        <v>4377</v>
      </c>
      <c r="G1424">
        <v>0.05</v>
      </c>
      <c r="H1424" s="2">
        <v>72237.67</v>
      </c>
      <c r="I1424" s="2">
        <v>3611.88</v>
      </c>
    </row>
    <row r="1425" spans="1:9" x14ac:dyDescent="0.25">
      <c r="A1425" t="s">
        <v>830</v>
      </c>
      <c r="B1425" t="s">
        <v>831</v>
      </c>
      <c r="C1425" t="s">
        <v>63</v>
      </c>
      <c r="D1425" t="s">
        <v>4049</v>
      </c>
      <c r="E1425" t="s">
        <v>4241</v>
      </c>
      <c r="F1425" t="s">
        <v>4051</v>
      </c>
      <c r="G1425">
        <v>2.8</v>
      </c>
      <c r="H1425" s="2">
        <v>9941.22</v>
      </c>
      <c r="I1425" s="2">
        <v>27835.42</v>
      </c>
    </row>
    <row r="1426" spans="1:9" x14ac:dyDescent="0.25">
      <c r="A1426" t="s">
        <v>830</v>
      </c>
      <c r="B1426" t="s">
        <v>831</v>
      </c>
      <c r="C1426" t="s">
        <v>63</v>
      </c>
      <c r="D1426" t="s">
        <v>4049</v>
      </c>
      <c r="E1426" t="s">
        <v>4242</v>
      </c>
      <c r="F1426" t="s">
        <v>4051</v>
      </c>
      <c r="G1426">
        <v>1.3</v>
      </c>
      <c r="H1426" s="2">
        <v>17069.53</v>
      </c>
      <c r="I1426" s="2">
        <v>22190.39</v>
      </c>
    </row>
    <row r="1427" spans="1:9" x14ac:dyDescent="0.25">
      <c r="A1427" t="s">
        <v>830</v>
      </c>
      <c r="B1427" t="s">
        <v>831</v>
      </c>
      <c r="C1427" t="s">
        <v>63</v>
      </c>
      <c r="D1427" t="s">
        <v>4052</v>
      </c>
      <c r="E1427" t="s">
        <v>4053</v>
      </c>
      <c r="F1427" t="s">
        <v>4054</v>
      </c>
      <c r="G1427">
        <v>12</v>
      </c>
      <c r="H1427" s="2">
        <v>50025.81</v>
      </c>
      <c r="I1427" s="2">
        <v>6003.1</v>
      </c>
    </row>
    <row r="1428" spans="1:9" x14ac:dyDescent="0.25">
      <c r="A1428" t="s">
        <v>833</v>
      </c>
      <c r="B1428" t="s">
        <v>834</v>
      </c>
      <c r="C1428" t="s">
        <v>63</v>
      </c>
      <c r="D1428" t="s">
        <v>4062</v>
      </c>
      <c r="E1428" t="s">
        <v>4811</v>
      </c>
      <c r="F1428" t="s">
        <v>63</v>
      </c>
      <c r="G1428">
        <v>1</v>
      </c>
      <c r="H1428" s="2">
        <v>158200</v>
      </c>
      <c r="I1428" s="2">
        <v>158200</v>
      </c>
    </row>
    <row r="1429" spans="1:9" x14ac:dyDescent="0.25">
      <c r="A1429" t="s">
        <v>833</v>
      </c>
      <c r="B1429" t="s">
        <v>834</v>
      </c>
      <c r="C1429" t="s">
        <v>63</v>
      </c>
      <c r="D1429" t="s">
        <v>4062</v>
      </c>
      <c r="E1429" t="s">
        <v>4737</v>
      </c>
      <c r="F1429" t="s">
        <v>42</v>
      </c>
      <c r="G1429">
        <v>1.05</v>
      </c>
      <c r="H1429" s="2">
        <v>6446</v>
      </c>
      <c r="I1429" s="2">
        <v>6768.3</v>
      </c>
    </row>
    <row r="1430" spans="1:9" x14ac:dyDescent="0.25">
      <c r="A1430" t="s">
        <v>833</v>
      </c>
      <c r="B1430" t="s">
        <v>834</v>
      </c>
      <c r="C1430" t="s">
        <v>63</v>
      </c>
      <c r="D1430" t="s">
        <v>4062</v>
      </c>
      <c r="E1430" t="s">
        <v>4683</v>
      </c>
      <c r="F1430" t="s">
        <v>42</v>
      </c>
      <c r="G1430">
        <v>1.05</v>
      </c>
      <c r="H1430" s="2">
        <v>16056</v>
      </c>
      <c r="I1430" s="2">
        <v>16858.8</v>
      </c>
    </row>
    <row r="1431" spans="1:9" x14ac:dyDescent="0.25">
      <c r="A1431" t="s">
        <v>833</v>
      </c>
      <c r="B1431" t="s">
        <v>834</v>
      </c>
      <c r="C1431" t="s">
        <v>63</v>
      </c>
      <c r="D1431" t="s">
        <v>4062</v>
      </c>
      <c r="E1431" t="s">
        <v>4691</v>
      </c>
      <c r="F1431" t="s">
        <v>4532</v>
      </c>
      <c r="G1431">
        <v>1</v>
      </c>
      <c r="H1431" s="2">
        <v>748</v>
      </c>
      <c r="I1431" s="2">
        <v>748</v>
      </c>
    </row>
    <row r="1432" spans="1:9" x14ac:dyDescent="0.25">
      <c r="A1432" t="s">
        <v>833</v>
      </c>
      <c r="B1432" t="s">
        <v>834</v>
      </c>
      <c r="C1432" t="s">
        <v>63</v>
      </c>
      <c r="D1432" t="s">
        <v>4062</v>
      </c>
      <c r="E1432" t="s">
        <v>4740</v>
      </c>
      <c r="F1432" t="s">
        <v>63</v>
      </c>
      <c r="G1432">
        <v>2.1</v>
      </c>
      <c r="H1432" s="2">
        <v>1249.07</v>
      </c>
      <c r="I1432" s="2">
        <v>2623.05</v>
      </c>
    </row>
    <row r="1433" spans="1:9" x14ac:dyDescent="0.25">
      <c r="A1433" t="s">
        <v>833</v>
      </c>
      <c r="B1433" t="s">
        <v>834</v>
      </c>
      <c r="C1433" t="s">
        <v>63</v>
      </c>
      <c r="D1433" t="s">
        <v>4062</v>
      </c>
      <c r="E1433" t="s">
        <v>4686</v>
      </c>
      <c r="F1433" t="s">
        <v>63</v>
      </c>
      <c r="G1433">
        <v>2.1</v>
      </c>
      <c r="H1433" s="2">
        <v>8177.67</v>
      </c>
      <c r="I1433" s="2">
        <v>17173.11</v>
      </c>
    </row>
    <row r="1434" spans="1:9" x14ac:dyDescent="0.25">
      <c r="A1434" t="s">
        <v>833</v>
      </c>
      <c r="B1434" t="s">
        <v>834</v>
      </c>
      <c r="C1434" t="s">
        <v>63</v>
      </c>
      <c r="D1434" t="s">
        <v>4062</v>
      </c>
      <c r="E1434" t="s">
        <v>4659</v>
      </c>
      <c r="F1434" t="s">
        <v>4377</v>
      </c>
      <c r="G1434">
        <v>0.01</v>
      </c>
      <c r="H1434" s="2">
        <v>31500</v>
      </c>
      <c r="I1434" s="2">
        <v>315</v>
      </c>
    </row>
    <row r="1435" spans="1:9" x14ac:dyDescent="0.25">
      <c r="A1435" t="s">
        <v>833</v>
      </c>
      <c r="B1435" t="s">
        <v>834</v>
      </c>
      <c r="C1435" t="s">
        <v>63</v>
      </c>
      <c r="D1435" t="s">
        <v>4062</v>
      </c>
      <c r="E1435" t="s">
        <v>4376</v>
      </c>
      <c r="F1435" t="s">
        <v>4377</v>
      </c>
      <c r="G1435">
        <v>0.05</v>
      </c>
      <c r="H1435" s="2">
        <v>72237.67</v>
      </c>
      <c r="I1435" s="2">
        <v>3611.88</v>
      </c>
    </row>
    <row r="1436" spans="1:9" x14ac:dyDescent="0.25">
      <c r="A1436" t="s">
        <v>833</v>
      </c>
      <c r="B1436" t="s">
        <v>834</v>
      </c>
      <c r="C1436" t="s">
        <v>63</v>
      </c>
      <c r="D1436" t="s">
        <v>4049</v>
      </c>
      <c r="E1436" t="s">
        <v>4241</v>
      </c>
      <c r="F1436" t="s">
        <v>4051</v>
      </c>
      <c r="G1436">
        <v>4</v>
      </c>
      <c r="H1436" s="2">
        <v>9941.22</v>
      </c>
      <c r="I1436" s="2">
        <v>39764.88</v>
      </c>
    </row>
    <row r="1437" spans="1:9" x14ac:dyDescent="0.25">
      <c r="A1437" t="s">
        <v>833</v>
      </c>
      <c r="B1437" t="s">
        <v>834</v>
      </c>
      <c r="C1437" t="s">
        <v>63</v>
      </c>
      <c r="D1437" t="s">
        <v>4049</v>
      </c>
      <c r="E1437" t="s">
        <v>4242</v>
      </c>
      <c r="F1437" t="s">
        <v>4051</v>
      </c>
      <c r="G1437">
        <v>2</v>
      </c>
      <c r="H1437" s="2">
        <v>17069.53</v>
      </c>
      <c r="I1437" s="2">
        <v>34139.06</v>
      </c>
    </row>
    <row r="1438" spans="1:9" x14ac:dyDescent="0.25">
      <c r="A1438" t="s">
        <v>833</v>
      </c>
      <c r="B1438" t="s">
        <v>834</v>
      </c>
      <c r="C1438" t="s">
        <v>63</v>
      </c>
      <c r="D1438" t="s">
        <v>4052</v>
      </c>
      <c r="E1438" t="s">
        <v>4053</v>
      </c>
      <c r="F1438" t="s">
        <v>4054</v>
      </c>
      <c r="G1438">
        <v>12</v>
      </c>
      <c r="H1438" s="2">
        <v>73903.94</v>
      </c>
      <c r="I1438" s="2">
        <v>8868.47</v>
      </c>
    </row>
    <row r="1439" spans="1:9" x14ac:dyDescent="0.25">
      <c r="A1439" t="s">
        <v>836</v>
      </c>
      <c r="B1439" t="s">
        <v>837</v>
      </c>
      <c r="C1439" t="s">
        <v>63</v>
      </c>
      <c r="D1439" t="s">
        <v>4062</v>
      </c>
      <c r="E1439" t="s">
        <v>4814</v>
      </c>
      <c r="F1439" t="s">
        <v>63</v>
      </c>
      <c r="G1439">
        <v>1</v>
      </c>
      <c r="H1439" s="2">
        <v>2325450</v>
      </c>
      <c r="I1439" s="2">
        <v>2325450</v>
      </c>
    </row>
    <row r="1440" spans="1:9" x14ac:dyDescent="0.25">
      <c r="A1440" t="s">
        <v>836</v>
      </c>
      <c r="B1440" t="s">
        <v>837</v>
      </c>
      <c r="C1440" t="s">
        <v>63</v>
      </c>
      <c r="D1440" t="s">
        <v>4062</v>
      </c>
      <c r="E1440" t="s">
        <v>4737</v>
      </c>
      <c r="F1440" t="s">
        <v>42</v>
      </c>
      <c r="G1440">
        <v>1.05</v>
      </c>
      <c r="H1440" s="2">
        <v>6446</v>
      </c>
      <c r="I1440" s="2">
        <v>6768.3</v>
      </c>
    </row>
    <row r="1441" spans="1:9" x14ac:dyDescent="0.25">
      <c r="A1441" t="s">
        <v>836</v>
      </c>
      <c r="B1441" t="s">
        <v>837</v>
      </c>
      <c r="C1441" t="s">
        <v>63</v>
      </c>
      <c r="D1441" t="s">
        <v>4062</v>
      </c>
      <c r="E1441" t="s">
        <v>4683</v>
      </c>
      <c r="F1441" t="s">
        <v>42</v>
      </c>
      <c r="G1441">
        <v>1.05</v>
      </c>
      <c r="H1441" s="2">
        <v>16056</v>
      </c>
      <c r="I1441" s="2">
        <v>16858.8</v>
      </c>
    </row>
    <row r="1442" spans="1:9" x14ac:dyDescent="0.25">
      <c r="A1442" t="s">
        <v>836</v>
      </c>
      <c r="B1442" t="s">
        <v>837</v>
      </c>
      <c r="C1442" t="s">
        <v>63</v>
      </c>
      <c r="D1442" t="s">
        <v>4062</v>
      </c>
      <c r="E1442" t="s">
        <v>4691</v>
      </c>
      <c r="F1442" t="s">
        <v>4532</v>
      </c>
      <c r="G1442">
        <v>1</v>
      </c>
      <c r="H1442" s="2">
        <v>748</v>
      </c>
      <c r="I1442" s="2">
        <v>748</v>
      </c>
    </row>
    <row r="1443" spans="1:9" x14ac:dyDescent="0.25">
      <c r="A1443" t="s">
        <v>836</v>
      </c>
      <c r="B1443" t="s">
        <v>837</v>
      </c>
      <c r="C1443" t="s">
        <v>63</v>
      </c>
      <c r="D1443" t="s">
        <v>4062</v>
      </c>
      <c r="E1443" t="s">
        <v>4740</v>
      </c>
      <c r="F1443" t="s">
        <v>63</v>
      </c>
      <c r="G1443">
        <v>2.1</v>
      </c>
      <c r="H1443" s="2">
        <v>1249.07</v>
      </c>
      <c r="I1443" s="2">
        <v>2623.05</v>
      </c>
    </row>
    <row r="1444" spans="1:9" x14ac:dyDescent="0.25">
      <c r="A1444" t="s">
        <v>836</v>
      </c>
      <c r="B1444" t="s">
        <v>837</v>
      </c>
      <c r="C1444" t="s">
        <v>63</v>
      </c>
      <c r="D1444" t="s">
        <v>4062</v>
      </c>
      <c r="E1444" t="s">
        <v>4686</v>
      </c>
      <c r="F1444" t="s">
        <v>63</v>
      </c>
      <c r="G1444">
        <v>2.1</v>
      </c>
      <c r="H1444" s="2">
        <v>8177.67</v>
      </c>
      <c r="I1444" s="2">
        <v>17173.11</v>
      </c>
    </row>
    <row r="1445" spans="1:9" x14ac:dyDescent="0.25">
      <c r="A1445" t="s">
        <v>836</v>
      </c>
      <c r="B1445" t="s">
        <v>837</v>
      </c>
      <c r="C1445" t="s">
        <v>63</v>
      </c>
      <c r="D1445" t="s">
        <v>4062</v>
      </c>
      <c r="E1445" t="s">
        <v>4659</v>
      </c>
      <c r="F1445" t="s">
        <v>4377</v>
      </c>
      <c r="G1445">
        <v>0.01</v>
      </c>
      <c r="H1445" s="2">
        <v>31500</v>
      </c>
      <c r="I1445" s="2">
        <v>315</v>
      </c>
    </row>
    <row r="1446" spans="1:9" x14ac:dyDescent="0.25">
      <c r="A1446" t="s">
        <v>836</v>
      </c>
      <c r="B1446" t="s">
        <v>837</v>
      </c>
      <c r="C1446" t="s">
        <v>63</v>
      </c>
      <c r="D1446" t="s">
        <v>4062</v>
      </c>
      <c r="E1446" t="s">
        <v>4376</v>
      </c>
      <c r="F1446" t="s">
        <v>4377</v>
      </c>
      <c r="G1446">
        <v>0.05</v>
      </c>
      <c r="H1446" s="2">
        <v>72237.67</v>
      </c>
      <c r="I1446" s="2">
        <v>3611.88</v>
      </c>
    </row>
    <row r="1447" spans="1:9" x14ac:dyDescent="0.25">
      <c r="A1447" t="s">
        <v>836</v>
      </c>
      <c r="B1447" t="s">
        <v>837</v>
      </c>
      <c r="C1447" t="s">
        <v>63</v>
      </c>
      <c r="D1447" t="s">
        <v>4049</v>
      </c>
      <c r="E1447" t="s">
        <v>4241</v>
      </c>
      <c r="F1447" t="s">
        <v>4051</v>
      </c>
      <c r="G1447">
        <v>9</v>
      </c>
      <c r="H1447" s="2">
        <v>9941.22</v>
      </c>
      <c r="I1447" s="2">
        <v>89470.98</v>
      </c>
    </row>
    <row r="1448" spans="1:9" x14ac:dyDescent="0.25">
      <c r="A1448" t="s">
        <v>836</v>
      </c>
      <c r="B1448" t="s">
        <v>837</v>
      </c>
      <c r="C1448" t="s">
        <v>63</v>
      </c>
      <c r="D1448" t="s">
        <v>4049</v>
      </c>
      <c r="E1448" t="s">
        <v>4242</v>
      </c>
      <c r="F1448" t="s">
        <v>4051</v>
      </c>
      <c r="G1448">
        <v>3</v>
      </c>
      <c r="H1448" s="2">
        <v>17069.53</v>
      </c>
      <c r="I1448" s="2">
        <v>51208.59</v>
      </c>
    </row>
    <row r="1449" spans="1:9" x14ac:dyDescent="0.25">
      <c r="A1449" t="s">
        <v>836</v>
      </c>
      <c r="B1449" t="s">
        <v>837</v>
      </c>
      <c r="C1449" t="s">
        <v>63</v>
      </c>
      <c r="D1449" t="s">
        <v>4052</v>
      </c>
      <c r="E1449" t="s">
        <v>4053</v>
      </c>
      <c r="F1449" t="s">
        <v>4054</v>
      </c>
      <c r="G1449">
        <v>12</v>
      </c>
      <c r="H1449" s="2">
        <v>140679.57</v>
      </c>
      <c r="I1449" s="2">
        <v>16881.55</v>
      </c>
    </row>
    <row r="1450" spans="1:9" x14ac:dyDescent="0.25">
      <c r="A1450" t="s">
        <v>839</v>
      </c>
      <c r="B1450" t="s">
        <v>840</v>
      </c>
      <c r="C1450" t="s">
        <v>42</v>
      </c>
      <c r="D1450" t="s">
        <v>4062</v>
      </c>
      <c r="E1450" t="s">
        <v>4817</v>
      </c>
      <c r="F1450" t="s">
        <v>42</v>
      </c>
      <c r="G1450">
        <v>1.03</v>
      </c>
      <c r="H1450" s="2">
        <v>23224</v>
      </c>
      <c r="I1450" s="2">
        <v>23920.72</v>
      </c>
    </row>
    <row r="1451" spans="1:9" x14ac:dyDescent="0.25">
      <c r="A1451" t="s">
        <v>839</v>
      </c>
      <c r="B1451" t="s">
        <v>840</v>
      </c>
      <c r="C1451" t="s">
        <v>42</v>
      </c>
      <c r="D1451" t="s">
        <v>4062</v>
      </c>
      <c r="E1451" t="s">
        <v>4375</v>
      </c>
      <c r="F1451" t="s">
        <v>63</v>
      </c>
      <c r="G1451">
        <v>0.21</v>
      </c>
      <c r="H1451" s="2">
        <v>7657</v>
      </c>
      <c r="I1451" s="2">
        <v>1607.97</v>
      </c>
    </row>
    <row r="1452" spans="1:9" x14ac:dyDescent="0.25">
      <c r="A1452" t="s">
        <v>839</v>
      </c>
      <c r="B1452" t="s">
        <v>840</v>
      </c>
      <c r="C1452" t="s">
        <v>42</v>
      </c>
      <c r="D1452" t="s">
        <v>4062</v>
      </c>
      <c r="E1452" t="s">
        <v>4376</v>
      </c>
      <c r="F1452" t="s">
        <v>4377</v>
      </c>
      <c r="G1452">
        <v>0.02</v>
      </c>
      <c r="H1452" s="2">
        <v>72237.67</v>
      </c>
      <c r="I1452" s="2">
        <v>1516.99</v>
      </c>
    </row>
    <row r="1453" spans="1:9" x14ac:dyDescent="0.25">
      <c r="A1453" t="s">
        <v>839</v>
      </c>
      <c r="B1453" t="s">
        <v>840</v>
      </c>
      <c r="C1453" t="s">
        <v>42</v>
      </c>
      <c r="D1453" t="s">
        <v>4049</v>
      </c>
      <c r="E1453" t="s">
        <v>4241</v>
      </c>
      <c r="F1453" t="s">
        <v>4051</v>
      </c>
      <c r="G1453">
        <v>0.12</v>
      </c>
      <c r="H1453" s="2">
        <v>9941.22</v>
      </c>
      <c r="I1453" s="2">
        <v>1202.89</v>
      </c>
    </row>
    <row r="1454" spans="1:9" x14ac:dyDescent="0.25">
      <c r="A1454" t="s">
        <v>839</v>
      </c>
      <c r="B1454" t="s">
        <v>840</v>
      </c>
      <c r="C1454" t="s">
        <v>42</v>
      </c>
      <c r="D1454" t="s">
        <v>4049</v>
      </c>
      <c r="E1454" t="s">
        <v>4242</v>
      </c>
      <c r="F1454" t="s">
        <v>4051</v>
      </c>
      <c r="G1454">
        <v>0.12</v>
      </c>
      <c r="H1454" s="2">
        <v>17069.53</v>
      </c>
      <c r="I1454" s="2">
        <v>2065.41</v>
      </c>
    </row>
    <row r="1455" spans="1:9" x14ac:dyDescent="0.25">
      <c r="A1455" t="s">
        <v>839</v>
      </c>
      <c r="B1455" t="s">
        <v>840</v>
      </c>
      <c r="C1455" t="s">
        <v>42</v>
      </c>
      <c r="D1455" t="s">
        <v>4052</v>
      </c>
      <c r="E1455" t="s">
        <v>4053</v>
      </c>
      <c r="F1455" t="s">
        <v>4054</v>
      </c>
      <c r="G1455">
        <v>2.2</v>
      </c>
      <c r="H1455" s="2">
        <v>3268.3</v>
      </c>
      <c r="I1455" s="2">
        <v>71.9</v>
      </c>
    </row>
    <row r="1456" spans="1:9" x14ac:dyDescent="0.25">
      <c r="A1456" t="s">
        <v>842</v>
      </c>
      <c r="B1456" t="s">
        <v>843</v>
      </c>
      <c r="C1456" t="s">
        <v>42</v>
      </c>
      <c r="D1456" t="s">
        <v>4062</v>
      </c>
      <c r="E1456" t="s">
        <v>4820</v>
      </c>
      <c r="F1456" t="s">
        <v>42</v>
      </c>
      <c r="G1456">
        <v>1</v>
      </c>
      <c r="H1456" s="2">
        <v>49179</v>
      </c>
      <c r="I1456" s="2">
        <v>49179</v>
      </c>
    </row>
    <row r="1457" spans="1:9" x14ac:dyDescent="0.25">
      <c r="A1457" t="s">
        <v>842</v>
      </c>
      <c r="B1457" t="s">
        <v>843</v>
      </c>
      <c r="C1457" t="s">
        <v>42</v>
      </c>
      <c r="D1457" t="s">
        <v>4062</v>
      </c>
      <c r="E1457" t="s">
        <v>4659</v>
      </c>
      <c r="F1457" t="s">
        <v>4377</v>
      </c>
      <c r="G1457">
        <v>0.04</v>
      </c>
      <c r="H1457" s="2">
        <v>31500</v>
      </c>
      <c r="I1457" s="2">
        <v>1260</v>
      </c>
    </row>
    <row r="1458" spans="1:9" x14ac:dyDescent="0.25">
      <c r="A1458" t="s">
        <v>842</v>
      </c>
      <c r="B1458" t="s">
        <v>843</v>
      </c>
      <c r="C1458" t="s">
        <v>42</v>
      </c>
      <c r="D1458" t="s">
        <v>4062</v>
      </c>
      <c r="E1458" t="s">
        <v>4376</v>
      </c>
      <c r="F1458" t="s">
        <v>4377</v>
      </c>
      <c r="G1458">
        <v>0.04</v>
      </c>
      <c r="H1458" s="2">
        <v>72237.67</v>
      </c>
      <c r="I1458" s="2">
        <v>2889.51</v>
      </c>
    </row>
    <row r="1459" spans="1:9" x14ac:dyDescent="0.25">
      <c r="A1459" t="s">
        <v>842</v>
      </c>
      <c r="B1459" t="s">
        <v>843</v>
      </c>
      <c r="C1459" t="s">
        <v>42</v>
      </c>
      <c r="D1459" t="s">
        <v>4049</v>
      </c>
      <c r="E1459" t="s">
        <v>4241</v>
      </c>
      <c r="F1459" t="s">
        <v>4051</v>
      </c>
      <c r="G1459">
        <v>0.13</v>
      </c>
      <c r="H1459" s="2">
        <v>9941.22</v>
      </c>
      <c r="I1459" s="2">
        <v>1292.36</v>
      </c>
    </row>
    <row r="1460" spans="1:9" x14ac:dyDescent="0.25">
      <c r="A1460" t="s">
        <v>842</v>
      </c>
      <c r="B1460" t="s">
        <v>843</v>
      </c>
      <c r="C1460" t="s">
        <v>42</v>
      </c>
      <c r="D1460" t="s">
        <v>4049</v>
      </c>
      <c r="E1460" t="s">
        <v>4242</v>
      </c>
      <c r="F1460" t="s">
        <v>4051</v>
      </c>
      <c r="G1460">
        <v>0.13</v>
      </c>
      <c r="H1460" s="2">
        <v>17069.53</v>
      </c>
      <c r="I1460" s="2">
        <v>2219.04</v>
      </c>
    </row>
    <row r="1461" spans="1:9" x14ac:dyDescent="0.25">
      <c r="A1461" t="s">
        <v>842</v>
      </c>
      <c r="B1461" t="s">
        <v>843</v>
      </c>
      <c r="C1461" t="s">
        <v>42</v>
      </c>
      <c r="D1461" t="s">
        <v>4052</v>
      </c>
      <c r="E1461" t="s">
        <v>4053</v>
      </c>
      <c r="F1461" t="s">
        <v>4054</v>
      </c>
      <c r="G1461">
        <v>2.2</v>
      </c>
      <c r="H1461" s="2">
        <v>3511.4</v>
      </c>
      <c r="I1461" s="2">
        <v>77.25</v>
      </c>
    </row>
    <row r="1462" spans="1:9" x14ac:dyDescent="0.25">
      <c r="A1462" t="s">
        <v>845</v>
      </c>
      <c r="B1462" t="s">
        <v>846</v>
      </c>
      <c r="C1462" t="s">
        <v>42</v>
      </c>
      <c r="D1462" t="s">
        <v>4062</v>
      </c>
      <c r="E1462" t="s">
        <v>4820</v>
      </c>
      <c r="F1462" t="s">
        <v>42</v>
      </c>
      <c r="G1462">
        <v>1</v>
      </c>
      <c r="H1462" s="2">
        <v>49179</v>
      </c>
      <c r="I1462" s="2">
        <v>49179</v>
      </c>
    </row>
    <row r="1463" spans="1:9" x14ac:dyDescent="0.25">
      <c r="A1463" t="s">
        <v>845</v>
      </c>
      <c r="B1463" t="s">
        <v>846</v>
      </c>
      <c r="C1463" t="s">
        <v>42</v>
      </c>
      <c r="D1463" t="s">
        <v>4062</v>
      </c>
      <c r="E1463" t="s">
        <v>4823</v>
      </c>
      <c r="F1463" t="s">
        <v>63</v>
      </c>
      <c r="G1463">
        <v>0.18</v>
      </c>
      <c r="H1463" s="2">
        <v>3799</v>
      </c>
      <c r="I1463" s="2">
        <v>672.42</v>
      </c>
    </row>
    <row r="1464" spans="1:9" x14ac:dyDescent="0.25">
      <c r="A1464" t="s">
        <v>845</v>
      </c>
      <c r="B1464" t="s">
        <v>846</v>
      </c>
      <c r="C1464" t="s">
        <v>42</v>
      </c>
      <c r="D1464" t="s">
        <v>4062</v>
      </c>
      <c r="E1464" t="s">
        <v>4824</v>
      </c>
      <c r="F1464" t="s">
        <v>4377</v>
      </c>
      <c r="G1464">
        <v>0.03</v>
      </c>
      <c r="H1464" s="2">
        <v>139384</v>
      </c>
      <c r="I1464" s="2">
        <v>4460.29</v>
      </c>
    </row>
    <row r="1465" spans="1:9" x14ac:dyDescent="0.25">
      <c r="A1465" t="s">
        <v>845</v>
      </c>
      <c r="B1465" t="s">
        <v>846</v>
      </c>
      <c r="C1465" t="s">
        <v>42</v>
      </c>
      <c r="D1465" t="s">
        <v>4049</v>
      </c>
      <c r="E1465" t="s">
        <v>4050</v>
      </c>
      <c r="F1465" t="s">
        <v>4051</v>
      </c>
      <c r="G1465">
        <v>0.4</v>
      </c>
      <c r="H1465" s="2">
        <v>9037.33</v>
      </c>
      <c r="I1465" s="2">
        <v>3614.93</v>
      </c>
    </row>
    <row r="1466" spans="1:9" x14ac:dyDescent="0.25">
      <c r="A1466" t="s">
        <v>845</v>
      </c>
      <c r="B1466" t="s">
        <v>846</v>
      </c>
      <c r="C1466" t="s">
        <v>42</v>
      </c>
      <c r="D1466" t="s">
        <v>4049</v>
      </c>
      <c r="E1466" t="s">
        <v>4241</v>
      </c>
      <c r="F1466" t="s">
        <v>4051</v>
      </c>
      <c r="G1466">
        <v>0.4</v>
      </c>
      <c r="H1466" s="2">
        <v>9941.22</v>
      </c>
      <c r="I1466" s="2">
        <v>3976.49</v>
      </c>
    </row>
    <row r="1467" spans="1:9" x14ac:dyDescent="0.25">
      <c r="A1467" t="s">
        <v>845</v>
      </c>
      <c r="B1467" t="s">
        <v>846</v>
      </c>
      <c r="C1467" t="s">
        <v>42</v>
      </c>
      <c r="D1467" t="s">
        <v>4049</v>
      </c>
      <c r="E1467" t="s">
        <v>4242</v>
      </c>
      <c r="F1467" t="s">
        <v>4051</v>
      </c>
      <c r="G1467">
        <v>0.4</v>
      </c>
      <c r="H1467" s="2">
        <v>17069.53</v>
      </c>
      <c r="I1467" s="2">
        <v>6827.81</v>
      </c>
    </row>
    <row r="1468" spans="1:9" x14ac:dyDescent="0.25">
      <c r="A1468" t="s">
        <v>845</v>
      </c>
      <c r="B1468" t="s">
        <v>846</v>
      </c>
      <c r="C1468" t="s">
        <v>42</v>
      </c>
      <c r="D1468" t="s">
        <v>4052</v>
      </c>
      <c r="E1468" t="s">
        <v>4053</v>
      </c>
      <c r="F1468" t="s">
        <v>4054</v>
      </c>
      <c r="G1468">
        <v>5</v>
      </c>
      <c r="H1468" s="2">
        <v>14419.23</v>
      </c>
      <c r="I1468" s="2">
        <v>720.96</v>
      </c>
    </row>
    <row r="1469" spans="1:9" x14ac:dyDescent="0.25">
      <c r="A1469" t="s">
        <v>848</v>
      </c>
      <c r="B1469" t="s">
        <v>850</v>
      </c>
      <c r="C1469" t="s">
        <v>63</v>
      </c>
      <c r="D1469" t="s">
        <v>4062</v>
      </c>
      <c r="E1469" t="s">
        <v>4829</v>
      </c>
      <c r="F1469" t="s">
        <v>42</v>
      </c>
      <c r="G1469">
        <v>6.3</v>
      </c>
      <c r="H1469" s="2">
        <v>2293</v>
      </c>
      <c r="I1469" s="2">
        <v>14445.9</v>
      </c>
    </row>
    <row r="1470" spans="1:9" x14ac:dyDescent="0.25">
      <c r="A1470" t="s">
        <v>848</v>
      </c>
      <c r="B1470" t="s">
        <v>850</v>
      </c>
      <c r="C1470" t="s">
        <v>63</v>
      </c>
      <c r="D1470" t="s">
        <v>4062</v>
      </c>
      <c r="E1470" t="s">
        <v>4830</v>
      </c>
      <c r="F1470" t="s">
        <v>42</v>
      </c>
      <c r="G1470">
        <v>6.3</v>
      </c>
      <c r="H1470" s="2">
        <v>4934</v>
      </c>
      <c r="I1470" s="2">
        <v>31084.2</v>
      </c>
    </row>
    <row r="1471" spans="1:9" x14ac:dyDescent="0.25">
      <c r="A1471" t="s">
        <v>848</v>
      </c>
      <c r="B1471" t="s">
        <v>850</v>
      </c>
      <c r="C1471" t="s">
        <v>63</v>
      </c>
      <c r="D1471" t="s">
        <v>4062</v>
      </c>
      <c r="E1471" t="s">
        <v>4831</v>
      </c>
      <c r="F1471" t="s">
        <v>63</v>
      </c>
      <c r="G1471">
        <v>1</v>
      </c>
      <c r="H1471" s="2">
        <v>135347.4</v>
      </c>
      <c r="I1471" s="2">
        <v>135347.4</v>
      </c>
    </row>
    <row r="1472" spans="1:9" x14ac:dyDescent="0.25">
      <c r="A1472" t="s">
        <v>848</v>
      </c>
      <c r="B1472" t="s">
        <v>850</v>
      </c>
      <c r="C1472" t="s">
        <v>63</v>
      </c>
      <c r="D1472" t="s">
        <v>4062</v>
      </c>
      <c r="E1472" t="s">
        <v>4832</v>
      </c>
      <c r="F1472" t="s">
        <v>63</v>
      </c>
      <c r="G1472">
        <v>3</v>
      </c>
      <c r="H1472" s="2">
        <v>1143</v>
      </c>
      <c r="I1472" s="2">
        <v>3429</v>
      </c>
    </row>
    <row r="1473" spans="1:9" x14ac:dyDescent="0.25">
      <c r="A1473" t="s">
        <v>848</v>
      </c>
      <c r="B1473" t="s">
        <v>850</v>
      </c>
      <c r="C1473" t="s">
        <v>63</v>
      </c>
      <c r="D1473" t="s">
        <v>4062</v>
      </c>
      <c r="E1473" t="s">
        <v>4833</v>
      </c>
      <c r="F1473" t="s">
        <v>63</v>
      </c>
      <c r="G1473">
        <v>4</v>
      </c>
      <c r="H1473" s="2">
        <v>404</v>
      </c>
      <c r="I1473" s="2">
        <v>1616</v>
      </c>
    </row>
    <row r="1474" spans="1:9" x14ac:dyDescent="0.25">
      <c r="A1474" t="s">
        <v>848</v>
      </c>
      <c r="B1474" t="s">
        <v>850</v>
      </c>
      <c r="C1474" t="s">
        <v>63</v>
      </c>
      <c r="D1474" t="s">
        <v>4062</v>
      </c>
      <c r="E1474" t="s">
        <v>4659</v>
      </c>
      <c r="F1474" t="s">
        <v>4377</v>
      </c>
      <c r="G1474">
        <v>0.01</v>
      </c>
      <c r="H1474" s="2">
        <v>31500</v>
      </c>
      <c r="I1474" s="2">
        <v>315</v>
      </c>
    </row>
    <row r="1475" spans="1:9" x14ac:dyDescent="0.25">
      <c r="A1475" t="s">
        <v>848</v>
      </c>
      <c r="B1475" t="s">
        <v>850</v>
      </c>
      <c r="C1475" t="s">
        <v>63</v>
      </c>
      <c r="D1475" t="s">
        <v>4062</v>
      </c>
      <c r="E1475" t="s">
        <v>4834</v>
      </c>
      <c r="F1475" t="s">
        <v>42</v>
      </c>
      <c r="G1475">
        <v>19</v>
      </c>
      <c r="H1475" s="2">
        <v>1966</v>
      </c>
      <c r="I1475" s="2">
        <v>37354</v>
      </c>
    </row>
    <row r="1476" spans="1:9" x14ac:dyDescent="0.25">
      <c r="A1476" t="s">
        <v>848</v>
      </c>
      <c r="B1476" t="s">
        <v>850</v>
      </c>
      <c r="C1476" t="s">
        <v>63</v>
      </c>
      <c r="D1476" t="s">
        <v>4062</v>
      </c>
      <c r="E1476" t="s">
        <v>4835</v>
      </c>
      <c r="F1476" t="s">
        <v>42</v>
      </c>
      <c r="G1476">
        <v>25</v>
      </c>
      <c r="H1476" s="2">
        <v>1854</v>
      </c>
      <c r="I1476" s="2">
        <v>46350</v>
      </c>
    </row>
    <row r="1477" spans="1:9" x14ac:dyDescent="0.25">
      <c r="A1477" t="s">
        <v>848</v>
      </c>
      <c r="B1477" t="s">
        <v>850</v>
      </c>
      <c r="C1477" t="s">
        <v>63</v>
      </c>
      <c r="D1477" t="s">
        <v>4062</v>
      </c>
      <c r="E1477" t="s">
        <v>4376</v>
      </c>
      <c r="F1477" t="s">
        <v>4377</v>
      </c>
      <c r="G1477">
        <v>0.04</v>
      </c>
      <c r="H1477" s="2">
        <v>72237.67</v>
      </c>
      <c r="I1477" s="2">
        <v>2889.51</v>
      </c>
    </row>
    <row r="1478" spans="1:9" x14ac:dyDescent="0.25">
      <c r="A1478" t="s">
        <v>848</v>
      </c>
      <c r="B1478" t="s">
        <v>850</v>
      </c>
      <c r="C1478" t="s">
        <v>63</v>
      </c>
      <c r="D1478" t="s">
        <v>4049</v>
      </c>
      <c r="E1478" t="s">
        <v>4241</v>
      </c>
      <c r="F1478" t="s">
        <v>4051</v>
      </c>
      <c r="G1478">
        <v>6</v>
      </c>
      <c r="H1478" s="2">
        <v>9941.22</v>
      </c>
      <c r="I1478" s="2">
        <v>59647.32</v>
      </c>
    </row>
    <row r="1479" spans="1:9" x14ac:dyDescent="0.25">
      <c r="A1479" t="s">
        <v>848</v>
      </c>
      <c r="B1479" t="s">
        <v>850</v>
      </c>
      <c r="C1479" t="s">
        <v>63</v>
      </c>
      <c r="D1479" t="s">
        <v>4049</v>
      </c>
      <c r="E1479" t="s">
        <v>4242</v>
      </c>
      <c r="F1479" t="s">
        <v>4051</v>
      </c>
      <c r="G1479">
        <v>6</v>
      </c>
      <c r="H1479" s="2">
        <v>17069.53</v>
      </c>
      <c r="I1479" s="2">
        <v>102417.18</v>
      </c>
    </row>
    <row r="1480" spans="1:9" x14ac:dyDescent="0.25">
      <c r="A1480" t="s">
        <v>848</v>
      </c>
      <c r="B1480" t="s">
        <v>850</v>
      </c>
      <c r="C1480" t="s">
        <v>63</v>
      </c>
      <c r="D1480" t="s">
        <v>4052</v>
      </c>
      <c r="E1480" t="s">
        <v>4053</v>
      </c>
      <c r="F1480" t="s">
        <v>4054</v>
      </c>
      <c r="G1480">
        <v>3.3</v>
      </c>
      <c r="H1480" s="2">
        <v>162064.5</v>
      </c>
      <c r="I1480" s="2">
        <v>5348.13</v>
      </c>
    </row>
    <row r="1481" spans="1:9" x14ac:dyDescent="0.25">
      <c r="A1481" t="s">
        <v>853</v>
      </c>
      <c r="B1481" t="s">
        <v>854</v>
      </c>
      <c r="C1481" t="s">
        <v>63</v>
      </c>
      <c r="D1481" t="s">
        <v>4062</v>
      </c>
      <c r="E1481" t="s">
        <v>4838</v>
      </c>
      <c r="F1481" t="s">
        <v>63</v>
      </c>
      <c r="G1481">
        <v>1</v>
      </c>
      <c r="H1481" s="2">
        <v>1783</v>
      </c>
      <c r="I1481" s="2">
        <v>1783</v>
      </c>
    </row>
    <row r="1482" spans="1:9" x14ac:dyDescent="0.25">
      <c r="A1482" t="s">
        <v>853</v>
      </c>
      <c r="B1482" t="s">
        <v>854</v>
      </c>
      <c r="C1482" t="s">
        <v>63</v>
      </c>
      <c r="D1482" t="s">
        <v>4062</v>
      </c>
      <c r="E1482" t="s">
        <v>4839</v>
      </c>
      <c r="F1482" t="s">
        <v>63</v>
      </c>
      <c r="G1482">
        <v>1</v>
      </c>
      <c r="H1482" s="2">
        <v>6352</v>
      </c>
      <c r="I1482" s="2">
        <v>6352</v>
      </c>
    </row>
    <row r="1483" spans="1:9" x14ac:dyDescent="0.25">
      <c r="A1483" t="s">
        <v>853</v>
      </c>
      <c r="B1483" t="s">
        <v>854</v>
      </c>
      <c r="C1483" t="s">
        <v>63</v>
      </c>
      <c r="D1483" t="s">
        <v>4062</v>
      </c>
      <c r="E1483" t="s">
        <v>4840</v>
      </c>
      <c r="F1483" t="s">
        <v>42</v>
      </c>
      <c r="G1483">
        <v>6</v>
      </c>
      <c r="H1483" s="2">
        <v>8451</v>
      </c>
      <c r="I1483" s="2">
        <v>50706</v>
      </c>
    </row>
    <row r="1484" spans="1:9" x14ac:dyDescent="0.25">
      <c r="A1484" t="s">
        <v>853</v>
      </c>
      <c r="B1484" t="s">
        <v>854</v>
      </c>
      <c r="C1484" t="s">
        <v>63</v>
      </c>
      <c r="D1484" t="s">
        <v>4062</v>
      </c>
      <c r="E1484" t="s">
        <v>4841</v>
      </c>
      <c r="F1484" t="s">
        <v>63</v>
      </c>
      <c r="G1484">
        <v>2</v>
      </c>
      <c r="H1484" s="2">
        <v>1147</v>
      </c>
      <c r="I1484" s="2">
        <v>2294</v>
      </c>
    </row>
    <row r="1485" spans="1:9" x14ac:dyDescent="0.25">
      <c r="A1485" t="s">
        <v>853</v>
      </c>
      <c r="B1485" t="s">
        <v>854</v>
      </c>
      <c r="C1485" t="s">
        <v>63</v>
      </c>
      <c r="D1485" t="s">
        <v>4062</v>
      </c>
      <c r="E1485" t="s">
        <v>4842</v>
      </c>
      <c r="F1485" t="s">
        <v>63</v>
      </c>
      <c r="G1485">
        <v>1</v>
      </c>
      <c r="H1485" s="2">
        <v>1951</v>
      </c>
      <c r="I1485" s="2">
        <v>1951</v>
      </c>
    </row>
    <row r="1486" spans="1:9" x14ac:dyDescent="0.25">
      <c r="A1486" t="s">
        <v>853</v>
      </c>
      <c r="B1486" t="s">
        <v>854</v>
      </c>
      <c r="C1486" t="s">
        <v>63</v>
      </c>
      <c r="D1486" t="s">
        <v>4062</v>
      </c>
      <c r="E1486" t="s">
        <v>4843</v>
      </c>
      <c r="F1486" t="s">
        <v>63</v>
      </c>
      <c r="G1486">
        <v>1</v>
      </c>
      <c r="H1486" s="2">
        <v>1163</v>
      </c>
      <c r="I1486" s="2">
        <v>1163</v>
      </c>
    </row>
    <row r="1487" spans="1:9" x14ac:dyDescent="0.25">
      <c r="A1487" t="s">
        <v>853</v>
      </c>
      <c r="B1487" t="s">
        <v>854</v>
      </c>
      <c r="C1487" t="s">
        <v>63</v>
      </c>
      <c r="D1487" t="s">
        <v>4062</v>
      </c>
      <c r="E1487" t="s">
        <v>4844</v>
      </c>
      <c r="F1487" t="s">
        <v>63</v>
      </c>
      <c r="G1487">
        <v>1</v>
      </c>
      <c r="H1487" s="2">
        <v>674</v>
      </c>
      <c r="I1487" s="2">
        <v>674</v>
      </c>
    </row>
    <row r="1488" spans="1:9" x14ac:dyDescent="0.25">
      <c r="A1488" t="s">
        <v>853</v>
      </c>
      <c r="B1488" t="s">
        <v>854</v>
      </c>
      <c r="C1488" t="s">
        <v>63</v>
      </c>
      <c r="D1488" t="s">
        <v>4062</v>
      </c>
      <c r="E1488" t="s">
        <v>4835</v>
      </c>
      <c r="F1488" t="s">
        <v>42</v>
      </c>
      <c r="G1488">
        <v>12.5</v>
      </c>
      <c r="H1488" s="2">
        <v>2850</v>
      </c>
      <c r="I1488" s="2">
        <v>35625</v>
      </c>
    </row>
    <row r="1489" spans="1:9" x14ac:dyDescent="0.25">
      <c r="A1489" t="s">
        <v>853</v>
      </c>
      <c r="B1489" t="s">
        <v>854</v>
      </c>
      <c r="C1489" t="s">
        <v>63</v>
      </c>
      <c r="D1489" t="s">
        <v>4049</v>
      </c>
      <c r="E1489" t="s">
        <v>4241</v>
      </c>
      <c r="F1489" t="s">
        <v>4051</v>
      </c>
      <c r="G1489">
        <v>4</v>
      </c>
      <c r="H1489" s="2">
        <v>9941.22</v>
      </c>
      <c r="I1489" s="2">
        <v>39764.88</v>
      </c>
    </row>
    <row r="1490" spans="1:9" x14ac:dyDescent="0.25">
      <c r="A1490" t="s">
        <v>853</v>
      </c>
      <c r="B1490" t="s">
        <v>854</v>
      </c>
      <c r="C1490" t="s">
        <v>63</v>
      </c>
      <c r="D1490" t="s">
        <v>4049</v>
      </c>
      <c r="E1490" t="s">
        <v>4242</v>
      </c>
      <c r="F1490" t="s">
        <v>4051</v>
      </c>
      <c r="G1490">
        <v>4</v>
      </c>
      <c r="H1490" s="2">
        <v>17069.53</v>
      </c>
      <c r="I1490" s="2">
        <v>68278.12</v>
      </c>
    </row>
    <row r="1491" spans="1:9" x14ac:dyDescent="0.25">
      <c r="A1491" t="s">
        <v>853</v>
      </c>
      <c r="B1491" t="s">
        <v>854</v>
      </c>
      <c r="C1491" t="s">
        <v>63</v>
      </c>
      <c r="D1491" t="s">
        <v>4052</v>
      </c>
      <c r="E1491" t="s">
        <v>4053</v>
      </c>
      <c r="F1491" t="s">
        <v>4054</v>
      </c>
      <c r="G1491">
        <v>5</v>
      </c>
      <c r="H1491" s="2">
        <v>108043</v>
      </c>
      <c r="I1491" s="2">
        <v>5402.15</v>
      </c>
    </row>
    <row r="1492" spans="1:9" x14ac:dyDescent="0.25">
      <c r="A1492" t="s">
        <v>856</v>
      </c>
      <c r="B1492" t="s">
        <v>857</v>
      </c>
      <c r="C1492" t="s">
        <v>63</v>
      </c>
      <c r="D1492" t="s">
        <v>4062</v>
      </c>
      <c r="E1492" t="s">
        <v>4847</v>
      </c>
      <c r="F1492" t="s">
        <v>63</v>
      </c>
      <c r="G1492">
        <v>1</v>
      </c>
      <c r="H1492" s="2">
        <v>17700</v>
      </c>
      <c r="I1492" s="2">
        <v>17700</v>
      </c>
    </row>
    <row r="1493" spans="1:9" x14ac:dyDescent="0.25">
      <c r="A1493" t="s">
        <v>856</v>
      </c>
      <c r="B1493" t="s">
        <v>857</v>
      </c>
      <c r="C1493" t="s">
        <v>63</v>
      </c>
      <c r="D1493" t="s">
        <v>4062</v>
      </c>
      <c r="E1493" t="s">
        <v>4848</v>
      </c>
      <c r="F1493" t="s">
        <v>63</v>
      </c>
      <c r="G1493">
        <v>1</v>
      </c>
      <c r="H1493" s="2">
        <v>6561.5</v>
      </c>
      <c r="I1493" s="2">
        <v>6561.5</v>
      </c>
    </row>
    <row r="1494" spans="1:9" x14ac:dyDescent="0.25">
      <c r="A1494" t="s">
        <v>856</v>
      </c>
      <c r="B1494" t="s">
        <v>857</v>
      </c>
      <c r="C1494" t="s">
        <v>63</v>
      </c>
      <c r="D1494" t="s">
        <v>4062</v>
      </c>
      <c r="E1494" t="s">
        <v>4849</v>
      </c>
      <c r="F1494" t="s">
        <v>63</v>
      </c>
      <c r="G1494">
        <v>1</v>
      </c>
      <c r="H1494" s="2">
        <v>2298</v>
      </c>
      <c r="I1494" s="2">
        <v>2298</v>
      </c>
    </row>
    <row r="1495" spans="1:9" x14ac:dyDescent="0.25">
      <c r="A1495" t="s">
        <v>856</v>
      </c>
      <c r="B1495" t="s">
        <v>857</v>
      </c>
      <c r="C1495" t="s">
        <v>63</v>
      </c>
      <c r="D1495" t="s">
        <v>4049</v>
      </c>
      <c r="E1495" t="s">
        <v>4241</v>
      </c>
      <c r="F1495" t="s">
        <v>4051</v>
      </c>
      <c r="G1495">
        <v>0.53</v>
      </c>
      <c r="H1495" s="2">
        <v>9941.22</v>
      </c>
      <c r="I1495" s="2">
        <v>5268.85</v>
      </c>
    </row>
    <row r="1496" spans="1:9" x14ac:dyDescent="0.25">
      <c r="A1496" t="s">
        <v>856</v>
      </c>
      <c r="B1496" t="s">
        <v>857</v>
      </c>
      <c r="C1496" t="s">
        <v>63</v>
      </c>
      <c r="D1496" t="s">
        <v>4049</v>
      </c>
      <c r="E1496" t="s">
        <v>4242</v>
      </c>
      <c r="F1496" t="s">
        <v>4051</v>
      </c>
      <c r="G1496">
        <v>0.53</v>
      </c>
      <c r="H1496" s="2">
        <v>17069.53</v>
      </c>
      <c r="I1496" s="2">
        <v>9046.85</v>
      </c>
    </row>
    <row r="1497" spans="1:9" x14ac:dyDescent="0.25">
      <c r="A1497" t="s">
        <v>856</v>
      </c>
      <c r="B1497" t="s">
        <v>857</v>
      </c>
      <c r="C1497" t="s">
        <v>63</v>
      </c>
      <c r="D1497" t="s">
        <v>4052</v>
      </c>
      <c r="E1497" t="s">
        <v>4053</v>
      </c>
      <c r="F1497" t="s">
        <v>4054</v>
      </c>
      <c r="G1497">
        <v>5</v>
      </c>
      <c r="H1497" s="2">
        <v>14315.7</v>
      </c>
      <c r="I1497" s="2">
        <v>715.78</v>
      </c>
    </row>
    <row r="1498" spans="1:9" x14ac:dyDescent="0.25">
      <c r="A1498" t="s">
        <v>860</v>
      </c>
      <c r="B1498" t="s">
        <v>861</v>
      </c>
      <c r="C1498" t="s">
        <v>63</v>
      </c>
      <c r="D1498" t="s">
        <v>4062</v>
      </c>
      <c r="E1498" t="s">
        <v>4829</v>
      </c>
      <c r="F1498" t="s">
        <v>42</v>
      </c>
      <c r="G1498">
        <v>4</v>
      </c>
      <c r="H1498" s="2">
        <v>2293</v>
      </c>
      <c r="I1498" s="2">
        <v>9172</v>
      </c>
    </row>
    <row r="1499" spans="1:9" x14ac:dyDescent="0.25">
      <c r="A1499" t="s">
        <v>860</v>
      </c>
      <c r="B1499" t="s">
        <v>861</v>
      </c>
      <c r="C1499" t="s">
        <v>63</v>
      </c>
      <c r="D1499" t="s">
        <v>4062</v>
      </c>
      <c r="E1499" t="s">
        <v>4852</v>
      </c>
      <c r="F1499" t="s">
        <v>63</v>
      </c>
      <c r="G1499">
        <v>1</v>
      </c>
      <c r="H1499" s="2">
        <v>1980</v>
      </c>
      <c r="I1499" s="2">
        <v>1980</v>
      </c>
    </row>
    <row r="1500" spans="1:9" x14ac:dyDescent="0.25">
      <c r="A1500" t="s">
        <v>860</v>
      </c>
      <c r="B1500" t="s">
        <v>861</v>
      </c>
      <c r="C1500" t="s">
        <v>63</v>
      </c>
      <c r="D1500" t="s">
        <v>4062</v>
      </c>
      <c r="E1500" t="s">
        <v>4833</v>
      </c>
      <c r="F1500" t="s">
        <v>63</v>
      </c>
      <c r="G1500">
        <v>3</v>
      </c>
      <c r="H1500" s="2">
        <v>404</v>
      </c>
      <c r="I1500" s="2">
        <v>1212</v>
      </c>
    </row>
    <row r="1501" spans="1:9" x14ac:dyDescent="0.25">
      <c r="A1501" t="s">
        <v>860</v>
      </c>
      <c r="B1501" t="s">
        <v>861</v>
      </c>
      <c r="C1501" t="s">
        <v>63</v>
      </c>
      <c r="D1501" t="s">
        <v>4062</v>
      </c>
      <c r="E1501" t="s">
        <v>4853</v>
      </c>
      <c r="F1501" t="s">
        <v>63</v>
      </c>
      <c r="G1501">
        <v>1</v>
      </c>
      <c r="H1501" s="2">
        <v>7280</v>
      </c>
      <c r="I1501" s="2">
        <v>7280</v>
      </c>
    </row>
    <row r="1502" spans="1:9" x14ac:dyDescent="0.25">
      <c r="A1502" t="s">
        <v>860</v>
      </c>
      <c r="B1502" t="s">
        <v>861</v>
      </c>
      <c r="C1502" t="s">
        <v>63</v>
      </c>
      <c r="D1502" t="s">
        <v>4062</v>
      </c>
      <c r="E1502" t="s">
        <v>4659</v>
      </c>
      <c r="F1502" t="s">
        <v>4377</v>
      </c>
      <c r="G1502">
        <v>0.01</v>
      </c>
      <c r="H1502" s="2">
        <v>31500</v>
      </c>
      <c r="I1502" s="2">
        <v>315</v>
      </c>
    </row>
    <row r="1503" spans="1:9" x14ac:dyDescent="0.25">
      <c r="A1503" t="s">
        <v>860</v>
      </c>
      <c r="B1503" t="s">
        <v>861</v>
      </c>
      <c r="C1503" t="s">
        <v>63</v>
      </c>
      <c r="D1503" t="s">
        <v>4062</v>
      </c>
      <c r="E1503" t="s">
        <v>4854</v>
      </c>
      <c r="F1503" t="s">
        <v>42</v>
      </c>
      <c r="G1503">
        <v>3</v>
      </c>
      <c r="H1503" s="2">
        <v>835</v>
      </c>
      <c r="I1503" s="2">
        <v>2505</v>
      </c>
    </row>
    <row r="1504" spans="1:9" x14ac:dyDescent="0.25">
      <c r="A1504" t="s">
        <v>860</v>
      </c>
      <c r="B1504" t="s">
        <v>861</v>
      </c>
      <c r="C1504" t="s">
        <v>63</v>
      </c>
      <c r="D1504" t="s">
        <v>4062</v>
      </c>
      <c r="E1504" t="s">
        <v>4835</v>
      </c>
      <c r="F1504" t="s">
        <v>42</v>
      </c>
      <c r="G1504">
        <v>6</v>
      </c>
      <c r="H1504" s="2">
        <v>1854</v>
      </c>
      <c r="I1504" s="2">
        <v>11124</v>
      </c>
    </row>
    <row r="1505" spans="1:9" x14ac:dyDescent="0.25">
      <c r="A1505" t="s">
        <v>860</v>
      </c>
      <c r="B1505" t="s">
        <v>861</v>
      </c>
      <c r="C1505" t="s">
        <v>63</v>
      </c>
      <c r="D1505" t="s">
        <v>4062</v>
      </c>
      <c r="E1505" t="s">
        <v>4855</v>
      </c>
      <c r="F1505" t="s">
        <v>63</v>
      </c>
      <c r="G1505">
        <v>1</v>
      </c>
      <c r="H1505" s="2">
        <v>2100</v>
      </c>
      <c r="I1505" s="2">
        <v>2100</v>
      </c>
    </row>
    <row r="1506" spans="1:9" x14ac:dyDescent="0.25">
      <c r="A1506" t="s">
        <v>860</v>
      </c>
      <c r="B1506" t="s">
        <v>861</v>
      </c>
      <c r="C1506" t="s">
        <v>63</v>
      </c>
      <c r="D1506" t="s">
        <v>4062</v>
      </c>
      <c r="E1506" t="s">
        <v>4376</v>
      </c>
      <c r="F1506" t="s">
        <v>4377</v>
      </c>
      <c r="G1506">
        <v>0.01</v>
      </c>
      <c r="H1506" s="2">
        <v>72237.67</v>
      </c>
      <c r="I1506" s="2">
        <v>722.38</v>
      </c>
    </row>
    <row r="1507" spans="1:9" x14ac:dyDescent="0.25">
      <c r="A1507" t="s">
        <v>860</v>
      </c>
      <c r="B1507" t="s">
        <v>861</v>
      </c>
      <c r="C1507" t="s">
        <v>63</v>
      </c>
      <c r="D1507" t="s">
        <v>4049</v>
      </c>
      <c r="E1507" t="s">
        <v>4241</v>
      </c>
      <c r="F1507" t="s">
        <v>4051</v>
      </c>
      <c r="G1507">
        <v>3.5</v>
      </c>
      <c r="H1507" s="2">
        <v>9941.22</v>
      </c>
      <c r="I1507" s="2">
        <v>34794.27</v>
      </c>
    </row>
    <row r="1508" spans="1:9" x14ac:dyDescent="0.25">
      <c r="A1508" t="s">
        <v>860</v>
      </c>
      <c r="B1508" t="s">
        <v>861</v>
      </c>
      <c r="C1508" t="s">
        <v>63</v>
      </c>
      <c r="D1508" t="s">
        <v>4049</v>
      </c>
      <c r="E1508" t="s">
        <v>4242</v>
      </c>
      <c r="F1508" t="s">
        <v>4051</v>
      </c>
      <c r="G1508">
        <v>3.5</v>
      </c>
      <c r="H1508" s="2">
        <v>17069.53</v>
      </c>
      <c r="I1508" s="2">
        <v>59743.35</v>
      </c>
    </row>
    <row r="1509" spans="1:9" x14ac:dyDescent="0.25">
      <c r="A1509" t="s">
        <v>860</v>
      </c>
      <c r="B1509" t="s">
        <v>861</v>
      </c>
      <c r="C1509" t="s">
        <v>63</v>
      </c>
      <c r="D1509" t="s">
        <v>4052</v>
      </c>
      <c r="E1509" t="s">
        <v>4053</v>
      </c>
      <c r="F1509" t="s">
        <v>4054</v>
      </c>
      <c r="G1509">
        <v>3.3</v>
      </c>
      <c r="H1509" s="2">
        <v>94537.62</v>
      </c>
      <c r="I1509" s="2">
        <v>3119.74</v>
      </c>
    </row>
    <row r="1510" spans="1:9" x14ac:dyDescent="0.25">
      <c r="A1510" t="s">
        <v>864</v>
      </c>
      <c r="B1510" t="s">
        <v>865</v>
      </c>
      <c r="C1510" t="s">
        <v>63</v>
      </c>
      <c r="D1510" t="s">
        <v>4062</v>
      </c>
      <c r="E1510" t="s">
        <v>4829</v>
      </c>
      <c r="F1510" t="s">
        <v>42</v>
      </c>
      <c r="G1510">
        <v>4</v>
      </c>
      <c r="H1510" s="2">
        <v>2293</v>
      </c>
      <c r="I1510" s="2">
        <v>9172</v>
      </c>
    </row>
    <row r="1511" spans="1:9" x14ac:dyDescent="0.25">
      <c r="A1511" t="s">
        <v>864</v>
      </c>
      <c r="B1511" t="s">
        <v>865</v>
      </c>
      <c r="C1511" t="s">
        <v>63</v>
      </c>
      <c r="D1511" t="s">
        <v>4062</v>
      </c>
      <c r="E1511" t="s">
        <v>4852</v>
      </c>
      <c r="F1511" t="s">
        <v>63</v>
      </c>
      <c r="G1511">
        <v>2</v>
      </c>
      <c r="H1511" s="2">
        <v>1980</v>
      </c>
      <c r="I1511" s="2">
        <v>3960</v>
      </c>
    </row>
    <row r="1512" spans="1:9" x14ac:dyDescent="0.25">
      <c r="A1512" t="s">
        <v>864</v>
      </c>
      <c r="B1512" t="s">
        <v>865</v>
      </c>
      <c r="C1512" t="s">
        <v>63</v>
      </c>
      <c r="D1512" t="s">
        <v>4062</v>
      </c>
      <c r="E1512" t="s">
        <v>4833</v>
      </c>
      <c r="F1512" t="s">
        <v>63</v>
      </c>
      <c r="G1512">
        <v>3</v>
      </c>
      <c r="H1512" s="2">
        <v>404</v>
      </c>
      <c r="I1512" s="2">
        <v>1212</v>
      </c>
    </row>
    <row r="1513" spans="1:9" x14ac:dyDescent="0.25">
      <c r="A1513" t="s">
        <v>864</v>
      </c>
      <c r="B1513" t="s">
        <v>865</v>
      </c>
      <c r="C1513" t="s">
        <v>63</v>
      </c>
      <c r="D1513" t="s">
        <v>4062</v>
      </c>
      <c r="E1513" t="s">
        <v>4858</v>
      </c>
      <c r="F1513" t="s">
        <v>63</v>
      </c>
      <c r="G1513">
        <v>1</v>
      </c>
      <c r="H1513" s="2">
        <v>11482</v>
      </c>
      <c r="I1513" s="2">
        <v>11482</v>
      </c>
    </row>
    <row r="1514" spans="1:9" x14ac:dyDescent="0.25">
      <c r="A1514" t="s">
        <v>864</v>
      </c>
      <c r="B1514" t="s">
        <v>865</v>
      </c>
      <c r="C1514" t="s">
        <v>63</v>
      </c>
      <c r="D1514" t="s">
        <v>4062</v>
      </c>
      <c r="E1514" t="s">
        <v>4659</v>
      </c>
      <c r="F1514" t="s">
        <v>4377</v>
      </c>
      <c r="G1514">
        <v>0.01</v>
      </c>
      <c r="H1514" s="2">
        <v>31500</v>
      </c>
      <c r="I1514" s="2">
        <v>315</v>
      </c>
    </row>
    <row r="1515" spans="1:9" x14ac:dyDescent="0.25">
      <c r="A1515" t="s">
        <v>864</v>
      </c>
      <c r="B1515" t="s">
        <v>865</v>
      </c>
      <c r="C1515" t="s">
        <v>63</v>
      </c>
      <c r="D1515" t="s">
        <v>4062</v>
      </c>
      <c r="E1515" t="s">
        <v>4854</v>
      </c>
      <c r="F1515" t="s">
        <v>42</v>
      </c>
      <c r="G1515">
        <v>11</v>
      </c>
      <c r="H1515" s="2">
        <v>835</v>
      </c>
      <c r="I1515" s="2">
        <v>9185</v>
      </c>
    </row>
    <row r="1516" spans="1:9" x14ac:dyDescent="0.25">
      <c r="A1516" t="s">
        <v>864</v>
      </c>
      <c r="B1516" t="s">
        <v>865</v>
      </c>
      <c r="C1516" t="s">
        <v>63</v>
      </c>
      <c r="D1516" t="s">
        <v>4062</v>
      </c>
      <c r="E1516" t="s">
        <v>4835</v>
      </c>
      <c r="F1516" t="s">
        <v>42</v>
      </c>
      <c r="G1516">
        <v>5</v>
      </c>
      <c r="H1516" s="2">
        <v>1854</v>
      </c>
      <c r="I1516" s="2">
        <v>9270</v>
      </c>
    </row>
    <row r="1517" spans="1:9" x14ac:dyDescent="0.25">
      <c r="A1517" t="s">
        <v>864</v>
      </c>
      <c r="B1517" t="s">
        <v>865</v>
      </c>
      <c r="C1517" t="s">
        <v>63</v>
      </c>
      <c r="D1517" t="s">
        <v>4062</v>
      </c>
      <c r="E1517" t="s">
        <v>4855</v>
      </c>
      <c r="F1517" t="s">
        <v>63</v>
      </c>
      <c r="G1517">
        <v>1</v>
      </c>
      <c r="H1517" s="2">
        <v>2100</v>
      </c>
      <c r="I1517" s="2">
        <v>2100</v>
      </c>
    </row>
    <row r="1518" spans="1:9" x14ac:dyDescent="0.25">
      <c r="A1518" t="s">
        <v>864</v>
      </c>
      <c r="B1518" t="s">
        <v>865</v>
      </c>
      <c r="C1518" t="s">
        <v>63</v>
      </c>
      <c r="D1518" t="s">
        <v>4062</v>
      </c>
      <c r="E1518" t="s">
        <v>4376</v>
      </c>
      <c r="F1518" t="s">
        <v>4377</v>
      </c>
      <c r="G1518">
        <v>0.01</v>
      </c>
      <c r="H1518" s="2">
        <v>72237.67</v>
      </c>
      <c r="I1518" s="2">
        <v>722.38</v>
      </c>
    </row>
    <row r="1519" spans="1:9" x14ac:dyDescent="0.25">
      <c r="A1519" t="s">
        <v>864</v>
      </c>
      <c r="B1519" t="s">
        <v>865</v>
      </c>
      <c r="C1519" t="s">
        <v>63</v>
      </c>
      <c r="D1519" t="s">
        <v>4049</v>
      </c>
      <c r="E1519" t="s">
        <v>4241</v>
      </c>
      <c r="F1519" t="s">
        <v>4051</v>
      </c>
      <c r="G1519">
        <v>3.5</v>
      </c>
      <c r="H1519" s="2">
        <v>9941.22</v>
      </c>
      <c r="I1519" s="2">
        <v>34794.27</v>
      </c>
    </row>
    <row r="1520" spans="1:9" x14ac:dyDescent="0.25">
      <c r="A1520" t="s">
        <v>864</v>
      </c>
      <c r="B1520" t="s">
        <v>865</v>
      </c>
      <c r="C1520" t="s">
        <v>63</v>
      </c>
      <c r="D1520" t="s">
        <v>4049</v>
      </c>
      <c r="E1520" t="s">
        <v>4242</v>
      </c>
      <c r="F1520" t="s">
        <v>4051</v>
      </c>
      <c r="G1520">
        <v>3.5</v>
      </c>
      <c r="H1520" s="2">
        <v>17069.53</v>
      </c>
      <c r="I1520" s="2">
        <v>59743.35</v>
      </c>
    </row>
    <row r="1521" spans="1:9" x14ac:dyDescent="0.25">
      <c r="A1521" t="s">
        <v>864</v>
      </c>
      <c r="B1521" t="s">
        <v>865</v>
      </c>
      <c r="C1521" t="s">
        <v>63</v>
      </c>
      <c r="D1521" t="s">
        <v>4052</v>
      </c>
      <c r="E1521" t="s">
        <v>4053</v>
      </c>
      <c r="F1521" t="s">
        <v>4054</v>
      </c>
      <c r="G1521">
        <v>3.3</v>
      </c>
      <c r="H1521" s="2">
        <v>94537.62</v>
      </c>
      <c r="I1521" s="2">
        <v>3119.74</v>
      </c>
    </row>
    <row r="1522" spans="1:9" x14ac:dyDescent="0.25">
      <c r="A1522" t="s">
        <v>867</v>
      </c>
      <c r="B1522" t="s">
        <v>868</v>
      </c>
      <c r="C1522" t="s">
        <v>63</v>
      </c>
      <c r="D1522" t="s">
        <v>4062</v>
      </c>
      <c r="E1522" t="s">
        <v>4829</v>
      </c>
      <c r="F1522" t="s">
        <v>42</v>
      </c>
      <c r="G1522">
        <v>12</v>
      </c>
      <c r="H1522" s="2">
        <v>2293</v>
      </c>
      <c r="I1522" s="2">
        <v>27516</v>
      </c>
    </row>
    <row r="1523" spans="1:9" x14ac:dyDescent="0.25">
      <c r="A1523" t="s">
        <v>867</v>
      </c>
      <c r="B1523" t="s">
        <v>868</v>
      </c>
      <c r="C1523" t="s">
        <v>63</v>
      </c>
      <c r="D1523" t="s">
        <v>4062</v>
      </c>
      <c r="E1523" t="s">
        <v>4861</v>
      </c>
      <c r="F1523" t="s">
        <v>42</v>
      </c>
      <c r="G1523">
        <v>16</v>
      </c>
      <c r="H1523" s="2">
        <v>1030</v>
      </c>
      <c r="I1523" s="2">
        <v>16480</v>
      </c>
    </row>
    <row r="1524" spans="1:9" x14ac:dyDescent="0.25">
      <c r="A1524" t="s">
        <v>867</v>
      </c>
      <c r="B1524" t="s">
        <v>868</v>
      </c>
      <c r="C1524" t="s">
        <v>63</v>
      </c>
      <c r="D1524" t="s">
        <v>4062</v>
      </c>
      <c r="E1524" t="s">
        <v>4852</v>
      </c>
      <c r="F1524" t="s">
        <v>63</v>
      </c>
      <c r="G1524">
        <v>1.05</v>
      </c>
      <c r="H1524" s="2">
        <v>1980</v>
      </c>
      <c r="I1524" s="2">
        <v>2079</v>
      </c>
    </row>
    <row r="1525" spans="1:9" x14ac:dyDescent="0.25">
      <c r="A1525" t="s">
        <v>867</v>
      </c>
      <c r="B1525" t="s">
        <v>868</v>
      </c>
      <c r="C1525" t="s">
        <v>63</v>
      </c>
      <c r="D1525" t="s">
        <v>4062</v>
      </c>
      <c r="E1525" t="s">
        <v>4844</v>
      </c>
      <c r="F1525" t="s">
        <v>63</v>
      </c>
      <c r="G1525">
        <v>2</v>
      </c>
      <c r="H1525" s="2">
        <v>674</v>
      </c>
      <c r="I1525" s="2">
        <v>1348</v>
      </c>
    </row>
    <row r="1526" spans="1:9" x14ac:dyDescent="0.25">
      <c r="A1526" t="s">
        <v>867</v>
      </c>
      <c r="B1526" t="s">
        <v>868</v>
      </c>
      <c r="C1526" t="s">
        <v>63</v>
      </c>
      <c r="D1526" t="s">
        <v>4062</v>
      </c>
      <c r="E1526" t="s">
        <v>4659</v>
      </c>
      <c r="F1526" t="s">
        <v>4377</v>
      </c>
      <c r="G1526">
        <v>0.01</v>
      </c>
      <c r="H1526" s="2">
        <v>31500</v>
      </c>
      <c r="I1526" s="2">
        <v>315</v>
      </c>
    </row>
    <row r="1527" spans="1:9" x14ac:dyDescent="0.25">
      <c r="A1527" t="s">
        <v>867</v>
      </c>
      <c r="B1527" t="s">
        <v>868</v>
      </c>
      <c r="C1527" t="s">
        <v>63</v>
      </c>
      <c r="D1527" t="s">
        <v>4062</v>
      </c>
      <c r="E1527" t="s">
        <v>4376</v>
      </c>
      <c r="F1527" t="s">
        <v>4377</v>
      </c>
      <c r="G1527">
        <v>0.01</v>
      </c>
      <c r="H1527" s="2">
        <v>72237.67</v>
      </c>
      <c r="I1527" s="2">
        <v>722.38</v>
      </c>
    </row>
    <row r="1528" spans="1:9" x14ac:dyDescent="0.25">
      <c r="A1528" t="s">
        <v>867</v>
      </c>
      <c r="B1528" t="s">
        <v>868</v>
      </c>
      <c r="C1528" t="s">
        <v>63</v>
      </c>
      <c r="D1528" t="s">
        <v>4049</v>
      </c>
      <c r="E1528" t="s">
        <v>4241</v>
      </c>
      <c r="F1528" t="s">
        <v>4051</v>
      </c>
      <c r="G1528">
        <v>2.5</v>
      </c>
      <c r="H1528" s="2">
        <v>9941.22</v>
      </c>
      <c r="I1528" s="2">
        <v>24853.05</v>
      </c>
    </row>
    <row r="1529" spans="1:9" x14ac:dyDescent="0.25">
      <c r="A1529" t="s">
        <v>867</v>
      </c>
      <c r="B1529" t="s">
        <v>868</v>
      </c>
      <c r="C1529" t="s">
        <v>63</v>
      </c>
      <c r="D1529" t="s">
        <v>4049</v>
      </c>
      <c r="E1529" t="s">
        <v>4242</v>
      </c>
      <c r="F1529" t="s">
        <v>4051</v>
      </c>
      <c r="G1529">
        <v>2.5</v>
      </c>
      <c r="H1529" s="2">
        <v>17069.53</v>
      </c>
      <c r="I1529" s="2">
        <v>42673.82</v>
      </c>
    </row>
    <row r="1530" spans="1:9" x14ac:dyDescent="0.25">
      <c r="A1530" t="s">
        <v>867</v>
      </c>
      <c r="B1530" t="s">
        <v>868</v>
      </c>
      <c r="C1530" t="s">
        <v>63</v>
      </c>
      <c r="D1530" t="s">
        <v>4052</v>
      </c>
      <c r="E1530" t="s">
        <v>4053</v>
      </c>
      <c r="F1530" t="s">
        <v>4054</v>
      </c>
      <c r="G1530">
        <v>3.3</v>
      </c>
      <c r="H1530" s="2">
        <v>67526.87</v>
      </c>
      <c r="I1530" s="2">
        <v>2228.39</v>
      </c>
    </row>
    <row r="1531" spans="1:9" x14ac:dyDescent="0.25">
      <c r="A1531" t="s">
        <v>870</v>
      </c>
      <c r="B1531" t="s">
        <v>871</v>
      </c>
      <c r="C1531" t="s">
        <v>63</v>
      </c>
      <c r="D1531" t="s">
        <v>4062</v>
      </c>
      <c r="E1531" t="s">
        <v>4864</v>
      </c>
      <c r="F1531" t="s">
        <v>42</v>
      </c>
      <c r="G1531">
        <v>10</v>
      </c>
      <c r="H1531" s="2">
        <v>562</v>
      </c>
      <c r="I1531" s="2">
        <v>5620</v>
      </c>
    </row>
    <row r="1532" spans="1:9" x14ac:dyDescent="0.25">
      <c r="A1532" t="s">
        <v>870</v>
      </c>
      <c r="B1532" t="s">
        <v>871</v>
      </c>
      <c r="C1532" t="s">
        <v>63</v>
      </c>
      <c r="D1532" t="s">
        <v>4062</v>
      </c>
      <c r="E1532" t="s">
        <v>4865</v>
      </c>
      <c r="F1532" t="s">
        <v>42</v>
      </c>
      <c r="G1532">
        <v>10</v>
      </c>
      <c r="H1532" s="2">
        <v>660</v>
      </c>
      <c r="I1532" s="2">
        <v>6600</v>
      </c>
    </row>
    <row r="1533" spans="1:9" x14ac:dyDescent="0.25">
      <c r="A1533" t="s">
        <v>870</v>
      </c>
      <c r="B1533" t="s">
        <v>871</v>
      </c>
      <c r="C1533" t="s">
        <v>63</v>
      </c>
      <c r="D1533" t="s">
        <v>4062</v>
      </c>
      <c r="E1533" t="s">
        <v>4866</v>
      </c>
      <c r="F1533" t="s">
        <v>63</v>
      </c>
      <c r="G1533">
        <v>1</v>
      </c>
      <c r="H1533" s="2">
        <v>6912.67</v>
      </c>
      <c r="I1533" s="2">
        <v>6912.67</v>
      </c>
    </row>
    <row r="1534" spans="1:9" x14ac:dyDescent="0.25">
      <c r="A1534" t="s">
        <v>870</v>
      </c>
      <c r="B1534" t="s">
        <v>871</v>
      </c>
      <c r="C1534" t="s">
        <v>63</v>
      </c>
      <c r="D1534" t="s">
        <v>4062</v>
      </c>
      <c r="E1534" t="s">
        <v>4829</v>
      </c>
      <c r="F1534" t="s">
        <v>42</v>
      </c>
      <c r="G1534">
        <v>10</v>
      </c>
      <c r="H1534" s="2">
        <v>2293</v>
      </c>
      <c r="I1534" s="2">
        <v>22930</v>
      </c>
    </row>
    <row r="1535" spans="1:9" x14ac:dyDescent="0.25">
      <c r="A1535" t="s">
        <v>870</v>
      </c>
      <c r="B1535" t="s">
        <v>871</v>
      </c>
      <c r="C1535" t="s">
        <v>63</v>
      </c>
      <c r="D1535" t="s">
        <v>4062</v>
      </c>
      <c r="E1535" t="s">
        <v>4852</v>
      </c>
      <c r="F1535" t="s">
        <v>63</v>
      </c>
      <c r="G1535">
        <v>1</v>
      </c>
      <c r="H1535" s="2">
        <v>1980</v>
      </c>
      <c r="I1535" s="2">
        <v>1980</v>
      </c>
    </row>
    <row r="1536" spans="1:9" x14ac:dyDescent="0.25">
      <c r="A1536" t="s">
        <v>870</v>
      </c>
      <c r="B1536" t="s">
        <v>871</v>
      </c>
      <c r="C1536" t="s">
        <v>63</v>
      </c>
      <c r="D1536" t="s">
        <v>4062</v>
      </c>
      <c r="E1536" t="s">
        <v>4844</v>
      </c>
      <c r="F1536" t="s">
        <v>63</v>
      </c>
      <c r="G1536">
        <v>2</v>
      </c>
      <c r="H1536" s="2">
        <v>674</v>
      </c>
      <c r="I1536" s="2">
        <v>1348</v>
      </c>
    </row>
    <row r="1537" spans="1:9" x14ac:dyDescent="0.25">
      <c r="A1537" t="s">
        <v>870</v>
      </c>
      <c r="B1537" t="s">
        <v>871</v>
      </c>
      <c r="C1537" t="s">
        <v>63</v>
      </c>
      <c r="D1537" t="s">
        <v>4062</v>
      </c>
      <c r="E1537" t="s">
        <v>4659</v>
      </c>
      <c r="F1537" t="s">
        <v>4377</v>
      </c>
      <c r="G1537">
        <v>0.01</v>
      </c>
      <c r="H1537" s="2">
        <v>31500</v>
      </c>
      <c r="I1537" s="2">
        <v>315</v>
      </c>
    </row>
    <row r="1538" spans="1:9" x14ac:dyDescent="0.25">
      <c r="A1538" t="s">
        <v>870</v>
      </c>
      <c r="B1538" t="s">
        <v>871</v>
      </c>
      <c r="C1538" t="s">
        <v>63</v>
      </c>
      <c r="D1538" t="s">
        <v>4062</v>
      </c>
      <c r="E1538" t="s">
        <v>4376</v>
      </c>
      <c r="F1538" t="s">
        <v>4377</v>
      </c>
      <c r="G1538">
        <v>0.01</v>
      </c>
      <c r="H1538" s="2">
        <v>72237.67</v>
      </c>
      <c r="I1538" s="2">
        <v>722.38</v>
      </c>
    </row>
    <row r="1539" spans="1:9" x14ac:dyDescent="0.25">
      <c r="A1539" t="s">
        <v>870</v>
      </c>
      <c r="B1539" t="s">
        <v>871</v>
      </c>
      <c r="C1539" t="s">
        <v>63</v>
      </c>
      <c r="D1539" t="s">
        <v>4049</v>
      </c>
      <c r="E1539" t="s">
        <v>4241</v>
      </c>
      <c r="F1539" t="s">
        <v>4051</v>
      </c>
      <c r="G1539">
        <v>3.33</v>
      </c>
      <c r="H1539" s="2">
        <v>9941.22</v>
      </c>
      <c r="I1539" s="2">
        <v>33104.26</v>
      </c>
    </row>
    <row r="1540" spans="1:9" x14ac:dyDescent="0.25">
      <c r="A1540" t="s">
        <v>870</v>
      </c>
      <c r="B1540" t="s">
        <v>871</v>
      </c>
      <c r="C1540" t="s">
        <v>63</v>
      </c>
      <c r="D1540" t="s">
        <v>4049</v>
      </c>
      <c r="E1540" t="s">
        <v>4242</v>
      </c>
      <c r="F1540" t="s">
        <v>4051</v>
      </c>
      <c r="G1540">
        <v>3.33</v>
      </c>
      <c r="H1540" s="2">
        <v>17069.53</v>
      </c>
      <c r="I1540" s="2">
        <v>56841.53</v>
      </c>
    </row>
    <row r="1541" spans="1:9" x14ac:dyDescent="0.25">
      <c r="A1541" t="s">
        <v>870</v>
      </c>
      <c r="B1541" t="s">
        <v>871</v>
      </c>
      <c r="C1541" t="s">
        <v>63</v>
      </c>
      <c r="D1541" t="s">
        <v>4052</v>
      </c>
      <c r="E1541" t="s">
        <v>4053</v>
      </c>
      <c r="F1541" t="s">
        <v>4054</v>
      </c>
      <c r="G1541">
        <v>3.3</v>
      </c>
      <c r="H1541" s="2">
        <v>89945.79</v>
      </c>
      <c r="I1541" s="2">
        <v>2968.21</v>
      </c>
    </row>
    <row r="1542" spans="1:9" x14ac:dyDescent="0.25">
      <c r="A1542" t="s">
        <v>873</v>
      </c>
      <c r="B1542" t="s">
        <v>874</v>
      </c>
      <c r="C1542" t="s">
        <v>63</v>
      </c>
      <c r="D1542" t="s">
        <v>4062</v>
      </c>
      <c r="E1542" t="s">
        <v>4864</v>
      </c>
      <c r="F1542" t="s">
        <v>42</v>
      </c>
      <c r="G1542">
        <v>10</v>
      </c>
      <c r="H1542" s="2">
        <v>562</v>
      </c>
      <c r="I1542" s="2">
        <v>5620</v>
      </c>
    </row>
    <row r="1543" spans="1:9" x14ac:dyDescent="0.25">
      <c r="A1543" t="s">
        <v>873</v>
      </c>
      <c r="B1543" t="s">
        <v>874</v>
      </c>
      <c r="C1543" t="s">
        <v>63</v>
      </c>
      <c r="D1543" t="s">
        <v>4062</v>
      </c>
      <c r="E1543" t="s">
        <v>4829</v>
      </c>
      <c r="F1543" t="s">
        <v>42</v>
      </c>
      <c r="G1543">
        <v>10</v>
      </c>
      <c r="H1543" s="2">
        <v>2293</v>
      </c>
      <c r="I1543" s="2">
        <v>22930</v>
      </c>
    </row>
    <row r="1544" spans="1:9" x14ac:dyDescent="0.25">
      <c r="A1544" t="s">
        <v>873</v>
      </c>
      <c r="B1544" t="s">
        <v>874</v>
      </c>
      <c r="C1544" t="s">
        <v>63</v>
      </c>
      <c r="D1544" t="s">
        <v>4062</v>
      </c>
      <c r="E1544" t="s">
        <v>4852</v>
      </c>
      <c r="F1544" t="s">
        <v>63</v>
      </c>
      <c r="G1544">
        <v>1.05</v>
      </c>
      <c r="H1544" s="2">
        <v>1980</v>
      </c>
      <c r="I1544" s="2">
        <v>2079</v>
      </c>
    </row>
    <row r="1545" spans="1:9" x14ac:dyDescent="0.25">
      <c r="A1545" t="s">
        <v>873</v>
      </c>
      <c r="B1545" t="s">
        <v>874</v>
      </c>
      <c r="C1545" t="s">
        <v>63</v>
      </c>
      <c r="D1545" t="s">
        <v>4062</v>
      </c>
      <c r="E1545" t="s">
        <v>4844</v>
      </c>
      <c r="F1545" t="s">
        <v>63</v>
      </c>
      <c r="G1545">
        <v>2</v>
      </c>
      <c r="H1545" s="2">
        <v>674</v>
      </c>
      <c r="I1545" s="2">
        <v>1348</v>
      </c>
    </row>
    <row r="1546" spans="1:9" x14ac:dyDescent="0.25">
      <c r="A1546" t="s">
        <v>873</v>
      </c>
      <c r="B1546" t="s">
        <v>874</v>
      </c>
      <c r="C1546" t="s">
        <v>63</v>
      </c>
      <c r="D1546" t="s">
        <v>4062</v>
      </c>
      <c r="E1546" t="s">
        <v>4659</v>
      </c>
      <c r="F1546" t="s">
        <v>4377</v>
      </c>
      <c r="G1546">
        <v>0.01</v>
      </c>
      <c r="H1546" s="2">
        <v>31500</v>
      </c>
      <c r="I1546" s="2">
        <v>315</v>
      </c>
    </row>
    <row r="1547" spans="1:9" x14ac:dyDescent="0.25">
      <c r="A1547" t="s">
        <v>873</v>
      </c>
      <c r="B1547" t="s">
        <v>874</v>
      </c>
      <c r="C1547" t="s">
        <v>63</v>
      </c>
      <c r="D1547" t="s">
        <v>4062</v>
      </c>
      <c r="E1547" t="s">
        <v>4869</v>
      </c>
      <c r="F1547" t="s">
        <v>63</v>
      </c>
      <c r="G1547">
        <v>1</v>
      </c>
      <c r="H1547" s="2">
        <v>4646</v>
      </c>
      <c r="I1547" s="2">
        <v>4646</v>
      </c>
    </row>
    <row r="1548" spans="1:9" x14ac:dyDescent="0.25">
      <c r="A1548" t="s">
        <v>873</v>
      </c>
      <c r="B1548" t="s">
        <v>874</v>
      </c>
      <c r="C1548" t="s">
        <v>63</v>
      </c>
      <c r="D1548" t="s">
        <v>4062</v>
      </c>
      <c r="E1548" t="s">
        <v>4376</v>
      </c>
      <c r="F1548" t="s">
        <v>4377</v>
      </c>
      <c r="G1548">
        <v>0.01</v>
      </c>
      <c r="H1548" s="2">
        <v>72237.67</v>
      </c>
      <c r="I1548" s="2">
        <v>722.38</v>
      </c>
    </row>
    <row r="1549" spans="1:9" x14ac:dyDescent="0.25">
      <c r="A1549" t="s">
        <v>873</v>
      </c>
      <c r="B1549" t="s">
        <v>874</v>
      </c>
      <c r="C1549" t="s">
        <v>63</v>
      </c>
      <c r="D1549" t="s">
        <v>4049</v>
      </c>
      <c r="E1549" t="s">
        <v>4241</v>
      </c>
      <c r="F1549" t="s">
        <v>4051</v>
      </c>
      <c r="G1549">
        <v>3.33</v>
      </c>
      <c r="H1549" s="2">
        <v>9941.22</v>
      </c>
      <c r="I1549" s="2">
        <v>33104.26</v>
      </c>
    </row>
    <row r="1550" spans="1:9" x14ac:dyDescent="0.25">
      <c r="A1550" t="s">
        <v>873</v>
      </c>
      <c r="B1550" t="s">
        <v>874</v>
      </c>
      <c r="C1550" t="s">
        <v>63</v>
      </c>
      <c r="D1550" t="s">
        <v>4049</v>
      </c>
      <c r="E1550" t="s">
        <v>4242</v>
      </c>
      <c r="F1550" t="s">
        <v>4051</v>
      </c>
      <c r="G1550">
        <v>3.33</v>
      </c>
      <c r="H1550" s="2">
        <v>17069.53</v>
      </c>
      <c r="I1550" s="2">
        <v>56841.53</v>
      </c>
    </row>
    <row r="1551" spans="1:9" x14ac:dyDescent="0.25">
      <c r="A1551" t="s">
        <v>873</v>
      </c>
      <c r="B1551" t="s">
        <v>874</v>
      </c>
      <c r="C1551" t="s">
        <v>63</v>
      </c>
      <c r="D1551" t="s">
        <v>4052</v>
      </c>
      <c r="E1551" t="s">
        <v>4053</v>
      </c>
      <c r="F1551" t="s">
        <v>4054</v>
      </c>
      <c r="G1551">
        <v>3.3</v>
      </c>
      <c r="H1551" s="2">
        <v>89945.79</v>
      </c>
      <c r="I1551" s="2">
        <v>2968.21</v>
      </c>
    </row>
    <row r="1552" spans="1:9" x14ac:dyDescent="0.25">
      <c r="A1552" t="s">
        <v>876</v>
      </c>
      <c r="B1552" t="s">
        <v>877</v>
      </c>
      <c r="C1552" t="s">
        <v>63</v>
      </c>
      <c r="D1552" t="s">
        <v>4062</v>
      </c>
      <c r="E1552" t="s">
        <v>4838</v>
      </c>
      <c r="F1552" t="s">
        <v>63</v>
      </c>
      <c r="G1552">
        <v>1</v>
      </c>
      <c r="H1552" s="2">
        <v>1783</v>
      </c>
      <c r="I1552" s="2">
        <v>1783</v>
      </c>
    </row>
    <row r="1553" spans="1:9" x14ac:dyDescent="0.25">
      <c r="A1553" t="s">
        <v>876</v>
      </c>
      <c r="B1553" t="s">
        <v>877</v>
      </c>
      <c r="C1553" t="s">
        <v>63</v>
      </c>
      <c r="D1553" t="s">
        <v>4062</v>
      </c>
      <c r="E1553" t="s">
        <v>4229</v>
      </c>
      <c r="F1553" t="s">
        <v>63</v>
      </c>
      <c r="G1553">
        <v>1</v>
      </c>
      <c r="H1553" s="2">
        <v>16467</v>
      </c>
      <c r="I1553" s="2">
        <v>16467</v>
      </c>
    </row>
    <row r="1554" spans="1:9" x14ac:dyDescent="0.25">
      <c r="A1554" t="s">
        <v>876</v>
      </c>
      <c r="B1554" t="s">
        <v>877</v>
      </c>
      <c r="C1554" t="s">
        <v>63</v>
      </c>
      <c r="D1554" t="s">
        <v>4062</v>
      </c>
      <c r="E1554" t="s">
        <v>4872</v>
      </c>
      <c r="F1554" t="s">
        <v>42</v>
      </c>
      <c r="G1554">
        <v>6</v>
      </c>
      <c r="H1554" s="2">
        <v>7747</v>
      </c>
      <c r="I1554" s="2">
        <v>46482</v>
      </c>
    </row>
    <row r="1555" spans="1:9" x14ac:dyDescent="0.25">
      <c r="A1555" t="s">
        <v>876</v>
      </c>
      <c r="B1555" t="s">
        <v>877</v>
      </c>
      <c r="C1555" t="s">
        <v>63</v>
      </c>
      <c r="D1555" t="s">
        <v>4062</v>
      </c>
      <c r="E1555" t="s">
        <v>4873</v>
      </c>
      <c r="F1555" t="s">
        <v>63</v>
      </c>
      <c r="G1555">
        <v>2</v>
      </c>
      <c r="H1555" s="2">
        <v>2325</v>
      </c>
      <c r="I1555" s="2">
        <v>4650</v>
      </c>
    </row>
    <row r="1556" spans="1:9" x14ac:dyDescent="0.25">
      <c r="A1556" t="s">
        <v>876</v>
      </c>
      <c r="B1556" t="s">
        <v>877</v>
      </c>
      <c r="C1556" t="s">
        <v>63</v>
      </c>
      <c r="D1556" t="s">
        <v>4062</v>
      </c>
      <c r="E1556" t="s">
        <v>4874</v>
      </c>
      <c r="F1556" t="s">
        <v>63</v>
      </c>
      <c r="G1556">
        <v>1</v>
      </c>
      <c r="H1556" s="2">
        <v>2525</v>
      </c>
      <c r="I1556" s="2">
        <v>2525</v>
      </c>
    </row>
    <row r="1557" spans="1:9" x14ac:dyDescent="0.25">
      <c r="A1557" t="s">
        <v>876</v>
      </c>
      <c r="B1557" t="s">
        <v>877</v>
      </c>
      <c r="C1557" t="s">
        <v>63</v>
      </c>
      <c r="D1557" t="s">
        <v>4062</v>
      </c>
      <c r="E1557" t="s">
        <v>4875</v>
      </c>
      <c r="F1557" t="s">
        <v>63</v>
      </c>
      <c r="G1557">
        <v>1</v>
      </c>
      <c r="H1557" s="2">
        <v>2117</v>
      </c>
      <c r="I1557" s="2">
        <v>2117</v>
      </c>
    </row>
    <row r="1558" spans="1:9" x14ac:dyDescent="0.25">
      <c r="A1558" t="s">
        <v>876</v>
      </c>
      <c r="B1558" t="s">
        <v>877</v>
      </c>
      <c r="C1558" t="s">
        <v>63</v>
      </c>
      <c r="D1558" t="s">
        <v>4062</v>
      </c>
      <c r="E1558" t="s">
        <v>4876</v>
      </c>
      <c r="F1558" t="s">
        <v>63</v>
      </c>
      <c r="G1558">
        <v>2</v>
      </c>
      <c r="H1558" s="2">
        <v>910.33</v>
      </c>
      <c r="I1558" s="2">
        <v>1820.66</v>
      </c>
    </row>
    <row r="1559" spans="1:9" x14ac:dyDescent="0.25">
      <c r="A1559" t="s">
        <v>876</v>
      </c>
      <c r="B1559" t="s">
        <v>877</v>
      </c>
      <c r="C1559" t="s">
        <v>63</v>
      </c>
      <c r="D1559" t="s">
        <v>4062</v>
      </c>
      <c r="E1559" t="s">
        <v>4834</v>
      </c>
      <c r="F1559" t="s">
        <v>42</v>
      </c>
      <c r="G1559">
        <v>18</v>
      </c>
      <c r="H1559" s="2">
        <v>1966</v>
      </c>
      <c r="I1559" s="2">
        <v>35388</v>
      </c>
    </row>
    <row r="1560" spans="1:9" x14ac:dyDescent="0.25">
      <c r="A1560" t="s">
        <v>876</v>
      </c>
      <c r="B1560" t="s">
        <v>877</v>
      </c>
      <c r="C1560" t="s">
        <v>63</v>
      </c>
      <c r="D1560" t="s">
        <v>4049</v>
      </c>
      <c r="E1560" t="s">
        <v>4241</v>
      </c>
      <c r="F1560" t="s">
        <v>4051</v>
      </c>
      <c r="G1560">
        <v>6.8</v>
      </c>
      <c r="H1560" s="2">
        <v>9941.22</v>
      </c>
      <c r="I1560" s="2">
        <v>67600.3</v>
      </c>
    </row>
    <row r="1561" spans="1:9" x14ac:dyDescent="0.25">
      <c r="A1561" t="s">
        <v>876</v>
      </c>
      <c r="B1561" t="s">
        <v>877</v>
      </c>
      <c r="C1561" t="s">
        <v>63</v>
      </c>
      <c r="D1561" t="s">
        <v>4049</v>
      </c>
      <c r="E1561" t="s">
        <v>4242</v>
      </c>
      <c r="F1561" t="s">
        <v>4051</v>
      </c>
      <c r="G1561">
        <v>3.4</v>
      </c>
      <c r="H1561" s="2">
        <v>17069.53</v>
      </c>
      <c r="I1561" s="2">
        <v>58036.4</v>
      </c>
    </row>
    <row r="1562" spans="1:9" x14ac:dyDescent="0.25">
      <c r="A1562" t="s">
        <v>876</v>
      </c>
      <c r="B1562" t="s">
        <v>877</v>
      </c>
      <c r="C1562" t="s">
        <v>63</v>
      </c>
      <c r="D1562" t="s">
        <v>4052</v>
      </c>
      <c r="E1562" t="s">
        <v>4053</v>
      </c>
      <c r="F1562" t="s">
        <v>4054</v>
      </c>
      <c r="G1562">
        <v>8</v>
      </c>
      <c r="H1562" s="2">
        <v>125636.7</v>
      </c>
      <c r="I1562" s="2">
        <v>10050.94</v>
      </c>
    </row>
    <row r="1563" spans="1:9" x14ac:dyDescent="0.25">
      <c r="A1563" t="s">
        <v>879</v>
      </c>
      <c r="B1563" t="s">
        <v>880</v>
      </c>
      <c r="C1563" t="s">
        <v>63</v>
      </c>
      <c r="D1563" t="s">
        <v>4062</v>
      </c>
      <c r="E1563" t="s">
        <v>4838</v>
      </c>
      <c r="F1563" t="s">
        <v>63</v>
      </c>
      <c r="G1563">
        <v>1</v>
      </c>
      <c r="H1563" s="2">
        <v>1783</v>
      </c>
      <c r="I1563" s="2">
        <v>1783</v>
      </c>
    </row>
    <row r="1564" spans="1:9" x14ac:dyDescent="0.25">
      <c r="A1564" t="s">
        <v>879</v>
      </c>
      <c r="B1564" t="s">
        <v>880</v>
      </c>
      <c r="C1564" t="s">
        <v>63</v>
      </c>
      <c r="D1564" t="s">
        <v>4062</v>
      </c>
      <c r="E1564" t="s">
        <v>4872</v>
      </c>
      <c r="F1564" t="s">
        <v>42</v>
      </c>
      <c r="G1564">
        <v>6</v>
      </c>
      <c r="H1564" s="2">
        <v>7747</v>
      </c>
      <c r="I1564" s="2">
        <v>46482</v>
      </c>
    </row>
    <row r="1565" spans="1:9" x14ac:dyDescent="0.25">
      <c r="A1565" t="s">
        <v>879</v>
      </c>
      <c r="B1565" t="s">
        <v>880</v>
      </c>
      <c r="C1565" t="s">
        <v>63</v>
      </c>
      <c r="D1565" t="s">
        <v>4062</v>
      </c>
      <c r="E1565" t="s">
        <v>4873</v>
      </c>
      <c r="F1565" t="s">
        <v>63</v>
      </c>
      <c r="G1565">
        <v>2</v>
      </c>
      <c r="H1565" s="2">
        <v>2325</v>
      </c>
      <c r="I1565" s="2">
        <v>4650</v>
      </c>
    </row>
    <row r="1566" spans="1:9" x14ac:dyDescent="0.25">
      <c r="A1566" t="s">
        <v>879</v>
      </c>
      <c r="B1566" t="s">
        <v>880</v>
      </c>
      <c r="C1566" t="s">
        <v>63</v>
      </c>
      <c r="D1566" t="s">
        <v>4062</v>
      </c>
      <c r="E1566" t="s">
        <v>4874</v>
      </c>
      <c r="F1566" t="s">
        <v>63</v>
      </c>
      <c r="G1566">
        <v>1</v>
      </c>
      <c r="H1566" s="2">
        <v>2525</v>
      </c>
      <c r="I1566" s="2">
        <v>2525</v>
      </c>
    </row>
    <row r="1567" spans="1:9" x14ac:dyDescent="0.25">
      <c r="A1567" t="s">
        <v>879</v>
      </c>
      <c r="B1567" t="s">
        <v>880</v>
      </c>
      <c r="C1567" t="s">
        <v>63</v>
      </c>
      <c r="D1567" t="s">
        <v>4062</v>
      </c>
      <c r="E1567" t="s">
        <v>4875</v>
      </c>
      <c r="F1567" t="s">
        <v>63</v>
      </c>
      <c r="G1567">
        <v>1</v>
      </c>
      <c r="H1567" s="2">
        <v>2117</v>
      </c>
      <c r="I1567" s="2">
        <v>2117</v>
      </c>
    </row>
    <row r="1568" spans="1:9" x14ac:dyDescent="0.25">
      <c r="A1568" t="s">
        <v>879</v>
      </c>
      <c r="B1568" t="s">
        <v>880</v>
      </c>
      <c r="C1568" t="s">
        <v>63</v>
      </c>
      <c r="D1568" t="s">
        <v>4062</v>
      </c>
      <c r="E1568" t="s">
        <v>4876</v>
      </c>
      <c r="F1568" t="s">
        <v>63</v>
      </c>
      <c r="G1568">
        <v>2</v>
      </c>
      <c r="H1568" s="2">
        <v>910.33</v>
      </c>
      <c r="I1568" s="2">
        <v>1820.66</v>
      </c>
    </row>
    <row r="1569" spans="1:9" x14ac:dyDescent="0.25">
      <c r="A1569" t="s">
        <v>879</v>
      </c>
      <c r="B1569" t="s">
        <v>880</v>
      </c>
      <c r="C1569" t="s">
        <v>63</v>
      </c>
      <c r="D1569" t="s">
        <v>4062</v>
      </c>
      <c r="E1569" t="s">
        <v>4659</v>
      </c>
      <c r="F1569" t="s">
        <v>4377</v>
      </c>
      <c r="G1569">
        <v>0.01</v>
      </c>
      <c r="H1569" s="2">
        <v>31500</v>
      </c>
      <c r="I1569" s="2">
        <v>315</v>
      </c>
    </row>
    <row r="1570" spans="1:9" x14ac:dyDescent="0.25">
      <c r="A1570" t="s">
        <v>879</v>
      </c>
      <c r="B1570" t="s">
        <v>880</v>
      </c>
      <c r="C1570" t="s">
        <v>63</v>
      </c>
      <c r="D1570" t="s">
        <v>4062</v>
      </c>
      <c r="E1570" t="s">
        <v>4834</v>
      </c>
      <c r="F1570" t="s">
        <v>42</v>
      </c>
      <c r="G1570">
        <v>18</v>
      </c>
      <c r="H1570" s="2">
        <v>1966</v>
      </c>
      <c r="I1570" s="2">
        <v>35388</v>
      </c>
    </row>
    <row r="1571" spans="1:9" x14ac:dyDescent="0.25">
      <c r="A1571" t="s">
        <v>879</v>
      </c>
      <c r="B1571" t="s">
        <v>880</v>
      </c>
      <c r="C1571" t="s">
        <v>63</v>
      </c>
      <c r="D1571" t="s">
        <v>4062</v>
      </c>
      <c r="E1571" t="s">
        <v>4376</v>
      </c>
      <c r="F1571" t="s">
        <v>4377</v>
      </c>
      <c r="G1571">
        <v>0.01</v>
      </c>
      <c r="H1571" s="2">
        <v>72237.67</v>
      </c>
      <c r="I1571" s="2">
        <v>722.38</v>
      </c>
    </row>
    <row r="1572" spans="1:9" x14ac:dyDescent="0.25">
      <c r="A1572" t="s">
        <v>879</v>
      </c>
      <c r="B1572" t="s">
        <v>880</v>
      </c>
      <c r="C1572" t="s">
        <v>63</v>
      </c>
      <c r="D1572" t="s">
        <v>4049</v>
      </c>
      <c r="E1572" t="s">
        <v>4241</v>
      </c>
      <c r="F1572" t="s">
        <v>4051</v>
      </c>
      <c r="G1572">
        <v>4</v>
      </c>
      <c r="H1572" s="2">
        <v>9941.22</v>
      </c>
      <c r="I1572" s="2">
        <v>39764.88</v>
      </c>
    </row>
    <row r="1573" spans="1:9" x14ac:dyDescent="0.25">
      <c r="A1573" t="s">
        <v>879</v>
      </c>
      <c r="B1573" t="s">
        <v>880</v>
      </c>
      <c r="C1573" t="s">
        <v>63</v>
      </c>
      <c r="D1573" t="s">
        <v>4049</v>
      </c>
      <c r="E1573" t="s">
        <v>4242</v>
      </c>
      <c r="F1573" t="s">
        <v>4051</v>
      </c>
      <c r="G1573">
        <v>4</v>
      </c>
      <c r="H1573" s="2">
        <v>17069.53</v>
      </c>
      <c r="I1573" s="2">
        <v>68278.12</v>
      </c>
    </row>
    <row r="1574" spans="1:9" x14ac:dyDescent="0.25">
      <c r="A1574" t="s">
        <v>879</v>
      </c>
      <c r="B1574" t="s">
        <v>880</v>
      </c>
      <c r="C1574" t="s">
        <v>63</v>
      </c>
      <c r="D1574" t="s">
        <v>4052</v>
      </c>
      <c r="E1574" t="s">
        <v>4053</v>
      </c>
      <c r="F1574" t="s">
        <v>4054</v>
      </c>
      <c r="G1574">
        <v>3.3</v>
      </c>
      <c r="H1574" s="2">
        <v>108043</v>
      </c>
      <c r="I1574" s="2">
        <v>3565.42</v>
      </c>
    </row>
    <row r="1575" spans="1:9" x14ac:dyDescent="0.25">
      <c r="A1575" t="s">
        <v>882</v>
      </c>
      <c r="B1575" t="s">
        <v>883</v>
      </c>
      <c r="C1575" t="s">
        <v>63</v>
      </c>
      <c r="D1575" t="s">
        <v>4062</v>
      </c>
      <c r="E1575" t="s">
        <v>4881</v>
      </c>
      <c r="F1575" t="s">
        <v>63</v>
      </c>
      <c r="G1575">
        <v>1</v>
      </c>
      <c r="H1575" s="2">
        <v>11634</v>
      </c>
      <c r="I1575" s="2">
        <v>11634</v>
      </c>
    </row>
    <row r="1576" spans="1:9" x14ac:dyDescent="0.25">
      <c r="A1576" t="s">
        <v>882</v>
      </c>
      <c r="B1576" t="s">
        <v>883</v>
      </c>
      <c r="C1576" t="s">
        <v>63</v>
      </c>
      <c r="D1576" t="s">
        <v>4062</v>
      </c>
      <c r="E1576" t="s">
        <v>4882</v>
      </c>
      <c r="F1576" t="s">
        <v>63</v>
      </c>
      <c r="G1576">
        <v>1</v>
      </c>
      <c r="H1576" s="2">
        <v>55000</v>
      </c>
      <c r="I1576" s="2">
        <v>55000</v>
      </c>
    </row>
    <row r="1577" spans="1:9" x14ac:dyDescent="0.25">
      <c r="A1577" t="s">
        <v>882</v>
      </c>
      <c r="B1577" t="s">
        <v>883</v>
      </c>
      <c r="C1577" t="s">
        <v>63</v>
      </c>
      <c r="D1577" t="s">
        <v>4062</v>
      </c>
      <c r="E1577" t="s">
        <v>4883</v>
      </c>
      <c r="F1577" t="s">
        <v>63</v>
      </c>
      <c r="G1577">
        <v>1</v>
      </c>
      <c r="H1577" s="2">
        <v>6082</v>
      </c>
      <c r="I1577" s="2">
        <v>6082</v>
      </c>
    </row>
    <row r="1578" spans="1:9" x14ac:dyDescent="0.25">
      <c r="A1578" t="s">
        <v>882</v>
      </c>
      <c r="B1578" t="s">
        <v>883</v>
      </c>
      <c r="C1578" t="s">
        <v>63</v>
      </c>
      <c r="D1578" t="s">
        <v>4049</v>
      </c>
      <c r="E1578" t="s">
        <v>4884</v>
      </c>
      <c r="F1578" t="s">
        <v>4236</v>
      </c>
      <c r="G1578">
        <v>0.5</v>
      </c>
      <c r="H1578" s="2">
        <v>27010</v>
      </c>
      <c r="I1578" s="2">
        <v>13505</v>
      </c>
    </row>
    <row r="1579" spans="1:9" x14ac:dyDescent="0.25">
      <c r="A1579" t="s">
        <v>882</v>
      </c>
      <c r="B1579" t="s">
        <v>883</v>
      </c>
      <c r="C1579" t="s">
        <v>63</v>
      </c>
      <c r="D1579" t="s">
        <v>4052</v>
      </c>
      <c r="E1579" t="s">
        <v>4053</v>
      </c>
      <c r="F1579" t="s">
        <v>4054</v>
      </c>
      <c r="G1579">
        <v>5</v>
      </c>
      <c r="H1579" s="2">
        <v>13505</v>
      </c>
      <c r="I1579" s="2">
        <v>675.25</v>
      </c>
    </row>
    <row r="1580" spans="1:9" x14ac:dyDescent="0.25">
      <c r="A1580" t="s">
        <v>885</v>
      </c>
      <c r="B1580" t="s">
        <v>886</v>
      </c>
      <c r="C1580" t="s">
        <v>63</v>
      </c>
      <c r="D1580" t="s">
        <v>4062</v>
      </c>
      <c r="E1580" t="s">
        <v>4887</v>
      </c>
      <c r="F1580" t="s">
        <v>63</v>
      </c>
      <c r="G1580">
        <v>1</v>
      </c>
      <c r="H1580" s="2">
        <v>23596</v>
      </c>
      <c r="I1580" s="2">
        <v>23596</v>
      </c>
    </row>
    <row r="1581" spans="1:9" x14ac:dyDescent="0.25">
      <c r="A1581" t="s">
        <v>885</v>
      </c>
      <c r="B1581" t="s">
        <v>886</v>
      </c>
      <c r="C1581" t="s">
        <v>63</v>
      </c>
      <c r="D1581" t="s">
        <v>4062</v>
      </c>
      <c r="E1581" t="s">
        <v>4883</v>
      </c>
      <c r="F1581" t="s">
        <v>63</v>
      </c>
      <c r="G1581">
        <v>1</v>
      </c>
      <c r="H1581" s="2">
        <v>6082</v>
      </c>
      <c r="I1581" s="2">
        <v>6082</v>
      </c>
    </row>
    <row r="1582" spans="1:9" x14ac:dyDescent="0.25">
      <c r="A1582" t="s">
        <v>885</v>
      </c>
      <c r="B1582" t="s">
        <v>886</v>
      </c>
      <c r="C1582" t="s">
        <v>63</v>
      </c>
      <c r="D1582" t="s">
        <v>4049</v>
      </c>
      <c r="E1582" t="s">
        <v>4884</v>
      </c>
      <c r="F1582" t="s">
        <v>4236</v>
      </c>
      <c r="G1582">
        <v>0.5</v>
      </c>
      <c r="H1582" s="2">
        <v>27010</v>
      </c>
      <c r="I1582" s="2">
        <v>13505</v>
      </c>
    </row>
    <row r="1583" spans="1:9" x14ac:dyDescent="0.25">
      <c r="A1583" t="s">
        <v>885</v>
      </c>
      <c r="B1583" t="s">
        <v>886</v>
      </c>
      <c r="C1583" t="s">
        <v>63</v>
      </c>
      <c r="D1583" t="s">
        <v>4052</v>
      </c>
      <c r="E1583" t="s">
        <v>4053</v>
      </c>
      <c r="F1583" t="s">
        <v>4054</v>
      </c>
      <c r="G1583">
        <v>5</v>
      </c>
      <c r="H1583" s="2">
        <v>13505</v>
      </c>
      <c r="I1583" s="2">
        <v>675.25</v>
      </c>
    </row>
    <row r="1584" spans="1:9" x14ac:dyDescent="0.25">
      <c r="A1584" t="s">
        <v>888</v>
      </c>
      <c r="B1584" t="s">
        <v>889</v>
      </c>
      <c r="C1584" t="s">
        <v>63</v>
      </c>
      <c r="D1584" t="s">
        <v>4062</v>
      </c>
      <c r="E1584" t="s">
        <v>4890</v>
      </c>
      <c r="F1584" t="s">
        <v>63</v>
      </c>
      <c r="G1584">
        <v>1</v>
      </c>
      <c r="H1584" s="2">
        <v>71800</v>
      </c>
      <c r="I1584" s="2">
        <v>71800</v>
      </c>
    </row>
    <row r="1585" spans="1:9" x14ac:dyDescent="0.25">
      <c r="A1585" t="s">
        <v>888</v>
      </c>
      <c r="B1585" t="s">
        <v>889</v>
      </c>
      <c r="C1585" t="s">
        <v>63</v>
      </c>
      <c r="D1585" t="s">
        <v>4049</v>
      </c>
      <c r="E1585" t="s">
        <v>4884</v>
      </c>
      <c r="F1585" t="s">
        <v>4236</v>
      </c>
      <c r="G1585">
        <v>0.5</v>
      </c>
      <c r="H1585" s="2">
        <v>27010</v>
      </c>
      <c r="I1585" s="2">
        <v>13505</v>
      </c>
    </row>
    <row r="1586" spans="1:9" x14ac:dyDescent="0.25">
      <c r="A1586" t="s">
        <v>888</v>
      </c>
      <c r="B1586" t="s">
        <v>889</v>
      </c>
      <c r="C1586" t="s">
        <v>63</v>
      </c>
      <c r="D1586" t="s">
        <v>4052</v>
      </c>
      <c r="E1586" t="s">
        <v>4053</v>
      </c>
      <c r="F1586" t="s">
        <v>4054</v>
      </c>
      <c r="G1586">
        <v>5</v>
      </c>
      <c r="H1586" s="2">
        <v>13505</v>
      </c>
      <c r="I1586" s="2">
        <v>675.25</v>
      </c>
    </row>
    <row r="1587" spans="1:9" x14ac:dyDescent="0.25">
      <c r="A1587" t="s">
        <v>892</v>
      </c>
      <c r="B1587" t="s">
        <v>893</v>
      </c>
      <c r="C1587" t="s">
        <v>63</v>
      </c>
      <c r="D1587" t="s">
        <v>4062</v>
      </c>
      <c r="E1587" t="s">
        <v>4893</v>
      </c>
      <c r="F1587" t="s">
        <v>42</v>
      </c>
      <c r="G1587">
        <v>2</v>
      </c>
      <c r="H1587" s="2">
        <v>2293</v>
      </c>
      <c r="I1587" s="2">
        <v>4586</v>
      </c>
    </row>
    <row r="1588" spans="1:9" x14ac:dyDescent="0.25">
      <c r="A1588" t="s">
        <v>892</v>
      </c>
      <c r="B1588" t="s">
        <v>893</v>
      </c>
      <c r="C1588" t="s">
        <v>63</v>
      </c>
      <c r="D1588" t="s">
        <v>4062</v>
      </c>
      <c r="E1588" t="s">
        <v>4894</v>
      </c>
      <c r="F1588" t="s">
        <v>63</v>
      </c>
      <c r="G1588">
        <v>1</v>
      </c>
      <c r="H1588" s="2">
        <v>56331</v>
      </c>
      <c r="I1588" s="2">
        <v>56331</v>
      </c>
    </row>
    <row r="1589" spans="1:9" x14ac:dyDescent="0.25">
      <c r="A1589" t="s">
        <v>892</v>
      </c>
      <c r="B1589" t="s">
        <v>893</v>
      </c>
      <c r="C1589" t="s">
        <v>63</v>
      </c>
      <c r="D1589" t="s">
        <v>4062</v>
      </c>
      <c r="E1589" t="s">
        <v>4842</v>
      </c>
      <c r="F1589" t="s">
        <v>63</v>
      </c>
      <c r="G1589">
        <v>1</v>
      </c>
      <c r="H1589" s="2">
        <v>1951</v>
      </c>
      <c r="I1589" s="2">
        <v>1951</v>
      </c>
    </row>
    <row r="1590" spans="1:9" x14ac:dyDescent="0.25">
      <c r="A1590" t="s">
        <v>892</v>
      </c>
      <c r="B1590" t="s">
        <v>893</v>
      </c>
      <c r="C1590" t="s">
        <v>63</v>
      </c>
      <c r="D1590" t="s">
        <v>4062</v>
      </c>
      <c r="E1590" t="s">
        <v>4843</v>
      </c>
      <c r="F1590" t="s">
        <v>63</v>
      </c>
      <c r="G1590">
        <v>1</v>
      </c>
      <c r="H1590" s="2">
        <v>1163</v>
      </c>
      <c r="I1590" s="2">
        <v>1163</v>
      </c>
    </row>
    <row r="1591" spans="1:9" x14ac:dyDescent="0.25">
      <c r="A1591" t="s">
        <v>892</v>
      </c>
      <c r="B1591" t="s">
        <v>893</v>
      </c>
      <c r="C1591" t="s">
        <v>63</v>
      </c>
      <c r="D1591" t="s">
        <v>4062</v>
      </c>
      <c r="E1591" t="s">
        <v>4833</v>
      </c>
      <c r="F1591" t="s">
        <v>63</v>
      </c>
      <c r="G1591">
        <v>1</v>
      </c>
      <c r="H1591" s="2">
        <v>404</v>
      </c>
      <c r="I1591" s="2">
        <v>404</v>
      </c>
    </row>
    <row r="1592" spans="1:9" x14ac:dyDescent="0.25">
      <c r="A1592" t="s">
        <v>892</v>
      </c>
      <c r="B1592" t="s">
        <v>893</v>
      </c>
      <c r="C1592" t="s">
        <v>63</v>
      </c>
      <c r="D1592" t="s">
        <v>4062</v>
      </c>
      <c r="E1592" t="s">
        <v>4659</v>
      </c>
      <c r="F1592" t="s">
        <v>4377</v>
      </c>
      <c r="G1592">
        <v>0.01</v>
      </c>
      <c r="H1592" s="2">
        <v>31500</v>
      </c>
      <c r="I1592" s="2">
        <v>315</v>
      </c>
    </row>
    <row r="1593" spans="1:9" x14ac:dyDescent="0.25">
      <c r="A1593" t="s">
        <v>892</v>
      </c>
      <c r="B1593" t="s">
        <v>893</v>
      </c>
      <c r="C1593" t="s">
        <v>63</v>
      </c>
      <c r="D1593" t="s">
        <v>4062</v>
      </c>
      <c r="E1593" t="s">
        <v>4835</v>
      </c>
      <c r="F1593" t="s">
        <v>42</v>
      </c>
      <c r="G1593">
        <v>6</v>
      </c>
      <c r="H1593" s="2">
        <v>2850</v>
      </c>
      <c r="I1593" s="2">
        <v>17100</v>
      </c>
    </row>
    <row r="1594" spans="1:9" x14ac:dyDescent="0.25">
      <c r="A1594" t="s">
        <v>892</v>
      </c>
      <c r="B1594" t="s">
        <v>893</v>
      </c>
      <c r="C1594" t="s">
        <v>63</v>
      </c>
      <c r="D1594" t="s">
        <v>4062</v>
      </c>
      <c r="E1594" t="s">
        <v>4376</v>
      </c>
      <c r="F1594" t="s">
        <v>4377</v>
      </c>
      <c r="G1594">
        <v>0.01</v>
      </c>
      <c r="H1594" s="2">
        <v>72237.67</v>
      </c>
      <c r="I1594" s="2">
        <v>722.38</v>
      </c>
    </row>
    <row r="1595" spans="1:9" x14ac:dyDescent="0.25">
      <c r="A1595" t="s">
        <v>892</v>
      </c>
      <c r="B1595" t="s">
        <v>893</v>
      </c>
      <c r="C1595" t="s">
        <v>63</v>
      </c>
      <c r="D1595" t="s">
        <v>4049</v>
      </c>
      <c r="E1595" t="s">
        <v>4241</v>
      </c>
      <c r="F1595" t="s">
        <v>4051</v>
      </c>
      <c r="G1595">
        <v>3.5</v>
      </c>
      <c r="H1595" s="2">
        <v>9941.22</v>
      </c>
      <c r="I1595" s="2">
        <v>34794.27</v>
      </c>
    </row>
    <row r="1596" spans="1:9" x14ac:dyDescent="0.25">
      <c r="A1596" t="s">
        <v>892</v>
      </c>
      <c r="B1596" t="s">
        <v>893</v>
      </c>
      <c r="C1596" t="s">
        <v>63</v>
      </c>
      <c r="D1596" t="s">
        <v>4049</v>
      </c>
      <c r="E1596" t="s">
        <v>4242</v>
      </c>
      <c r="F1596" t="s">
        <v>4051</v>
      </c>
      <c r="G1596">
        <v>3.5</v>
      </c>
      <c r="H1596" s="2">
        <v>17069.53</v>
      </c>
      <c r="I1596" s="2">
        <v>59743.35</v>
      </c>
    </row>
    <row r="1597" spans="1:9" x14ac:dyDescent="0.25">
      <c r="A1597" t="s">
        <v>892</v>
      </c>
      <c r="B1597" t="s">
        <v>893</v>
      </c>
      <c r="C1597" t="s">
        <v>63</v>
      </c>
      <c r="D1597" t="s">
        <v>4052</v>
      </c>
      <c r="E1597" t="s">
        <v>4053</v>
      </c>
      <c r="F1597" t="s">
        <v>4054</v>
      </c>
      <c r="G1597">
        <v>3.3</v>
      </c>
      <c r="H1597" s="2">
        <v>94537.62</v>
      </c>
      <c r="I1597" s="2">
        <v>3119.74</v>
      </c>
    </row>
    <row r="1598" spans="1:9" x14ac:dyDescent="0.25">
      <c r="A1598" t="s">
        <v>895</v>
      </c>
      <c r="B1598" t="s">
        <v>896</v>
      </c>
      <c r="C1598" t="s">
        <v>63</v>
      </c>
      <c r="D1598" t="s">
        <v>4062</v>
      </c>
      <c r="E1598" t="s">
        <v>4897</v>
      </c>
      <c r="F1598" t="s">
        <v>63</v>
      </c>
      <c r="G1598">
        <v>1</v>
      </c>
      <c r="H1598" s="2">
        <v>10200</v>
      </c>
      <c r="I1598" s="2">
        <v>10200</v>
      </c>
    </row>
    <row r="1599" spans="1:9" x14ac:dyDescent="0.25">
      <c r="A1599" t="s">
        <v>895</v>
      </c>
      <c r="B1599" t="s">
        <v>896</v>
      </c>
      <c r="C1599" t="s">
        <v>63</v>
      </c>
      <c r="D1599" t="s">
        <v>4062</v>
      </c>
      <c r="E1599" t="s">
        <v>4893</v>
      </c>
      <c r="F1599" t="s">
        <v>42</v>
      </c>
      <c r="G1599">
        <v>2</v>
      </c>
      <c r="H1599" s="2">
        <v>2293</v>
      </c>
      <c r="I1599" s="2">
        <v>4586</v>
      </c>
    </row>
    <row r="1600" spans="1:9" x14ac:dyDescent="0.25">
      <c r="A1600" t="s">
        <v>895</v>
      </c>
      <c r="B1600" t="s">
        <v>896</v>
      </c>
      <c r="C1600" t="s">
        <v>63</v>
      </c>
      <c r="D1600" t="s">
        <v>4062</v>
      </c>
      <c r="E1600" t="s">
        <v>4898</v>
      </c>
      <c r="F1600" t="s">
        <v>42</v>
      </c>
      <c r="G1600">
        <v>6</v>
      </c>
      <c r="H1600" s="2">
        <v>1844</v>
      </c>
      <c r="I1600" s="2">
        <v>11064</v>
      </c>
    </row>
    <row r="1601" spans="1:9" x14ac:dyDescent="0.25">
      <c r="A1601" t="s">
        <v>895</v>
      </c>
      <c r="B1601" t="s">
        <v>896</v>
      </c>
      <c r="C1601" t="s">
        <v>63</v>
      </c>
      <c r="D1601" t="s">
        <v>4062</v>
      </c>
      <c r="E1601" t="s">
        <v>4842</v>
      </c>
      <c r="F1601" t="s">
        <v>63</v>
      </c>
      <c r="G1601">
        <v>1</v>
      </c>
      <c r="H1601" s="2">
        <v>1951</v>
      </c>
      <c r="I1601" s="2">
        <v>1951</v>
      </c>
    </row>
    <row r="1602" spans="1:9" x14ac:dyDescent="0.25">
      <c r="A1602" t="s">
        <v>895</v>
      </c>
      <c r="B1602" t="s">
        <v>896</v>
      </c>
      <c r="C1602" t="s">
        <v>63</v>
      </c>
      <c r="D1602" t="s">
        <v>4062</v>
      </c>
      <c r="E1602" t="s">
        <v>4843</v>
      </c>
      <c r="F1602" t="s">
        <v>63</v>
      </c>
      <c r="G1602">
        <v>1</v>
      </c>
      <c r="H1602" s="2">
        <v>1163</v>
      </c>
      <c r="I1602" s="2">
        <v>1163</v>
      </c>
    </row>
    <row r="1603" spans="1:9" x14ac:dyDescent="0.25">
      <c r="A1603" t="s">
        <v>895</v>
      </c>
      <c r="B1603" t="s">
        <v>896</v>
      </c>
      <c r="C1603" t="s">
        <v>63</v>
      </c>
      <c r="D1603" t="s">
        <v>4062</v>
      </c>
      <c r="E1603" t="s">
        <v>4833</v>
      </c>
      <c r="F1603" t="s">
        <v>63</v>
      </c>
      <c r="G1603">
        <v>1</v>
      </c>
      <c r="H1603" s="2">
        <v>404</v>
      </c>
      <c r="I1603" s="2">
        <v>404</v>
      </c>
    </row>
    <row r="1604" spans="1:9" x14ac:dyDescent="0.25">
      <c r="A1604" t="s">
        <v>895</v>
      </c>
      <c r="B1604" t="s">
        <v>896</v>
      </c>
      <c r="C1604" t="s">
        <v>63</v>
      </c>
      <c r="D1604" t="s">
        <v>4062</v>
      </c>
      <c r="E1604" t="s">
        <v>4659</v>
      </c>
      <c r="F1604" t="s">
        <v>4377</v>
      </c>
      <c r="G1604">
        <v>0.01</v>
      </c>
      <c r="H1604" s="2">
        <v>31500</v>
      </c>
      <c r="I1604" s="2">
        <v>315</v>
      </c>
    </row>
    <row r="1605" spans="1:9" x14ac:dyDescent="0.25">
      <c r="A1605" t="s">
        <v>895</v>
      </c>
      <c r="B1605" t="s">
        <v>896</v>
      </c>
      <c r="C1605" t="s">
        <v>63</v>
      </c>
      <c r="D1605" t="s">
        <v>4062</v>
      </c>
      <c r="E1605" t="s">
        <v>4376</v>
      </c>
      <c r="F1605" t="s">
        <v>4377</v>
      </c>
      <c r="G1605">
        <v>0.01</v>
      </c>
      <c r="H1605" s="2">
        <v>72237.67</v>
      </c>
      <c r="I1605" s="2">
        <v>722.38</v>
      </c>
    </row>
    <row r="1606" spans="1:9" x14ac:dyDescent="0.25">
      <c r="A1606" t="s">
        <v>895</v>
      </c>
      <c r="B1606" t="s">
        <v>896</v>
      </c>
      <c r="C1606" t="s">
        <v>63</v>
      </c>
      <c r="D1606" t="s">
        <v>4049</v>
      </c>
      <c r="E1606" t="s">
        <v>4241</v>
      </c>
      <c r="F1606" t="s">
        <v>4051</v>
      </c>
      <c r="G1606">
        <v>3.5</v>
      </c>
      <c r="H1606" s="2">
        <v>9941.22</v>
      </c>
      <c r="I1606" s="2">
        <v>34794.27</v>
      </c>
    </row>
    <row r="1607" spans="1:9" x14ac:dyDescent="0.25">
      <c r="A1607" t="s">
        <v>895</v>
      </c>
      <c r="B1607" t="s">
        <v>896</v>
      </c>
      <c r="C1607" t="s">
        <v>63</v>
      </c>
      <c r="D1607" t="s">
        <v>4049</v>
      </c>
      <c r="E1607" t="s">
        <v>4242</v>
      </c>
      <c r="F1607" t="s">
        <v>4051</v>
      </c>
      <c r="G1607">
        <v>3.5</v>
      </c>
      <c r="H1607" s="2">
        <v>17069.53</v>
      </c>
      <c r="I1607" s="2">
        <v>59743.35</v>
      </c>
    </row>
    <row r="1608" spans="1:9" x14ac:dyDescent="0.25">
      <c r="A1608" t="s">
        <v>895</v>
      </c>
      <c r="B1608" t="s">
        <v>896</v>
      </c>
      <c r="C1608" t="s">
        <v>63</v>
      </c>
      <c r="D1608" t="s">
        <v>4052</v>
      </c>
      <c r="E1608" t="s">
        <v>4053</v>
      </c>
      <c r="F1608" t="s">
        <v>4054</v>
      </c>
      <c r="G1608">
        <v>3.3</v>
      </c>
      <c r="H1608" s="2">
        <v>94537.62</v>
      </c>
      <c r="I1608" s="2">
        <v>3119.74</v>
      </c>
    </row>
    <row r="1609" spans="1:9" x14ac:dyDescent="0.25">
      <c r="A1609" t="s">
        <v>898</v>
      </c>
      <c r="B1609" t="s">
        <v>899</v>
      </c>
      <c r="C1609" t="s">
        <v>63</v>
      </c>
      <c r="D1609" t="s">
        <v>4062</v>
      </c>
      <c r="E1609" t="s">
        <v>4901</v>
      </c>
      <c r="F1609" t="s">
        <v>63</v>
      </c>
      <c r="G1609">
        <v>1</v>
      </c>
      <c r="H1609" s="2">
        <v>13033</v>
      </c>
      <c r="I1609" s="2">
        <v>13033</v>
      </c>
    </row>
    <row r="1610" spans="1:9" x14ac:dyDescent="0.25">
      <c r="A1610" t="s">
        <v>898</v>
      </c>
      <c r="B1610" t="s">
        <v>899</v>
      </c>
      <c r="C1610" t="s">
        <v>63</v>
      </c>
      <c r="D1610" t="s">
        <v>4049</v>
      </c>
      <c r="E1610" t="s">
        <v>4241</v>
      </c>
      <c r="F1610" t="s">
        <v>4051</v>
      </c>
      <c r="G1610">
        <v>0.03</v>
      </c>
      <c r="H1610" s="2">
        <v>9941.22</v>
      </c>
      <c r="I1610" s="2">
        <v>298.24</v>
      </c>
    </row>
    <row r="1611" spans="1:9" x14ac:dyDescent="0.25">
      <c r="A1611" t="s">
        <v>898</v>
      </c>
      <c r="B1611" t="s">
        <v>899</v>
      </c>
      <c r="C1611" t="s">
        <v>63</v>
      </c>
      <c r="D1611" t="s">
        <v>4049</v>
      </c>
      <c r="E1611" t="s">
        <v>4242</v>
      </c>
      <c r="F1611" t="s">
        <v>4051</v>
      </c>
      <c r="G1611">
        <v>0.03</v>
      </c>
      <c r="H1611" s="2">
        <v>17069.53</v>
      </c>
      <c r="I1611" s="2">
        <v>512.09</v>
      </c>
    </row>
    <row r="1612" spans="1:9" x14ac:dyDescent="0.25">
      <c r="A1612" t="s">
        <v>898</v>
      </c>
      <c r="B1612" t="s">
        <v>899</v>
      </c>
      <c r="C1612" t="s">
        <v>63</v>
      </c>
      <c r="D1612" t="s">
        <v>4052</v>
      </c>
      <c r="E1612" t="s">
        <v>4053</v>
      </c>
      <c r="F1612" t="s">
        <v>4054</v>
      </c>
      <c r="G1612">
        <v>5</v>
      </c>
      <c r="H1612" s="2">
        <v>810.33</v>
      </c>
      <c r="I1612" s="2">
        <v>40.52</v>
      </c>
    </row>
    <row r="1613" spans="1:9" x14ac:dyDescent="0.25">
      <c r="A1613" t="s">
        <v>901</v>
      </c>
      <c r="B1613" t="s">
        <v>902</v>
      </c>
      <c r="C1613" t="s">
        <v>63</v>
      </c>
      <c r="D1613" t="s">
        <v>4062</v>
      </c>
      <c r="E1613" t="s">
        <v>4904</v>
      </c>
      <c r="F1613" t="s">
        <v>63</v>
      </c>
      <c r="G1613">
        <v>1</v>
      </c>
      <c r="H1613" s="2">
        <v>15328</v>
      </c>
      <c r="I1613" s="2">
        <v>15328</v>
      </c>
    </row>
    <row r="1614" spans="1:9" x14ac:dyDescent="0.25">
      <c r="A1614" t="s">
        <v>901</v>
      </c>
      <c r="B1614" t="s">
        <v>902</v>
      </c>
      <c r="C1614" t="s">
        <v>63</v>
      </c>
      <c r="D1614" t="s">
        <v>4062</v>
      </c>
      <c r="E1614" t="s">
        <v>4905</v>
      </c>
      <c r="F1614" t="s">
        <v>63</v>
      </c>
      <c r="G1614">
        <v>1</v>
      </c>
      <c r="H1614" s="2">
        <v>92287</v>
      </c>
      <c r="I1614" s="2">
        <v>92287</v>
      </c>
    </row>
    <row r="1615" spans="1:9" x14ac:dyDescent="0.25">
      <c r="A1615" t="s">
        <v>901</v>
      </c>
      <c r="B1615" t="s">
        <v>902</v>
      </c>
      <c r="C1615" t="s">
        <v>63</v>
      </c>
      <c r="D1615" t="s">
        <v>4062</v>
      </c>
      <c r="E1615" t="s">
        <v>4906</v>
      </c>
      <c r="F1615" t="s">
        <v>42</v>
      </c>
      <c r="G1615">
        <v>2</v>
      </c>
      <c r="H1615" s="2">
        <v>2644</v>
      </c>
      <c r="I1615" s="2">
        <v>5288</v>
      </c>
    </row>
    <row r="1616" spans="1:9" x14ac:dyDescent="0.25">
      <c r="A1616" t="s">
        <v>901</v>
      </c>
      <c r="B1616" t="s">
        <v>902</v>
      </c>
      <c r="C1616" t="s">
        <v>63</v>
      </c>
      <c r="D1616" t="s">
        <v>4049</v>
      </c>
      <c r="E1616" t="s">
        <v>4241</v>
      </c>
      <c r="F1616" t="s">
        <v>4051</v>
      </c>
      <c r="G1616">
        <v>0.3</v>
      </c>
      <c r="H1616" s="2">
        <v>9941.22</v>
      </c>
      <c r="I1616" s="2">
        <v>2982.37</v>
      </c>
    </row>
    <row r="1617" spans="1:9" x14ac:dyDescent="0.25">
      <c r="A1617" t="s">
        <v>901</v>
      </c>
      <c r="B1617" t="s">
        <v>902</v>
      </c>
      <c r="C1617" t="s">
        <v>63</v>
      </c>
      <c r="D1617" t="s">
        <v>4049</v>
      </c>
      <c r="E1617" t="s">
        <v>4242</v>
      </c>
      <c r="F1617" t="s">
        <v>4051</v>
      </c>
      <c r="G1617">
        <v>0.3</v>
      </c>
      <c r="H1617" s="2">
        <v>17069.53</v>
      </c>
      <c r="I1617" s="2">
        <v>5120.86</v>
      </c>
    </row>
    <row r="1618" spans="1:9" x14ac:dyDescent="0.25">
      <c r="A1618" t="s">
        <v>901</v>
      </c>
      <c r="B1618" t="s">
        <v>902</v>
      </c>
      <c r="C1618" t="s">
        <v>63</v>
      </c>
      <c r="D1618" t="s">
        <v>4052</v>
      </c>
      <c r="E1618" t="s">
        <v>4053</v>
      </c>
      <c r="F1618" t="s">
        <v>4054</v>
      </c>
      <c r="G1618">
        <v>5</v>
      </c>
      <c r="H1618" s="2">
        <v>8103.23</v>
      </c>
      <c r="I1618" s="2">
        <v>405.16</v>
      </c>
    </row>
    <row r="1619" spans="1:9" x14ac:dyDescent="0.25">
      <c r="A1619" t="s">
        <v>904</v>
      </c>
      <c r="B1619" t="s">
        <v>905</v>
      </c>
      <c r="C1619" t="s">
        <v>63</v>
      </c>
      <c r="D1619" t="s">
        <v>4062</v>
      </c>
      <c r="E1619" t="s">
        <v>4909</v>
      </c>
      <c r="F1619" t="s">
        <v>63</v>
      </c>
      <c r="G1619">
        <v>1</v>
      </c>
      <c r="H1619" s="2">
        <v>96787</v>
      </c>
      <c r="I1619" s="2">
        <v>96787</v>
      </c>
    </row>
    <row r="1620" spans="1:9" x14ac:dyDescent="0.25">
      <c r="A1620" t="s">
        <v>904</v>
      </c>
      <c r="B1620" t="s">
        <v>905</v>
      </c>
      <c r="C1620" t="s">
        <v>63</v>
      </c>
      <c r="D1620" t="s">
        <v>4049</v>
      </c>
      <c r="E1620" t="s">
        <v>4241</v>
      </c>
      <c r="F1620" t="s">
        <v>4051</v>
      </c>
      <c r="G1620">
        <v>0.03</v>
      </c>
      <c r="H1620" s="2">
        <v>9941.22</v>
      </c>
      <c r="I1620" s="2">
        <v>298.24</v>
      </c>
    </row>
    <row r="1621" spans="1:9" x14ac:dyDescent="0.25">
      <c r="A1621" t="s">
        <v>904</v>
      </c>
      <c r="B1621" t="s">
        <v>905</v>
      </c>
      <c r="C1621" t="s">
        <v>63</v>
      </c>
      <c r="D1621" t="s">
        <v>4049</v>
      </c>
      <c r="E1621" t="s">
        <v>4242</v>
      </c>
      <c r="F1621" t="s">
        <v>4051</v>
      </c>
      <c r="G1621">
        <v>0.03</v>
      </c>
      <c r="H1621" s="2">
        <v>17069.53</v>
      </c>
      <c r="I1621" s="2">
        <v>512.09</v>
      </c>
    </row>
    <row r="1622" spans="1:9" x14ac:dyDescent="0.25">
      <c r="A1622" t="s">
        <v>904</v>
      </c>
      <c r="B1622" t="s">
        <v>905</v>
      </c>
      <c r="C1622" t="s">
        <v>63</v>
      </c>
      <c r="D1622" t="s">
        <v>4052</v>
      </c>
      <c r="E1622" t="s">
        <v>4053</v>
      </c>
      <c r="F1622" t="s">
        <v>4054</v>
      </c>
      <c r="G1622">
        <v>5</v>
      </c>
      <c r="H1622" s="2">
        <v>810.33</v>
      </c>
      <c r="I1622" s="2">
        <v>40.52</v>
      </c>
    </row>
    <row r="1623" spans="1:9" x14ac:dyDescent="0.25">
      <c r="A1623" t="s">
        <v>907</v>
      </c>
      <c r="B1623" t="s">
        <v>908</v>
      </c>
      <c r="C1623" t="s">
        <v>63</v>
      </c>
      <c r="D1623" t="s">
        <v>4062</v>
      </c>
      <c r="E1623" t="s">
        <v>4904</v>
      </c>
      <c r="F1623" t="s">
        <v>63</v>
      </c>
      <c r="G1623">
        <v>1</v>
      </c>
      <c r="H1623" s="2">
        <v>15328</v>
      </c>
      <c r="I1623" s="2">
        <v>15328</v>
      </c>
    </row>
    <row r="1624" spans="1:9" x14ac:dyDescent="0.25">
      <c r="A1624" t="s">
        <v>907</v>
      </c>
      <c r="B1624" t="s">
        <v>908</v>
      </c>
      <c r="C1624" t="s">
        <v>63</v>
      </c>
      <c r="D1624" t="s">
        <v>4062</v>
      </c>
      <c r="E1624" t="s">
        <v>4912</v>
      </c>
      <c r="F1624" t="s">
        <v>63</v>
      </c>
      <c r="G1624">
        <v>1</v>
      </c>
      <c r="H1624" s="2">
        <v>52829</v>
      </c>
      <c r="I1624" s="2">
        <v>52829</v>
      </c>
    </row>
    <row r="1625" spans="1:9" x14ac:dyDescent="0.25">
      <c r="A1625" t="s">
        <v>907</v>
      </c>
      <c r="B1625" t="s">
        <v>908</v>
      </c>
      <c r="C1625" t="s">
        <v>63</v>
      </c>
      <c r="D1625" t="s">
        <v>4062</v>
      </c>
      <c r="E1625" t="s">
        <v>4906</v>
      </c>
      <c r="F1625" t="s">
        <v>42</v>
      </c>
      <c r="G1625">
        <v>2</v>
      </c>
      <c r="H1625" s="2">
        <v>2644</v>
      </c>
      <c r="I1625" s="2">
        <v>5288</v>
      </c>
    </row>
    <row r="1626" spans="1:9" x14ac:dyDescent="0.25">
      <c r="A1626" t="s">
        <v>907</v>
      </c>
      <c r="B1626" t="s">
        <v>908</v>
      </c>
      <c r="C1626" t="s">
        <v>63</v>
      </c>
      <c r="D1626" t="s">
        <v>4049</v>
      </c>
      <c r="E1626" t="s">
        <v>4241</v>
      </c>
      <c r="F1626" t="s">
        <v>4051</v>
      </c>
      <c r="G1626">
        <v>0.3</v>
      </c>
      <c r="H1626" s="2">
        <v>9941.22</v>
      </c>
      <c r="I1626" s="2">
        <v>2982.37</v>
      </c>
    </row>
    <row r="1627" spans="1:9" x14ac:dyDescent="0.25">
      <c r="A1627" t="s">
        <v>907</v>
      </c>
      <c r="B1627" t="s">
        <v>908</v>
      </c>
      <c r="C1627" t="s">
        <v>63</v>
      </c>
      <c r="D1627" t="s">
        <v>4049</v>
      </c>
      <c r="E1627" t="s">
        <v>4242</v>
      </c>
      <c r="F1627" t="s">
        <v>4051</v>
      </c>
      <c r="G1627">
        <v>0.3</v>
      </c>
      <c r="H1627" s="2">
        <v>17069.53</v>
      </c>
      <c r="I1627" s="2">
        <v>5120.86</v>
      </c>
    </row>
    <row r="1628" spans="1:9" x14ac:dyDescent="0.25">
      <c r="A1628" t="s">
        <v>907</v>
      </c>
      <c r="B1628" t="s">
        <v>908</v>
      </c>
      <c r="C1628" t="s">
        <v>63</v>
      </c>
      <c r="D1628" t="s">
        <v>4052</v>
      </c>
      <c r="E1628" t="s">
        <v>4053</v>
      </c>
      <c r="F1628" t="s">
        <v>4054</v>
      </c>
      <c r="G1628">
        <v>5</v>
      </c>
      <c r="H1628" s="2">
        <v>8103.23</v>
      </c>
      <c r="I1628" s="2">
        <v>405.16</v>
      </c>
    </row>
    <row r="1629" spans="1:9" x14ac:dyDescent="0.25">
      <c r="A1629" t="s">
        <v>910</v>
      </c>
      <c r="B1629" t="s">
        <v>911</v>
      </c>
      <c r="C1629" t="s">
        <v>63</v>
      </c>
      <c r="D1629" t="s">
        <v>4062</v>
      </c>
      <c r="E1629" t="s">
        <v>4915</v>
      </c>
      <c r="F1629" t="s">
        <v>63</v>
      </c>
      <c r="G1629">
        <v>1</v>
      </c>
      <c r="H1629" s="2">
        <v>77652</v>
      </c>
      <c r="I1629" s="2">
        <v>77652</v>
      </c>
    </row>
    <row r="1630" spans="1:9" x14ac:dyDescent="0.25">
      <c r="A1630" t="s">
        <v>910</v>
      </c>
      <c r="B1630" t="s">
        <v>911</v>
      </c>
      <c r="C1630" t="s">
        <v>63</v>
      </c>
      <c r="D1630" t="s">
        <v>4049</v>
      </c>
      <c r="E1630" t="s">
        <v>4241</v>
      </c>
      <c r="F1630" t="s">
        <v>4051</v>
      </c>
      <c r="G1630">
        <v>6</v>
      </c>
      <c r="H1630" s="2">
        <v>9941.22</v>
      </c>
      <c r="I1630" s="2">
        <v>59647.32</v>
      </c>
    </row>
    <row r="1631" spans="1:9" x14ac:dyDescent="0.25">
      <c r="A1631" t="s">
        <v>910</v>
      </c>
      <c r="B1631" t="s">
        <v>911</v>
      </c>
      <c r="C1631" t="s">
        <v>63</v>
      </c>
      <c r="D1631" t="s">
        <v>4049</v>
      </c>
      <c r="E1631" t="s">
        <v>4242</v>
      </c>
      <c r="F1631" t="s">
        <v>4051</v>
      </c>
      <c r="G1631">
        <v>6</v>
      </c>
      <c r="H1631" s="2">
        <v>17069.53</v>
      </c>
      <c r="I1631" s="2">
        <v>102417.18</v>
      </c>
    </row>
    <row r="1632" spans="1:9" x14ac:dyDescent="0.25">
      <c r="A1632" t="s">
        <v>910</v>
      </c>
      <c r="B1632" t="s">
        <v>911</v>
      </c>
      <c r="C1632" t="s">
        <v>63</v>
      </c>
      <c r="D1632" t="s">
        <v>4052</v>
      </c>
      <c r="E1632" t="s">
        <v>4053</v>
      </c>
      <c r="F1632" t="s">
        <v>4054</v>
      </c>
      <c r="G1632">
        <v>5</v>
      </c>
      <c r="H1632" s="2">
        <v>162064.5</v>
      </c>
      <c r="I1632" s="2">
        <v>8103.23</v>
      </c>
    </row>
    <row r="1633" spans="1:9" x14ac:dyDescent="0.25">
      <c r="A1633" t="s">
        <v>913</v>
      </c>
      <c r="B1633" t="s">
        <v>914</v>
      </c>
      <c r="C1633" t="s">
        <v>63</v>
      </c>
      <c r="D1633" t="s">
        <v>4062</v>
      </c>
      <c r="E1633" t="s">
        <v>4918</v>
      </c>
      <c r="F1633" t="s">
        <v>3533</v>
      </c>
      <c r="G1633">
        <v>1</v>
      </c>
      <c r="H1633" s="2">
        <v>453000</v>
      </c>
      <c r="I1633" s="2">
        <v>453000</v>
      </c>
    </row>
    <row r="1634" spans="1:9" x14ac:dyDescent="0.25">
      <c r="A1634" t="s">
        <v>913</v>
      </c>
      <c r="B1634" t="s">
        <v>914</v>
      </c>
      <c r="C1634" t="s">
        <v>63</v>
      </c>
      <c r="D1634" t="s">
        <v>4049</v>
      </c>
      <c r="E1634" t="s">
        <v>4241</v>
      </c>
      <c r="F1634" t="s">
        <v>4051</v>
      </c>
      <c r="G1634">
        <v>8</v>
      </c>
      <c r="H1634" s="2">
        <v>9941.22</v>
      </c>
      <c r="I1634" s="2">
        <v>79529.76</v>
      </c>
    </row>
    <row r="1635" spans="1:9" x14ac:dyDescent="0.25">
      <c r="A1635" t="s">
        <v>913</v>
      </c>
      <c r="B1635" t="s">
        <v>914</v>
      </c>
      <c r="C1635" t="s">
        <v>63</v>
      </c>
      <c r="D1635" t="s">
        <v>4049</v>
      </c>
      <c r="E1635" t="s">
        <v>4242</v>
      </c>
      <c r="F1635" t="s">
        <v>4051</v>
      </c>
      <c r="G1635">
        <v>8</v>
      </c>
      <c r="H1635" s="2">
        <v>17069.53</v>
      </c>
      <c r="I1635" s="2">
        <v>136556.24</v>
      </c>
    </row>
    <row r="1636" spans="1:9" x14ac:dyDescent="0.25">
      <c r="A1636" t="s">
        <v>913</v>
      </c>
      <c r="B1636" t="s">
        <v>914</v>
      </c>
      <c r="C1636" t="s">
        <v>63</v>
      </c>
      <c r="D1636" t="s">
        <v>4052</v>
      </c>
      <c r="E1636" t="s">
        <v>4053</v>
      </c>
      <c r="F1636" t="s">
        <v>4054</v>
      </c>
      <c r="G1636">
        <v>7</v>
      </c>
      <c r="H1636" s="2">
        <v>216086</v>
      </c>
      <c r="I1636" s="2">
        <v>15126.02</v>
      </c>
    </row>
    <row r="1637" spans="1:9" x14ac:dyDescent="0.25">
      <c r="A1637" t="s">
        <v>916</v>
      </c>
      <c r="B1637" t="s">
        <v>917</v>
      </c>
      <c r="C1637" t="s">
        <v>63</v>
      </c>
      <c r="D1637" t="s">
        <v>4062</v>
      </c>
      <c r="E1637" t="s">
        <v>4921</v>
      </c>
      <c r="F1637" t="s">
        <v>63</v>
      </c>
      <c r="G1637">
        <v>4</v>
      </c>
      <c r="H1637" s="2">
        <v>426.33</v>
      </c>
      <c r="I1637" s="2">
        <v>1705.32</v>
      </c>
    </row>
    <row r="1638" spans="1:9" x14ac:dyDescent="0.25">
      <c r="A1638" t="s">
        <v>916</v>
      </c>
      <c r="B1638" t="s">
        <v>917</v>
      </c>
      <c r="C1638" t="s">
        <v>63</v>
      </c>
      <c r="D1638" t="s">
        <v>4062</v>
      </c>
      <c r="E1638" t="s">
        <v>4601</v>
      </c>
      <c r="F1638" t="s">
        <v>63</v>
      </c>
      <c r="G1638">
        <v>4</v>
      </c>
      <c r="H1638" s="2">
        <v>199</v>
      </c>
      <c r="I1638" s="2">
        <v>796</v>
      </c>
    </row>
    <row r="1639" spans="1:9" x14ac:dyDescent="0.25">
      <c r="A1639" t="s">
        <v>916</v>
      </c>
      <c r="B1639" t="s">
        <v>917</v>
      </c>
      <c r="C1639" t="s">
        <v>63</v>
      </c>
      <c r="D1639" t="s">
        <v>4049</v>
      </c>
      <c r="E1639" t="s">
        <v>4884</v>
      </c>
      <c r="F1639" t="s">
        <v>4236</v>
      </c>
      <c r="G1639">
        <v>0.75</v>
      </c>
      <c r="H1639" s="2">
        <v>27010</v>
      </c>
      <c r="I1639" s="2">
        <v>20257.5</v>
      </c>
    </row>
    <row r="1640" spans="1:9" x14ac:dyDescent="0.25">
      <c r="A1640" t="s">
        <v>916</v>
      </c>
      <c r="B1640" t="s">
        <v>917</v>
      </c>
      <c r="C1640" t="s">
        <v>63</v>
      </c>
      <c r="D1640" t="s">
        <v>4052</v>
      </c>
      <c r="E1640" t="s">
        <v>4053</v>
      </c>
      <c r="F1640" t="s">
        <v>4054</v>
      </c>
      <c r="G1640">
        <v>5</v>
      </c>
      <c r="H1640" s="2">
        <v>20257.5</v>
      </c>
      <c r="I1640" s="2">
        <v>1012.88</v>
      </c>
    </row>
    <row r="1641" spans="1:9" x14ac:dyDescent="0.25">
      <c r="A1641" t="s">
        <v>920</v>
      </c>
      <c r="B1641" t="s">
        <v>921</v>
      </c>
      <c r="C1641" t="s">
        <v>63</v>
      </c>
      <c r="D1641" t="s">
        <v>4062</v>
      </c>
      <c r="E1641" t="s">
        <v>4921</v>
      </c>
      <c r="F1641" t="s">
        <v>63</v>
      </c>
      <c r="G1641">
        <v>6</v>
      </c>
      <c r="H1641" s="2">
        <v>426.33</v>
      </c>
      <c r="I1641" s="2">
        <v>2557.98</v>
      </c>
    </row>
    <row r="1642" spans="1:9" x14ac:dyDescent="0.25">
      <c r="A1642" t="s">
        <v>920</v>
      </c>
      <c r="B1642" t="s">
        <v>921</v>
      </c>
      <c r="C1642" t="s">
        <v>63</v>
      </c>
      <c r="D1642" t="s">
        <v>4062</v>
      </c>
      <c r="E1642" t="s">
        <v>4601</v>
      </c>
      <c r="F1642" t="s">
        <v>63</v>
      </c>
      <c r="G1642">
        <v>6</v>
      </c>
      <c r="H1642" s="2">
        <v>199</v>
      </c>
      <c r="I1642" s="2">
        <v>1194</v>
      </c>
    </row>
    <row r="1643" spans="1:9" x14ac:dyDescent="0.25">
      <c r="A1643" t="s">
        <v>920</v>
      </c>
      <c r="B1643" t="s">
        <v>921</v>
      </c>
      <c r="C1643" t="s">
        <v>63</v>
      </c>
      <c r="D1643" t="s">
        <v>4049</v>
      </c>
      <c r="E1643" t="s">
        <v>4884</v>
      </c>
      <c r="F1643" t="s">
        <v>4236</v>
      </c>
      <c r="G1643">
        <v>1</v>
      </c>
      <c r="H1643" s="2">
        <v>27010</v>
      </c>
      <c r="I1643" s="2">
        <v>27010</v>
      </c>
    </row>
    <row r="1644" spans="1:9" x14ac:dyDescent="0.25">
      <c r="A1644" t="s">
        <v>920</v>
      </c>
      <c r="B1644" t="s">
        <v>921</v>
      </c>
      <c r="C1644" t="s">
        <v>63</v>
      </c>
      <c r="D1644" t="s">
        <v>4052</v>
      </c>
      <c r="E1644" t="s">
        <v>4053</v>
      </c>
      <c r="F1644" t="s">
        <v>4054</v>
      </c>
      <c r="G1644">
        <v>5</v>
      </c>
      <c r="H1644" s="2">
        <v>27010</v>
      </c>
      <c r="I1644" s="2">
        <v>1350.5</v>
      </c>
    </row>
    <row r="1645" spans="1:9" x14ac:dyDescent="0.25">
      <c r="A1645" t="s">
        <v>923</v>
      </c>
      <c r="B1645" t="s">
        <v>924</v>
      </c>
      <c r="C1645" t="s">
        <v>63</v>
      </c>
      <c r="D1645" t="s">
        <v>4062</v>
      </c>
      <c r="E1645" t="s">
        <v>4530</v>
      </c>
      <c r="F1645" t="s">
        <v>63</v>
      </c>
      <c r="G1645">
        <v>4</v>
      </c>
      <c r="H1645" s="2">
        <v>616.67</v>
      </c>
      <c r="I1645" s="2">
        <v>2466.68</v>
      </c>
    </row>
    <row r="1646" spans="1:9" x14ac:dyDescent="0.25">
      <c r="A1646" t="s">
        <v>923</v>
      </c>
      <c r="B1646" t="s">
        <v>924</v>
      </c>
      <c r="C1646" t="s">
        <v>63</v>
      </c>
      <c r="D1646" t="s">
        <v>4062</v>
      </c>
      <c r="E1646" t="s">
        <v>4926</v>
      </c>
      <c r="F1646" t="s">
        <v>63</v>
      </c>
      <c r="G1646">
        <v>1</v>
      </c>
      <c r="H1646" s="2">
        <v>88797</v>
      </c>
      <c r="I1646" s="2">
        <v>88797</v>
      </c>
    </row>
    <row r="1647" spans="1:9" x14ac:dyDescent="0.25">
      <c r="A1647" t="s">
        <v>923</v>
      </c>
      <c r="B1647" t="s">
        <v>924</v>
      </c>
      <c r="C1647" t="s">
        <v>63</v>
      </c>
      <c r="D1647" t="s">
        <v>4062</v>
      </c>
      <c r="E1647" t="s">
        <v>4601</v>
      </c>
      <c r="F1647" t="s">
        <v>63</v>
      </c>
      <c r="G1647">
        <v>4</v>
      </c>
      <c r="H1647" s="2">
        <v>199</v>
      </c>
      <c r="I1647" s="2">
        <v>796</v>
      </c>
    </row>
    <row r="1648" spans="1:9" x14ac:dyDescent="0.25">
      <c r="A1648" t="s">
        <v>923</v>
      </c>
      <c r="B1648" t="s">
        <v>924</v>
      </c>
      <c r="C1648" t="s">
        <v>63</v>
      </c>
      <c r="D1648" t="s">
        <v>4049</v>
      </c>
      <c r="E1648" t="s">
        <v>4241</v>
      </c>
      <c r="F1648" t="s">
        <v>4051</v>
      </c>
      <c r="G1648">
        <v>0.5</v>
      </c>
      <c r="H1648" s="2">
        <v>9941.22</v>
      </c>
      <c r="I1648" s="2">
        <v>4970.61</v>
      </c>
    </row>
    <row r="1649" spans="1:9" x14ac:dyDescent="0.25">
      <c r="A1649" t="s">
        <v>923</v>
      </c>
      <c r="B1649" t="s">
        <v>924</v>
      </c>
      <c r="C1649" t="s">
        <v>63</v>
      </c>
      <c r="D1649" t="s">
        <v>4049</v>
      </c>
      <c r="E1649" t="s">
        <v>4242</v>
      </c>
      <c r="F1649" t="s">
        <v>4051</v>
      </c>
      <c r="G1649">
        <v>0.5</v>
      </c>
      <c r="H1649" s="2">
        <v>17069.53</v>
      </c>
      <c r="I1649" s="2">
        <v>8534.76</v>
      </c>
    </row>
    <row r="1650" spans="1:9" x14ac:dyDescent="0.25">
      <c r="A1650" t="s">
        <v>923</v>
      </c>
      <c r="B1650" t="s">
        <v>924</v>
      </c>
      <c r="C1650" t="s">
        <v>63</v>
      </c>
      <c r="D1650" t="s">
        <v>4052</v>
      </c>
      <c r="E1650" t="s">
        <v>4053</v>
      </c>
      <c r="F1650" t="s">
        <v>4054</v>
      </c>
      <c r="G1650">
        <v>3.3</v>
      </c>
      <c r="H1650" s="2">
        <v>13505.37</v>
      </c>
      <c r="I1650" s="2">
        <v>445.68</v>
      </c>
    </row>
    <row r="1651" spans="1:9" x14ac:dyDescent="0.25">
      <c r="A1651" t="s">
        <v>926</v>
      </c>
      <c r="B1651" t="s">
        <v>927</v>
      </c>
      <c r="C1651" t="s">
        <v>63</v>
      </c>
      <c r="D1651" t="s">
        <v>4062</v>
      </c>
      <c r="E1651" t="s">
        <v>4921</v>
      </c>
      <c r="F1651" t="s">
        <v>63</v>
      </c>
      <c r="G1651">
        <v>4</v>
      </c>
      <c r="H1651" s="2">
        <v>426.33</v>
      </c>
      <c r="I1651" s="2">
        <v>1705.32</v>
      </c>
    </row>
    <row r="1652" spans="1:9" x14ac:dyDescent="0.25">
      <c r="A1652" t="s">
        <v>926</v>
      </c>
      <c r="B1652" t="s">
        <v>927</v>
      </c>
      <c r="C1652" t="s">
        <v>63</v>
      </c>
      <c r="D1652" t="s">
        <v>4062</v>
      </c>
      <c r="E1652" t="s">
        <v>4929</v>
      </c>
      <c r="F1652" t="s">
        <v>63</v>
      </c>
      <c r="G1652">
        <v>1</v>
      </c>
      <c r="H1652" s="2">
        <v>218000</v>
      </c>
      <c r="I1652" s="2">
        <v>218000</v>
      </c>
    </row>
    <row r="1653" spans="1:9" x14ac:dyDescent="0.25">
      <c r="A1653" t="s">
        <v>926</v>
      </c>
      <c r="B1653" t="s">
        <v>927</v>
      </c>
      <c r="C1653" t="s">
        <v>63</v>
      </c>
      <c r="D1653" t="s">
        <v>4062</v>
      </c>
      <c r="E1653" t="s">
        <v>4601</v>
      </c>
      <c r="F1653" t="s">
        <v>63</v>
      </c>
      <c r="G1653">
        <v>4</v>
      </c>
      <c r="H1653" s="2">
        <v>199</v>
      </c>
      <c r="I1653" s="2">
        <v>796</v>
      </c>
    </row>
    <row r="1654" spans="1:9" x14ac:dyDescent="0.25">
      <c r="A1654" t="s">
        <v>926</v>
      </c>
      <c r="B1654" t="s">
        <v>927</v>
      </c>
      <c r="C1654" t="s">
        <v>63</v>
      </c>
      <c r="D1654" t="s">
        <v>4049</v>
      </c>
      <c r="E1654" t="s">
        <v>4241</v>
      </c>
      <c r="F1654" t="s">
        <v>4051</v>
      </c>
      <c r="G1654">
        <v>0.8</v>
      </c>
      <c r="H1654" s="2">
        <v>9941.22</v>
      </c>
      <c r="I1654" s="2">
        <v>7952.98</v>
      </c>
    </row>
    <row r="1655" spans="1:9" x14ac:dyDescent="0.25">
      <c r="A1655" t="s">
        <v>926</v>
      </c>
      <c r="B1655" t="s">
        <v>927</v>
      </c>
      <c r="C1655" t="s">
        <v>63</v>
      </c>
      <c r="D1655" t="s">
        <v>4049</v>
      </c>
      <c r="E1655" t="s">
        <v>4242</v>
      </c>
      <c r="F1655" t="s">
        <v>4051</v>
      </c>
      <c r="G1655">
        <v>0.8</v>
      </c>
      <c r="H1655" s="2">
        <v>17069.53</v>
      </c>
      <c r="I1655" s="2">
        <v>13655.62</v>
      </c>
    </row>
    <row r="1656" spans="1:9" x14ac:dyDescent="0.25">
      <c r="A1656" t="s">
        <v>926</v>
      </c>
      <c r="B1656" t="s">
        <v>927</v>
      </c>
      <c r="C1656" t="s">
        <v>63</v>
      </c>
      <c r="D1656" t="s">
        <v>4052</v>
      </c>
      <c r="E1656" t="s">
        <v>4053</v>
      </c>
      <c r="F1656" t="s">
        <v>4054</v>
      </c>
      <c r="G1656">
        <v>3.3</v>
      </c>
      <c r="H1656" s="2">
        <v>21608.6</v>
      </c>
      <c r="I1656" s="2">
        <v>713.08</v>
      </c>
    </row>
    <row r="1657" spans="1:9" x14ac:dyDescent="0.25">
      <c r="A1657" t="s">
        <v>929</v>
      </c>
      <c r="B1657" t="s">
        <v>930</v>
      </c>
      <c r="C1657" t="s">
        <v>63</v>
      </c>
      <c r="D1657" t="s">
        <v>4062</v>
      </c>
      <c r="E1657" t="s">
        <v>4921</v>
      </c>
      <c r="F1657" t="s">
        <v>63</v>
      </c>
      <c r="G1657">
        <v>4</v>
      </c>
      <c r="H1657" s="2">
        <v>426.33</v>
      </c>
      <c r="I1657" s="2">
        <v>1705.32</v>
      </c>
    </row>
    <row r="1658" spans="1:9" x14ac:dyDescent="0.25">
      <c r="A1658" t="s">
        <v>929</v>
      </c>
      <c r="B1658" t="s">
        <v>930</v>
      </c>
      <c r="C1658" t="s">
        <v>63</v>
      </c>
      <c r="D1658" t="s">
        <v>4062</v>
      </c>
      <c r="E1658" t="s">
        <v>4932</v>
      </c>
      <c r="F1658" t="s">
        <v>63</v>
      </c>
      <c r="G1658">
        <v>1</v>
      </c>
      <c r="H1658" s="2">
        <v>142500</v>
      </c>
      <c r="I1658" s="2">
        <v>142500</v>
      </c>
    </row>
    <row r="1659" spans="1:9" x14ac:dyDescent="0.25">
      <c r="A1659" t="s">
        <v>929</v>
      </c>
      <c r="B1659" t="s">
        <v>930</v>
      </c>
      <c r="C1659" t="s">
        <v>63</v>
      </c>
      <c r="D1659" t="s">
        <v>4062</v>
      </c>
      <c r="E1659" t="s">
        <v>4601</v>
      </c>
      <c r="F1659" t="s">
        <v>63</v>
      </c>
      <c r="G1659">
        <v>4</v>
      </c>
      <c r="H1659" s="2">
        <v>199</v>
      </c>
      <c r="I1659" s="2">
        <v>796</v>
      </c>
    </row>
    <row r="1660" spans="1:9" x14ac:dyDescent="0.25">
      <c r="A1660" t="s">
        <v>929</v>
      </c>
      <c r="B1660" t="s">
        <v>930</v>
      </c>
      <c r="C1660" t="s">
        <v>63</v>
      </c>
      <c r="D1660" t="s">
        <v>4049</v>
      </c>
      <c r="E1660" t="s">
        <v>4884</v>
      </c>
      <c r="F1660" t="s">
        <v>4236</v>
      </c>
      <c r="G1660">
        <v>0.5</v>
      </c>
      <c r="H1660" s="2">
        <v>27010</v>
      </c>
      <c r="I1660" s="2">
        <v>13505</v>
      </c>
    </row>
    <row r="1661" spans="1:9" x14ac:dyDescent="0.25">
      <c r="A1661" t="s">
        <v>929</v>
      </c>
      <c r="B1661" t="s">
        <v>930</v>
      </c>
      <c r="C1661" t="s">
        <v>63</v>
      </c>
      <c r="D1661" t="s">
        <v>4052</v>
      </c>
      <c r="E1661" t="s">
        <v>4053</v>
      </c>
      <c r="F1661" t="s">
        <v>4054</v>
      </c>
      <c r="G1661">
        <v>5</v>
      </c>
      <c r="H1661" s="2">
        <v>13505</v>
      </c>
      <c r="I1661" s="2">
        <v>675.25</v>
      </c>
    </row>
    <row r="1662" spans="1:9" x14ac:dyDescent="0.25">
      <c r="A1662" t="s">
        <v>932</v>
      </c>
      <c r="B1662" t="s">
        <v>933</v>
      </c>
      <c r="C1662" t="s">
        <v>63</v>
      </c>
      <c r="D1662" t="s">
        <v>4062</v>
      </c>
      <c r="E1662" t="s">
        <v>4921</v>
      </c>
      <c r="F1662" t="s">
        <v>63</v>
      </c>
      <c r="G1662">
        <v>6</v>
      </c>
      <c r="H1662" s="2">
        <v>426.33</v>
      </c>
      <c r="I1662" s="2">
        <v>2557.98</v>
      </c>
    </row>
    <row r="1663" spans="1:9" x14ac:dyDescent="0.25">
      <c r="A1663" t="s">
        <v>932</v>
      </c>
      <c r="B1663" t="s">
        <v>933</v>
      </c>
      <c r="C1663" t="s">
        <v>63</v>
      </c>
      <c r="D1663" t="s">
        <v>4062</v>
      </c>
      <c r="E1663" t="s">
        <v>4935</v>
      </c>
      <c r="F1663" t="s">
        <v>63</v>
      </c>
      <c r="G1663">
        <v>1</v>
      </c>
      <c r="H1663" s="2">
        <v>195200</v>
      </c>
      <c r="I1663" s="2">
        <v>195200</v>
      </c>
    </row>
    <row r="1664" spans="1:9" x14ac:dyDescent="0.25">
      <c r="A1664" t="s">
        <v>932</v>
      </c>
      <c r="B1664" t="s">
        <v>933</v>
      </c>
      <c r="C1664" t="s">
        <v>63</v>
      </c>
      <c r="D1664" t="s">
        <v>4062</v>
      </c>
      <c r="E1664" t="s">
        <v>4601</v>
      </c>
      <c r="F1664" t="s">
        <v>63</v>
      </c>
      <c r="G1664">
        <v>6</v>
      </c>
      <c r="H1664" s="2">
        <v>199</v>
      </c>
      <c r="I1664" s="2">
        <v>1194</v>
      </c>
    </row>
    <row r="1665" spans="1:9" x14ac:dyDescent="0.25">
      <c r="A1665" t="s">
        <v>932</v>
      </c>
      <c r="B1665" t="s">
        <v>933</v>
      </c>
      <c r="C1665" t="s">
        <v>63</v>
      </c>
      <c r="D1665" t="s">
        <v>4049</v>
      </c>
      <c r="E1665" t="s">
        <v>4884</v>
      </c>
      <c r="F1665" t="s">
        <v>4236</v>
      </c>
      <c r="G1665">
        <v>1</v>
      </c>
      <c r="H1665" s="2">
        <v>27010</v>
      </c>
      <c r="I1665" s="2">
        <v>27010</v>
      </c>
    </row>
    <row r="1666" spans="1:9" x14ac:dyDescent="0.25">
      <c r="A1666" t="s">
        <v>932</v>
      </c>
      <c r="B1666" t="s">
        <v>933</v>
      </c>
      <c r="C1666" t="s">
        <v>63</v>
      </c>
      <c r="D1666" t="s">
        <v>4052</v>
      </c>
      <c r="E1666" t="s">
        <v>4053</v>
      </c>
      <c r="F1666" t="s">
        <v>4054</v>
      </c>
      <c r="G1666">
        <v>5</v>
      </c>
      <c r="H1666" s="2">
        <v>27010</v>
      </c>
      <c r="I1666" s="2">
        <v>1350.5</v>
      </c>
    </row>
    <row r="1667" spans="1:9" x14ac:dyDescent="0.25">
      <c r="A1667" t="s">
        <v>935</v>
      </c>
      <c r="B1667" t="s">
        <v>936</v>
      </c>
      <c r="C1667" t="s">
        <v>63</v>
      </c>
      <c r="D1667" t="s">
        <v>4062</v>
      </c>
      <c r="E1667" t="s">
        <v>4938</v>
      </c>
      <c r="F1667" t="s">
        <v>63</v>
      </c>
      <c r="G1667">
        <v>1</v>
      </c>
      <c r="H1667" s="2">
        <v>2702</v>
      </c>
      <c r="I1667" s="2">
        <v>2702</v>
      </c>
    </row>
    <row r="1668" spans="1:9" x14ac:dyDescent="0.25">
      <c r="A1668" t="s">
        <v>935</v>
      </c>
      <c r="B1668" t="s">
        <v>936</v>
      </c>
      <c r="C1668" t="s">
        <v>63</v>
      </c>
      <c r="D1668" t="s">
        <v>4062</v>
      </c>
      <c r="E1668" t="s">
        <v>4893</v>
      </c>
      <c r="F1668" t="s">
        <v>42</v>
      </c>
      <c r="G1668">
        <v>5</v>
      </c>
      <c r="H1668" s="2">
        <v>2293</v>
      </c>
      <c r="I1668" s="2">
        <v>11465</v>
      </c>
    </row>
    <row r="1669" spans="1:9" x14ac:dyDescent="0.25">
      <c r="A1669" t="s">
        <v>935</v>
      </c>
      <c r="B1669" t="s">
        <v>936</v>
      </c>
      <c r="C1669" t="s">
        <v>63</v>
      </c>
      <c r="D1669" t="s">
        <v>4062</v>
      </c>
      <c r="E1669" t="s">
        <v>4852</v>
      </c>
      <c r="F1669" t="s">
        <v>63</v>
      </c>
      <c r="G1669">
        <v>2</v>
      </c>
      <c r="H1669" s="2">
        <v>1980</v>
      </c>
      <c r="I1669" s="2">
        <v>3960</v>
      </c>
    </row>
    <row r="1670" spans="1:9" x14ac:dyDescent="0.25">
      <c r="A1670" t="s">
        <v>935</v>
      </c>
      <c r="B1670" t="s">
        <v>936</v>
      </c>
      <c r="C1670" t="s">
        <v>63</v>
      </c>
      <c r="D1670" t="s">
        <v>4062</v>
      </c>
      <c r="E1670" t="s">
        <v>4939</v>
      </c>
      <c r="F1670" t="s">
        <v>63</v>
      </c>
      <c r="G1670">
        <v>3</v>
      </c>
      <c r="H1670" s="2">
        <v>232</v>
      </c>
      <c r="I1670" s="2">
        <v>696</v>
      </c>
    </row>
    <row r="1671" spans="1:9" x14ac:dyDescent="0.25">
      <c r="A1671" t="s">
        <v>935</v>
      </c>
      <c r="B1671" t="s">
        <v>936</v>
      </c>
      <c r="C1671" t="s">
        <v>63</v>
      </c>
      <c r="D1671" t="s">
        <v>4062</v>
      </c>
      <c r="E1671" t="s">
        <v>4940</v>
      </c>
      <c r="F1671" t="s">
        <v>63</v>
      </c>
      <c r="G1671">
        <v>1</v>
      </c>
      <c r="H1671" s="2">
        <v>15600</v>
      </c>
      <c r="I1671" s="2">
        <v>15600</v>
      </c>
    </row>
    <row r="1672" spans="1:9" x14ac:dyDescent="0.25">
      <c r="A1672" t="s">
        <v>935</v>
      </c>
      <c r="B1672" t="s">
        <v>936</v>
      </c>
      <c r="C1672" t="s">
        <v>63</v>
      </c>
      <c r="D1672" t="s">
        <v>4062</v>
      </c>
      <c r="E1672" t="s">
        <v>4854</v>
      </c>
      <c r="F1672" t="s">
        <v>42</v>
      </c>
      <c r="G1672">
        <v>6</v>
      </c>
      <c r="H1672" s="2">
        <v>835</v>
      </c>
      <c r="I1672" s="2">
        <v>5010</v>
      </c>
    </row>
    <row r="1673" spans="1:9" x14ac:dyDescent="0.25">
      <c r="A1673" t="s">
        <v>935</v>
      </c>
      <c r="B1673" t="s">
        <v>936</v>
      </c>
      <c r="C1673" t="s">
        <v>63</v>
      </c>
      <c r="D1673" t="s">
        <v>4062</v>
      </c>
      <c r="E1673" t="s">
        <v>4835</v>
      </c>
      <c r="F1673" t="s">
        <v>42</v>
      </c>
      <c r="G1673">
        <v>11</v>
      </c>
      <c r="H1673" s="2">
        <v>2850</v>
      </c>
      <c r="I1673" s="2">
        <v>31350</v>
      </c>
    </row>
    <row r="1674" spans="1:9" x14ac:dyDescent="0.25">
      <c r="A1674" t="s">
        <v>935</v>
      </c>
      <c r="B1674" t="s">
        <v>936</v>
      </c>
      <c r="C1674" t="s">
        <v>63</v>
      </c>
      <c r="D1674" t="s">
        <v>4062</v>
      </c>
      <c r="E1674" t="s">
        <v>4855</v>
      </c>
      <c r="F1674" t="s">
        <v>63</v>
      </c>
      <c r="G1674">
        <v>1</v>
      </c>
      <c r="H1674" s="2">
        <v>2100</v>
      </c>
      <c r="I1674" s="2">
        <v>2100</v>
      </c>
    </row>
    <row r="1675" spans="1:9" x14ac:dyDescent="0.25">
      <c r="A1675" t="s">
        <v>935</v>
      </c>
      <c r="B1675" t="s">
        <v>936</v>
      </c>
      <c r="C1675" t="s">
        <v>63</v>
      </c>
      <c r="D1675" t="s">
        <v>4049</v>
      </c>
      <c r="E1675" t="s">
        <v>4884</v>
      </c>
      <c r="F1675" t="s">
        <v>4236</v>
      </c>
      <c r="G1675">
        <v>2</v>
      </c>
      <c r="H1675" s="2">
        <v>27010</v>
      </c>
      <c r="I1675" s="2">
        <v>54020</v>
      </c>
    </row>
    <row r="1676" spans="1:9" x14ac:dyDescent="0.25">
      <c r="A1676" t="s">
        <v>935</v>
      </c>
      <c r="B1676" t="s">
        <v>936</v>
      </c>
      <c r="C1676" t="s">
        <v>63</v>
      </c>
      <c r="D1676" t="s">
        <v>4052</v>
      </c>
      <c r="E1676" t="s">
        <v>4053</v>
      </c>
      <c r="F1676" t="s">
        <v>4054</v>
      </c>
      <c r="G1676">
        <v>5</v>
      </c>
      <c r="H1676" s="2">
        <v>54020</v>
      </c>
      <c r="I1676" s="2">
        <v>2701</v>
      </c>
    </row>
    <row r="1677" spans="1:9" x14ac:dyDescent="0.25">
      <c r="A1677" t="s">
        <v>938</v>
      </c>
      <c r="B1677" t="s">
        <v>939</v>
      </c>
      <c r="C1677" t="s">
        <v>63</v>
      </c>
      <c r="D1677" t="s">
        <v>4062</v>
      </c>
      <c r="E1677" t="s">
        <v>4943</v>
      </c>
      <c r="F1677" t="s">
        <v>63</v>
      </c>
      <c r="G1677">
        <v>1</v>
      </c>
      <c r="H1677" s="2">
        <v>504090</v>
      </c>
      <c r="I1677" s="2">
        <v>504090</v>
      </c>
    </row>
    <row r="1678" spans="1:9" x14ac:dyDescent="0.25">
      <c r="A1678" t="s">
        <v>938</v>
      </c>
      <c r="B1678" t="s">
        <v>939</v>
      </c>
      <c r="C1678" t="s">
        <v>63</v>
      </c>
      <c r="D1678" t="s">
        <v>4049</v>
      </c>
      <c r="E1678" t="s">
        <v>4884</v>
      </c>
      <c r="F1678" t="s">
        <v>4236</v>
      </c>
      <c r="G1678">
        <v>1</v>
      </c>
      <c r="H1678" s="2">
        <v>27010</v>
      </c>
      <c r="I1678" s="2">
        <v>27010</v>
      </c>
    </row>
    <row r="1679" spans="1:9" x14ac:dyDescent="0.25">
      <c r="A1679" t="s">
        <v>938</v>
      </c>
      <c r="B1679" t="s">
        <v>939</v>
      </c>
      <c r="C1679" t="s">
        <v>63</v>
      </c>
      <c r="D1679" t="s">
        <v>4052</v>
      </c>
      <c r="E1679" t="s">
        <v>4053</v>
      </c>
      <c r="F1679" t="s">
        <v>4054</v>
      </c>
      <c r="G1679">
        <v>5</v>
      </c>
      <c r="H1679" s="2">
        <v>27010</v>
      </c>
      <c r="I1679" s="2">
        <v>1350.5</v>
      </c>
    </row>
    <row r="1680" spans="1:9" x14ac:dyDescent="0.25">
      <c r="A1680" t="s">
        <v>941</v>
      </c>
      <c r="B1680" t="s">
        <v>942</v>
      </c>
      <c r="C1680" t="s">
        <v>63</v>
      </c>
      <c r="D1680" t="s">
        <v>4062</v>
      </c>
      <c r="E1680" t="s">
        <v>4946</v>
      </c>
      <c r="F1680" t="s">
        <v>63</v>
      </c>
      <c r="G1680">
        <v>1</v>
      </c>
      <c r="H1680" s="2">
        <v>279600</v>
      </c>
      <c r="I1680" s="2">
        <v>279600</v>
      </c>
    </row>
    <row r="1681" spans="1:9" x14ac:dyDescent="0.25">
      <c r="A1681" t="s">
        <v>941</v>
      </c>
      <c r="B1681" t="s">
        <v>942</v>
      </c>
      <c r="C1681" t="s">
        <v>63</v>
      </c>
      <c r="D1681" t="s">
        <v>4049</v>
      </c>
      <c r="E1681" t="s">
        <v>4884</v>
      </c>
      <c r="F1681" t="s">
        <v>4236</v>
      </c>
      <c r="G1681">
        <v>0.75</v>
      </c>
      <c r="H1681" s="2">
        <v>27010</v>
      </c>
      <c r="I1681" s="2">
        <v>20257.5</v>
      </c>
    </row>
    <row r="1682" spans="1:9" x14ac:dyDescent="0.25">
      <c r="A1682" t="s">
        <v>941</v>
      </c>
      <c r="B1682" t="s">
        <v>942</v>
      </c>
      <c r="C1682" t="s">
        <v>63</v>
      </c>
      <c r="D1682" t="s">
        <v>4052</v>
      </c>
      <c r="E1682" t="s">
        <v>4053</v>
      </c>
      <c r="F1682" t="s">
        <v>4054</v>
      </c>
      <c r="G1682">
        <v>5</v>
      </c>
      <c r="H1682" s="2">
        <v>20257.5</v>
      </c>
      <c r="I1682" s="2">
        <v>1012.88</v>
      </c>
    </row>
    <row r="1683" spans="1:9" x14ac:dyDescent="0.25">
      <c r="A1683" t="s">
        <v>944</v>
      </c>
      <c r="B1683" t="s">
        <v>945</v>
      </c>
      <c r="C1683" t="s">
        <v>63</v>
      </c>
      <c r="D1683" t="s">
        <v>4062</v>
      </c>
      <c r="E1683" t="s">
        <v>4949</v>
      </c>
      <c r="F1683" t="s">
        <v>3533</v>
      </c>
      <c r="G1683">
        <v>1</v>
      </c>
      <c r="H1683" s="2">
        <v>13156</v>
      </c>
      <c r="I1683" s="2">
        <v>13156</v>
      </c>
    </row>
    <row r="1684" spans="1:9" x14ac:dyDescent="0.25">
      <c r="A1684" t="s">
        <v>944</v>
      </c>
      <c r="B1684" t="s">
        <v>945</v>
      </c>
      <c r="C1684" t="s">
        <v>63</v>
      </c>
      <c r="D1684" t="s">
        <v>4062</v>
      </c>
      <c r="E1684" t="s">
        <v>4950</v>
      </c>
      <c r="F1684" t="s">
        <v>3533</v>
      </c>
      <c r="G1684">
        <v>1</v>
      </c>
      <c r="H1684" s="2">
        <v>558967</v>
      </c>
      <c r="I1684" s="2">
        <v>558967</v>
      </c>
    </row>
    <row r="1685" spans="1:9" x14ac:dyDescent="0.25">
      <c r="A1685" t="s">
        <v>944</v>
      </c>
      <c r="B1685" t="s">
        <v>945</v>
      </c>
      <c r="C1685" t="s">
        <v>63</v>
      </c>
      <c r="D1685" t="s">
        <v>4062</v>
      </c>
      <c r="E1685" t="s">
        <v>4951</v>
      </c>
      <c r="F1685" t="s">
        <v>63</v>
      </c>
      <c r="G1685">
        <v>1</v>
      </c>
      <c r="H1685" s="2">
        <v>90300</v>
      </c>
      <c r="I1685" s="2">
        <v>90300</v>
      </c>
    </row>
    <row r="1686" spans="1:9" x14ac:dyDescent="0.25">
      <c r="A1686" t="s">
        <v>944</v>
      </c>
      <c r="B1686" t="s">
        <v>945</v>
      </c>
      <c r="C1686" t="s">
        <v>63</v>
      </c>
      <c r="D1686" t="s">
        <v>4062</v>
      </c>
      <c r="E1686" t="s">
        <v>4835</v>
      </c>
      <c r="F1686" t="s">
        <v>42</v>
      </c>
      <c r="G1686">
        <v>4</v>
      </c>
      <c r="H1686" s="2">
        <v>2850</v>
      </c>
      <c r="I1686" s="2">
        <v>11400</v>
      </c>
    </row>
    <row r="1687" spans="1:9" x14ac:dyDescent="0.25">
      <c r="A1687" t="s">
        <v>944</v>
      </c>
      <c r="B1687" t="s">
        <v>945</v>
      </c>
      <c r="C1687" t="s">
        <v>63</v>
      </c>
      <c r="D1687" t="s">
        <v>4049</v>
      </c>
      <c r="E1687" t="s">
        <v>4952</v>
      </c>
      <c r="F1687" t="s">
        <v>4236</v>
      </c>
      <c r="G1687">
        <v>1</v>
      </c>
      <c r="H1687" s="2">
        <v>27410.39</v>
      </c>
      <c r="I1687" s="2">
        <v>27410.39</v>
      </c>
    </row>
    <row r="1688" spans="1:9" x14ac:dyDescent="0.25">
      <c r="A1688" t="s">
        <v>944</v>
      </c>
      <c r="B1688" t="s">
        <v>945</v>
      </c>
      <c r="C1688" t="s">
        <v>63</v>
      </c>
      <c r="D1688" t="s">
        <v>4052</v>
      </c>
      <c r="E1688" t="s">
        <v>4053</v>
      </c>
      <c r="F1688" t="s">
        <v>4054</v>
      </c>
      <c r="G1688">
        <v>3.3</v>
      </c>
      <c r="H1688" s="2">
        <v>27410.39</v>
      </c>
      <c r="I1688" s="2">
        <v>904.54</v>
      </c>
    </row>
    <row r="1689" spans="1:9" x14ac:dyDescent="0.25">
      <c r="A1689" t="s">
        <v>947</v>
      </c>
      <c r="B1689" t="s">
        <v>948</v>
      </c>
      <c r="C1689" t="s">
        <v>63</v>
      </c>
      <c r="D1689" t="s">
        <v>4062</v>
      </c>
      <c r="E1689" t="s">
        <v>4949</v>
      </c>
      <c r="F1689" t="s">
        <v>3533</v>
      </c>
      <c r="G1689">
        <v>1</v>
      </c>
      <c r="H1689" s="2">
        <v>13156</v>
      </c>
      <c r="I1689" s="2">
        <v>13156</v>
      </c>
    </row>
    <row r="1690" spans="1:9" x14ac:dyDescent="0.25">
      <c r="A1690" t="s">
        <v>947</v>
      </c>
      <c r="B1690" t="s">
        <v>948</v>
      </c>
      <c r="C1690" t="s">
        <v>63</v>
      </c>
      <c r="D1690" t="s">
        <v>4062</v>
      </c>
      <c r="E1690" t="s">
        <v>4955</v>
      </c>
      <c r="F1690" t="s">
        <v>3533</v>
      </c>
      <c r="G1690">
        <v>1</v>
      </c>
      <c r="H1690" s="2">
        <v>719564</v>
      </c>
      <c r="I1690" s="2">
        <v>719564</v>
      </c>
    </row>
    <row r="1691" spans="1:9" x14ac:dyDescent="0.25">
      <c r="A1691" t="s">
        <v>947</v>
      </c>
      <c r="B1691" t="s">
        <v>948</v>
      </c>
      <c r="C1691" t="s">
        <v>63</v>
      </c>
      <c r="D1691" t="s">
        <v>4062</v>
      </c>
      <c r="E1691" t="s">
        <v>4951</v>
      </c>
      <c r="F1691" t="s">
        <v>63</v>
      </c>
      <c r="G1691">
        <v>1</v>
      </c>
      <c r="H1691" s="2">
        <v>90300</v>
      </c>
      <c r="I1691" s="2">
        <v>90300</v>
      </c>
    </row>
    <row r="1692" spans="1:9" x14ac:dyDescent="0.25">
      <c r="A1692" t="s">
        <v>947</v>
      </c>
      <c r="B1692" t="s">
        <v>948</v>
      </c>
      <c r="C1692" t="s">
        <v>63</v>
      </c>
      <c r="D1692" t="s">
        <v>4062</v>
      </c>
      <c r="E1692" t="s">
        <v>4835</v>
      </c>
      <c r="F1692" t="s">
        <v>42</v>
      </c>
      <c r="G1692">
        <v>4</v>
      </c>
      <c r="H1692" s="2">
        <v>2850</v>
      </c>
      <c r="I1692" s="2">
        <v>11400</v>
      </c>
    </row>
    <row r="1693" spans="1:9" x14ac:dyDescent="0.25">
      <c r="A1693" t="s">
        <v>947</v>
      </c>
      <c r="B1693" t="s">
        <v>948</v>
      </c>
      <c r="C1693" t="s">
        <v>63</v>
      </c>
      <c r="D1693" t="s">
        <v>4049</v>
      </c>
      <c r="E1693" t="s">
        <v>4952</v>
      </c>
      <c r="F1693" t="s">
        <v>4236</v>
      </c>
      <c r="G1693">
        <v>1</v>
      </c>
      <c r="H1693" s="2">
        <v>27410.39</v>
      </c>
      <c r="I1693" s="2">
        <v>27410.39</v>
      </c>
    </row>
    <row r="1694" spans="1:9" x14ac:dyDescent="0.25">
      <c r="A1694" t="s">
        <v>947</v>
      </c>
      <c r="B1694" t="s">
        <v>948</v>
      </c>
      <c r="C1694" t="s">
        <v>63</v>
      </c>
      <c r="D1694" t="s">
        <v>4052</v>
      </c>
      <c r="E1694" t="s">
        <v>4053</v>
      </c>
      <c r="F1694" t="s">
        <v>4054</v>
      </c>
      <c r="G1694">
        <v>3.3</v>
      </c>
      <c r="H1694" s="2">
        <v>27410.39</v>
      </c>
      <c r="I1694" s="2">
        <v>904.54</v>
      </c>
    </row>
    <row r="1695" spans="1:9" x14ac:dyDescent="0.25">
      <c r="A1695" t="s">
        <v>950</v>
      </c>
      <c r="B1695" t="s">
        <v>951</v>
      </c>
      <c r="C1695" t="s">
        <v>63</v>
      </c>
      <c r="D1695" t="s">
        <v>4062</v>
      </c>
      <c r="E1695" t="s">
        <v>4949</v>
      </c>
      <c r="F1695" t="s">
        <v>3533</v>
      </c>
      <c r="G1695">
        <v>1</v>
      </c>
      <c r="H1695" s="2">
        <v>13156</v>
      </c>
      <c r="I1695" s="2">
        <v>13156</v>
      </c>
    </row>
    <row r="1696" spans="1:9" x14ac:dyDescent="0.25">
      <c r="A1696" t="s">
        <v>950</v>
      </c>
      <c r="B1696" t="s">
        <v>951</v>
      </c>
      <c r="C1696" t="s">
        <v>63</v>
      </c>
      <c r="D1696" t="s">
        <v>4062</v>
      </c>
      <c r="E1696" t="s">
        <v>4958</v>
      </c>
      <c r="F1696" t="s">
        <v>3533</v>
      </c>
      <c r="G1696">
        <v>1</v>
      </c>
      <c r="H1696" s="2">
        <v>442300</v>
      </c>
      <c r="I1696" s="2">
        <v>442300</v>
      </c>
    </row>
    <row r="1697" spans="1:9" x14ac:dyDescent="0.25">
      <c r="A1697" t="s">
        <v>950</v>
      </c>
      <c r="B1697" t="s">
        <v>951</v>
      </c>
      <c r="C1697" t="s">
        <v>63</v>
      </c>
      <c r="D1697" t="s">
        <v>4062</v>
      </c>
      <c r="E1697" t="s">
        <v>4951</v>
      </c>
      <c r="F1697" t="s">
        <v>63</v>
      </c>
      <c r="G1697">
        <v>1</v>
      </c>
      <c r="H1697" s="2">
        <v>90300</v>
      </c>
      <c r="I1697" s="2">
        <v>90300</v>
      </c>
    </row>
    <row r="1698" spans="1:9" x14ac:dyDescent="0.25">
      <c r="A1698" t="s">
        <v>950</v>
      </c>
      <c r="B1698" t="s">
        <v>951</v>
      </c>
      <c r="C1698" t="s">
        <v>63</v>
      </c>
      <c r="D1698" t="s">
        <v>4062</v>
      </c>
      <c r="E1698" t="s">
        <v>4835</v>
      </c>
      <c r="F1698" t="s">
        <v>42</v>
      </c>
      <c r="G1698">
        <v>4</v>
      </c>
      <c r="H1698" s="2">
        <v>2850</v>
      </c>
      <c r="I1698" s="2">
        <v>11400</v>
      </c>
    </row>
    <row r="1699" spans="1:9" x14ac:dyDescent="0.25">
      <c r="A1699" t="s">
        <v>950</v>
      </c>
      <c r="B1699" t="s">
        <v>951</v>
      </c>
      <c r="C1699" t="s">
        <v>63</v>
      </c>
      <c r="D1699" t="s">
        <v>4049</v>
      </c>
      <c r="E1699" t="s">
        <v>4952</v>
      </c>
      <c r="F1699" t="s">
        <v>4236</v>
      </c>
      <c r="G1699">
        <v>1</v>
      </c>
      <c r="H1699" s="2">
        <v>27410.39</v>
      </c>
      <c r="I1699" s="2">
        <v>27410.39</v>
      </c>
    </row>
    <row r="1700" spans="1:9" x14ac:dyDescent="0.25">
      <c r="A1700" t="s">
        <v>950</v>
      </c>
      <c r="B1700" t="s">
        <v>951</v>
      </c>
      <c r="C1700" t="s">
        <v>63</v>
      </c>
      <c r="D1700" t="s">
        <v>4052</v>
      </c>
      <c r="E1700" t="s">
        <v>4053</v>
      </c>
      <c r="F1700" t="s">
        <v>4054</v>
      </c>
      <c r="G1700">
        <v>3.3</v>
      </c>
      <c r="H1700" s="2">
        <v>27410.39</v>
      </c>
      <c r="I1700" s="2">
        <v>904.54</v>
      </c>
    </row>
    <row r="1701" spans="1:9" x14ac:dyDescent="0.25">
      <c r="A1701" t="s">
        <v>953</v>
      </c>
      <c r="B1701" t="s">
        <v>954</v>
      </c>
      <c r="C1701" t="s">
        <v>63</v>
      </c>
      <c r="D1701" t="s">
        <v>4062</v>
      </c>
      <c r="E1701" t="s">
        <v>4961</v>
      </c>
      <c r="F1701" t="s">
        <v>63</v>
      </c>
      <c r="G1701">
        <v>1</v>
      </c>
      <c r="H1701" s="2">
        <v>301100</v>
      </c>
      <c r="I1701" s="2">
        <v>301100</v>
      </c>
    </row>
    <row r="1702" spans="1:9" x14ac:dyDescent="0.25">
      <c r="A1702" t="s">
        <v>953</v>
      </c>
      <c r="B1702" t="s">
        <v>954</v>
      </c>
      <c r="C1702" t="s">
        <v>63</v>
      </c>
      <c r="D1702" t="s">
        <v>4049</v>
      </c>
      <c r="E1702" t="s">
        <v>4884</v>
      </c>
      <c r="F1702" t="s">
        <v>4236</v>
      </c>
      <c r="G1702">
        <v>0.75</v>
      </c>
      <c r="H1702" s="2">
        <v>27010</v>
      </c>
      <c r="I1702" s="2">
        <v>20257.5</v>
      </c>
    </row>
    <row r="1703" spans="1:9" x14ac:dyDescent="0.25">
      <c r="A1703" t="s">
        <v>953</v>
      </c>
      <c r="B1703" t="s">
        <v>954</v>
      </c>
      <c r="C1703" t="s">
        <v>63</v>
      </c>
      <c r="D1703" t="s">
        <v>4052</v>
      </c>
      <c r="E1703" t="s">
        <v>4053</v>
      </c>
      <c r="F1703" t="s">
        <v>4054</v>
      </c>
      <c r="G1703">
        <v>3.3</v>
      </c>
      <c r="H1703" s="2">
        <v>20257.5</v>
      </c>
      <c r="I1703" s="2">
        <v>668.5</v>
      </c>
    </row>
    <row r="1704" spans="1:9" x14ac:dyDescent="0.25">
      <c r="A1704" t="s">
        <v>956</v>
      </c>
      <c r="B1704" t="s">
        <v>957</v>
      </c>
      <c r="C1704" t="s">
        <v>63</v>
      </c>
      <c r="D1704" t="s">
        <v>4062</v>
      </c>
      <c r="E1704" t="s">
        <v>4964</v>
      </c>
      <c r="F1704" t="s">
        <v>63</v>
      </c>
      <c r="G1704">
        <v>1</v>
      </c>
      <c r="H1704" s="2">
        <v>431600</v>
      </c>
      <c r="I1704" s="2">
        <v>431600</v>
      </c>
    </row>
    <row r="1705" spans="1:9" x14ac:dyDescent="0.25">
      <c r="A1705" t="s">
        <v>956</v>
      </c>
      <c r="B1705" t="s">
        <v>957</v>
      </c>
      <c r="C1705" t="s">
        <v>63</v>
      </c>
      <c r="D1705" t="s">
        <v>4049</v>
      </c>
      <c r="E1705" t="s">
        <v>4884</v>
      </c>
      <c r="F1705" t="s">
        <v>4236</v>
      </c>
      <c r="G1705">
        <v>1</v>
      </c>
      <c r="H1705" s="2">
        <v>27010</v>
      </c>
      <c r="I1705" s="2">
        <v>27010</v>
      </c>
    </row>
    <row r="1706" spans="1:9" x14ac:dyDescent="0.25">
      <c r="A1706" t="s">
        <v>956</v>
      </c>
      <c r="B1706" t="s">
        <v>957</v>
      </c>
      <c r="C1706" t="s">
        <v>63</v>
      </c>
      <c r="D1706" t="s">
        <v>4052</v>
      </c>
      <c r="E1706" t="s">
        <v>4053</v>
      </c>
      <c r="F1706" t="s">
        <v>4054</v>
      </c>
      <c r="G1706">
        <v>5</v>
      </c>
      <c r="H1706" s="2">
        <v>27010</v>
      </c>
      <c r="I1706" s="2">
        <v>1350.5</v>
      </c>
    </row>
    <row r="1707" spans="1:9" x14ac:dyDescent="0.25">
      <c r="A1707" t="s">
        <v>959</v>
      </c>
      <c r="B1707" t="s">
        <v>960</v>
      </c>
      <c r="C1707" t="s">
        <v>63</v>
      </c>
      <c r="D1707" t="s">
        <v>4062</v>
      </c>
      <c r="E1707" t="s">
        <v>4951</v>
      </c>
      <c r="F1707" t="s">
        <v>63</v>
      </c>
      <c r="G1707">
        <v>1</v>
      </c>
      <c r="H1707" s="2">
        <v>90300</v>
      </c>
      <c r="I1707" s="2">
        <v>90300</v>
      </c>
    </row>
    <row r="1708" spans="1:9" x14ac:dyDescent="0.25">
      <c r="A1708" t="s">
        <v>959</v>
      </c>
      <c r="B1708" t="s">
        <v>960</v>
      </c>
      <c r="C1708" t="s">
        <v>63</v>
      </c>
      <c r="D1708" t="s">
        <v>4062</v>
      </c>
      <c r="E1708" t="s">
        <v>4967</v>
      </c>
      <c r="F1708" t="s">
        <v>63</v>
      </c>
      <c r="G1708">
        <v>1</v>
      </c>
      <c r="H1708" s="2">
        <v>332000</v>
      </c>
      <c r="I1708" s="2">
        <v>332000</v>
      </c>
    </row>
    <row r="1709" spans="1:9" x14ac:dyDescent="0.25">
      <c r="A1709" t="s">
        <v>959</v>
      </c>
      <c r="B1709" t="s">
        <v>960</v>
      </c>
      <c r="C1709" t="s">
        <v>63</v>
      </c>
      <c r="D1709" t="s">
        <v>4062</v>
      </c>
      <c r="E1709" t="s">
        <v>4835</v>
      </c>
      <c r="F1709" t="s">
        <v>42</v>
      </c>
      <c r="G1709">
        <v>4</v>
      </c>
      <c r="H1709" s="2">
        <v>2850</v>
      </c>
      <c r="I1709" s="2">
        <v>11400</v>
      </c>
    </row>
    <row r="1710" spans="1:9" x14ac:dyDescent="0.25">
      <c r="A1710" t="s">
        <v>959</v>
      </c>
      <c r="B1710" t="s">
        <v>960</v>
      </c>
      <c r="C1710" t="s">
        <v>63</v>
      </c>
      <c r="D1710" t="s">
        <v>4049</v>
      </c>
      <c r="E1710" t="s">
        <v>4952</v>
      </c>
      <c r="F1710" t="s">
        <v>4236</v>
      </c>
      <c r="G1710">
        <v>1</v>
      </c>
      <c r="H1710" s="2">
        <v>27410.39</v>
      </c>
      <c r="I1710" s="2">
        <v>27410.39</v>
      </c>
    </row>
    <row r="1711" spans="1:9" x14ac:dyDescent="0.25">
      <c r="A1711" t="s">
        <v>959</v>
      </c>
      <c r="B1711" t="s">
        <v>960</v>
      </c>
      <c r="C1711" t="s">
        <v>63</v>
      </c>
      <c r="D1711" t="s">
        <v>4052</v>
      </c>
      <c r="E1711" t="s">
        <v>4053</v>
      </c>
      <c r="F1711" t="s">
        <v>4054</v>
      </c>
      <c r="G1711">
        <v>3.3</v>
      </c>
      <c r="H1711" s="2">
        <v>27410.39</v>
      </c>
      <c r="I1711" s="2">
        <v>904.54</v>
      </c>
    </row>
    <row r="1712" spans="1:9" x14ac:dyDescent="0.25">
      <c r="A1712" t="s">
        <v>962</v>
      </c>
      <c r="B1712" t="s">
        <v>963</v>
      </c>
      <c r="C1712" t="s">
        <v>63</v>
      </c>
      <c r="D1712" t="s">
        <v>4062</v>
      </c>
      <c r="E1712" t="s">
        <v>4951</v>
      </c>
      <c r="F1712" t="s">
        <v>63</v>
      </c>
      <c r="G1712">
        <v>1</v>
      </c>
      <c r="H1712" s="2">
        <v>90300</v>
      </c>
      <c r="I1712" s="2">
        <v>90300</v>
      </c>
    </row>
    <row r="1713" spans="1:9" x14ac:dyDescent="0.25">
      <c r="A1713" t="s">
        <v>962</v>
      </c>
      <c r="B1713" t="s">
        <v>963</v>
      </c>
      <c r="C1713" t="s">
        <v>63</v>
      </c>
      <c r="D1713" t="s">
        <v>4062</v>
      </c>
      <c r="E1713" t="s">
        <v>4970</v>
      </c>
      <c r="F1713" t="s">
        <v>63</v>
      </c>
      <c r="G1713">
        <v>1</v>
      </c>
      <c r="H1713" s="2">
        <v>399400</v>
      </c>
      <c r="I1713" s="2">
        <v>399400</v>
      </c>
    </row>
    <row r="1714" spans="1:9" x14ac:dyDescent="0.25">
      <c r="A1714" t="s">
        <v>962</v>
      </c>
      <c r="B1714" t="s">
        <v>963</v>
      </c>
      <c r="C1714" t="s">
        <v>63</v>
      </c>
      <c r="D1714" t="s">
        <v>4062</v>
      </c>
      <c r="E1714" t="s">
        <v>4835</v>
      </c>
      <c r="F1714" t="s">
        <v>42</v>
      </c>
      <c r="G1714">
        <v>4</v>
      </c>
      <c r="H1714" s="2">
        <v>2850</v>
      </c>
      <c r="I1714" s="2">
        <v>11400</v>
      </c>
    </row>
    <row r="1715" spans="1:9" x14ac:dyDescent="0.25">
      <c r="A1715" t="s">
        <v>962</v>
      </c>
      <c r="B1715" t="s">
        <v>963</v>
      </c>
      <c r="C1715" t="s">
        <v>63</v>
      </c>
      <c r="D1715" t="s">
        <v>4049</v>
      </c>
      <c r="E1715" t="s">
        <v>4952</v>
      </c>
      <c r="F1715" t="s">
        <v>4236</v>
      </c>
      <c r="G1715">
        <v>1</v>
      </c>
      <c r="H1715" s="2">
        <v>27410.39</v>
      </c>
      <c r="I1715" s="2">
        <v>27410.39</v>
      </c>
    </row>
    <row r="1716" spans="1:9" x14ac:dyDescent="0.25">
      <c r="A1716" t="s">
        <v>962</v>
      </c>
      <c r="B1716" t="s">
        <v>963</v>
      </c>
      <c r="C1716" t="s">
        <v>63</v>
      </c>
      <c r="D1716" t="s">
        <v>4052</v>
      </c>
      <c r="E1716" t="s">
        <v>4053</v>
      </c>
      <c r="F1716" t="s">
        <v>4054</v>
      </c>
      <c r="G1716">
        <v>3.3</v>
      </c>
      <c r="H1716" s="2">
        <v>27410.39</v>
      </c>
      <c r="I1716" s="2">
        <v>904.54</v>
      </c>
    </row>
    <row r="1717" spans="1:9" x14ac:dyDescent="0.25">
      <c r="A1717" t="s">
        <v>965</v>
      </c>
      <c r="B1717" t="s">
        <v>966</v>
      </c>
      <c r="C1717" t="s">
        <v>63</v>
      </c>
      <c r="D1717" t="s">
        <v>4062</v>
      </c>
      <c r="E1717" t="s">
        <v>4951</v>
      </c>
      <c r="F1717" t="s">
        <v>63</v>
      </c>
      <c r="G1717">
        <v>1</v>
      </c>
      <c r="H1717" s="2">
        <v>90300</v>
      </c>
      <c r="I1717" s="2">
        <v>90300</v>
      </c>
    </row>
    <row r="1718" spans="1:9" x14ac:dyDescent="0.25">
      <c r="A1718" t="s">
        <v>965</v>
      </c>
      <c r="B1718" t="s">
        <v>966</v>
      </c>
      <c r="C1718" t="s">
        <v>63</v>
      </c>
      <c r="D1718" t="s">
        <v>4062</v>
      </c>
      <c r="E1718" t="s">
        <v>4973</v>
      </c>
      <c r="F1718" t="s">
        <v>63</v>
      </c>
      <c r="G1718">
        <v>1</v>
      </c>
      <c r="H1718" s="2">
        <v>409200</v>
      </c>
      <c r="I1718" s="2">
        <v>409200</v>
      </c>
    </row>
    <row r="1719" spans="1:9" x14ac:dyDescent="0.25">
      <c r="A1719" t="s">
        <v>965</v>
      </c>
      <c r="B1719" t="s">
        <v>966</v>
      </c>
      <c r="C1719" t="s">
        <v>63</v>
      </c>
      <c r="D1719" t="s">
        <v>4062</v>
      </c>
      <c r="E1719" t="s">
        <v>4835</v>
      </c>
      <c r="F1719" t="s">
        <v>42</v>
      </c>
      <c r="G1719">
        <v>4</v>
      </c>
      <c r="H1719" s="2">
        <v>2850</v>
      </c>
      <c r="I1719" s="2">
        <v>11400</v>
      </c>
    </row>
    <row r="1720" spans="1:9" x14ac:dyDescent="0.25">
      <c r="A1720" t="s">
        <v>965</v>
      </c>
      <c r="B1720" t="s">
        <v>966</v>
      </c>
      <c r="C1720" t="s">
        <v>63</v>
      </c>
      <c r="D1720" t="s">
        <v>4049</v>
      </c>
      <c r="E1720" t="s">
        <v>4952</v>
      </c>
      <c r="F1720" t="s">
        <v>4236</v>
      </c>
      <c r="G1720">
        <v>1</v>
      </c>
      <c r="H1720" s="2">
        <v>27410.39</v>
      </c>
      <c r="I1720" s="2">
        <v>27410.39</v>
      </c>
    </row>
    <row r="1721" spans="1:9" x14ac:dyDescent="0.25">
      <c r="A1721" t="s">
        <v>965</v>
      </c>
      <c r="B1721" t="s">
        <v>966</v>
      </c>
      <c r="C1721" t="s">
        <v>63</v>
      </c>
      <c r="D1721" t="s">
        <v>4052</v>
      </c>
      <c r="E1721" t="s">
        <v>4053</v>
      </c>
      <c r="F1721" t="s">
        <v>4054</v>
      </c>
      <c r="G1721">
        <v>3.3</v>
      </c>
      <c r="H1721" s="2">
        <v>27410.39</v>
      </c>
      <c r="I1721" s="2">
        <v>904.54</v>
      </c>
    </row>
    <row r="1722" spans="1:9" x14ac:dyDescent="0.25">
      <c r="A1722" t="s">
        <v>968</v>
      </c>
      <c r="B1722" t="s">
        <v>969</v>
      </c>
      <c r="C1722" t="s">
        <v>63</v>
      </c>
      <c r="D1722" t="s">
        <v>4062</v>
      </c>
      <c r="E1722" t="s">
        <v>4976</v>
      </c>
      <c r="F1722" t="s">
        <v>63</v>
      </c>
      <c r="G1722">
        <v>1</v>
      </c>
      <c r="H1722" s="2">
        <v>370700</v>
      </c>
      <c r="I1722" s="2">
        <v>370700</v>
      </c>
    </row>
    <row r="1723" spans="1:9" x14ac:dyDescent="0.25">
      <c r="A1723" t="s">
        <v>968</v>
      </c>
      <c r="B1723" t="s">
        <v>969</v>
      </c>
      <c r="C1723" t="s">
        <v>63</v>
      </c>
      <c r="D1723" t="s">
        <v>4049</v>
      </c>
      <c r="E1723" t="s">
        <v>4884</v>
      </c>
      <c r="F1723" t="s">
        <v>4236</v>
      </c>
      <c r="G1723">
        <v>1</v>
      </c>
      <c r="H1723" s="2">
        <v>27010</v>
      </c>
      <c r="I1723" s="2">
        <v>27010</v>
      </c>
    </row>
    <row r="1724" spans="1:9" x14ac:dyDescent="0.25">
      <c r="A1724" t="s">
        <v>968</v>
      </c>
      <c r="B1724" t="s">
        <v>969</v>
      </c>
      <c r="C1724" t="s">
        <v>63</v>
      </c>
      <c r="D1724" t="s">
        <v>4052</v>
      </c>
      <c r="E1724" t="s">
        <v>4053</v>
      </c>
      <c r="F1724" t="s">
        <v>4054</v>
      </c>
      <c r="G1724">
        <v>5</v>
      </c>
      <c r="H1724" s="2">
        <v>27010</v>
      </c>
      <c r="I1724" s="2">
        <v>1350.5</v>
      </c>
    </row>
    <row r="1725" spans="1:9" x14ac:dyDescent="0.25">
      <c r="A1725" t="s">
        <v>971</v>
      </c>
      <c r="B1725" t="s">
        <v>972</v>
      </c>
      <c r="C1725" t="s">
        <v>63</v>
      </c>
      <c r="D1725" t="s">
        <v>4062</v>
      </c>
      <c r="E1725" t="s">
        <v>4979</v>
      </c>
      <c r="F1725" t="s">
        <v>63</v>
      </c>
      <c r="G1725">
        <v>1</v>
      </c>
      <c r="H1725" s="2">
        <v>493400</v>
      </c>
      <c r="I1725" s="2">
        <v>493400</v>
      </c>
    </row>
    <row r="1726" spans="1:9" x14ac:dyDescent="0.25">
      <c r="A1726" t="s">
        <v>971</v>
      </c>
      <c r="B1726" t="s">
        <v>972</v>
      </c>
      <c r="C1726" t="s">
        <v>63</v>
      </c>
      <c r="D1726" t="s">
        <v>4049</v>
      </c>
      <c r="E1726" t="s">
        <v>4884</v>
      </c>
      <c r="F1726" t="s">
        <v>4236</v>
      </c>
      <c r="G1726">
        <v>1</v>
      </c>
      <c r="H1726" s="2">
        <v>27010</v>
      </c>
      <c r="I1726" s="2">
        <v>27010</v>
      </c>
    </row>
    <row r="1727" spans="1:9" x14ac:dyDescent="0.25">
      <c r="A1727" t="s">
        <v>971</v>
      </c>
      <c r="B1727" t="s">
        <v>972</v>
      </c>
      <c r="C1727" t="s">
        <v>63</v>
      </c>
      <c r="D1727" t="s">
        <v>4052</v>
      </c>
      <c r="E1727" t="s">
        <v>4053</v>
      </c>
      <c r="F1727" t="s">
        <v>4054</v>
      </c>
      <c r="G1727">
        <v>5</v>
      </c>
      <c r="H1727" s="2">
        <v>27010</v>
      </c>
      <c r="I1727" s="2">
        <v>1350.5</v>
      </c>
    </row>
    <row r="1728" spans="1:9" x14ac:dyDescent="0.25">
      <c r="A1728" t="s">
        <v>974</v>
      </c>
      <c r="B1728" t="s">
        <v>975</v>
      </c>
      <c r="C1728" t="s">
        <v>63</v>
      </c>
      <c r="D1728" t="s">
        <v>4062</v>
      </c>
      <c r="E1728" t="s">
        <v>4982</v>
      </c>
      <c r="F1728" t="s">
        <v>63</v>
      </c>
      <c r="G1728">
        <v>1</v>
      </c>
      <c r="H1728" s="2">
        <v>21256</v>
      </c>
      <c r="I1728" s="2">
        <v>21256</v>
      </c>
    </row>
    <row r="1729" spans="1:9" x14ac:dyDescent="0.25">
      <c r="A1729" t="s">
        <v>974</v>
      </c>
      <c r="B1729" t="s">
        <v>975</v>
      </c>
      <c r="C1729" t="s">
        <v>63</v>
      </c>
      <c r="D1729" t="s">
        <v>4049</v>
      </c>
      <c r="E1729" t="s">
        <v>4241</v>
      </c>
      <c r="F1729" t="s">
        <v>4051</v>
      </c>
      <c r="G1729">
        <v>1</v>
      </c>
      <c r="H1729" s="2">
        <v>9941.22</v>
      </c>
      <c r="I1729" s="2">
        <v>9941.22</v>
      </c>
    </row>
    <row r="1730" spans="1:9" x14ac:dyDescent="0.25">
      <c r="A1730" t="s">
        <v>974</v>
      </c>
      <c r="B1730" t="s">
        <v>975</v>
      </c>
      <c r="C1730" t="s">
        <v>63</v>
      </c>
      <c r="D1730" t="s">
        <v>4049</v>
      </c>
      <c r="E1730" t="s">
        <v>4242</v>
      </c>
      <c r="F1730" t="s">
        <v>4051</v>
      </c>
      <c r="G1730">
        <v>1</v>
      </c>
      <c r="H1730" s="2">
        <v>17069.53</v>
      </c>
      <c r="I1730" s="2">
        <v>17069.53</v>
      </c>
    </row>
    <row r="1731" spans="1:9" x14ac:dyDescent="0.25">
      <c r="A1731" t="s">
        <v>974</v>
      </c>
      <c r="B1731" t="s">
        <v>975</v>
      </c>
      <c r="C1731" t="s">
        <v>63</v>
      </c>
      <c r="D1731" t="s">
        <v>4052</v>
      </c>
      <c r="E1731" t="s">
        <v>4053</v>
      </c>
      <c r="F1731" t="s">
        <v>4054</v>
      </c>
      <c r="G1731">
        <v>5</v>
      </c>
      <c r="H1731" s="2">
        <v>27010.75</v>
      </c>
      <c r="I1731" s="2">
        <v>1350.54</v>
      </c>
    </row>
    <row r="1732" spans="1:9" x14ac:dyDescent="0.25">
      <c r="A1732" t="s">
        <v>977</v>
      </c>
      <c r="B1732" t="s">
        <v>978</v>
      </c>
      <c r="C1732" t="s">
        <v>63</v>
      </c>
      <c r="D1732" t="s">
        <v>4062</v>
      </c>
      <c r="E1732" t="s">
        <v>4985</v>
      </c>
      <c r="F1732" t="s">
        <v>63</v>
      </c>
      <c r="G1732">
        <v>1</v>
      </c>
      <c r="H1732" s="2">
        <v>2372</v>
      </c>
      <c r="I1732" s="2">
        <v>2372</v>
      </c>
    </row>
    <row r="1733" spans="1:9" x14ac:dyDescent="0.25">
      <c r="A1733" t="s">
        <v>977</v>
      </c>
      <c r="B1733" t="s">
        <v>978</v>
      </c>
      <c r="C1733" t="s">
        <v>63</v>
      </c>
      <c r="D1733" t="s">
        <v>4049</v>
      </c>
      <c r="E1733" t="s">
        <v>4241</v>
      </c>
      <c r="F1733" t="s">
        <v>4051</v>
      </c>
      <c r="G1733">
        <v>0.1</v>
      </c>
      <c r="H1733" s="2">
        <v>9941.22</v>
      </c>
      <c r="I1733" s="2">
        <v>994.12</v>
      </c>
    </row>
    <row r="1734" spans="1:9" x14ac:dyDescent="0.25">
      <c r="A1734" t="s">
        <v>977</v>
      </c>
      <c r="B1734" t="s">
        <v>978</v>
      </c>
      <c r="C1734" t="s">
        <v>63</v>
      </c>
      <c r="D1734" t="s">
        <v>4049</v>
      </c>
      <c r="E1734" t="s">
        <v>4242</v>
      </c>
      <c r="F1734" t="s">
        <v>4051</v>
      </c>
      <c r="G1734">
        <v>0.1</v>
      </c>
      <c r="H1734" s="2">
        <v>17069.53</v>
      </c>
      <c r="I1734" s="2">
        <v>1706.95</v>
      </c>
    </row>
    <row r="1735" spans="1:9" x14ac:dyDescent="0.25">
      <c r="A1735" t="s">
        <v>977</v>
      </c>
      <c r="B1735" t="s">
        <v>978</v>
      </c>
      <c r="C1735" t="s">
        <v>63</v>
      </c>
      <c r="D1735" t="s">
        <v>4052</v>
      </c>
      <c r="E1735" t="s">
        <v>4053</v>
      </c>
      <c r="F1735" t="s">
        <v>4054</v>
      </c>
      <c r="G1735">
        <v>5</v>
      </c>
      <c r="H1735" s="2">
        <v>2701.07</v>
      </c>
      <c r="I1735" s="2">
        <v>135.05</v>
      </c>
    </row>
    <row r="1736" spans="1:9" x14ac:dyDescent="0.25">
      <c r="A1736" t="s">
        <v>980</v>
      </c>
      <c r="B1736" t="s">
        <v>981</v>
      </c>
      <c r="C1736" t="s">
        <v>63</v>
      </c>
      <c r="D1736" t="s">
        <v>4062</v>
      </c>
      <c r="E1736" t="s">
        <v>4988</v>
      </c>
      <c r="F1736" t="s">
        <v>63</v>
      </c>
      <c r="G1736">
        <v>1</v>
      </c>
      <c r="H1736" s="2">
        <v>2050</v>
      </c>
      <c r="I1736" s="2">
        <v>2050</v>
      </c>
    </row>
    <row r="1737" spans="1:9" x14ac:dyDescent="0.25">
      <c r="A1737" t="s">
        <v>980</v>
      </c>
      <c r="B1737" t="s">
        <v>981</v>
      </c>
      <c r="C1737" t="s">
        <v>63</v>
      </c>
      <c r="D1737" t="s">
        <v>4049</v>
      </c>
      <c r="E1737" t="s">
        <v>4884</v>
      </c>
      <c r="F1737" t="s">
        <v>4236</v>
      </c>
      <c r="G1737">
        <v>0.1</v>
      </c>
      <c r="H1737" s="2">
        <v>27010</v>
      </c>
      <c r="I1737" s="2">
        <v>2701</v>
      </c>
    </row>
    <row r="1738" spans="1:9" x14ac:dyDescent="0.25">
      <c r="A1738" t="s">
        <v>980</v>
      </c>
      <c r="B1738" t="s">
        <v>981</v>
      </c>
      <c r="C1738" t="s">
        <v>63</v>
      </c>
      <c r="D1738" t="s">
        <v>4052</v>
      </c>
      <c r="E1738" t="s">
        <v>4053</v>
      </c>
      <c r="F1738" t="s">
        <v>4054</v>
      </c>
      <c r="G1738">
        <v>5</v>
      </c>
      <c r="H1738" s="2">
        <v>2701</v>
      </c>
      <c r="I1738" s="2">
        <v>135.05</v>
      </c>
    </row>
    <row r="1739" spans="1:9" x14ac:dyDescent="0.25">
      <c r="A1739" t="s">
        <v>983</v>
      </c>
      <c r="B1739" t="s">
        <v>984</v>
      </c>
      <c r="C1739" t="s">
        <v>63</v>
      </c>
      <c r="D1739" t="s">
        <v>4062</v>
      </c>
      <c r="E1739" t="s">
        <v>4991</v>
      </c>
      <c r="F1739" t="s">
        <v>63</v>
      </c>
      <c r="G1739">
        <v>1</v>
      </c>
      <c r="H1739" s="2">
        <v>202900</v>
      </c>
      <c r="I1739" s="2">
        <v>202900</v>
      </c>
    </row>
    <row r="1740" spans="1:9" x14ac:dyDescent="0.25">
      <c r="A1740" t="s">
        <v>983</v>
      </c>
      <c r="B1740" t="s">
        <v>984</v>
      </c>
      <c r="C1740" t="s">
        <v>63</v>
      </c>
      <c r="D1740" t="s">
        <v>4062</v>
      </c>
      <c r="E1740" t="s">
        <v>4849</v>
      </c>
      <c r="F1740" t="s">
        <v>63</v>
      </c>
      <c r="G1740">
        <v>18</v>
      </c>
      <c r="H1740" s="2">
        <v>2298</v>
      </c>
      <c r="I1740" s="2">
        <v>41364</v>
      </c>
    </row>
    <row r="1741" spans="1:9" x14ac:dyDescent="0.25">
      <c r="A1741" t="s">
        <v>983</v>
      </c>
      <c r="B1741" t="s">
        <v>984</v>
      </c>
      <c r="C1741" t="s">
        <v>63</v>
      </c>
      <c r="D1741" t="s">
        <v>4049</v>
      </c>
      <c r="E1741" t="s">
        <v>4241</v>
      </c>
      <c r="F1741" t="s">
        <v>4051</v>
      </c>
      <c r="G1741">
        <v>4</v>
      </c>
      <c r="H1741" s="2">
        <v>9941.22</v>
      </c>
      <c r="I1741" s="2">
        <v>39764.88</v>
      </c>
    </row>
    <row r="1742" spans="1:9" x14ac:dyDescent="0.25">
      <c r="A1742" t="s">
        <v>983</v>
      </c>
      <c r="B1742" t="s">
        <v>984</v>
      </c>
      <c r="C1742" t="s">
        <v>63</v>
      </c>
      <c r="D1742" t="s">
        <v>4049</v>
      </c>
      <c r="E1742" t="s">
        <v>4242</v>
      </c>
      <c r="F1742" t="s">
        <v>4051</v>
      </c>
      <c r="G1742">
        <v>4</v>
      </c>
      <c r="H1742" s="2">
        <v>17069.53</v>
      </c>
      <c r="I1742" s="2">
        <v>68278.12</v>
      </c>
    </row>
    <row r="1743" spans="1:9" x14ac:dyDescent="0.25">
      <c r="A1743" t="s">
        <v>983</v>
      </c>
      <c r="B1743" t="s">
        <v>984</v>
      </c>
      <c r="C1743" t="s">
        <v>63</v>
      </c>
      <c r="D1743" t="s">
        <v>4052</v>
      </c>
      <c r="E1743" t="s">
        <v>4053</v>
      </c>
      <c r="F1743" t="s">
        <v>4054</v>
      </c>
      <c r="G1743">
        <v>3.3</v>
      </c>
      <c r="H1743" s="2">
        <v>108043</v>
      </c>
      <c r="I1743" s="2">
        <v>3565.42</v>
      </c>
    </row>
    <row r="1744" spans="1:9" x14ac:dyDescent="0.25">
      <c r="A1744" t="s">
        <v>986</v>
      </c>
      <c r="B1744" t="s">
        <v>987</v>
      </c>
      <c r="C1744" t="s">
        <v>63</v>
      </c>
      <c r="D1744" t="s">
        <v>4062</v>
      </c>
      <c r="E1744" t="s">
        <v>4994</v>
      </c>
      <c r="F1744" t="s">
        <v>63</v>
      </c>
      <c r="G1744">
        <v>1</v>
      </c>
      <c r="H1744" s="2">
        <v>223024</v>
      </c>
      <c r="I1744" s="2">
        <v>223024</v>
      </c>
    </row>
    <row r="1745" spans="1:9" x14ac:dyDescent="0.25">
      <c r="A1745" t="s">
        <v>986</v>
      </c>
      <c r="B1745" t="s">
        <v>987</v>
      </c>
      <c r="C1745" t="s">
        <v>63</v>
      </c>
      <c r="D1745" t="s">
        <v>4062</v>
      </c>
      <c r="E1745" t="s">
        <v>4849</v>
      </c>
      <c r="F1745" t="s">
        <v>63</v>
      </c>
      <c r="G1745">
        <v>18</v>
      </c>
      <c r="H1745" s="2">
        <v>2298</v>
      </c>
      <c r="I1745" s="2">
        <v>41364</v>
      </c>
    </row>
    <row r="1746" spans="1:9" x14ac:dyDescent="0.25">
      <c r="A1746" t="s">
        <v>986</v>
      </c>
      <c r="B1746" t="s">
        <v>987</v>
      </c>
      <c r="C1746" t="s">
        <v>63</v>
      </c>
      <c r="D1746" t="s">
        <v>4049</v>
      </c>
      <c r="E1746" t="s">
        <v>4241</v>
      </c>
      <c r="F1746" t="s">
        <v>4051</v>
      </c>
      <c r="G1746">
        <v>3</v>
      </c>
      <c r="H1746" s="2">
        <v>9941.22</v>
      </c>
      <c r="I1746" s="2">
        <v>29823.66</v>
      </c>
    </row>
    <row r="1747" spans="1:9" x14ac:dyDescent="0.25">
      <c r="A1747" t="s">
        <v>986</v>
      </c>
      <c r="B1747" t="s">
        <v>987</v>
      </c>
      <c r="C1747" t="s">
        <v>63</v>
      </c>
      <c r="D1747" t="s">
        <v>4049</v>
      </c>
      <c r="E1747" t="s">
        <v>4242</v>
      </c>
      <c r="F1747" t="s">
        <v>4051</v>
      </c>
      <c r="G1747">
        <v>3</v>
      </c>
      <c r="H1747" s="2">
        <v>17069.53</v>
      </c>
      <c r="I1747" s="2">
        <v>51208.59</v>
      </c>
    </row>
    <row r="1748" spans="1:9" x14ac:dyDescent="0.25">
      <c r="A1748" t="s">
        <v>986</v>
      </c>
      <c r="B1748" t="s">
        <v>987</v>
      </c>
      <c r="C1748" t="s">
        <v>63</v>
      </c>
      <c r="D1748" t="s">
        <v>4052</v>
      </c>
      <c r="E1748" t="s">
        <v>4053</v>
      </c>
      <c r="F1748" t="s">
        <v>4054</v>
      </c>
      <c r="G1748">
        <v>5</v>
      </c>
      <c r="H1748" s="2">
        <v>81032.25</v>
      </c>
      <c r="I1748" s="2">
        <v>4051.61</v>
      </c>
    </row>
    <row r="1749" spans="1:9" x14ac:dyDescent="0.25">
      <c r="A1749" t="s">
        <v>989</v>
      </c>
      <c r="B1749" t="s">
        <v>990</v>
      </c>
      <c r="C1749" t="s">
        <v>63</v>
      </c>
      <c r="D1749" t="s">
        <v>4062</v>
      </c>
      <c r="E1749" t="s">
        <v>4997</v>
      </c>
      <c r="F1749" t="s">
        <v>63</v>
      </c>
      <c r="G1749">
        <v>1</v>
      </c>
      <c r="H1749" s="2">
        <v>70400</v>
      </c>
      <c r="I1749" s="2">
        <v>70400</v>
      </c>
    </row>
    <row r="1750" spans="1:9" x14ac:dyDescent="0.25">
      <c r="A1750" t="s">
        <v>989</v>
      </c>
      <c r="B1750" t="s">
        <v>990</v>
      </c>
      <c r="C1750" t="s">
        <v>63</v>
      </c>
      <c r="D1750" t="s">
        <v>4062</v>
      </c>
      <c r="E1750" t="s">
        <v>4849</v>
      </c>
      <c r="F1750" t="s">
        <v>63</v>
      </c>
      <c r="G1750">
        <v>4</v>
      </c>
      <c r="H1750" s="2">
        <v>2298</v>
      </c>
      <c r="I1750" s="2">
        <v>9192</v>
      </c>
    </row>
    <row r="1751" spans="1:9" x14ac:dyDescent="0.25">
      <c r="A1751" t="s">
        <v>989</v>
      </c>
      <c r="B1751" t="s">
        <v>990</v>
      </c>
      <c r="C1751" t="s">
        <v>63</v>
      </c>
      <c r="D1751" t="s">
        <v>4049</v>
      </c>
      <c r="E1751" t="s">
        <v>4241</v>
      </c>
      <c r="F1751" t="s">
        <v>4051</v>
      </c>
      <c r="G1751">
        <v>3</v>
      </c>
      <c r="H1751" s="2">
        <v>9941.22</v>
      </c>
      <c r="I1751" s="2">
        <v>29823.66</v>
      </c>
    </row>
    <row r="1752" spans="1:9" x14ac:dyDescent="0.25">
      <c r="A1752" t="s">
        <v>989</v>
      </c>
      <c r="B1752" t="s">
        <v>990</v>
      </c>
      <c r="C1752" t="s">
        <v>63</v>
      </c>
      <c r="D1752" t="s">
        <v>4049</v>
      </c>
      <c r="E1752" t="s">
        <v>4242</v>
      </c>
      <c r="F1752" t="s">
        <v>4051</v>
      </c>
      <c r="G1752">
        <v>3</v>
      </c>
      <c r="H1752" s="2">
        <v>17069.53</v>
      </c>
      <c r="I1752" s="2">
        <v>51208.59</v>
      </c>
    </row>
    <row r="1753" spans="1:9" x14ac:dyDescent="0.25">
      <c r="A1753" t="s">
        <v>989</v>
      </c>
      <c r="B1753" t="s">
        <v>990</v>
      </c>
      <c r="C1753" t="s">
        <v>63</v>
      </c>
      <c r="D1753" t="s">
        <v>4052</v>
      </c>
      <c r="E1753" t="s">
        <v>4053</v>
      </c>
      <c r="F1753" t="s">
        <v>4054</v>
      </c>
      <c r="G1753">
        <v>3.3</v>
      </c>
      <c r="H1753" s="2">
        <v>81032.25</v>
      </c>
      <c r="I1753" s="2">
        <v>2674.06</v>
      </c>
    </row>
    <row r="1754" spans="1:9" x14ac:dyDescent="0.25">
      <c r="A1754" t="s">
        <v>992</v>
      </c>
      <c r="B1754" t="s">
        <v>993</v>
      </c>
      <c r="C1754" t="s">
        <v>42</v>
      </c>
      <c r="D1754" t="s">
        <v>4062</v>
      </c>
      <c r="E1754" t="s">
        <v>5000</v>
      </c>
      <c r="F1754" t="s">
        <v>42</v>
      </c>
      <c r="G1754">
        <v>1.05</v>
      </c>
      <c r="H1754" s="2">
        <v>10065</v>
      </c>
      <c r="I1754" s="2">
        <v>10568.25</v>
      </c>
    </row>
    <row r="1755" spans="1:9" x14ac:dyDescent="0.25">
      <c r="A1755" t="s">
        <v>992</v>
      </c>
      <c r="B1755" t="s">
        <v>993</v>
      </c>
      <c r="C1755" t="s">
        <v>42</v>
      </c>
      <c r="D1755" t="s">
        <v>4062</v>
      </c>
      <c r="E1755" t="s">
        <v>5001</v>
      </c>
      <c r="F1755" t="s">
        <v>63</v>
      </c>
      <c r="G1755">
        <v>2</v>
      </c>
      <c r="H1755" s="2">
        <v>2923</v>
      </c>
      <c r="I1755" s="2">
        <v>5846</v>
      </c>
    </row>
    <row r="1756" spans="1:9" x14ac:dyDescent="0.25">
      <c r="A1756" t="s">
        <v>992</v>
      </c>
      <c r="B1756" t="s">
        <v>993</v>
      </c>
      <c r="C1756" t="s">
        <v>42</v>
      </c>
      <c r="D1756" t="s">
        <v>4062</v>
      </c>
      <c r="E1756" t="s">
        <v>4659</v>
      </c>
      <c r="F1756" t="s">
        <v>4377</v>
      </c>
      <c r="G1756">
        <v>0.01</v>
      </c>
      <c r="H1756" s="2">
        <v>31500</v>
      </c>
      <c r="I1756" s="2">
        <v>315</v>
      </c>
    </row>
    <row r="1757" spans="1:9" x14ac:dyDescent="0.25">
      <c r="A1757" t="s">
        <v>992</v>
      </c>
      <c r="B1757" t="s">
        <v>993</v>
      </c>
      <c r="C1757" t="s">
        <v>42</v>
      </c>
      <c r="D1757" t="s">
        <v>4062</v>
      </c>
      <c r="E1757" t="s">
        <v>4376</v>
      </c>
      <c r="F1757" t="s">
        <v>4377</v>
      </c>
      <c r="G1757">
        <v>0.01</v>
      </c>
      <c r="H1757" s="2">
        <v>72237.67</v>
      </c>
      <c r="I1757" s="2">
        <v>722.38</v>
      </c>
    </row>
    <row r="1758" spans="1:9" x14ac:dyDescent="0.25">
      <c r="A1758" t="s">
        <v>992</v>
      </c>
      <c r="B1758" t="s">
        <v>993</v>
      </c>
      <c r="C1758" t="s">
        <v>42</v>
      </c>
      <c r="D1758" t="s">
        <v>4062</v>
      </c>
      <c r="E1758" t="s">
        <v>4830</v>
      </c>
      <c r="F1758" t="s">
        <v>42</v>
      </c>
      <c r="G1758">
        <v>1.06</v>
      </c>
      <c r="H1758" s="2">
        <v>4934</v>
      </c>
      <c r="I1758" s="2">
        <v>5230.04</v>
      </c>
    </row>
    <row r="1759" spans="1:9" x14ac:dyDescent="0.25">
      <c r="A1759" t="s">
        <v>992</v>
      </c>
      <c r="B1759" t="s">
        <v>993</v>
      </c>
      <c r="C1759" t="s">
        <v>42</v>
      </c>
      <c r="D1759" t="s">
        <v>4062</v>
      </c>
      <c r="E1759" t="s">
        <v>4832</v>
      </c>
      <c r="F1759" t="s">
        <v>63</v>
      </c>
      <c r="G1759">
        <v>2</v>
      </c>
      <c r="H1759" s="2">
        <v>1143</v>
      </c>
      <c r="I1759" s="2">
        <v>2286</v>
      </c>
    </row>
    <row r="1760" spans="1:9" x14ac:dyDescent="0.25">
      <c r="A1760" t="s">
        <v>992</v>
      </c>
      <c r="B1760" t="s">
        <v>993</v>
      </c>
      <c r="C1760" t="s">
        <v>42</v>
      </c>
      <c r="D1760" t="s">
        <v>4062</v>
      </c>
      <c r="E1760" t="s">
        <v>4659</v>
      </c>
      <c r="F1760" t="s">
        <v>4377</v>
      </c>
      <c r="G1760">
        <v>0.02</v>
      </c>
      <c r="H1760" s="2">
        <v>31500</v>
      </c>
      <c r="I1760" s="2">
        <v>630</v>
      </c>
    </row>
    <row r="1761" spans="1:9" x14ac:dyDescent="0.25">
      <c r="A1761" t="s">
        <v>992</v>
      </c>
      <c r="B1761" t="s">
        <v>993</v>
      </c>
      <c r="C1761" t="s">
        <v>42</v>
      </c>
      <c r="D1761" t="s">
        <v>4062</v>
      </c>
      <c r="E1761" t="s">
        <v>4376</v>
      </c>
      <c r="F1761" t="s">
        <v>4377</v>
      </c>
      <c r="G1761">
        <v>0.02</v>
      </c>
      <c r="H1761" s="2">
        <v>72237.67</v>
      </c>
      <c r="I1761" s="2">
        <v>1444.75</v>
      </c>
    </row>
    <row r="1762" spans="1:9" x14ac:dyDescent="0.25">
      <c r="A1762" t="s">
        <v>992</v>
      </c>
      <c r="B1762" t="s">
        <v>993</v>
      </c>
      <c r="C1762" t="s">
        <v>42</v>
      </c>
      <c r="D1762" t="s">
        <v>4049</v>
      </c>
      <c r="E1762" t="s">
        <v>4241</v>
      </c>
      <c r="F1762" t="s">
        <v>4051</v>
      </c>
      <c r="G1762">
        <v>0.4</v>
      </c>
      <c r="H1762" s="2">
        <v>9941.22</v>
      </c>
      <c r="I1762" s="2">
        <v>3976.49</v>
      </c>
    </row>
    <row r="1763" spans="1:9" x14ac:dyDescent="0.25">
      <c r="A1763" t="s">
        <v>992</v>
      </c>
      <c r="B1763" t="s">
        <v>993</v>
      </c>
      <c r="C1763" t="s">
        <v>42</v>
      </c>
      <c r="D1763" t="s">
        <v>4049</v>
      </c>
      <c r="E1763" t="s">
        <v>4242</v>
      </c>
      <c r="F1763" t="s">
        <v>4051</v>
      </c>
      <c r="G1763">
        <v>0.4</v>
      </c>
      <c r="H1763" s="2">
        <v>17069.53</v>
      </c>
      <c r="I1763" s="2">
        <v>6827.81</v>
      </c>
    </row>
    <row r="1764" spans="1:9" x14ac:dyDescent="0.25">
      <c r="A1764" t="s">
        <v>992</v>
      </c>
      <c r="B1764" t="s">
        <v>993</v>
      </c>
      <c r="C1764" t="s">
        <v>42</v>
      </c>
      <c r="D1764" t="s">
        <v>4049</v>
      </c>
      <c r="E1764" t="s">
        <v>4241</v>
      </c>
      <c r="F1764" t="s">
        <v>4051</v>
      </c>
      <c r="G1764">
        <v>0.45</v>
      </c>
      <c r="H1764" s="2">
        <v>9941.22</v>
      </c>
      <c r="I1764" s="2">
        <v>4473.55</v>
      </c>
    </row>
    <row r="1765" spans="1:9" x14ac:dyDescent="0.25">
      <c r="A1765" t="s">
        <v>992</v>
      </c>
      <c r="B1765" t="s">
        <v>993</v>
      </c>
      <c r="C1765" t="s">
        <v>42</v>
      </c>
      <c r="D1765" t="s">
        <v>4049</v>
      </c>
      <c r="E1765" t="s">
        <v>4242</v>
      </c>
      <c r="F1765" t="s">
        <v>4051</v>
      </c>
      <c r="G1765">
        <v>0.45</v>
      </c>
      <c r="H1765" s="2">
        <v>17069.53</v>
      </c>
      <c r="I1765" s="2">
        <v>7681.29</v>
      </c>
    </row>
    <row r="1766" spans="1:9" x14ac:dyDescent="0.25">
      <c r="A1766" t="s">
        <v>992</v>
      </c>
      <c r="B1766" t="s">
        <v>993</v>
      </c>
      <c r="C1766" t="s">
        <v>42</v>
      </c>
      <c r="D1766" t="s">
        <v>4052</v>
      </c>
      <c r="E1766" t="s">
        <v>4053</v>
      </c>
      <c r="F1766" t="s">
        <v>4054</v>
      </c>
      <c r="G1766">
        <v>3.3</v>
      </c>
      <c r="H1766" s="2">
        <v>10804.3</v>
      </c>
      <c r="I1766" s="2">
        <v>356.54</v>
      </c>
    </row>
    <row r="1767" spans="1:9" x14ac:dyDescent="0.25">
      <c r="A1767" t="s">
        <v>992</v>
      </c>
      <c r="B1767" t="s">
        <v>993</v>
      </c>
      <c r="C1767" t="s">
        <v>42</v>
      </c>
      <c r="D1767" t="s">
        <v>4052</v>
      </c>
      <c r="E1767" t="s">
        <v>4053</v>
      </c>
      <c r="F1767" t="s">
        <v>4054</v>
      </c>
      <c r="G1767">
        <v>5</v>
      </c>
      <c r="H1767" s="2">
        <v>12154.84</v>
      </c>
      <c r="I1767" s="2">
        <v>607.74</v>
      </c>
    </row>
    <row r="1768" spans="1:9" x14ac:dyDescent="0.25">
      <c r="A1768" t="s">
        <v>996</v>
      </c>
      <c r="B1768" t="s">
        <v>997</v>
      </c>
      <c r="C1768" t="s">
        <v>42</v>
      </c>
      <c r="D1768" t="s">
        <v>4062</v>
      </c>
      <c r="E1768" t="s">
        <v>5004</v>
      </c>
      <c r="F1768" t="s">
        <v>42</v>
      </c>
      <c r="G1768">
        <v>1</v>
      </c>
      <c r="H1768" s="2">
        <v>3151</v>
      </c>
      <c r="I1768" s="2">
        <v>3151</v>
      </c>
    </row>
    <row r="1769" spans="1:9" x14ac:dyDescent="0.25">
      <c r="A1769" t="s">
        <v>996</v>
      </c>
      <c r="B1769" t="s">
        <v>997</v>
      </c>
      <c r="C1769" t="s">
        <v>42</v>
      </c>
      <c r="D1769" t="s">
        <v>4062</v>
      </c>
      <c r="E1769" t="s">
        <v>5005</v>
      </c>
      <c r="F1769" t="s">
        <v>63</v>
      </c>
      <c r="G1769">
        <v>2</v>
      </c>
      <c r="H1769" s="2">
        <v>400</v>
      </c>
      <c r="I1769" s="2">
        <v>800</v>
      </c>
    </row>
    <row r="1770" spans="1:9" x14ac:dyDescent="0.25">
      <c r="A1770" t="s">
        <v>996</v>
      </c>
      <c r="B1770" t="s">
        <v>997</v>
      </c>
      <c r="C1770" t="s">
        <v>42</v>
      </c>
      <c r="D1770" t="s">
        <v>4062</v>
      </c>
      <c r="E1770" t="s">
        <v>4659</v>
      </c>
      <c r="F1770" t="s">
        <v>4377</v>
      </c>
      <c r="G1770">
        <v>0.01</v>
      </c>
      <c r="H1770" s="2">
        <v>31500</v>
      </c>
      <c r="I1770" s="2">
        <v>315</v>
      </c>
    </row>
    <row r="1771" spans="1:9" x14ac:dyDescent="0.25">
      <c r="A1771" t="s">
        <v>996</v>
      </c>
      <c r="B1771" t="s">
        <v>997</v>
      </c>
      <c r="C1771" t="s">
        <v>42</v>
      </c>
      <c r="D1771" t="s">
        <v>4062</v>
      </c>
      <c r="E1771" t="s">
        <v>4376</v>
      </c>
      <c r="F1771" t="s">
        <v>4377</v>
      </c>
      <c r="G1771">
        <v>0.01</v>
      </c>
      <c r="H1771" s="2">
        <v>72237.67</v>
      </c>
      <c r="I1771" s="2">
        <v>722.38</v>
      </c>
    </row>
    <row r="1772" spans="1:9" x14ac:dyDescent="0.25">
      <c r="A1772" t="s">
        <v>996</v>
      </c>
      <c r="B1772" t="s">
        <v>997</v>
      </c>
      <c r="C1772" t="s">
        <v>42</v>
      </c>
      <c r="D1772" t="s">
        <v>4049</v>
      </c>
      <c r="E1772" t="s">
        <v>4241</v>
      </c>
      <c r="F1772" t="s">
        <v>4051</v>
      </c>
      <c r="G1772">
        <v>0.4</v>
      </c>
      <c r="H1772" s="2">
        <v>9941.22</v>
      </c>
      <c r="I1772" s="2">
        <v>3976.49</v>
      </c>
    </row>
    <row r="1773" spans="1:9" x14ac:dyDescent="0.25">
      <c r="A1773" t="s">
        <v>996</v>
      </c>
      <c r="B1773" t="s">
        <v>997</v>
      </c>
      <c r="C1773" t="s">
        <v>42</v>
      </c>
      <c r="D1773" t="s">
        <v>4049</v>
      </c>
      <c r="E1773" t="s">
        <v>4242</v>
      </c>
      <c r="F1773" t="s">
        <v>4051</v>
      </c>
      <c r="G1773">
        <v>0.4</v>
      </c>
      <c r="H1773" s="2">
        <v>17069.53</v>
      </c>
      <c r="I1773" s="2">
        <v>6827.81</v>
      </c>
    </row>
    <row r="1774" spans="1:9" x14ac:dyDescent="0.25">
      <c r="A1774" t="s">
        <v>996</v>
      </c>
      <c r="B1774" t="s">
        <v>997</v>
      </c>
      <c r="C1774" t="s">
        <v>42</v>
      </c>
      <c r="D1774" t="s">
        <v>4052</v>
      </c>
      <c r="E1774" t="s">
        <v>4053</v>
      </c>
      <c r="F1774" t="s">
        <v>4054</v>
      </c>
      <c r="G1774">
        <v>3.3</v>
      </c>
      <c r="H1774" s="2">
        <v>10804.3</v>
      </c>
      <c r="I1774" s="2">
        <v>356.54</v>
      </c>
    </row>
    <row r="1775" spans="1:9" x14ac:dyDescent="0.25">
      <c r="A1775" t="s">
        <v>999</v>
      </c>
      <c r="B1775" t="s">
        <v>1000</v>
      </c>
      <c r="C1775" t="s">
        <v>63</v>
      </c>
      <c r="D1775" t="s">
        <v>4062</v>
      </c>
      <c r="E1775" t="s">
        <v>5008</v>
      </c>
      <c r="F1775" t="s">
        <v>63</v>
      </c>
      <c r="G1775">
        <v>1</v>
      </c>
      <c r="H1775" s="2">
        <v>340208.33</v>
      </c>
      <c r="I1775" s="2">
        <v>340208.33</v>
      </c>
    </row>
    <row r="1776" spans="1:9" x14ac:dyDescent="0.25">
      <c r="A1776" t="s">
        <v>999</v>
      </c>
      <c r="B1776" t="s">
        <v>1000</v>
      </c>
      <c r="C1776" t="s">
        <v>63</v>
      </c>
      <c r="D1776" t="s">
        <v>4049</v>
      </c>
      <c r="E1776" t="s">
        <v>4241</v>
      </c>
      <c r="F1776" t="s">
        <v>4051</v>
      </c>
      <c r="G1776">
        <v>0.2</v>
      </c>
      <c r="H1776" s="2">
        <v>9941.22</v>
      </c>
      <c r="I1776" s="2">
        <v>1988.24</v>
      </c>
    </row>
    <row r="1777" spans="1:9" x14ac:dyDescent="0.25">
      <c r="A1777" t="s">
        <v>999</v>
      </c>
      <c r="B1777" t="s">
        <v>1000</v>
      </c>
      <c r="C1777" t="s">
        <v>63</v>
      </c>
      <c r="D1777" t="s">
        <v>4049</v>
      </c>
      <c r="E1777" t="s">
        <v>4242</v>
      </c>
      <c r="F1777" t="s">
        <v>4051</v>
      </c>
      <c r="G1777">
        <v>0.2</v>
      </c>
      <c r="H1777" s="2">
        <v>17069.53</v>
      </c>
      <c r="I1777" s="2">
        <v>3413.91</v>
      </c>
    </row>
    <row r="1778" spans="1:9" x14ac:dyDescent="0.25">
      <c r="A1778" t="s">
        <v>999</v>
      </c>
      <c r="B1778" t="s">
        <v>1000</v>
      </c>
      <c r="C1778" t="s">
        <v>63</v>
      </c>
      <c r="D1778" t="s">
        <v>4052</v>
      </c>
      <c r="E1778" t="s">
        <v>4053</v>
      </c>
      <c r="F1778" t="s">
        <v>4054</v>
      </c>
      <c r="G1778">
        <v>6.7</v>
      </c>
      <c r="H1778" s="2">
        <v>5402.15</v>
      </c>
      <c r="I1778" s="2">
        <v>361.94</v>
      </c>
    </row>
    <row r="1779" spans="1:9" x14ac:dyDescent="0.25">
      <c r="A1779" t="s">
        <v>1003</v>
      </c>
      <c r="B1779" t="s">
        <v>1004</v>
      </c>
      <c r="C1779" t="s">
        <v>63</v>
      </c>
      <c r="D1779" t="s">
        <v>4062</v>
      </c>
      <c r="E1779" t="s">
        <v>5011</v>
      </c>
      <c r="F1779" t="s">
        <v>63</v>
      </c>
      <c r="G1779">
        <v>1</v>
      </c>
      <c r="H1779" s="2">
        <v>42150</v>
      </c>
      <c r="I1779" s="2">
        <v>42150</v>
      </c>
    </row>
    <row r="1780" spans="1:9" x14ac:dyDescent="0.25">
      <c r="A1780" t="s">
        <v>1003</v>
      </c>
      <c r="B1780" t="s">
        <v>1004</v>
      </c>
      <c r="C1780" t="s">
        <v>63</v>
      </c>
      <c r="D1780" t="s">
        <v>4062</v>
      </c>
      <c r="E1780" t="s">
        <v>4849</v>
      </c>
      <c r="F1780" t="s">
        <v>63</v>
      </c>
      <c r="G1780">
        <v>10</v>
      </c>
      <c r="H1780" s="2">
        <v>2298</v>
      </c>
      <c r="I1780" s="2">
        <v>22980</v>
      </c>
    </row>
    <row r="1781" spans="1:9" x14ac:dyDescent="0.25">
      <c r="A1781" t="s">
        <v>1003</v>
      </c>
      <c r="B1781" t="s">
        <v>1004</v>
      </c>
      <c r="C1781" t="s">
        <v>63</v>
      </c>
      <c r="D1781" t="s">
        <v>4062</v>
      </c>
      <c r="E1781" t="s">
        <v>5012</v>
      </c>
      <c r="F1781" t="s">
        <v>63</v>
      </c>
      <c r="G1781">
        <v>1</v>
      </c>
      <c r="H1781" s="2">
        <v>106379</v>
      </c>
      <c r="I1781" s="2">
        <v>106379</v>
      </c>
    </row>
    <row r="1782" spans="1:9" x14ac:dyDescent="0.25">
      <c r="A1782" t="s">
        <v>1003</v>
      </c>
      <c r="B1782" t="s">
        <v>1004</v>
      </c>
      <c r="C1782" t="s">
        <v>63</v>
      </c>
      <c r="D1782" t="s">
        <v>4062</v>
      </c>
      <c r="E1782" t="s">
        <v>5013</v>
      </c>
      <c r="F1782" t="s">
        <v>231</v>
      </c>
      <c r="G1782">
        <v>0.22</v>
      </c>
      <c r="H1782" s="2">
        <v>11906</v>
      </c>
      <c r="I1782" s="2">
        <v>2619.32</v>
      </c>
    </row>
    <row r="1783" spans="1:9" x14ac:dyDescent="0.25">
      <c r="A1783" t="s">
        <v>1003</v>
      </c>
      <c r="B1783" t="s">
        <v>1004</v>
      </c>
      <c r="C1783" t="s">
        <v>63</v>
      </c>
      <c r="D1783" t="s">
        <v>4049</v>
      </c>
      <c r="E1783" t="s">
        <v>4241</v>
      </c>
      <c r="F1783" t="s">
        <v>4051</v>
      </c>
      <c r="G1783">
        <v>4</v>
      </c>
      <c r="H1783" s="2">
        <v>9941.22</v>
      </c>
      <c r="I1783" s="2">
        <v>39764.88</v>
      </c>
    </row>
    <row r="1784" spans="1:9" x14ac:dyDescent="0.25">
      <c r="A1784" t="s">
        <v>1003</v>
      </c>
      <c r="B1784" t="s">
        <v>1004</v>
      </c>
      <c r="C1784" t="s">
        <v>63</v>
      </c>
      <c r="D1784" t="s">
        <v>4049</v>
      </c>
      <c r="E1784" t="s">
        <v>4242</v>
      </c>
      <c r="F1784" t="s">
        <v>4051</v>
      </c>
      <c r="G1784">
        <v>4</v>
      </c>
      <c r="H1784" s="2">
        <v>17069.53</v>
      </c>
      <c r="I1784" s="2">
        <v>68278.12</v>
      </c>
    </row>
    <row r="1785" spans="1:9" x14ac:dyDescent="0.25">
      <c r="A1785" t="s">
        <v>1003</v>
      </c>
      <c r="B1785" t="s">
        <v>1004</v>
      </c>
      <c r="C1785" t="s">
        <v>63</v>
      </c>
      <c r="D1785" t="s">
        <v>4052</v>
      </c>
      <c r="E1785" t="s">
        <v>4053</v>
      </c>
      <c r="F1785" t="s">
        <v>4054</v>
      </c>
      <c r="G1785">
        <v>3.3</v>
      </c>
      <c r="H1785" s="2">
        <v>108043</v>
      </c>
      <c r="I1785" s="2">
        <v>3565.42</v>
      </c>
    </row>
    <row r="1786" spans="1:9" x14ac:dyDescent="0.25">
      <c r="A1786" t="s">
        <v>1006</v>
      </c>
      <c r="B1786" t="s">
        <v>1007</v>
      </c>
      <c r="C1786" t="s">
        <v>63</v>
      </c>
      <c r="D1786" t="s">
        <v>4062</v>
      </c>
      <c r="E1786" t="s">
        <v>5016</v>
      </c>
      <c r="F1786" t="s">
        <v>63</v>
      </c>
      <c r="G1786">
        <v>1.05</v>
      </c>
      <c r="H1786" s="2">
        <v>126355</v>
      </c>
      <c r="I1786" s="2">
        <v>132672.75</v>
      </c>
    </row>
    <row r="1787" spans="1:9" x14ac:dyDescent="0.25">
      <c r="A1787" t="s">
        <v>1006</v>
      </c>
      <c r="B1787" t="s">
        <v>1007</v>
      </c>
      <c r="C1787" t="s">
        <v>63</v>
      </c>
      <c r="D1787" t="s">
        <v>4062</v>
      </c>
      <c r="E1787" t="s">
        <v>5017</v>
      </c>
      <c r="F1787" t="s">
        <v>42</v>
      </c>
      <c r="G1787">
        <v>3</v>
      </c>
      <c r="H1787" s="2">
        <v>26711</v>
      </c>
      <c r="I1787" s="2">
        <v>80133</v>
      </c>
    </row>
    <row r="1788" spans="1:9" x14ac:dyDescent="0.25">
      <c r="A1788" t="s">
        <v>1006</v>
      </c>
      <c r="B1788" t="s">
        <v>1007</v>
      </c>
      <c r="C1788" t="s">
        <v>63</v>
      </c>
      <c r="D1788" t="s">
        <v>4062</v>
      </c>
      <c r="E1788" t="s">
        <v>5018</v>
      </c>
      <c r="F1788" t="s">
        <v>63</v>
      </c>
      <c r="G1788">
        <v>1.5</v>
      </c>
      <c r="H1788" s="2">
        <v>19690.78</v>
      </c>
      <c r="I1788" s="2">
        <v>29536.17</v>
      </c>
    </row>
    <row r="1789" spans="1:9" x14ac:dyDescent="0.25">
      <c r="A1789" t="s">
        <v>1006</v>
      </c>
      <c r="B1789" t="s">
        <v>1007</v>
      </c>
      <c r="C1789" t="s">
        <v>63</v>
      </c>
      <c r="D1789" t="s">
        <v>4049</v>
      </c>
      <c r="E1789" t="s">
        <v>4241</v>
      </c>
      <c r="F1789" t="s">
        <v>4051</v>
      </c>
      <c r="G1789">
        <v>4</v>
      </c>
      <c r="H1789" s="2">
        <v>9941.22</v>
      </c>
      <c r="I1789" s="2">
        <v>39764.88</v>
      </c>
    </row>
    <row r="1790" spans="1:9" x14ac:dyDescent="0.25">
      <c r="A1790" t="s">
        <v>1006</v>
      </c>
      <c r="B1790" t="s">
        <v>1007</v>
      </c>
      <c r="C1790" t="s">
        <v>63</v>
      </c>
      <c r="D1790" t="s">
        <v>4049</v>
      </c>
      <c r="E1790" t="s">
        <v>4242</v>
      </c>
      <c r="F1790" t="s">
        <v>4051</v>
      </c>
      <c r="G1790">
        <v>4</v>
      </c>
      <c r="H1790" s="2">
        <v>17069.53</v>
      </c>
      <c r="I1790" s="2">
        <v>68278.12</v>
      </c>
    </row>
    <row r="1791" spans="1:9" x14ac:dyDescent="0.25">
      <c r="A1791" t="s">
        <v>1006</v>
      </c>
      <c r="B1791" t="s">
        <v>1007</v>
      </c>
      <c r="C1791" t="s">
        <v>63</v>
      </c>
      <c r="D1791" t="s">
        <v>4052</v>
      </c>
      <c r="E1791" t="s">
        <v>4053</v>
      </c>
      <c r="F1791" t="s">
        <v>4054</v>
      </c>
      <c r="G1791">
        <v>3.3</v>
      </c>
      <c r="H1791" s="2">
        <v>108043</v>
      </c>
      <c r="I1791" s="2">
        <v>3565.42</v>
      </c>
    </row>
    <row r="1792" spans="1:9" x14ac:dyDescent="0.25">
      <c r="A1792" t="s">
        <v>1009</v>
      </c>
      <c r="B1792" t="s">
        <v>1010</v>
      </c>
      <c r="C1792" t="s">
        <v>63</v>
      </c>
      <c r="D1792" t="s">
        <v>4062</v>
      </c>
      <c r="E1792" t="s">
        <v>4893</v>
      </c>
      <c r="F1792" t="s">
        <v>42</v>
      </c>
      <c r="G1792">
        <v>2</v>
      </c>
      <c r="H1792" s="2">
        <v>2293</v>
      </c>
      <c r="I1792" s="2">
        <v>4586</v>
      </c>
    </row>
    <row r="1793" spans="1:9" x14ac:dyDescent="0.25">
      <c r="A1793" t="s">
        <v>1009</v>
      </c>
      <c r="B1793" t="s">
        <v>1010</v>
      </c>
      <c r="C1793" t="s">
        <v>63</v>
      </c>
      <c r="D1793" t="s">
        <v>4062</v>
      </c>
      <c r="E1793" t="s">
        <v>4842</v>
      </c>
      <c r="F1793" t="s">
        <v>63</v>
      </c>
      <c r="G1793">
        <v>1</v>
      </c>
      <c r="H1793" s="2">
        <v>1951</v>
      </c>
      <c r="I1793" s="2">
        <v>1951</v>
      </c>
    </row>
    <row r="1794" spans="1:9" x14ac:dyDescent="0.25">
      <c r="A1794" t="s">
        <v>1009</v>
      </c>
      <c r="B1794" t="s">
        <v>1010</v>
      </c>
      <c r="C1794" t="s">
        <v>63</v>
      </c>
      <c r="D1794" t="s">
        <v>4062</v>
      </c>
      <c r="E1794" t="s">
        <v>4843</v>
      </c>
      <c r="F1794" t="s">
        <v>63</v>
      </c>
      <c r="G1794">
        <v>2</v>
      </c>
      <c r="H1794" s="2">
        <v>1163</v>
      </c>
      <c r="I1794" s="2">
        <v>2326</v>
      </c>
    </row>
    <row r="1795" spans="1:9" x14ac:dyDescent="0.25">
      <c r="A1795" t="s">
        <v>1009</v>
      </c>
      <c r="B1795" t="s">
        <v>1010</v>
      </c>
      <c r="C1795" t="s">
        <v>63</v>
      </c>
      <c r="D1795" t="s">
        <v>4062</v>
      </c>
      <c r="E1795" t="s">
        <v>4833</v>
      </c>
      <c r="F1795" t="s">
        <v>63</v>
      </c>
      <c r="G1795">
        <v>1</v>
      </c>
      <c r="H1795" s="2">
        <v>404</v>
      </c>
      <c r="I1795" s="2">
        <v>404</v>
      </c>
    </row>
    <row r="1796" spans="1:9" x14ac:dyDescent="0.25">
      <c r="A1796" t="s">
        <v>1009</v>
      </c>
      <c r="B1796" t="s">
        <v>1010</v>
      </c>
      <c r="C1796" t="s">
        <v>63</v>
      </c>
      <c r="D1796" t="s">
        <v>4062</v>
      </c>
      <c r="E1796" t="s">
        <v>4940</v>
      </c>
      <c r="F1796" t="s">
        <v>63</v>
      </c>
      <c r="G1796">
        <v>1</v>
      </c>
      <c r="H1796" s="2">
        <v>15600</v>
      </c>
      <c r="I1796" s="2">
        <v>15600</v>
      </c>
    </row>
    <row r="1797" spans="1:9" x14ac:dyDescent="0.25">
      <c r="A1797" t="s">
        <v>1009</v>
      </c>
      <c r="B1797" t="s">
        <v>1010</v>
      </c>
      <c r="C1797" t="s">
        <v>63</v>
      </c>
      <c r="D1797" t="s">
        <v>4062</v>
      </c>
      <c r="E1797" t="s">
        <v>4659</v>
      </c>
      <c r="F1797" t="s">
        <v>4377</v>
      </c>
      <c r="G1797">
        <v>0.01</v>
      </c>
      <c r="H1797" s="2">
        <v>31500</v>
      </c>
      <c r="I1797" s="2">
        <v>315</v>
      </c>
    </row>
    <row r="1798" spans="1:9" x14ac:dyDescent="0.25">
      <c r="A1798" t="s">
        <v>1009</v>
      </c>
      <c r="B1798" t="s">
        <v>1010</v>
      </c>
      <c r="C1798" t="s">
        <v>63</v>
      </c>
      <c r="D1798" t="s">
        <v>4062</v>
      </c>
      <c r="E1798" t="s">
        <v>4835</v>
      </c>
      <c r="F1798" t="s">
        <v>42</v>
      </c>
      <c r="G1798">
        <v>6</v>
      </c>
      <c r="H1798" s="2">
        <v>1854</v>
      </c>
      <c r="I1798" s="2">
        <v>11124</v>
      </c>
    </row>
    <row r="1799" spans="1:9" x14ac:dyDescent="0.25">
      <c r="A1799" t="s">
        <v>1009</v>
      </c>
      <c r="B1799" t="s">
        <v>1010</v>
      </c>
      <c r="C1799" t="s">
        <v>63</v>
      </c>
      <c r="D1799" t="s">
        <v>4062</v>
      </c>
      <c r="E1799" t="s">
        <v>4376</v>
      </c>
      <c r="F1799" t="s">
        <v>4377</v>
      </c>
      <c r="G1799">
        <v>0.01</v>
      </c>
      <c r="H1799" s="2">
        <v>72237.67</v>
      </c>
      <c r="I1799" s="2">
        <v>722.38</v>
      </c>
    </row>
    <row r="1800" spans="1:9" x14ac:dyDescent="0.25">
      <c r="A1800" t="s">
        <v>1009</v>
      </c>
      <c r="B1800" t="s">
        <v>1010</v>
      </c>
      <c r="C1800" t="s">
        <v>63</v>
      </c>
      <c r="D1800" t="s">
        <v>4049</v>
      </c>
      <c r="E1800" t="s">
        <v>4241</v>
      </c>
      <c r="F1800" t="s">
        <v>4051</v>
      </c>
      <c r="G1800">
        <v>2</v>
      </c>
      <c r="H1800" s="2">
        <v>9941.22</v>
      </c>
      <c r="I1800" s="2">
        <v>19882.44</v>
      </c>
    </row>
    <row r="1801" spans="1:9" x14ac:dyDescent="0.25">
      <c r="A1801" t="s">
        <v>1009</v>
      </c>
      <c r="B1801" t="s">
        <v>1010</v>
      </c>
      <c r="C1801" t="s">
        <v>63</v>
      </c>
      <c r="D1801" t="s">
        <v>4049</v>
      </c>
      <c r="E1801" t="s">
        <v>4242</v>
      </c>
      <c r="F1801" t="s">
        <v>4051</v>
      </c>
      <c r="G1801">
        <v>1</v>
      </c>
      <c r="H1801" s="2">
        <v>17069.53</v>
      </c>
      <c r="I1801" s="2">
        <v>17069.53</v>
      </c>
    </row>
    <row r="1802" spans="1:9" x14ac:dyDescent="0.25">
      <c r="A1802" t="s">
        <v>1009</v>
      </c>
      <c r="B1802" t="s">
        <v>1010</v>
      </c>
      <c r="C1802" t="s">
        <v>63</v>
      </c>
      <c r="D1802" t="s">
        <v>4052</v>
      </c>
      <c r="E1802" t="s">
        <v>4053</v>
      </c>
      <c r="F1802" t="s">
        <v>4054</v>
      </c>
      <c r="G1802">
        <v>5</v>
      </c>
      <c r="H1802" s="2">
        <v>36951.97</v>
      </c>
      <c r="I1802" s="2">
        <v>1847.6</v>
      </c>
    </row>
    <row r="1803" spans="1:9" x14ac:dyDescent="0.25">
      <c r="A1803" t="s">
        <v>1012</v>
      </c>
      <c r="B1803" t="s">
        <v>1013</v>
      </c>
      <c r="C1803" t="s">
        <v>63</v>
      </c>
      <c r="D1803" t="s">
        <v>4062</v>
      </c>
      <c r="E1803" t="s">
        <v>4893</v>
      </c>
      <c r="F1803" t="s">
        <v>42</v>
      </c>
      <c r="G1803">
        <v>2</v>
      </c>
      <c r="H1803" s="2">
        <v>2293</v>
      </c>
      <c r="I1803" s="2">
        <v>4586</v>
      </c>
    </row>
    <row r="1804" spans="1:9" x14ac:dyDescent="0.25">
      <c r="A1804" t="s">
        <v>1012</v>
      </c>
      <c r="B1804" t="s">
        <v>1013</v>
      </c>
      <c r="C1804" t="s">
        <v>63</v>
      </c>
      <c r="D1804" t="s">
        <v>4062</v>
      </c>
      <c r="E1804" t="s">
        <v>4842</v>
      </c>
      <c r="F1804" t="s">
        <v>63</v>
      </c>
      <c r="G1804">
        <v>1</v>
      </c>
      <c r="H1804" s="2">
        <v>1951</v>
      </c>
      <c r="I1804" s="2">
        <v>1951</v>
      </c>
    </row>
    <row r="1805" spans="1:9" x14ac:dyDescent="0.25">
      <c r="A1805" t="s">
        <v>1012</v>
      </c>
      <c r="B1805" t="s">
        <v>1013</v>
      </c>
      <c r="C1805" t="s">
        <v>63</v>
      </c>
      <c r="D1805" t="s">
        <v>4062</v>
      </c>
      <c r="E1805" t="s">
        <v>4843</v>
      </c>
      <c r="F1805" t="s">
        <v>63</v>
      </c>
      <c r="G1805">
        <v>2</v>
      </c>
      <c r="H1805" s="2">
        <v>1163</v>
      </c>
      <c r="I1805" s="2">
        <v>2326</v>
      </c>
    </row>
    <row r="1806" spans="1:9" x14ac:dyDescent="0.25">
      <c r="A1806" t="s">
        <v>1012</v>
      </c>
      <c r="B1806" t="s">
        <v>1013</v>
      </c>
      <c r="C1806" t="s">
        <v>63</v>
      </c>
      <c r="D1806" t="s">
        <v>4062</v>
      </c>
      <c r="E1806" t="s">
        <v>4833</v>
      </c>
      <c r="F1806" t="s">
        <v>63</v>
      </c>
      <c r="G1806">
        <v>1</v>
      </c>
      <c r="H1806" s="2">
        <v>404</v>
      </c>
      <c r="I1806" s="2">
        <v>404</v>
      </c>
    </row>
    <row r="1807" spans="1:9" x14ac:dyDescent="0.25">
      <c r="A1807" t="s">
        <v>1012</v>
      </c>
      <c r="B1807" t="s">
        <v>1013</v>
      </c>
      <c r="C1807" t="s">
        <v>63</v>
      </c>
      <c r="D1807" t="s">
        <v>4062</v>
      </c>
      <c r="E1807" t="s">
        <v>4858</v>
      </c>
      <c r="F1807" t="s">
        <v>63</v>
      </c>
      <c r="G1807">
        <v>1</v>
      </c>
      <c r="H1807" s="2">
        <v>11482</v>
      </c>
      <c r="I1807" s="2">
        <v>11482</v>
      </c>
    </row>
    <row r="1808" spans="1:9" x14ac:dyDescent="0.25">
      <c r="A1808" t="s">
        <v>1012</v>
      </c>
      <c r="B1808" t="s">
        <v>1013</v>
      </c>
      <c r="C1808" t="s">
        <v>63</v>
      </c>
      <c r="D1808" t="s">
        <v>4062</v>
      </c>
      <c r="E1808" t="s">
        <v>4659</v>
      </c>
      <c r="F1808" t="s">
        <v>4377</v>
      </c>
      <c r="G1808">
        <v>0.01</v>
      </c>
      <c r="H1808" s="2">
        <v>31500</v>
      </c>
      <c r="I1808" s="2">
        <v>315</v>
      </c>
    </row>
    <row r="1809" spans="1:9" x14ac:dyDescent="0.25">
      <c r="A1809" t="s">
        <v>1012</v>
      </c>
      <c r="B1809" t="s">
        <v>1013</v>
      </c>
      <c r="C1809" t="s">
        <v>63</v>
      </c>
      <c r="D1809" t="s">
        <v>4062</v>
      </c>
      <c r="E1809" t="s">
        <v>4835</v>
      </c>
      <c r="F1809" t="s">
        <v>42</v>
      </c>
      <c r="G1809">
        <v>6</v>
      </c>
      <c r="H1809" s="2">
        <v>1854</v>
      </c>
      <c r="I1809" s="2">
        <v>11124</v>
      </c>
    </row>
    <row r="1810" spans="1:9" x14ac:dyDescent="0.25">
      <c r="A1810" t="s">
        <v>1012</v>
      </c>
      <c r="B1810" t="s">
        <v>1013</v>
      </c>
      <c r="C1810" t="s">
        <v>63</v>
      </c>
      <c r="D1810" t="s">
        <v>4062</v>
      </c>
      <c r="E1810" t="s">
        <v>4376</v>
      </c>
      <c r="F1810" t="s">
        <v>4377</v>
      </c>
      <c r="G1810">
        <v>0.01</v>
      </c>
      <c r="H1810" s="2">
        <v>72237.67</v>
      </c>
      <c r="I1810" s="2">
        <v>722.38</v>
      </c>
    </row>
    <row r="1811" spans="1:9" x14ac:dyDescent="0.25">
      <c r="A1811" t="s">
        <v>1012</v>
      </c>
      <c r="B1811" t="s">
        <v>1013</v>
      </c>
      <c r="C1811" t="s">
        <v>63</v>
      </c>
      <c r="D1811" t="s">
        <v>4049</v>
      </c>
      <c r="E1811" t="s">
        <v>4241</v>
      </c>
      <c r="F1811" t="s">
        <v>4051</v>
      </c>
      <c r="G1811">
        <v>2</v>
      </c>
      <c r="H1811" s="2">
        <v>9941.22</v>
      </c>
      <c r="I1811" s="2">
        <v>19882.44</v>
      </c>
    </row>
    <row r="1812" spans="1:9" x14ac:dyDescent="0.25">
      <c r="A1812" t="s">
        <v>1012</v>
      </c>
      <c r="B1812" t="s">
        <v>1013</v>
      </c>
      <c r="C1812" t="s">
        <v>63</v>
      </c>
      <c r="D1812" t="s">
        <v>4049</v>
      </c>
      <c r="E1812" t="s">
        <v>4242</v>
      </c>
      <c r="F1812" t="s">
        <v>4051</v>
      </c>
      <c r="G1812">
        <v>1</v>
      </c>
      <c r="H1812" s="2">
        <v>17069.53</v>
      </c>
      <c r="I1812" s="2">
        <v>17069.53</v>
      </c>
    </row>
    <row r="1813" spans="1:9" x14ac:dyDescent="0.25">
      <c r="A1813" t="s">
        <v>1012</v>
      </c>
      <c r="B1813" t="s">
        <v>1013</v>
      </c>
      <c r="C1813" t="s">
        <v>63</v>
      </c>
      <c r="D1813" t="s">
        <v>4052</v>
      </c>
      <c r="E1813" t="s">
        <v>4053</v>
      </c>
      <c r="F1813" t="s">
        <v>4054</v>
      </c>
      <c r="G1813">
        <v>5</v>
      </c>
      <c r="H1813" s="2">
        <v>36951.97</v>
      </c>
      <c r="I1813" s="2">
        <v>1847.6</v>
      </c>
    </row>
    <row r="1814" spans="1:9" x14ac:dyDescent="0.25">
      <c r="A1814" t="s">
        <v>1014</v>
      </c>
      <c r="B1814" t="s">
        <v>1015</v>
      </c>
      <c r="C1814" t="s">
        <v>63</v>
      </c>
      <c r="D1814" t="s">
        <v>4062</v>
      </c>
      <c r="E1814" t="s">
        <v>4893</v>
      </c>
      <c r="F1814" t="s">
        <v>42</v>
      </c>
      <c r="G1814">
        <v>2</v>
      </c>
      <c r="H1814" s="2">
        <v>2293</v>
      </c>
      <c r="I1814" s="2">
        <v>4586</v>
      </c>
    </row>
    <row r="1815" spans="1:9" x14ac:dyDescent="0.25">
      <c r="A1815" t="s">
        <v>1014</v>
      </c>
      <c r="B1815" t="s">
        <v>1015</v>
      </c>
      <c r="C1815" t="s">
        <v>63</v>
      </c>
      <c r="D1815" t="s">
        <v>4062</v>
      </c>
      <c r="E1815" t="s">
        <v>4898</v>
      </c>
      <c r="F1815" t="s">
        <v>42</v>
      </c>
      <c r="G1815">
        <v>6</v>
      </c>
      <c r="H1815" s="2">
        <v>1844</v>
      </c>
      <c r="I1815" s="2">
        <v>11064</v>
      </c>
    </row>
    <row r="1816" spans="1:9" x14ac:dyDescent="0.25">
      <c r="A1816" t="s">
        <v>1014</v>
      </c>
      <c r="B1816" t="s">
        <v>1015</v>
      </c>
      <c r="C1816" t="s">
        <v>63</v>
      </c>
      <c r="D1816" t="s">
        <v>4062</v>
      </c>
      <c r="E1816" t="s">
        <v>4842</v>
      </c>
      <c r="F1816" t="s">
        <v>63</v>
      </c>
      <c r="G1816">
        <v>1</v>
      </c>
      <c r="H1816" s="2">
        <v>1951</v>
      </c>
      <c r="I1816" s="2">
        <v>1951</v>
      </c>
    </row>
    <row r="1817" spans="1:9" x14ac:dyDescent="0.25">
      <c r="A1817" t="s">
        <v>1014</v>
      </c>
      <c r="B1817" t="s">
        <v>1015</v>
      </c>
      <c r="C1817" t="s">
        <v>63</v>
      </c>
      <c r="D1817" t="s">
        <v>4062</v>
      </c>
      <c r="E1817" t="s">
        <v>4843</v>
      </c>
      <c r="F1817" t="s">
        <v>63</v>
      </c>
      <c r="G1817">
        <v>2</v>
      </c>
      <c r="H1817" s="2">
        <v>1163</v>
      </c>
      <c r="I1817" s="2">
        <v>2326</v>
      </c>
    </row>
    <row r="1818" spans="1:9" x14ac:dyDescent="0.25">
      <c r="A1818" t="s">
        <v>1014</v>
      </c>
      <c r="B1818" t="s">
        <v>1015</v>
      </c>
      <c r="C1818" t="s">
        <v>63</v>
      </c>
      <c r="D1818" t="s">
        <v>4062</v>
      </c>
      <c r="E1818" t="s">
        <v>4833</v>
      </c>
      <c r="F1818" t="s">
        <v>63</v>
      </c>
      <c r="G1818">
        <v>1</v>
      </c>
      <c r="H1818" s="2">
        <v>404</v>
      </c>
      <c r="I1818" s="2">
        <v>404</v>
      </c>
    </row>
    <row r="1819" spans="1:9" x14ac:dyDescent="0.25">
      <c r="A1819" t="s">
        <v>1014</v>
      </c>
      <c r="B1819" t="s">
        <v>1015</v>
      </c>
      <c r="C1819" t="s">
        <v>63</v>
      </c>
      <c r="D1819" t="s">
        <v>4062</v>
      </c>
      <c r="E1819" t="s">
        <v>4858</v>
      </c>
      <c r="F1819" t="s">
        <v>63</v>
      </c>
      <c r="G1819">
        <v>1</v>
      </c>
      <c r="H1819" s="2">
        <v>11482</v>
      </c>
      <c r="I1819" s="2">
        <v>11482</v>
      </c>
    </row>
    <row r="1820" spans="1:9" x14ac:dyDescent="0.25">
      <c r="A1820" t="s">
        <v>1014</v>
      </c>
      <c r="B1820" t="s">
        <v>1015</v>
      </c>
      <c r="C1820" t="s">
        <v>63</v>
      </c>
      <c r="D1820" t="s">
        <v>4062</v>
      </c>
      <c r="E1820" t="s">
        <v>4659</v>
      </c>
      <c r="F1820" t="s">
        <v>4377</v>
      </c>
      <c r="G1820">
        <v>0.01</v>
      </c>
      <c r="H1820" s="2">
        <v>31500</v>
      </c>
      <c r="I1820" s="2">
        <v>315</v>
      </c>
    </row>
    <row r="1821" spans="1:9" x14ac:dyDescent="0.25">
      <c r="A1821" t="s">
        <v>1014</v>
      </c>
      <c r="B1821" t="s">
        <v>1015</v>
      </c>
      <c r="C1821" t="s">
        <v>63</v>
      </c>
      <c r="D1821" t="s">
        <v>4062</v>
      </c>
      <c r="E1821" t="s">
        <v>4376</v>
      </c>
      <c r="F1821" t="s">
        <v>4377</v>
      </c>
      <c r="G1821">
        <v>0.01</v>
      </c>
      <c r="H1821" s="2">
        <v>72237.67</v>
      </c>
      <c r="I1821" s="2">
        <v>722.38</v>
      </c>
    </row>
    <row r="1822" spans="1:9" x14ac:dyDescent="0.25">
      <c r="A1822" t="s">
        <v>1014</v>
      </c>
      <c r="B1822" t="s">
        <v>1015</v>
      </c>
      <c r="C1822" t="s">
        <v>63</v>
      </c>
      <c r="D1822" t="s">
        <v>4049</v>
      </c>
      <c r="E1822" t="s">
        <v>4241</v>
      </c>
      <c r="F1822" t="s">
        <v>4051</v>
      </c>
      <c r="G1822">
        <v>2</v>
      </c>
      <c r="H1822" s="2">
        <v>9941.22</v>
      </c>
      <c r="I1822" s="2">
        <v>19882.44</v>
      </c>
    </row>
    <row r="1823" spans="1:9" x14ac:dyDescent="0.25">
      <c r="A1823" t="s">
        <v>1014</v>
      </c>
      <c r="B1823" t="s">
        <v>1015</v>
      </c>
      <c r="C1823" t="s">
        <v>63</v>
      </c>
      <c r="D1823" t="s">
        <v>4049</v>
      </c>
      <c r="E1823" t="s">
        <v>4242</v>
      </c>
      <c r="F1823" t="s">
        <v>4051</v>
      </c>
      <c r="G1823">
        <v>1</v>
      </c>
      <c r="H1823" s="2">
        <v>17069.53</v>
      </c>
      <c r="I1823" s="2">
        <v>17069.53</v>
      </c>
    </row>
    <row r="1824" spans="1:9" x14ac:dyDescent="0.25">
      <c r="A1824" t="s">
        <v>1014</v>
      </c>
      <c r="B1824" t="s">
        <v>1015</v>
      </c>
      <c r="C1824" t="s">
        <v>63</v>
      </c>
      <c r="D1824" t="s">
        <v>4052</v>
      </c>
      <c r="E1824" t="s">
        <v>4053</v>
      </c>
      <c r="F1824" t="s">
        <v>4054</v>
      </c>
      <c r="G1824">
        <v>5</v>
      </c>
      <c r="H1824" s="2">
        <v>36951.97</v>
      </c>
      <c r="I1824" s="2">
        <v>1847.6</v>
      </c>
    </row>
    <row r="1825" spans="1:9" x14ac:dyDescent="0.25">
      <c r="A1825" t="s">
        <v>1017</v>
      </c>
      <c r="B1825" t="s">
        <v>1018</v>
      </c>
      <c r="C1825" t="s">
        <v>63</v>
      </c>
      <c r="D1825" t="s">
        <v>4062</v>
      </c>
      <c r="E1825" t="s">
        <v>4893</v>
      </c>
      <c r="F1825" t="s">
        <v>42</v>
      </c>
      <c r="G1825">
        <v>2</v>
      </c>
      <c r="H1825" s="2">
        <v>2293</v>
      </c>
      <c r="I1825" s="2">
        <v>4586</v>
      </c>
    </row>
    <row r="1826" spans="1:9" x14ac:dyDescent="0.25">
      <c r="A1826" t="s">
        <v>1017</v>
      </c>
      <c r="B1826" t="s">
        <v>1018</v>
      </c>
      <c r="C1826" t="s">
        <v>63</v>
      </c>
      <c r="D1826" t="s">
        <v>4062</v>
      </c>
      <c r="E1826" t="s">
        <v>4898</v>
      </c>
      <c r="F1826" t="s">
        <v>42</v>
      </c>
      <c r="G1826">
        <v>6</v>
      </c>
      <c r="H1826" s="2">
        <v>1844</v>
      </c>
      <c r="I1826" s="2">
        <v>11064</v>
      </c>
    </row>
    <row r="1827" spans="1:9" x14ac:dyDescent="0.25">
      <c r="A1827" t="s">
        <v>1017</v>
      </c>
      <c r="B1827" t="s">
        <v>1018</v>
      </c>
      <c r="C1827" t="s">
        <v>63</v>
      </c>
      <c r="D1827" t="s">
        <v>4062</v>
      </c>
      <c r="E1827" t="s">
        <v>4842</v>
      </c>
      <c r="F1827" t="s">
        <v>63</v>
      </c>
      <c r="G1827">
        <v>1</v>
      </c>
      <c r="H1827" s="2">
        <v>1951</v>
      </c>
      <c r="I1827" s="2">
        <v>1951</v>
      </c>
    </row>
    <row r="1828" spans="1:9" x14ac:dyDescent="0.25">
      <c r="A1828" t="s">
        <v>1017</v>
      </c>
      <c r="B1828" t="s">
        <v>1018</v>
      </c>
      <c r="C1828" t="s">
        <v>63</v>
      </c>
      <c r="D1828" t="s">
        <v>4062</v>
      </c>
      <c r="E1828" t="s">
        <v>4843</v>
      </c>
      <c r="F1828" t="s">
        <v>63</v>
      </c>
      <c r="G1828">
        <v>2</v>
      </c>
      <c r="H1828" s="2">
        <v>1163</v>
      </c>
      <c r="I1828" s="2">
        <v>2326</v>
      </c>
    </row>
    <row r="1829" spans="1:9" x14ac:dyDescent="0.25">
      <c r="A1829" t="s">
        <v>1017</v>
      </c>
      <c r="B1829" t="s">
        <v>1018</v>
      </c>
      <c r="C1829" t="s">
        <v>63</v>
      </c>
      <c r="D1829" t="s">
        <v>4062</v>
      </c>
      <c r="E1829" t="s">
        <v>4833</v>
      </c>
      <c r="F1829" t="s">
        <v>63</v>
      </c>
      <c r="G1829">
        <v>1</v>
      </c>
      <c r="H1829" s="2">
        <v>404</v>
      </c>
      <c r="I1829" s="2">
        <v>404</v>
      </c>
    </row>
    <row r="1830" spans="1:9" x14ac:dyDescent="0.25">
      <c r="A1830" t="s">
        <v>1017</v>
      </c>
      <c r="B1830" t="s">
        <v>1018</v>
      </c>
      <c r="C1830" t="s">
        <v>63</v>
      </c>
      <c r="D1830" t="s">
        <v>4062</v>
      </c>
      <c r="E1830" t="s">
        <v>4940</v>
      </c>
      <c r="F1830" t="s">
        <v>63</v>
      </c>
      <c r="G1830">
        <v>1</v>
      </c>
      <c r="H1830" s="2">
        <v>15600</v>
      </c>
      <c r="I1830" s="2">
        <v>15600</v>
      </c>
    </row>
    <row r="1831" spans="1:9" x14ac:dyDescent="0.25">
      <c r="A1831" t="s">
        <v>1017</v>
      </c>
      <c r="B1831" t="s">
        <v>1018</v>
      </c>
      <c r="C1831" t="s">
        <v>63</v>
      </c>
      <c r="D1831" t="s">
        <v>4062</v>
      </c>
      <c r="E1831" t="s">
        <v>4659</v>
      </c>
      <c r="F1831" t="s">
        <v>4377</v>
      </c>
      <c r="G1831">
        <v>0.01</v>
      </c>
      <c r="H1831" s="2">
        <v>31500</v>
      </c>
      <c r="I1831" s="2">
        <v>315</v>
      </c>
    </row>
    <row r="1832" spans="1:9" x14ac:dyDescent="0.25">
      <c r="A1832" t="s">
        <v>1017</v>
      </c>
      <c r="B1832" t="s">
        <v>1018</v>
      </c>
      <c r="C1832" t="s">
        <v>63</v>
      </c>
      <c r="D1832" t="s">
        <v>4062</v>
      </c>
      <c r="E1832" t="s">
        <v>4376</v>
      </c>
      <c r="F1832" t="s">
        <v>4377</v>
      </c>
      <c r="G1832">
        <v>0.01</v>
      </c>
      <c r="H1832" s="2">
        <v>72237.67</v>
      </c>
      <c r="I1832" s="2">
        <v>722.38</v>
      </c>
    </row>
    <row r="1833" spans="1:9" x14ac:dyDescent="0.25">
      <c r="A1833" t="s">
        <v>1017</v>
      </c>
      <c r="B1833" t="s">
        <v>1018</v>
      </c>
      <c r="C1833" t="s">
        <v>63</v>
      </c>
      <c r="D1833" t="s">
        <v>4049</v>
      </c>
      <c r="E1833" t="s">
        <v>4241</v>
      </c>
      <c r="F1833" t="s">
        <v>4051</v>
      </c>
      <c r="G1833">
        <v>2</v>
      </c>
      <c r="H1833" s="2">
        <v>9941.22</v>
      </c>
      <c r="I1833" s="2">
        <v>19882.44</v>
      </c>
    </row>
    <row r="1834" spans="1:9" x14ac:dyDescent="0.25">
      <c r="A1834" t="s">
        <v>1017</v>
      </c>
      <c r="B1834" t="s">
        <v>1018</v>
      </c>
      <c r="C1834" t="s">
        <v>63</v>
      </c>
      <c r="D1834" t="s">
        <v>4049</v>
      </c>
      <c r="E1834" t="s">
        <v>4242</v>
      </c>
      <c r="F1834" t="s">
        <v>4051</v>
      </c>
      <c r="G1834">
        <v>1</v>
      </c>
      <c r="H1834" s="2">
        <v>17069.53</v>
      </c>
      <c r="I1834" s="2">
        <v>17069.53</v>
      </c>
    </row>
    <row r="1835" spans="1:9" x14ac:dyDescent="0.25">
      <c r="A1835" t="s">
        <v>1017</v>
      </c>
      <c r="B1835" t="s">
        <v>1018</v>
      </c>
      <c r="C1835" t="s">
        <v>63</v>
      </c>
      <c r="D1835" t="s">
        <v>4052</v>
      </c>
      <c r="E1835" t="s">
        <v>4053</v>
      </c>
      <c r="F1835" t="s">
        <v>4054</v>
      </c>
      <c r="G1835">
        <v>5</v>
      </c>
      <c r="H1835" s="2">
        <v>36951.97</v>
      </c>
      <c r="I1835" s="2">
        <v>1847.6</v>
      </c>
    </row>
    <row r="1836" spans="1:9" x14ac:dyDescent="0.25">
      <c r="A1836" t="s">
        <v>1019</v>
      </c>
      <c r="B1836" t="s">
        <v>1020</v>
      </c>
      <c r="C1836" t="s">
        <v>63</v>
      </c>
      <c r="D1836" t="s">
        <v>4062</v>
      </c>
      <c r="E1836" t="s">
        <v>4893</v>
      </c>
      <c r="F1836" t="s">
        <v>42</v>
      </c>
      <c r="G1836">
        <v>2</v>
      </c>
      <c r="H1836" s="2">
        <v>2293</v>
      </c>
      <c r="I1836" s="2">
        <v>4586</v>
      </c>
    </row>
    <row r="1837" spans="1:9" x14ac:dyDescent="0.25">
      <c r="A1837" t="s">
        <v>1019</v>
      </c>
      <c r="B1837" t="s">
        <v>1020</v>
      </c>
      <c r="C1837" t="s">
        <v>63</v>
      </c>
      <c r="D1837" t="s">
        <v>4062</v>
      </c>
      <c r="E1837" t="s">
        <v>4842</v>
      </c>
      <c r="F1837" t="s">
        <v>63</v>
      </c>
      <c r="G1837">
        <v>1</v>
      </c>
      <c r="H1837" s="2">
        <v>1951</v>
      </c>
      <c r="I1837" s="2">
        <v>1951</v>
      </c>
    </row>
    <row r="1838" spans="1:9" x14ac:dyDescent="0.25">
      <c r="A1838" t="s">
        <v>1019</v>
      </c>
      <c r="B1838" t="s">
        <v>1020</v>
      </c>
      <c r="C1838" t="s">
        <v>63</v>
      </c>
      <c r="D1838" t="s">
        <v>4062</v>
      </c>
      <c r="E1838" t="s">
        <v>4843</v>
      </c>
      <c r="F1838" t="s">
        <v>63</v>
      </c>
      <c r="G1838">
        <v>1</v>
      </c>
      <c r="H1838" s="2">
        <v>1163</v>
      </c>
      <c r="I1838" s="2">
        <v>1163</v>
      </c>
    </row>
    <row r="1839" spans="1:9" x14ac:dyDescent="0.25">
      <c r="A1839" t="s">
        <v>1019</v>
      </c>
      <c r="B1839" t="s">
        <v>1020</v>
      </c>
      <c r="C1839" t="s">
        <v>63</v>
      </c>
      <c r="D1839" t="s">
        <v>4062</v>
      </c>
      <c r="E1839" t="s">
        <v>4833</v>
      </c>
      <c r="F1839" t="s">
        <v>63</v>
      </c>
      <c r="G1839">
        <v>1</v>
      </c>
      <c r="H1839" s="2">
        <v>404</v>
      </c>
      <c r="I1839" s="2">
        <v>404</v>
      </c>
    </row>
    <row r="1840" spans="1:9" x14ac:dyDescent="0.25">
      <c r="A1840" t="s">
        <v>1019</v>
      </c>
      <c r="B1840" t="s">
        <v>1020</v>
      </c>
      <c r="C1840" t="s">
        <v>63</v>
      </c>
      <c r="D1840" t="s">
        <v>4062</v>
      </c>
      <c r="E1840" t="s">
        <v>4659</v>
      </c>
      <c r="F1840" t="s">
        <v>4377</v>
      </c>
      <c r="G1840">
        <v>0.01</v>
      </c>
      <c r="H1840" s="2">
        <v>31500</v>
      </c>
      <c r="I1840" s="2">
        <v>315</v>
      </c>
    </row>
    <row r="1841" spans="1:9" x14ac:dyDescent="0.25">
      <c r="A1841" t="s">
        <v>1019</v>
      </c>
      <c r="B1841" t="s">
        <v>1020</v>
      </c>
      <c r="C1841" t="s">
        <v>63</v>
      </c>
      <c r="D1841" t="s">
        <v>4062</v>
      </c>
      <c r="E1841" t="s">
        <v>4835</v>
      </c>
      <c r="F1841" t="s">
        <v>42</v>
      </c>
      <c r="G1841">
        <v>6</v>
      </c>
      <c r="H1841" s="2">
        <v>2850</v>
      </c>
      <c r="I1841" s="2">
        <v>17100</v>
      </c>
    </row>
    <row r="1842" spans="1:9" x14ac:dyDescent="0.25">
      <c r="A1842" t="s">
        <v>1019</v>
      </c>
      <c r="B1842" t="s">
        <v>1020</v>
      </c>
      <c r="C1842" t="s">
        <v>63</v>
      </c>
      <c r="D1842" t="s">
        <v>4062</v>
      </c>
      <c r="E1842" t="s">
        <v>4376</v>
      </c>
      <c r="F1842" t="s">
        <v>4377</v>
      </c>
      <c r="G1842">
        <v>0.01</v>
      </c>
      <c r="H1842" s="2">
        <v>72237.67</v>
      </c>
      <c r="I1842" s="2">
        <v>722.38</v>
      </c>
    </row>
    <row r="1843" spans="1:9" x14ac:dyDescent="0.25">
      <c r="A1843" t="s">
        <v>1019</v>
      </c>
      <c r="B1843" t="s">
        <v>1020</v>
      </c>
      <c r="C1843" t="s">
        <v>63</v>
      </c>
      <c r="D1843" t="s">
        <v>4049</v>
      </c>
      <c r="E1843" t="s">
        <v>4241</v>
      </c>
      <c r="F1843" t="s">
        <v>4051</v>
      </c>
      <c r="G1843">
        <v>3.5</v>
      </c>
      <c r="H1843" s="2">
        <v>9941.22</v>
      </c>
      <c r="I1843" s="2">
        <v>34794.27</v>
      </c>
    </row>
    <row r="1844" spans="1:9" x14ac:dyDescent="0.25">
      <c r="A1844" t="s">
        <v>1019</v>
      </c>
      <c r="B1844" t="s">
        <v>1020</v>
      </c>
      <c r="C1844" t="s">
        <v>63</v>
      </c>
      <c r="D1844" t="s">
        <v>4049</v>
      </c>
      <c r="E1844" t="s">
        <v>4242</v>
      </c>
      <c r="F1844" t="s">
        <v>4051</v>
      </c>
      <c r="G1844">
        <v>3.5</v>
      </c>
      <c r="H1844" s="2">
        <v>17069.53</v>
      </c>
      <c r="I1844" s="2">
        <v>59743.35</v>
      </c>
    </row>
    <row r="1845" spans="1:9" x14ac:dyDescent="0.25">
      <c r="A1845" t="s">
        <v>1019</v>
      </c>
      <c r="B1845" t="s">
        <v>1020</v>
      </c>
      <c r="C1845" t="s">
        <v>63</v>
      </c>
      <c r="D1845" t="s">
        <v>4052</v>
      </c>
      <c r="E1845" t="s">
        <v>4053</v>
      </c>
      <c r="F1845" t="s">
        <v>4054</v>
      </c>
      <c r="G1845">
        <v>5</v>
      </c>
      <c r="H1845" s="2">
        <v>94537.62</v>
      </c>
      <c r="I1845" s="2">
        <v>4726.88</v>
      </c>
    </row>
    <row r="1846" spans="1:9" x14ac:dyDescent="0.25">
      <c r="A1846" t="s">
        <v>1022</v>
      </c>
      <c r="B1846" t="s">
        <v>1023</v>
      </c>
      <c r="C1846" t="s">
        <v>63</v>
      </c>
      <c r="D1846" t="s">
        <v>4062</v>
      </c>
      <c r="E1846" t="s">
        <v>4893</v>
      </c>
      <c r="F1846" t="s">
        <v>42</v>
      </c>
      <c r="G1846">
        <v>2</v>
      </c>
      <c r="H1846" s="2">
        <v>2293</v>
      </c>
      <c r="I1846" s="2">
        <v>4586</v>
      </c>
    </row>
    <row r="1847" spans="1:9" x14ac:dyDescent="0.25">
      <c r="A1847" t="s">
        <v>1022</v>
      </c>
      <c r="B1847" t="s">
        <v>1023</v>
      </c>
      <c r="C1847" t="s">
        <v>63</v>
      </c>
      <c r="D1847" t="s">
        <v>4062</v>
      </c>
      <c r="E1847" t="s">
        <v>4898</v>
      </c>
      <c r="F1847" t="s">
        <v>42</v>
      </c>
      <c r="G1847">
        <v>6</v>
      </c>
      <c r="H1847" s="2">
        <v>1844</v>
      </c>
      <c r="I1847" s="2">
        <v>11064</v>
      </c>
    </row>
    <row r="1848" spans="1:9" x14ac:dyDescent="0.25">
      <c r="A1848" t="s">
        <v>1022</v>
      </c>
      <c r="B1848" t="s">
        <v>1023</v>
      </c>
      <c r="C1848" t="s">
        <v>63</v>
      </c>
      <c r="D1848" t="s">
        <v>4062</v>
      </c>
      <c r="E1848" t="s">
        <v>4852</v>
      </c>
      <c r="F1848" t="s">
        <v>63</v>
      </c>
      <c r="G1848">
        <v>1</v>
      </c>
      <c r="H1848" s="2">
        <v>1980</v>
      </c>
      <c r="I1848" s="2">
        <v>1980</v>
      </c>
    </row>
    <row r="1849" spans="1:9" x14ac:dyDescent="0.25">
      <c r="A1849" t="s">
        <v>1022</v>
      </c>
      <c r="B1849" t="s">
        <v>1023</v>
      </c>
      <c r="C1849" t="s">
        <v>63</v>
      </c>
      <c r="D1849" t="s">
        <v>4062</v>
      </c>
      <c r="E1849" t="s">
        <v>4843</v>
      </c>
      <c r="F1849" t="s">
        <v>63</v>
      </c>
      <c r="G1849">
        <v>1</v>
      </c>
      <c r="H1849" s="2">
        <v>1163</v>
      </c>
      <c r="I1849" s="2">
        <v>1163</v>
      </c>
    </row>
    <row r="1850" spans="1:9" x14ac:dyDescent="0.25">
      <c r="A1850" t="s">
        <v>1022</v>
      </c>
      <c r="B1850" t="s">
        <v>1023</v>
      </c>
      <c r="C1850" t="s">
        <v>63</v>
      </c>
      <c r="D1850" t="s">
        <v>4062</v>
      </c>
      <c r="E1850" t="s">
        <v>4833</v>
      </c>
      <c r="F1850" t="s">
        <v>63</v>
      </c>
      <c r="G1850">
        <v>1</v>
      </c>
      <c r="H1850" s="2">
        <v>404</v>
      </c>
      <c r="I1850" s="2">
        <v>404</v>
      </c>
    </row>
    <row r="1851" spans="1:9" x14ac:dyDescent="0.25">
      <c r="A1851" t="s">
        <v>1022</v>
      </c>
      <c r="B1851" t="s">
        <v>1023</v>
      </c>
      <c r="C1851" t="s">
        <v>63</v>
      </c>
      <c r="D1851" t="s">
        <v>4062</v>
      </c>
      <c r="E1851" t="s">
        <v>4659</v>
      </c>
      <c r="F1851" t="s">
        <v>4377</v>
      </c>
      <c r="G1851">
        <v>0.01</v>
      </c>
      <c r="H1851" s="2">
        <v>31500</v>
      </c>
      <c r="I1851" s="2">
        <v>315</v>
      </c>
    </row>
    <row r="1852" spans="1:9" x14ac:dyDescent="0.25">
      <c r="A1852" t="s">
        <v>1022</v>
      </c>
      <c r="B1852" t="s">
        <v>1023</v>
      </c>
      <c r="C1852" t="s">
        <v>63</v>
      </c>
      <c r="D1852" t="s">
        <v>4062</v>
      </c>
      <c r="E1852" t="s">
        <v>4376</v>
      </c>
      <c r="F1852" t="s">
        <v>4377</v>
      </c>
      <c r="G1852">
        <v>0.01</v>
      </c>
      <c r="H1852" s="2">
        <v>72237.67</v>
      </c>
      <c r="I1852" s="2">
        <v>722.38</v>
      </c>
    </row>
    <row r="1853" spans="1:9" x14ac:dyDescent="0.25">
      <c r="A1853" t="s">
        <v>1022</v>
      </c>
      <c r="B1853" t="s">
        <v>1023</v>
      </c>
      <c r="C1853" t="s">
        <v>63</v>
      </c>
      <c r="D1853" t="s">
        <v>4049</v>
      </c>
      <c r="E1853" t="s">
        <v>4241</v>
      </c>
      <c r="F1853" t="s">
        <v>4051</v>
      </c>
      <c r="G1853">
        <v>3.5</v>
      </c>
      <c r="H1853" s="2">
        <v>9941.22</v>
      </c>
      <c r="I1853" s="2">
        <v>34794.27</v>
      </c>
    </row>
    <row r="1854" spans="1:9" x14ac:dyDescent="0.25">
      <c r="A1854" t="s">
        <v>1022</v>
      </c>
      <c r="B1854" t="s">
        <v>1023</v>
      </c>
      <c r="C1854" t="s">
        <v>63</v>
      </c>
      <c r="D1854" t="s">
        <v>4049</v>
      </c>
      <c r="E1854" t="s">
        <v>4242</v>
      </c>
      <c r="F1854" t="s">
        <v>4051</v>
      </c>
      <c r="G1854">
        <v>3.5</v>
      </c>
      <c r="H1854" s="2">
        <v>17069.53</v>
      </c>
      <c r="I1854" s="2">
        <v>59743.35</v>
      </c>
    </row>
    <row r="1855" spans="1:9" x14ac:dyDescent="0.25">
      <c r="A1855" t="s">
        <v>1022</v>
      </c>
      <c r="B1855" t="s">
        <v>1023</v>
      </c>
      <c r="C1855" t="s">
        <v>63</v>
      </c>
      <c r="D1855" t="s">
        <v>4052</v>
      </c>
      <c r="E1855" t="s">
        <v>4053</v>
      </c>
      <c r="F1855" t="s">
        <v>4054</v>
      </c>
      <c r="G1855">
        <v>5</v>
      </c>
      <c r="H1855" s="2">
        <v>94537.62</v>
      </c>
      <c r="I1855" s="2">
        <v>4726.88</v>
      </c>
    </row>
    <row r="1856" spans="1:9" x14ac:dyDescent="0.25">
      <c r="A1856" t="s">
        <v>1025</v>
      </c>
      <c r="B1856" t="s">
        <v>1027</v>
      </c>
      <c r="C1856" t="s">
        <v>63</v>
      </c>
      <c r="D1856" t="s">
        <v>4062</v>
      </c>
      <c r="E1856" t="s">
        <v>5033</v>
      </c>
      <c r="F1856" t="s">
        <v>63</v>
      </c>
      <c r="G1856">
        <v>0.4</v>
      </c>
      <c r="H1856" s="2">
        <v>988.67</v>
      </c>
      <c r="I1856" s="2">
        <v>395.47</v>
      </c>
    </row>
    <row r="1857" spans="1:9" x14ac:dyDescent="0.25">
      <c r="A1857" t="s">
        <v>1025</v>
      </c>
      <c r="B1857" t="s">
        <v>1027</v>
      </c>
      <c r="C1857" t="s">
        <v>63</v>
      </c>
      <c r="D1857" t="s">
        <v>4062</v>
      </c>
      <c r="E1857" t="s">
        <v>5034</v>
      </c>
      <c r="F1857" t="s">
        <v>4066</v>
      </c>
      <c r="G1857">
        <v>0.04</v>
      </c>
      <c r="H1857" s="2">
        <v>12487.64</v>
      </c>
      <c r="I1857" s="2">
        <v>499.51</v>
      </c>
    </row>
    <row r="1858" spans="1:9" x14ac:dyDescent="0.25">
      <c r="A1858" t="s">
        <v>1025</v>
      </c>
      <c r="B1858" t="s">
        <v>1027</v>
      </c>
      <c r="C1858" t="s">
        <v>63</v>
      </c>
      <c r="D1858" t="s">
        <v>4062</v>
      </c>
      <c r="E1858" t="s">
        <v>5035</v>
      </c>
      <c r="F1858" t="s">
        <v>4066</v>
      </c>
      <c r="G1858">
        <v>0.02</v>
      </c>
      <c r="H1858" s="2">
        <v>133730.14</v>
      </c>
      <c r="I1858" s="2">
        <v>2674.6</v>
      </c>
    </row>
    <row r="1859" spans="1:9" x14ac:dyDescent="0.25">
      <c r="A1859" t="s">
        <v>1025</v>
      </c>
      <c r="B1859" t="s">
        <v>1027</v>
      </c>
      <c r="C1859" t="s">
        <v>63</v>
      </c>
      <c r="D1859" t="s">
        <v>4049</v>
      </c>
      <c r="E1859" t="s">
        <v>4241</v>
      </c>
      <c r="F1859" t="s">
        <v>4051</v>
      </c>
      <c r="G1859">
        <v>0.08</v>
      </c>
      <c r="H1859" s="2">
        <v>9941.22</v>
      </c>
      <c r="I1859" s="2">
        <v>795.3</v>
      </c>
    </row>
    <row r="1860" spans="1:9" x14ac:dyDescent="0.25">
      <c r="A1860" t="s">
        <v>1025</v>
      </c>
      <c r="B1860" t="s">
        <v>1027</v>
      </c>
      <c r="C1860" t="s">
        <v>63</v>
      </c>
      <c r="D1860" t="s">
        <v>4049</v>
      </c>
      <c r="E1860" t="s">
        <v>4242</v>
      </c>
      <c r="F1860" t="s">
        <v>4051</v>
      </c>
      <c r="G1860">
        <v>0.08</v>
      </c>
      <c r="H1860" s="2">
        <v>17069.53</v>
      </c>
      <c r="I1860" s="2">
        <v>1365.56</v>
      </c>
    </row>
    <row r="1861" spans="1:9" x14ac:dyDescent="0.25">
      <c r="A1861" t="s">
        <v>1025</v>
      </c>
      <c r="B1861" t="s">
        <v>1027</v>
      </c>
      <c r="C1861" t="s">
        <v>63</v>
      </c>
      <c r="D1861" t="s">
        <v>4052</v>
      </c>
      <c r="E1861" t="s">
        <v>4053</v>
      </c>
      <c r="F1861" t="s">
        <v>4054</v>
      </c>
      <c r="G1861">
        <v>3.3</v>
      </c>
      <c r="H1861" s="2">
        <v>2160.86</v>
      </c>
      <c r="I1861" s="2">
        <v>71.31</v>
      </c>
    </row>
    <row r="1862" spans="1:9" x14ac:dyDescent="0.25">
      <c r="A1862" t="s">
        <v>1029</v>
      </c>
      <c r="B1862" t="s">
        <v>1030</v>
      </c>
      <c r="C1862" t="s">
        <v>63</v>
      </c>
      <c r="D1862" t="s">
        <v>4062</v>
      </c>
      <c r="E1862" t="s">
        <v>4691</v>
      </c>
      <c r="F1862" t="s">
        <v>4532</v>
      </c>
      <c r="G1862">
        <v>0.01</v>
      </c>
      <c r="H1862" s="2">
        <v>748</v>
      </c>
      <c r="I1862" s="2">
        <v>7.48</v>
      </c>
    </row>
    <row r="1863" spans="1:9" x14ac:dyDescent="0.25">
      <c r="A1863" t="s">
        <v>1029</v>
      </c>
      <c r="B1863" t="s">
        <v>1030</v>
      </c>
      <c r="C1863" t="s">
        <v>63</v>
      </c>
      <c r="D1863" t="s">
        <v>4062</v>
      </c>
      <c r="E1863" t="s">
        <v>4713</v>
      </c>
      <c r="F1863" t="s">
        <v>63</v>
      </c>
      <c r="G1863">
        <v>0.4</v>
      </c>
      <c r="H1863" s="2">
        <v>1647</v>
      </c>
      <c r="I1863" s="2">
        <v>658.8</v>
      </c>
    </row>
    <row r="1864" spans="1:9" x14ac:dyDescent="0.25">
      <c r="A1864" t="s">
        <v>1029</v>
      </c>
      <c r="B1864" t="s">
        <v>1030</v>
      </c>
      <c r="C1864" t="s">
        <v>63</v>
      </c>
      <c r="D1864" t="s">
        <v>4062</v>
      </c>
      <c r="E1864" t="s">
        <v>5038</v>
      </c>
      <c r="F1864" t="s">
        <v>63</v>
      </c>
      <c r="G1864">
        <v>0.04</v>
      </c>
      <c r="H1864" s="2">
        <v>24845</v>
      </c>
      <c r="I1864" s="2">
        <v>993.8</v>
      </c>
    </row>
    <row r="1865" spans="1:9" x14ac:dyDescent="0.25">
      <c r="A1865" t="s">
        <v>1029</v>
      </c>
      <c r="B1865" t="s">
        <v>1030</v>
      </c>
      <c r="C1865" t="s">
        <v>63</v>
      </c>
      <c r="D1865" t="s">
        <v>4049</v>
      </c>
      <c r="E1865" t="s">
        <v>4241</v>
      </c>
      <c r="F1865" t="s">
        <v>4051</v>
      </c>
      <c r="G1865">
        <v>0.13</v>
      </c>
      <c r="H1865" s="2">
        <v>9941.22</v>
      </c>
      <c r="I1865" s="2">
        <v>1292.36</v>
      </c>
    </row>
    <row r="1866" spans="1:9" x14ac:dyDescent="0.25">
      <c r="A1866" t="s">
        <v>1029</v>
      </c>
      <c r="B1866" t="s">
        <v>1030</v>
      </c>
      <c r="C1866" t="s">
        <v>63</v>
      </c>
      <c r="D1866" t="s">
        <v>4049</v>
      </c>
      <c r="E1866" t="s">
        <v>4242</v>
      </c>
      <c r="F1866" t="s">
        <v>4051</v>
      </c>
      <c r="G1866">
        <v>0.13</v>
      </c>
      <c r="H1866" s="2">
        <v>17069.53</v>
      </c>
      <c r="I1866" s="2">
        <v>2219.04</v>
      </c>
    </row>
    <row r="1867" spans="1:9" x14ac:dyDescent="0.25">
      <c r="A1867" t="s">
        <v>1029</v>
      </c>
      <c r="B1867" t="s">
        <v>1030</v>
      </c>
      <c r="C1867" t="s">
        <v>63</v>
      </c>
      <c r="D1867" t="s">
        <v>4052</v>
      </c>
      <c r="E1867" t="s">
        <v>4053</v>
      </c>
      <c r="F1867" t="s">
        <v>4054</v>
      </c>
      <c r="G1867">
        <v>3.3</v>
      </c>
      <c r="H1867" s="2">
        <v>3511.4</v>
      </c>
      <c r="I1867" s="2">
        <v>115.88</v>
      </c>
    </row>
    <row r="1868" spans="1:9" x14ac:dyDescent="0.25">
      <c r="A1868" t="s">
        <v>1032</v>
      </c>
      <c r="B1868" t="s">
        <v>1033</v>
      </c>
      <c r="C1868" t="s">
        <v>42</v>
      </c>
      <c r="D1868" t="s">
        <v>4062</v>
      </c>
      <c r="E1868" t="s">
        <v>5041</v>
      </c>
      <c r="F1868" t="s">
        <v>42</v>
      </c>
      <c r="G1868">
        <v>1</v>
      </c>
      <c r="H1868" s="2">
        <v>11024.44</v>
      </c>
      <c r="I1868" s="2">
        <v>11024.44</v>
      </c>
    </row>
    <row r="1869" spans="1:9" x14ac:dyDescent="0.25">
      <c r="A1869" t="s">
        <v>1032</v>
      </c>
      <c r="B1869" t="s">
        <v>1033</v>
      </c>
      <c r="C1869" t="s">
        <v>42</v>
      </c>
      <c r="D1869" t="s">
        <v>4062</v>
      </c>
      <c r="E1869" t="s">
        <v>5042</v>
      </c>
      <c r="F1869" t="s">
        <v>63</v>
      </c>
      <c r="G1869">
        <v>0.6</v>
      </c>
      <c r="H1869" s="2">
        <v>833</v>
      </c>
      <c r="I1869" s="2">
        <v>499.8</v>
      </c>
    </row>
    <row r="1870" spans="1:9" x14ac:dyDescent="0.25">
      <c r="A1870" t="s">
        <v>1032</v>
      </c>
      <c r="B1870" t="s">
        <v>1033</v>
      </c>
      <c r="C1870" t="s">
        <v>42</v>
      </c>
      <c r="D1870" t="s">
        <v>4062</v>
      </c>
      <c r="E1870" t="s">
        <v>5038</v>
      </c>
      <c r="F1870" t="s">
        <v>63</v>
      </c>
      <c r="G1870">
        <v>0.08</v>
      </c>
      <c r="H1870" s="2">
        <v>24845</v>
      </c>
      <c r="I1870" s="2">
        <v>1987.6</v>
      </c>
    </row>
    <row r="1871" spans="1:9" x14ac:dyDescent="0.25">
      <c r="A1871" t="s">
        <v>1032</v>
      </c>
      <c r="B1871" t="s">
        <v>1033</v>
      </c>
      <c r="C1871" t="s">
        <v>42</v>
      </c>
      <c r="D1871" t="s">
        <v>4049</v>
      </c>
      <c r="E1871" t="s">
        <v>4241</v>
      </c>
      <c r="F1871" t="s">
        <v>4051</v>
      </c>
      <c r="G1871">
        <v>0.08</v>
      </c>
      <c r="H1871" s="2">
        <v>9941.22</v>
      </c>
      <c r="I1871" s="2">
        <v>795.3</v>
      </c>
    </row>
    <row r="1872" spans="1:9" x14ac:dyDescent="0.25">
      <c r="A1872" t="s">
        <v>1032</v>
      </c>
      <c r="B1872" t="s">
        <v>1033</v>
      </c>
      <c r="C1872" t="s">
        <v>42</v>
      </c>
      <c r="D1872" t="s">
        <v>4049</v>
      </c>
      <c r="E1872" t="s">
        <v>4242</v>
      </c>
      <c r="F1872" t="s">
        <v>4051</v>
      </c>
      <c r="G1872">
        <v>0.08</v>
      </c>
      <c r="H1872" s="2">
        <v>17069.53</v>
      </c>
      <c r="I1872" s="2">
        <v>1365.56</v>
      </c>
    </row>
    <row r="1873" spans="1:9" x14ac:dyDescent="0.25">
      <c r="A1873" t="s">
        <v>1032</v>
      </c>
      <c r="B1873" t="s">
        <v>1033</v>
      </c>
      <c r="C1873" t="s">
        <v>42</v>
      </c>
      <c r="D1873" t="s">
        <v>4052</v>
      </c>
      <c r="E1873" t="s">
        <v>4053</v>
      </c>
      <c r="F1873" t="s">
        <v>4054</v>
      </c>
      <c r="G1873">
        <v>3.3</v>
      </c>
      <c r="H1873" s="2">
        <v>2160.86</v>
      </c>
      <c r="I1873" s="2">
        <v>71.31</v>
      </c>
    </row>
    <row r="1874" spans="1:9" x14ac:dyDescent="0.25">
      <c r="A1874" t="s">
        <v>1036</v>
      </c>
      <c r="B1874" t="s">
        <v>1037</v>
      </c>
      <c r="C1874" t="s">
        <v>42</v>
      </c>
      <c r="D1874" t="s">
        <v>4062</v>
      </c>
      <c r="E1874" t="s">
        <v>5045</v>
      </c>
      <c r="F1874" t="s">
        <v>42</v>
      </c>
      <c r="G1874">
        <v>1</v>
      </c>
      <c r="H1874" s="2">
        <v>14875</v>
      </c>
      <c r="I1874" s="2">
        <v>14875</v>
      </c>
    </row>
    <row r="1875" spans="1:9" x14ac:dyDescent="0.25">
      <c r="A1875" t="s">
        <v>1036</v>
      </c>
      <c r="B1875" t="s">
        <v>1037</v>
      </c>
      <c r="C1875" t="s">
        <v>42</v>
      </c>
      <c r="D1875" t="s">
        <v>4062</v>
      </c>
      <c r="E1875" t="s">
        <v>5042</v>
      </c>
      <c r="F1875" t="s">
        <v>63</v>
      </c>
      <c r="G1875">
        <v>0.6</v>
      </c>
      <c r="H1875" s="2">
        <v>833</v>
      </c>
      <c r="I1875" s="2">
        <v>499.8</v>
      </c>
    </row>
    <row r="1876" spans="1:9" x14ac:dyDescent="0.25">
      <c r="A1876" t="s">
        <v>1036</v>
      </c>
      <c r="B1876" t="s">
        <v>1037</v>
      </c>
      <c r="C1876" t="s">
        <v>42</v>
      </c>
      <c r="D1876" t="s">
        <v>4062</v>
      </c>
      <c r="E1876" t="s">
        <v>5034</v>
      </c>
      <c r="F1876" t="s">
        <v>4066</v>
      </c>
      <c r="G1876">
        <v>0.04</v>
      </c>
      <c r="H1876" s="2">
        <v>12487.64</v>
      </c>
      <c r="I1876" s="2">
        <v>499.51</v>
      </c>
    </row>
    <row r="1877" spans="1:9" x14ac:dyDescent="0.25">
      <c r="A1877" t="s">
        <v>1036</v>
      </c>
      <c r="B1877" t="s">
        <v>1037</v>
      </c>
      <c r="C1877" t="s">
        <v>42</v>
      </c>
      <c r="D1877" t="s">
        <v>4062</v>
      </c>
      <c r="E1877" t="s">
        <v>5035</v>
      </c>
      <c r="F1877" t="s">
        <v>4066</v>
      </c>
      <c r="G1877">
        <v>0.02</v>
      </c>
      <c r="H1877" s="2">
        <v>133730.14</v>
      </c>
      <c r="I1877" s="2">
        <v>2674.6</v>
      </c>
    </row>
    <row r="1878" spans="1:9" x14ac:dyDescent="0.25">
      <c r="A1878" t="s">
        <v>1036</v>
      </c>
      <c r="B1878" t="s">
        <v>1037</v>
      </c>
      <c r="C1878" t="s">
        <v>42</v>
      </c>
      <c r="D1878" t="s">
        <v>4049</v>
      </c>
      <c r="E1878" t="s">
        <v>4241</v>
      </c>
      <c r="F1878" t="s">
        <v>4051</v>
      </c>
      <c r="G1878">
        <v>0.08</v>
      </c>
      <c r="H1878" s="2">
        <v>9941.22</v>
      </c>
      <c r="I1878" s="2">
        <v>795.3</v>
      </c>
    </row>
    <row r="1879" spans="1:9" x14ac:dyDescent="0.25">
      <c r="A1879" t="s">
        <v>1036</v>
      </c>
      <c r="B1879" t="s">
        <v>1037</v>
      </c>
      <c r="C1879" t="s">
        <v>42</v>
      </c>
      <c r="D1879" t="s">
        <v>4049</v>
      </c>
      <c r="E1879" t="s">
        <v>4242</v>
      </c>
      <c r="F1879" t="s">
        <v>4051</v>
      </c>
      <c r="G1879">
        <v>0.08</v>
      </c>
      <c r="H1879" s="2">
        <v>17069.53</v>
      </c>
      <c r="I1879" s="2">
        <v>1365.56</v>
      </c>
    </row>
    <row r="1880" spans="1:9" x14ac:dyDescent="0.25">
      <c r="A1880" t="s">
        <v>1036</v>
      </c>
      <c r="B1880" t="s">
        <v>1037</v>
      </c>
      <c r="C1880" t="s">
        <v>42</v>
      </c>
      <c r="D1880" t="s">
        <v>4052</v>
      </c>
      <c r="E1880" t="s">
        <v>4053</v>
      </c>
      <c r="F1880" t="s">
        <v>4054</v>
      </c>
      <c r="G1880">
        <v>3.3</v>
      </c>
      <c r="H1880" s="2">
        <v>2160.86</v>
      </c>
      <c r="I1880" s="2">
        <v>71.31</v>
      </c>
    </row>
    <row r="1881" spans="1:9" x14ac:dyDescent="0.25">
      <c r="A1881" t="s">
        <v>1039</v>
      </c>
      <c r="B1881" t="s">
        <v>1040</v>
      </c>
      <c r="C1881" t="s">
        <v>63</v>
      </c>
      <c r="D1881" t="s">
        <v>4062</v>
      </c>
      <c r="E1881" t="s">
        <v>5048</v>
      </c>
      <c r="F1881" t="s">
        <v>63</v>
      </c>
      <c r="G1881">
        <v>1</v>
      </c>
      <c r="H1881" s="2">
        <v>8350</v>
      </c>
      <c r="I1881" s="2">
        <v>8350</v>
      </c>
    </row>
    <row r="1882" spans="1:9" x14ac:dyDescent="0.25">
      <c r="A1882" t="s">
        <v>1039</v>
      </c>
      <c r="B1882" t="s">
        <v>1040</v>
      </c>
      <c r="C1882" t="s">
        <v>63</v>
      </c>
      <c r="D1882" t="s">
        <v>4062</v>
      </c>
      <c r="E1882" t="s">
        <v>5038</v>
      </c>
      <c r="F1882" t="s">
        <v>63</v>
      </c>
      <c r="G1882">
        <v>0.15</v>
      </c>
      <c r="H1882" s="2">
        <v>24845</v>
      </c>
      <c r="I1882" s="2">
        <v>3726.75</v>
      </c>
    </row>
    <row r="1883" spans="1:9" x14ac:dyDescent="0.25">
      <c r="A1883" t="s">
        <v>1039</v>
      </c>
      <c r="B1883" t="s">
        <v>1040</v>
      </c>
      <c r="C1883" t="s">
        <v>63</v>
      </c>
      <c r="D1883" t="s">
        <v>4049</v>
      </c>
      <c r="E1883" t="s">
        <v>4241</v>
      </c>
      <c r="F1883" t="s">
        <v>4051</v>
      </c>
      <c r="G1883">
        <v>0.08</v>
      </c>
      <c r="H1883" s="2">
        <v>9941.22</v>
      </c>
      <c r="I1883" s="2">
        <v>795.3</v>
      </c>
    </row>
    <row r="1884" spans="1:9" x14ac:dyDescent="0.25">
      <c r="A1884" t="s">
        <v>1039</v>
      </c>
      <c r="B1884" t="s">
        <v>1040</v>
      </c>
      <c r="C1884" t="s">
        <v>63</v>
      </c>
      <c r="D1884" t="s">
        <v>4049</v>
      </c>
      <c r="E1884" t="s">
        <v>4242</v>
      </c>
      <c r="F1884" t="s">
        <v>4051</v>
      </c>
      <c r="G1884">
        <v>0.08</v>
      </c>
      <c r="H1884" s="2">
        <v>17069.53</v>
      </c>
      <c r="I1884" s="2">
        <v>1365.56</v>
      </c>
    </row>
    <row r="1885" spans="1:9" x14ac:dyDescent="0.25">
      <c r="A1885" t="s">
        <v>1039</v>
      </c>
      <c r="B1885" t="s">
        <v>1040</v>
      </c>
      <c r="C1885" t="s">
        <v>63</v>
      </c>
      <c r="D1885" t="s">
        <v>4052</v>
      </c>
      <c r="E1885" t="s">
        <v>4053</v>
      </c>
      <c r="F1885" t="s">
        <v>4054</v>
      </c>
      <c r="G1885">
        <v>3.3</v>
      </c>
      <c r="H1885" s="2">
        <v>2160.86</v>
      </c>
      <c r="I1885" s="2">
        <v>71.31</v>
      </c>
    </row>
    <row r="1886" spans="1:9" x14ac:dyDescent="0.25">
      <c r="A1886" t="s">
        <v>1042</v>
      </c>
      <c r="B1886" t="s">
        <v>1043</v>
      </c>
      <c r="C1886" t="s">
        <v>63</v>
      </c>
      <c r="D1886" t="s">
        <v>4062</v>
      </c>
      <c r="E1886" t="s">
        <v>5051</v>
      </c>
      <c r="F1886" t="s">
        <v>63</v>
      </c>
      <c r="G1886">
        <v>1</v>
      </c>
      <c r="H1886" s="2">
        <v>1451</v>
      </c>
      <c r="I1886" s="2">
        <v>1451</v>
      </c>
    </row>
    <row r="1887" spans="1:9" x14ac:dyDescent="0.25">
      <c r="A1887" t="s">
        <v>1042</v>
      </c>
      <c r="B1887" t="s">
        <v>1043</v>
      </c>
      <c r="C1887" t="s">
        <v>63</v>
      </c>
      <c r="D1887" t="s">
        <v>4062</v>
      </c>
      <c r="E1887" t="s">
        <v>5034</v>
      </c>
      <c r="F1887" t="s">
        <v>4066</v>
      </c>
      <c r="G1887">
        <v>0.04</v>
      </c>
      <c r="H1887" s="2">
        <v>12487.64</v>
      </c>
      <c r="I1887" s="2">
        <v>499.51</v>
      </c>
    </row>
    <row r="1888" spans="1:9" x14ac:dyDescent="0.25">
      <c r="A1888" t="s">
        <v>1042</v>
      </c>
      <c r="B1888" t="s">
        <v>1043</v>
      </c>
      <c r="C1888" t="s">
        <v>63</v>
      </c>
      <c r="D1888" t="s">
        <v>4062</v>
      </c>
      <c r="E1888" t="s">
        <v>5035</v>
      </c>
      <c r="F1888" t="s">
        <v>4066</v>
      </c>
      <c r="G1888">
        <v>0.02</v>
      </c>
      <c r="H1888" s="2">
        <v>133730.14</v>
      </c>
      <c r="I1888" s="2">
        <v>2674.6</v>
      </c>
    </row>
    <row r="1889" spans="1:9" x14ac:dyDescent="0.25">
      <c r="A1889" t="s">
        <v>1042</v>
      </c>
      <c r="B1889" t="s">
        <v>1043</v>
      </c>
      <c r="C1889" t="s">
        <v>63</v>
      </c>
      <c r="D1889" t="s">
        <v>4049</v>
      </c>
      <c r="E1889" t="s">
        <v>4241</v>
      </c>
      <c r="F1889" t="s">
        <v>4051</v>
      </c>
      <c r="G1889">
        <v>0.08</v>
      </c>
      <c r="H1889" s="2">
        <v>9941.22</v>
      </c>
      <c r="I1889" s="2">
        <v>795.3</v>
      </c>
    </row>
    <row r="1890" spans="1:9" x14ac:dyDescent="0.25">
      <c r="A1890" t="s">
        <v>1042</v>
      </c>
      <c r="B1890" t="s">
        <v>1043</v>
      </c>
      <c r="C1890" t="s">
        <v>63</v>
      </c>
      <c r="D1890" t="s">
        <v>4049</v>
      </c>
      <c r="E1890" t="s">
        <v>4242</v>
      </c>
      <c r="F1890" t="s">
        <v>4051</v>
      </c>
      <c r="G1890">
        <v>0.08</v>
      </c>
      <c r="H1890" s="2">
        <v>17069.53</v>
      </c>
      <c r="I1890" s="2">
        <v>1365.56</v>
      </c>
    </row>
    <row r="1891" spans="1:9" x14ac:dyDescent="0.25">
      <c r="A1891" t="s">
        <v>1042</v>
      </c>
      <c r="B1891" t="s">
        <v>1043</v>
      </c>
      <c r="C1891" t="s">
        <v>63</v>
      </c>
      <c r="D1891" t="s">
        <v>4052</v>
      </c>
      <c r="E1891" t="s">
        <v>4053</v>
      </c>
      <c r="F1891" t="s">
        <v>4054</v>
      </c>
      <c r="G1891">
        <v>3.3</v>
      </c>
      <c r="H1891" s="2">
        <v>2160.86</v>
      </c>
      <c r="I1891" s="2">
        <v>71.31</v>
      </c>
    </row>
    <row r="1892" spans="1:9" x14ac:dyDescent="0.25">
      <c r="A1892" t="s">
        <v>1045</v>
      </c>
      <c r="B1892" t="s">
        <v>1046</v>
      </c>
      <c r="C1892" t="s">
        <v>63</v>
      </c>
      <c r="D1892" t="s">
        <v>4062</v>
      </c>
      <c r="E1892" t="s">
        <v>5054</v>
      </c>
      <c r="F1892" t="s">
        <v>63</v>
      </c>
      <c r="G1892">
        <v>1</v>
      </c>
      <c r="H1892" s="2">
        <v>1235</v>
      </c>
      <c r="I1892" s="2">
        <v>1235</v>
      </c>
    </row>
    <row r="1893" spans="1:9" x14ac:dyDescent="0.25">
      <c r="A1893" t="s">
        <v>1045</v>
      </c>
      <c r="B1893" t="s">
        <v>1046</v>
      </c>
      <c r="C1893" t="s">
        <v>63</v>
      </c>
      <c r="D1893" t="s">
        <v>4062</v>
      </c>
      <c r="E1893" t="s">
        <v>4691</v>
      </c>
      <c r="F1893" t="s">
        <v>4532</v>
      </c>
      <c r="G1893">
        <v>0.01</v>
      </c>
      <c r="H1893" s="2">
        <v>748</v>
      </c>
      <c r="I1893" s="2">
        <v>7.48</v>
      </c>
    </row>
    <row r="1894" spans="1:9" x14ac:dyDescent="0.25">
      <c r="A1894" t="s">
        <v>1045</v>
      </c>
      <c r="B1894" t="s">
        <v>1046</v>
      </c>
      <c r="C1894" t="s">
        <v>63</v>
      </c>
      <c r="D1894" t="s">
        <v>4062</v>
      </c>
      <c r="E1894" t="s">
        <v>5038</v>
      </c>
      <c r="F1894" t="s">
        <v>63</v>
      </c>
      <c r="G1894">
        <v>0.04</v>
      </c>
      <c r="H1894" s="2">
        <v>24845</v>
      </c>
      <c r="I1894" s="2">
        <v>993.8</v>
      </c>
    </row>
    <row r="1895" spans="1:9" x14ac:dyDescent="0.25">
      <c r="A1895" t="s">
        <v>1045</v>
      </c>
      <c r="B1895" t="s">
        <v>1046</v>
      </c>
      <c r="C1895" t="s">
        <v>63</v>
      </c>
      <c r="D1895" t="s">
        <v>4049</v>
      </c>
      <c r="E1895" t="s">
        <v>4241</v>
      </c>
      <c r="F1895" t="s">
        <v>4051</v>
      </c>
      <c r="G1895">
        <v>0.13</v>
      </c>
      <c r="H1895" s="2">
        <v>9941.22</v>
      </c>
      <c r="I1895" s="2">
        <v>1292.36</v>
      </c>
    </row>
    <row r="1896" spans="1:9" x14ac:dyDescent="0.25">
      <c r="A1896" t="s">
        <v>1045</v>
      </c>
      <c r="B1896" t="s">
        <v>1046</v>
      </c>
      <c r="C1896" t="s">
        <v>63</v>
      </c>
      <c r="D1896" t="s">
        <v>4049</v>
      </c>
      <c r="E1896" t="s">
        <v>4242</v>
      </c>
      <c r="F1896" t="s">
        <v>4051</v>
      </c>
      <c r="G1896">
        <v>0.13</v>
      </c>
      <c r="H1896" s="2">
        <v>17069.53</v>
      </c>
      <c r="I1896" s="2">
        <v>2219.04</v>
      </c>
    </row>
    <row r="1897" spans="1:9" x14ac:dyDescent="0.25">
      <c r="A1897" t="s">
        <v>1045</v>
      </c>
      <c r="B1897" t="s">
        <v>1046</v>
      </c>
      <c r="C1897" t="s">
        <v>63</v>
      </c>
      <c r="D1897" t="s">
        <v>4052</v>
      </c>
      <c r="E1897" t="s">
        <v>4053</v>
      </c>
      <c r="F1897" t="s">
        <v>4054</v>
      </c>
      <c r="G1897">
        <v>3.3</v>
      </c>
      <c r="H1897" s="2">
        <v>3511.4</v>
      </c>
      <c r="I1897" s="2">
        <v>115.88</v>
      </c>
    </row>
    <row r="1898" spans="1:9" x14ac:dyDescent="0.25">
      <c r="A1898" t="s">
        <v>1048</v>
      </c>
      <c r="B1898" t="s">
        <v>1049</v>
      </c>
      <c r="C1898" t="s">
        <v>63</v>
      </c>
      <c r="D1898" t="s">
        <v>4062</v>
      </c>
      <c r="E1898" t="s">
        <v>5057</v>
      </c>
      <c r="F1898" t="s">
        <v>63</v>
      </c>
      <c r="G1898">
        <v>1</v>
      </c>
      <c r="H1898" s="2">
        <v>1000</v>
      </c>
      <c r="I1898" s="2">
        <v>1000</v>
      </c>
    </row>
    <row r="1899" spans="1:9" x14ac:dyDescent="0.25">
      <c r="A1899" t="s">
        <v>1048</v>
      </c>
      <c r="B1899" t="s">
        <v>1049</v>
      </c>
      <c r="C1899" t="s">
        <v>63</v>
      </c>
      <c r="D1899" t="s">
        <v>4062</v>
      </c>
      <c r="E1899" t="s">
        <v>5034</v>
      </c>
      <c r="F1899" t="s">
        <v>4066</v>
      </c>
      <c r="G1899">
        <v>0.04</v>
      </c>
      <c r="H1899" s="2">
        <v>12487.64</v>
      </c>
      <c r="I1899" s="2">
        <v>499.51</v>
      </c>
    </row>
    <row r="1900" spans="1:9" x14ac:dyDescent="0.25">
      <c r="A1900" t="s">
        <v>1048</v>
      </c>
      <c r="B1900" t="s">
        <v>1049</v>
      </c>
      <c r="C1900" t="s">
        <v>63</v>
      </c>
      <c r="D1900" t="s">
        <v>4062</v>
      </c>
      <c r="E1900" t="s">
        <v>5035</v>
      </c>
      <c r="F1900" t="s">
        <v>4066</v>
      </c>
      <c r="G1900">
        <v>0.02</v>
      </c>
      <c r="H1900" s="2">
        <v>133730.14</v>
      </c>
      <c r="I1900" s="2">
        <v>2674.6</v>
      </c>
    </row>
    <row r="1901" spans="1:9" x14ac:dyDescent="0.25">
      <c r="A1901" t="s">
        <v>1048</v>
      </c>
      <c r="B1901" t="s">
        <v>1049</v>
      </c>
      <c r="C1901" t="s">
        <v>63</v>
      </c>
      <c r="D1901" t="s">
        <v>4049</v>
      </c>
      <c r="E1901" t="s">
        <v>4241</v>
      </c>
      <c r="F1901" t="s">
        <v>4051</v>
      </c>
      <c r="G1901">
        <v>0.08</v>
      </c>
      <c r="H1901" s="2">
        <v>9941.22</v>
      </c>
      <c r="I1901" s="2">
        <v>795.3</v>
      </c>
    </row>
    <row r="1902" spans="1:9" x14ac:dyDescent="0.25">
      <c r="A1902" t="s">
        <v>1048</v>
      </c>
      <c r="B1902" t="s">
        <v>1049</v>
      </c>
      <c r="C1902" t="s">
        <v>63</v>
      </c>
      <c r="D1902" t="s">
        <v>4049</v>
      </c>
      <c r="E1902" t="s">
        <v>4242</v>
      </c>
      <c r="F1902" t="s">
        <v>4051</v>
      </c>
      <c r="G1902">
        <v>0.08</v>
      </c>
      <c r="H1902" s="2">
        <v>17069.53</v>
      </c>
      <c r="I1902" s="2">
        <v>1365.56</v>
      </c>
    </row>
    <row r="1903" spans="1:9" x14ac:dyDescent="0.25">
      <c r="A1903" t="s">
        <v>1048</v>
      </c>
      <c r="B1903" t="s">
        <v>1049</v>
      </c>
      <c r="C1903" t="s">
        <v>63</v>
      </c>
      <c r="D1903" t="s">
        <v>4052</v>
      </c>
      <c r="E1903" t="s">
        <v>4053</v>
      </c>
      <c r="F1903" t="s">
        <v>4054</v>
      </c>
      <c r="G1903">
        <v>3.3</v>
      </c>
      <c r="H1903" s="2">
        <v>2160.86</v>
      </c>
      <c r="I1903" s="2">
        <v>71.31</v>
      </c>
    </row>
    <row r="1904" spans="1:9" x14ac:dyDescent="0.25">
      <c r="A1904" t="s">
        <v>1051</v>
      </c>
      <c r="B1904" t="s">
        <v>1052</v>
      </c>
      <c r="C1904" t="s">
        <v>63</v>
      </c>
      <c r="D1904" t="s">
        <v>4062</v>
      </c>
      <c r="E1904" t="s">
        <v>5060</v>
      </c>
      <c r="F1904" t="s">
        <v>63</v>
      </c>
      <c r="G1904">
        <v>1</v>
      </c>
      <c r="H1904" s="2">
        <v>2166.67</v>
      </c>
      <c r="I1904" s="2">
        <v>2166.67</v>
      </c>
    </row>
    <row r="1905" spans="1:9" x14ac:dyDescent="0.25">
      <c r="A1905" t="s">
        <v>1051</v>
      </c>
      <c r="B1905" t="s">
        <v>1052</v>
      </c>
      <c r="C1905" t="s">
        <v>63</v>
      </c>
      <c r="D1905" t="s">
        <v>4062</v>
      </c>
      <c r="E1905" t="s">
        <v>4691</v>
      </c>
      <c r="F1905" t="s">
        <v>4532</v>
      </c>
      <c r="G1905">
        <v>0.01</v>
      </c>
      <c r="H1905" s="2">
        <v>748</v>
      </c>
      <c r="I1905" s="2">
        <v>7.48</v>
      </c>
    </row>
    <row r="1906" spans="1:9" x14ac:dyDescent="0.25">
      <c r="A1906" t="s">
        <v>1051</v>
      </c>
      <c r="B1906" t="s">
        <v>1052</v>
      </c>
      <c r="C1906" t="s">
        <v>63</v>
      </c>
      <c r="D1906" t="s">
        <v>4062</v>
      </c>
      <c r="E1906" t="s">
        <v>5038</v>
      </c>
      <c r="F1906" t="s">
        <v>63</v>
      </c>
      <c r="G1906">
        <v>0.04</v>
      </c>
      <c r="H1906" s="2">
        <v>24845</v>
      </c>
      <c r="I1906" s="2">
        <v>993.8</v>
      </c>
    </row>
    <row r="1907" spans="1:9" x14ac:dyDescent="0.25">
      <c r="A1907" t="s">
        <v>1051</v>
      </c>
      <c r="B1907" t="s">
        <v>1052</v>
      </c>
      <c r="C1907" t="s">
        <v>63</v>
      </c>
      <c r="D1907" t="s">
        <v>4049</v>
      </c>
      <c r="E1907" t="s">
        <v>4241</v>
      </c>
      <c r="F1907" t="s">
        <v>4051</v>
      </c>
      <c r="G1907">
        <v>0.13</v>
      </c>
      <c r="H1907" s="2">
        <v>9941.22</v>
      </c>
      <c r="I1907" s="2">
        <v>1292.36</v>
      </c>
    </row>
    <row r="1908" spans="1:9" x14ac:dyDescent="0.25">
      <c r="A1908" t="s">
        <v>1051</v>
      </c>
      <c r="B1908" t="s">
        <v>1052</v>
      </c>
      <c r="C1908" t="s">
        <v>63</v>
      </c>
      <c r="D1908" t="s">
        <v>4049</v>
      </c>
      <c r="E1908" t="s">
        <v>4242</v>
      </c>
      <c r="F1908" t="s">
        <v>4051</v>
      </c>
      <c r="G1908">
        <v>0.13</v>
      </c>
      <c r="H1908" s="2">
        <v>17069.53</v>
      </c>
      <c r="I1908" s="2">
        <v>2219.04</v>
      </c>
    </row>
    <row r="1909" spans="1:9" x14ac:dyDescent="0.25">
      <c r="A1909" t="s">
        <v>1051</v>
      </c>
      <c r="B1909" t="s">
        <v>1052</v>
      </c>
      <c r="C1909" t="s">
        <v>63</v>
      </c>
      <c r="D1909" t="s">
        <v>4052</v>
      </c>
      <c r="E1909" t="s">
        <v>4053</v>
      </c>
      <c r="F1909" t="s">
        <v>4054</v>
      </c>
      <c r="G1909">
        <v>3.3</v>
      </c>
      <c r="H1909" s="2">
        <v>3511.4</v>
      </c>
      <c r="I1909" s="2">
        <v>115.88</v>
      </c>
    </row>
    <row r="1910" spans="1:9" x14ac:dyDescent="0.25">
      <c r="A1910" t="s">
        <v>1054</v>
      </c>
      <c r="B1910" t="s">
        <v>1056</v>
      </c>
      <c r="C1910" t="s">
        <v>21</v>
      </c>
      <c r="D1910" t="s">
        <v>4062</v>
      </c>
      <c r="E1910" t="s">
        <v>1056</v>
      </c>
      <c r="F1910" t="s">
        <v>231</v>
      </c>
      <c r="G1910">
        <v>0.6</v>
      </c>
      <c r="H1910" s="2">
        <v>97911.73</v>
      </c>
      <c r="I1910" s="2">
        <v>58747.04</v>
      </c>
    </row>
    <row r="1911" spans="1:9" x14ac:dyDescent="0.25">
      <c r="A1911" t="s">
        <v>1054</v>
      </c>
      <c r="B1911" t="s">
        <v>1056</v>
      </c>
      <c r="C1911" t="s">
        <v>21</v>
      </c>
      <c r="D1911" t="s">
        <v>4049</v>
      </c>
      <c r="E1911" t="s">
        <v>4050</v>
      </c>
      <c r="F1911" t="s">
        <v>4051</v>
      </c>
      <c r="G1911">
        <v>0.2</v>
      </c>
      <c r="H1911" s="2">
        <v>9037.33</v>
      </c>
      <c r="I1911" s="2">
        <v>1807.47</v>
      </c>
    </row>
    <row r="1912" spans="1:9" x14ac:dyDescent="0.25">
      <c r="A1912" t="s">
        <v>1054</v>
      </c>
      <c r="B1912" t="s">
        <v>1056</v>
      </c>
      <c r="C1912" t="s">
        <v>21</v>
      </c>
      <c r="D1912" t="s">
        <v>4049</v>
      </c>
      <c r="E1912" t="s">
        <v>4073</v>
      </c>
      <c r="F1912" t="s">
        <v>4051</v>
      </c>
      <c r="G1912">
        <v>0.15</v>
      </c>
      <c r="H1912" s="2">
        <v>15517.89</v>
      </c>
      <c r="I1912" s="2">
        <v>2327.68</v>
      </c>
    </row>
    <row r="1913" spans="1:9" x14ac:dyDescent="0.25">
      <c r="A1913" t="s">
        <v>1054</v>
      </c>
      <c r="B1913" t="s">
        <v>1056</v>
      </c>
      <c r="C1913" t="s">
        <v>21</v>
      </c>
      <c r="D1913" t="s">
        <v>4052</v>
      </c>
      <c r="E1913" t="s">
        <v>4053</v>
      </c>
      <c r="F1913" t="s">
        <v>4054</v>
      </c>
      <c r="G1913">
        <v>5.6</v>
      </c>
      <c r="H1913" s="2">
        <v>4135.15</v>
      </c>
      <c r="I1913" s="2">
        <v>231.57</v>
      </c>
    </row>
    <row r="1914" spans="1:9" x14ac:dyDescent="0.25">
      <c r="A1914" t="s">
        <v>1059</v>
      </c>
      <c r="B1914" t="s">
        <v>1060</v>
      </c>
      <c r="C1914" t="s">
        <v>21</v>
      </c>
      <c r="D1914" t="s">
        <v>4062</v>
      </c>
      <c r="E1914" t="s">
        <v>4542</v>
      </c>
      <c r="F1914" t="s">
        <v>231</v>
      </c>
      <c r="G1914">
        <v>2.25</v>
      </c>
      <c r="H1914" s="2">
        <v>910</v>
      </c>
      <c r="I1914" s="2">
        <v>2047.5</v>
      </c>
    </row>
    <row r="1915" spans="1:9" x14ac:dyDescent="0.25">
      <c r="A1915" t="s">
        <v>1059</v>
      </c>
      <c r="B1915" t="s">
        <v>1060</v>
      </c>
      <c r="C1915" t="s">
        <v>21</v>
      </c>
      <c r="D1915" t="s">
        <v>4062</v>
      </c>
      <c r="E1915" t="s">
        <v>4076</v>
      </c>
      <c r="F1915" t="s">
        <v>3963</v>
      </c>
      <c r="G1915">
        <v>1</v>
      </c>
      <c r="H1915" s="2">
        <v>21</v>
      </c>
      <c r="I1915" s="2">
        <v>21</v>
      </c>
    </row>
    <row r="1916" spans="1:9" x14ac:dyDescent="0.25">
      <c r="A1916" t="s">
        <v>1059</v>
      </c>
      <c r="B1916" t="s">
        <v>1060</v>
      </c>
      <c r="C1916" t="s">
        <v>21</v>
      </c>
      <c r="D1916" t="s">
        <v>4049</v>
      </c>
      <c r="E1916" t="s">
        <v>5067</v>
      </c>
      <c r="F1916" t="s">
        <v>4051</v>
      </c>
      <c r="G1916">
        <v>0.21</v>
      </c>
      <c r="H1916" s="2">
        <v>10392.41</v>
      </c>
      <c r="I1916" s="2">
        <v>2182.41</v>
      </c>
    </row>
    <row r="1917" spans="1:9" x14ac:dyDescent="0.25">
      <c r="A1917" t="s">
        <v>1059</v>
      </c>
      <c r="B1917" t="s">
        <v>1060</v>
      </c>
      <c r="C1917" t="s">
        <v>21</v>
      </c>
      <c r="D1917" t="s">
        <v>4049</v>
      </c>
      <c r="E1917" t="s">
        <v>5068</v>
      </c>
      <c r="F1917" t="s">
        <v>4051</v>
      </c>
      <c r="G1917">
        <v>0.21</v>
      </c>
      <c r="H1917" s="2">
        <v>17845.35</v>
      </c>
      <c r="I1917" s="2">
        <v>3747.52</v>
      </c>
    </row>
    <row r="1918" spans="1:9" x14ac:dyDescent="0.25">
      <c r="A1918" t="s">
        <v>1059</v>
      </c>
      <c r="B1918" t="s">
        <v>1060</v>
      </c>
      <c r="C1918" t="s">
        <v>21</v>
      </c>
      <c r="D1918" t="s">
        <v>4052</v>
      </c>
      <c r="E1918" t="s">
        <v>4105</v>
      </c>
      <c r="F1918" t="s">
        <v>4106</v>
      </c>
      <c r="G1918">
        <v>0.11</v>
      </c>
      <c r="H1918" s="2">
        <v>25125</v>
      </c>
      <c r="I1918" s="2">
        <v>2763.75</v>
      </c>
    </row>
    <row r="1919" spans="1:9" x14ac:dyDescent="0.25">
      <c r="A1919" t="s">
        <v>1059</v>
      </c>
      <c r="B1919" t="s">
        <v>1060</v>
      </c>
      <c r="C1919" t="s">
        <v>21</v>
      </c>
      <c r="D1919" t="s">
        <v>4052</v>
      </c>
      <c r="E1919" t="s">
        <v>4053</v>
      </c>
      <c r="F1919" t="s">
        <v>4054</v>
      </c>
      <c r="G1919">
        <v>12</v>
      </c>
      <c r="H1919" s="2">
        <v>5929.93</v>
      </c>
      <c r="I1919" s="2">
        <v>711.59</v>
      </c>
    </row>
    <row r="1920" spans="1:9" x14ac:dyDescent="0.25">
      <c r="A1920" t="s">
        <v>1062</v>
      </c>
      <c r="B1920" t="s">
        <v>1063</v>
      </c>
      <c r="C1920" t="s">
        <v>21</v>
      </c>
      <c r="D1920" t="s">
        <v>4062</v>
      </c>
      <c r="E1920" t="s">
        <v>4542</v>
      </c>
      <c r="F1920" t="s">
        <v>231</v>
      </c>
      <c r="G1920">
        <v>1.75</v>
      </c>
      <c r="H1920" s="2">
        <v>910</v>
      </c>
      <c r="I1920" s="2">
        <v>1592.5</v>
      </c>
    </row>
    <row r="1921" spans="1:9" x14ac:dyDescent="0.25">
      <c r="A1921" t="s">
        <v>1062</v>
      </c>
      <c r="B1921" t="s">
        <v>1063</v>
      </c>
      <c r="C1921" t="s">
        <v>21</v>
      </c>
      <c r="D1921" t="s">
        <v>4062</v>
      </c>
      <c r="E1921" t="s">
        <v>4076</v>
      </c>
      <c r="F1921" t="s">
        <v>3963</v>
      </c>
      <c r="G1921">
        <v>0.5</v>
      </c>
      <c r="H1921" s="2">
        <v>21</v>
      </c>
      <c r="I1921" s="2">
        <v>10.5</v>
      </c>
    </row>
    <row r="1922" spans="1:9" x14ac:dyDescent="0.25">
      <c r="A1922" t="s">
        <v>1062</v>
      </c>
      <c r="B1922" t="s">
        <v>1063</v>
      </c>
      <c r="C1922" t="s">
        <v>21</v>
      </c>
      <c r="D1922" t="s">
        <v>4049</v>
      </c>
      <c r="E1922" t="s">
        <v>5067</v>
      </c>
      <c r="F1922" t="s">
        <v>4051</v>
      </c>
      <c r="G1922">
        <v>0.19</v>
      </c>
      <c r="H1922" s="2">
        <v>10392.41</v>
      </c>
      <c r="I1922" s="2">
        <v>1974.56</v>
      </c>
    </row>
    <row r="1923" spans="1:9" x14ac:dyDescent="0.25">
      <c r="A1923" t="s">
        <v>1062</v>
      </c>
      <c r="B1923" t="s">
        <v>1063</v>
      </c>
      <c r="C1923" t="s">
        <v>21</v>
      </c>
      <c r="D1923" t="s">
        <v>4049</v>
      </c>
      <c r="E1923" t="s">
        <v>5068</v>
      </c>
      <c r="F1923" t="s">
        <v>4051</v>
      </c>
      <c r="G1923">
        <v>0.19</v>
      </c>
      <c r="H1923" s="2">
        <v>17845.35</v>
      </c>
      <c r="I1923" s="2">
        <v>3390.62</v>
      </c>
    </row>
    <row r="1924" spans="1:9" x14ac:dyDescent="0.25">
      <c r="A1924" t="s">
        <v>1062</v>
      </c>
      <c r="B1924" t="s">
        <v>1063</v>
      </c>
      <c r="C1924" t="s">
        <v>21</v>
      </c>
      <c r="D1924" t="s">
        <v>4052</v>
      </c>
      <c r="E1924" t="s">
        <v>4053</v>
      </c>
      <c r="F1924" t="s">
        <v>4054</v>
      </c>
      <c r="G1924">
        <v>12</v>
      </c>
      <c r="H1924" s="2">
        <v>5365.18</v>
      </c>
      <c r="I1924" s="2">
        <v>643.82</v>
      </c>
    </row>
    <row r="1925" spans="1:9" x14ac:dyDescent="0.25">
      <c r="A1925" t="s">
        <v>1065</v>
      </c>
      <c r="B1925" t="s">
        <v>1066</v>
      </c>
      <c r="C1925" t="s">
        <v>42</v>
      </c>
      <c r="D1925" t="s">
        <v>4062</v>
      </c>
      <c r="E1925" t="s">
        <v>5073</v>
      </c>
      <c r="F1925" t="s">
        <v>4377</v>
      </c>
      <c r="G1925">
        <v>0.01</v>
      </c>
      <c r="H1925" s="2">
        <v>20966.67</v>
      </c>
      <c r="I1925" s="2">
        <v>209.67</v>
      </c>
    </row>
    <row r="1926" spans="1:9" x14ac:dyDescent="0.25">
      <c r="A1926" t="s">
        <v>1065</v>
      </c>
      <c r="B1926" t="s">
        <v>1066</v>
      </c>
      <c r="C1926" t="s">
        <v>42</v>
      </c>
      <c r="D1926" t="s">
        <v>4062</v>
      </c>
      <c r="E1926" t="s">
        <v>4600</v>
      </c>
      <c r="F1926" t="s">
        <v>63</v>
      </c>
      <c r="G1926">
        <v>0.16</v>
      </c>
      <c r="H1926" s="2">
        <v>1195</v>
      </c>
      <c r="I1926" s="2">
        <v>191.2</v>
      </c>
    </row>
    <row r="1927" spans="1:9" x14ac:dyDescent="0.25">
      <c r="A1927" t="s">
        <v>1065</v>
      </c>
      <c r="B1927" t="s">
        <v>1066</v>
      </c>
      <c r="C1927" t="s">
        <v>42</v>
      </c>
      <c r="D1927" t="s">
        <v>4062</v>
      </c>
      <c r="E1927" t="s">
        <v>5074</v>
      </c>
      <c r="F1927" t="s">
        <v>4377</v>
      </c>
      <c r="G1927">
        <v>0.02</v>
      </c>
      <c r="H1927" s="2">
        <v>46450</v>
      </c>
      <c r="I1927" s="2">
        <v>696.75</v>
      </c>
    </row>
    <row r="1928" spans="1:9" x14ac:dyDescent="0.25">
      <c r="A1928" t="s">
        <v>1065</v>
      </c>
      <c r="B1928" t="s">
        <v>1066</v>
      </c>
      <c r="C1928" t="s">
        <v>42</v>
      </c>
      <c r="D1928" t="s">
        <v>4049</v>
      </c>
      <c r="E1928" t="s">
        <v>5067</v>
      </c>
      <c r="F1928" t="s">
        <v>4051</v>
      </c>
      <c r="G1928">
        <v>0.15</v>
      </c>
      <c r="H1928" s="2">
        <v>10392.41</v>
      </c>
      <c r="I1928" s="2">
        <v>1558.86</v>
      </c>
    </row>
    <row r="1929" spans="1:9" x14ac:dyDescent="0.25">
      <c r="A1929" t="s">
        <v>1065</v>
      </c>
      <c r="B1929" t="s">
        <v>1066</v>
      </c>
      <c r="C1929" t="s">
        <v>42</v>
      </c>
      <c r="D1929" t="s">
        <v>4049</v>
      </c>
      <c r="E1929" t="s">
        <v>5068</v>
      </c>
      <c r="F1929" t="s">
        <v>4051</v>
      </c>
      <c r="G1929">
        <v>0.15</v>
      </c>
      <c r="H1929" s="2">
        <v>17845.35</v>
      </c>
      <c r="I1929" s="2">
        <v>2676.8</v>
      </c>
    </row>
    <row r="1930" spans="1:9" x14ac:dyDescent="0.25">
      <c r="A1930" t="s">
        <v>1065</v>
      </c>
      <c r="B1930" t="s">
        <v>1066</v>
      </c>
      <c r="C1930" t="s">
        <v>42</v>
      </c>
      <c r="D1930" t="s">
        <v>4052</v>
      </c>
      <c r="E1930" t="s">
        <v>4053</v>
      </c>
      <c r="F1930" t="s">
        <v>4054</v>
      </c>
      <c r="G1930">
        <v>5</v>
      </c>
      <c r="H1930" s="2">
        <v>4235.66</v>
      </c>
      <c r="I1930" s="2">
        <v>211.78</v>
      </c>
    </row>
    <row r="1931" spans="1:9" x14ac:dyDescent="0.25">
      <c r="A1931" t="s">
        <v>1068</v>
      </c>
      <c r="B1931" t="s">
        <v>1069</v>
      </c>
      <c r="C1931" t="s">
        <v>21</v>
      </c>
      <c r="D1931" t="s">
        <v>4062</v>
      </c>
      <c r="E1931" t="s">
        <v>5073</v>
      </c>
      <c r="F1931" t="s">
        <v>4377</v>
      </c>
      <c r="G1931">
        <v>0.03</v>
      </c>
      <c r="H1931" s="2">
        <v>20966.67</v>
      </c>
      <c r="I1931" s="2">
        <v>524.17</v>
      </c>
    </row>
    <row r="1932" spans="1:9" x14ac:dyDescent="0.25">
      <c r="A1932" t="s">
        <v>1068</v>
      </c>
      <c r="B1932" t="s">
        <v>1069</v>
      </c>
      <c r="C1932" t="s">
        <v>21</v>
      </c>
      <c r="D1932" t="s">
        <v>4062</v>
      </c>
      <c r="E1932" t="s">
        <v>4600</v>
      </c>
      <c r="F1932" t="s">
        <v>63</v>
      </c>
      <c r="G1932">
        <v>0.4</v>
      </c>
      <c r="H1932" s="2">
        <v>1195</v>
      </c>
      <c r="I1932" s="2">
        <v>478</v>
      </c>
    </row>
    <row r="1933" spans="1:9" x14ac:dyDescent="0.25">
      <c r="A1933" t="s">
        <v>1068</v>
      </c>
      <c r="B1933" t="s">
        <v>1069</v>
      </c>
      <c r="C1933" t="s">
        <v>21</v>
      </c>
      <c r="D1933" t="s">
        <v>4062</v>
      </c>
      <c r="E1933" t="s">
        <v>5074</v>
      </c>
      <c r="F1933" t="s">
        <v>4377</v>
      </c>
      <c r="G1933">
        <v>0.04</v>
      </c>
      <c r="H1933" s="2">
        <v>46450</v>
      </c>
      <c r="I1933" s="2">
        <v>1858</v>
      </c>
    </row>
    <row r="1934" spans="1:9" x14ac:dyDescent="0.25">
      <c r="A1934" t="s">
        <v>1068</v>
      </c>
      <c r="B1934" t="s">
        <v>1069</v>
      </c>
      <c r="C1934" t="s">
        <v>21</v>
      </c>
      <c r="D1934" t="s">
        <v>4049</v>
      </c>
      <c r="E1934" t="s">
        <v>5067</v>
      </c>
      <c r="F1934" t="s">
        <v>4051</v>
      </c>
      <c r="G1934">
        <v>0.33</v>
      </c>
      <c r="H1934" s="2">
        <v>10392.41</v>
      </c>
      <c r="I1934" s="2">
        <v>3429.5</v>
      </c>
    </row>
    <row r="1935" spans="1:9" x14ac:dyDescent="0.25">
      <c r="A1935" t="s">
        <v>1068</v>
      </c>
      <c r="B1935" t="s">
        <v>1069</v>
      </c>
      <c r="C1935" t="s">
        <v>21</v>
      </c>
      <c r="D1935" t="s">
        <v>4049</v>
      </c>
      <c r="E1935" t="s">
        <v>5068</v>
      </c>
      <c r="F1935" t="s">
        <v>4051</v>
      </c>
      <c r="G1935">
        <v>0.33</v>
      </c>
      <c r="H1935" s="2">
        <v>17845.35</v>
      </c>
      <c r="I1935" s="2">
        <v>5888.97</v>
      </c>
    </row>
    <row r="1936" spans="1:9" x14ac:dyDescent="0.25">
      <c r="A1936" t="s">
        <v>1068</v>
      </c>
      <c r="B1936" t="s">
        <v>1069</v>
      </c>
      <c r="C1936" t="s">
        <v>21</v>
      </c>
      <c r="D1936" t="s">
        <v>4052</v>
      </c>
      <c r="E1936" t="s">
        <v>4053</v>
      </c>
      <c r="F1936" t="s">
        <v>4054</v>
      </c>
      <c r="G1936">
        <v>4</v>
      </c>
      <c r="H1936" s="2">
        <v>9318.47</v>
      </c>
      <c r="I1936" s="2">
        <v>372.74</v>
      </c>
    </row>
    <row r="1937" spans="1:9" x14ac:dyDescent="0.25">
      <c r="A1937" t="s">
        <v>1071</v>
      </c>
      <c r="B1937" t="s">
        <v>1072</v>
      </c>
      <c r="C1937" t="s">
        <v>42</v>
      </c>
      <c r="D1937" t="s">
        <v>4062</v>
      </c>
      <c r="E1937" t="s">
        <v>5079</v>
      </c>
      <c r="F1937" t="s">
        <v>4377</v>
      </c>
      <c r="G1937">
        <v>0.01</v>
      </c>
      <c r="H1937" s="2">
        <v>33604</v>
      </c>
      <c r="I1937" s="2">
        <v>336.04</v>
      </c>
    </row>
    <row r="1938" spans="1:9" x14ac:dyDescent="0.25">
      <c r="A1938" t="s">
        <v>1071</v>
      </c>
      <c r="B1938" t="s">
        <v>1072</v>
      </c>
      <c r="C1938" t="s">
        <v>42</v>
      </c>
      <c r="D1938" t="s">
        <v>4062</v>
      </c>
      <c r="E1938" t="s">
        <v>5073</v>
      </c>
      <c r="F1938" t="s">
        <v>4377</v>
      </c>
      <c r="G1938">
        <v>0.02</v>
      </c>
      <c r="H1938" s="2">
        <v>20966.67</v>
      </c>
      <c r="I1938" s="2">
        <v>419.33</v>
      </c>
    </row>
    <row r="1939" spans="1:9" x14ac:dyDescent="0.25">
      <c r="A1939" t="s">
        <v>1071</v>
      </c>
      <c r="B1939" t="s">
        <v>1072</v>
      </c>
      <c r="C1939" t="s">
        <v>42</v>
      </c>
      <c r="D1939" t="s">
        <v>4062</v>
      </c>
      <c r="E1939" t="s">
        <v>4600</v>
      </c>
      <c r="F1939" t="s">
        <v>63</v>
      </c>
      <c r="G1939">
        <v>0.2</v>
      </c>
      <c r="H1939" s="2">
        <v>1195</v>
      </c>
      <c r="I1939" s="2">
        <v>239</v>
      </c>
    </row>
    <row r="1940" spans="1:9" x14ac:dyDescent="0.25">
      <c r="A1940" t="s">
        <v>1071</v>
      </c>
      <c r="B1940" t="s">
        <v>1072</v>
      </c>
      <c r="C1940" t="s">
        <v>42</v>
      </c>
      <c r="D1940" t="s">
        <v>4062</v>
      </c>
      <c r="E1940" t="s">
        <v>5074</v>
      </c>
      <c r="F1940" t="s">
        <v>4377</v>
      </c>
      <c r="G1940">
        <v>0.03</v>
      </c>
      <c r="H1940" s="2">
        <v>46450</v>
      </c>
      <c r="I1940" s="2">
        <v>1277.38</v>
      </c>
    </row>
    <row r="1941" spans="1:9" x14ac:dyDescent="0.25">
      <c r="A1941" t="s">
        <v>1071</v>
      </c>
      <c r="B1941" t="s">
        <v>1072</v>
      </c>
      <c r="C1941" t="s">
        <v>42</v>
      </c>
      <c r="D1941" t="s">
        <v>4049</v>
      </c>
      <c r="E1941" t="s">
        <v>5067</v>
      </c>
      <c r="F1941" t="s">
        <v>4051</v>
      </c>
      <c r="G1941">
        <v>0.07</v>
      </c>
      <c r="H1941" s="2">
        <v>10392.41</v>
      </c>
      <c r="I1941" s="2">
        <v>727.47</v>
      </c>
    </row>
    <row r="1942" spans="1:9" x14ac:dyDescent="0.25">
      <c r="A1942" t="s">
        <v>1071</v>
      </c>
      <c r="B1942" t="s">
        <v>1072</v>
      </c>
      <c r="C1942" t="s">
        <v>42</v>
      </c>
      <c r="D1942" t="s">
        <v>4049</v>
      </c>
      <c r="E1942" t="s">
        <v>5068</v>
      </c>
      <c r="F1942" t="s">
        <v>4051</v>
      </c>
      <c r="G1942">
        <v>0.07</v>
      </c>
      <c r="H1942" s="2">
        <v>17845.35</v>
      </c>
      <c r="I1942" s="2">
        <v>1249.17</v>
      </c>
    </row>
    <row r="1943" spans="1:9" x14ac:dyDescent="0.25">
      <c r="A1943" t="s">
        <v>1071</v>
      </c>
      <c r="B1943" t="s">
        <v>1072</v>
      </c>
      <c r="C1943" t="s">
        <v>42</v>
      </c>
      <c r="D1943" t="s">
        <v>4052</v>
      </c>
      <c r="E1943" t="s">
        <v>4053</v>
      </c>
      <c r="F1943" t="s">
        <v>4054</v>
      </c>
      <c r="G1943">
        <v>6</v>
      </c>
      <c r="H1943" s="2">
        <v>1976.64</v>
      </c>
      <c r="I1943" s="2">
        <v>118.6</v>
      </c>
    </row>
    <row r="1944" spans="1:9" x14ac:dyDescent="0.25">
      <c r="A1944" t="s">
        <v>1074</v>
      </c>
      <c r="B1944" t="s">
        <v>1075</v>
      </c>
      <c r="C1944" t="s">
        <v>21</v>
      </c>
      <c r="D1944" t="s">
        <v>4062</v>
      </c>
      <c r="E1944" t="s">
        <v>5079</v>
      </c>
      <c r="F1944" t="s">
        <v>4377</v>
      </c>
      <c r="G1944">
        <v>0.02</v>
      </c>
      <c r="H1944" s="2">
        <v>33604</v>
      </c>
      <c r="I1944" s="2">
        <v>672.08</v>
      </c>
    </row>
    <row r="1945" spans="1:9" x14ac:dyDescent="0.25">
      <c r="A1945" t="s">
        <v>1074</v>
      </c>
      <c r="B1945" t="s">
        <v>1075</v>
      </c>
      <c r="C1945" t="s">
        <v>21</v>
      </c>
      <c r="D1945" t="s">
        <v>4062</v>
      </c>
      <c r="E1945" t="s">
        <v>5073</v>
      </c>
      <c r="F1945" t="s">
        <v>4377</v>
      </c>
      <c r="G1945">
        <v>0.02</v>
      </c>
      <c r="H1945" s="2">
        <v>20966.67</v>
      </c>
      <c r="I1945" s="2">
        <v>419.33</v>
      </c>
    </row>
    <row r="1946" spans="1:9" x14ac:dyDescent="0.25">
      <c r="A1946" t="s">
        <v>1074</v>
      </c>
      <c r="B1946" t="s">
        <v>1075</v>
      </c>
      <c r="C1946" t="s">
        <v>21</v>
      </c>
      <c r="D1946" t="s">
        <v>4062</v>
      </c>
      <c r="E1946" t="s">
        <v>4600</v>
      </c>
      <c r="F1946" t="s">
        <v>63</v>
      </c>
      <c r="G1946">
        <v>1.05</v>
      </c>
      <c r="H1946" s="2">
        <v>1195</v>
      </c>
      <c r="I1946" s="2">
        <v>1254.75</v>
      </c>
    </row>
    <row r="1947" spans="1:9" x14ac:dyDescent="0.25">
      <c r="A1947" t="s">
        <v>1074</v>
      </c>
      <c r="B1947" t="s">
        <v>1075</v>
      </c>
      <c r="C1947" t="s">
        <v>21</v>
      </c>
      <c r="D1947" t="s">
        <v>4062</v>
      </c>
      <c r="E1947" t="s">
        <v>5074</v>
      </c>
      <c r="F1947" t="s">
        <v>4377</v>
      </c>
      <c r="G1947">
        <v>0.05</v>
      </c>
      <c r="H1947" s="2">
        <v>46450</v>
      </c>
      <c r="I1947" s="2">
        <v>2090.25</v>
      </c>
    </row>
    <row r="1948" spans="1:9" x14ac:dyDescent="0.25">
      <c r="A1948" t="s">
        <v>1074</v>
      </c>
      <c r="B1948" t="s">
        <v>1075</v>
      </c>
      <c r="C1948" t="s">
        <v>21</v>
      </c>
      <c r="D1948" t="s">
        <v>4049</v>
      </c>
      <c r="E1948" t="s">
        <v>5067</v>
      </c>
      <c r="F1948" t="s">
        <v>4051</v>
      </c>
      <c r="G1948">
        <v>0.35</v>
      </c>
      <c r="H1948" s="2">
        <v>10392.41</v>
      </c>
      <c r="I1948" s="2">
        <v>3637.34</v>
      </c>
    </row>
    <row r="1949" spans="1:9" x14ac:dyDescent="0.25">
      <c r="A1949" t="s">
        <v>1074</v>
      </c>
      <c r="B1949" t="s">
        <v>1075</v>
      </c>
      <c r="C1949" t="s">
        <v>21</v>
      </c>
      <c r="D1949" t="s">
        <v>4049</v>
      </c>
      <c r="E1949" t="s">
        <v>5068</v>
      </c>
      <c r="F1949" t="s">
        <v>4051</v>
      </c>
      <c r="G1949">
        <v>0.35</v>
      </c>
      <c r="H1949" s="2">
        <v>17845.35</v>
      </c>
      <c r="I1949" s="2">
        <v>6245.87</v>
      </c>
    </row>
    <row r="1950" spans="1:9" x14ac:dyDescent="0.25">
      <c r="A1950" t="s">
        <v>1074</v>
      </c>
      <c r="B1950" t="s">
        <v>1075</v>
      </c>
      <c r="C1950" t="s">
        <v>21</v>
      </c>
      <c r="D1950" t="s">
        <v>4052</v>
      </c>
      <c r="E1950" t="s">
        <v>4053</v>
      </c>
      <c r="F1950" t="s">
        <v>4054</v>
      </c>
      <c r="G1950">
        <v>6</v>
      </c>
      <c r="H1950" s="2">
        <v>9883.21</v>
      </c>
      <c r="I1950" s="2">
        <v>592.99</v>
      </c>
    </row>
    <row r="1951" spans="1:9" x14ac:dyDescent="0.25">
      <c r="A1951" t="s">
        <v>1077</v>
      </c>
      <c r="B1951" t="s">
        <v>1078</v>
      </c>
      <c r="C1951" t="s">
        <v>21</v>
      </c>
      <c r="D1951" t="s">
        <v>4062</v>
      </c>
      <c r="E1951" t="s">
        <v>5073</v>
      </c>
      <c r="F1951" t="s">
        <v>4377</v>
      </c>
      <c r="G1951">
        <v>0.02</v>
      </c>
      <c r="H1951" s="2">
        <v>20966.67</v>
      </c>
      <c r="I1951" s="2">
        <v>419.33</v>
      </c>
    </row>
    <row r="1952" spans="1:9" x14ac:dyDescent="0.25">
      <c r="A1952" t="s">
        <v>1077</v>
      </c>
      <c r="B1952" t="s">
        <v>1078</v>
      </c>
      <c r="C1952" t="s">
        <v>21</v>
      </c>
      <c r="D1952" t="s">
        <v>4062</v>
      </c>
      <c r="E1952" t="s">
        <v>4600</v>
      </c>
      <c r="F1952" t="s">
        <v>63</v>
      </c>
      <c r="G1952">
        <v>0.2</v>
      </c>
      <c r="H1952" s="2">
        <v>1195</v>
      </c>
      <c r="I1952" s="2">
        <v>239</v>
      </c>
    </row>
    <row r="1953" spans="1:9" x14ac:dyDescent="0.25">
      <c r="A1953" t="s">
        <v>1077</v>
      </c>
      <c r="B1953" t="s">
        <v>1078</v>
      </c>
      <c r="C1953" t="s">
        <v>21</v>
      </c>
      <c r="D1953" t="s">
        <v>4062</v>
      </c>
      <c r="E1953" t="s">
        <v>5074</v>
      </c>
      <c r="F1953" t="s">
        <v>4377</v>
      </c>
      <c r="G1953">
        <v>0.04</v>
      </c>
      <c r="H1953" s="2">
        <v>46450</v>
      </c>
      <c r="I1953" s="2">
        <v>1858</v>
      </c>
    </row>
    <row r="1954" spans="1:9" x14ac:dyDescent="0.25">
      <c r="A1954" t="s">
        <v>1077</v>
      </c>
      <c r="B1954" t="s">
        <v>1078</v>
      </c>
      <c r="C1954" t="s">
        <v>21</v>
      </c>
      <c r="D1954" t="s">
        <v>4062</v>
      </c>
      <c r="E1954" t="s">
        <v>5084</v>
      </c>
      <c r="F1954" t="s">
        <v>21</v>
      </c>
      <c r="G1954">
        <v>1</v>
      </c>
      <c r="H1954" s="2">
        <v>11868</v>
      </c>
      <c r="I1954" s="2">
        <v>11868</v>
      </c>
    </row>
    <row r="1955" spans="1:9" x14ac:dyDescent="0.25">
      <c r="A1955" t="s">
        <v>1077</v>
      </c>
      <c r="B1955" t="s">
        <v>1078</v>
      </c>
      <c r="C1955" t="s">
        <v>21</v>
      </c>
      <c r="D1955" t="s">
        <v>4049</v>
      </c>
      <c r="E1955" t="s">
        <v>5067</v>
      </c>
      <c r="F1955" t="s">
        <v>4051</v>
      </c>
      <c r="G1955">
        <v>0.28</v>
      </c>
      <c r="H1955" s="2">
        <v>10392.41</v>
      </c>
      <c r="I1955" s="2">
        <v>2857.91</v>
      </c>
    </row>
    <row r="1956" spans="1:9" x14ac:dyDescent="0.25">
      <c r="A1956" t="s">
        <v>1077</v>
      </c>
      <c r="B1956" t="s">
        <v>1078</v>
      </c>
      <c r="C1956" t="s">
        <v>21</v>
      </c>
      <c r="D1956" t="s">
        <v>4049</v>
      </c>
      <c r="E1956" t="s">
        <v>5068</v>
      </c>
      <c r="F1956" t="s">
        <v>4051</v>
      </c>
      <c r="G1956">
        <v>0.28</v>
      </c>
      <c r="H1956" s="2">
        <v>17845.35</v>
      </c>
      <c r="I1956" s="2">
        <v>4907.47</v>
      </c>
    </row>
    <row r="1957" spans="1:9" x14ac:dyDescent="0.25">
      <c r="A1957" t="s">
        <v>1077</v>
      </c>
      <c r="B1957" t="s">
        <v>1078</v>
      </c>
      <c r="C1957" t="s">
        <v>21</v>
      </c>
      <c r="D1957" t="s">
        <v>4049</v>
      </c>
      <c r="E1957" t="s">
        <v>5067</v>
      </c>
      <c r="F1957" t="s">
        <v>4051</v>
      </c>
      <c r="G1957">
        <v>0.17</v>
      </c>
      <c r="H1957" s="2">
        <v>10392.41</v>
      </c>
      <c r="I1957" s="2">
        <v>1766.71</v>
      </c>
    </row>
    <row r="1958" spans="1:9" x14ac:dyDescent="0.25">
      <c r="A1958" t="s">
        <v>1077</v>
      </c>
      <c r="B1958" t="s">
        <v>1078</v>
      </c>
      <c r="C1958" t="s">
        <v>21</v>
      </c>
      <c r="D1958" t="s">
        <v>4049</v>
      </c>
      <c r="E1958" t="s">
        <v>5068</v>
      </c>
      <c r="F1958" t="s">
        <v>4051</v>
      </c>
      <c r="G1958">
        <v>0.17</v>
      </c>
      <c r="H1958" s="2">
        <v>17845.35</v>
      </c>
      <c r="I1958" s="2">
        <v>3033.71</v>
      </c>
    </row>
    <row r="1959" spans="1:9" x14ac:dyDescent="0.25">
      <c r="A1959" t="s">
        <v>1077</v>
      </c>
      <c r="B1959" t="s">
        <v>1078</v>
      </c>
      <c r="C1959" t="s">
        <v>21</v>
      </c>
      <c r="D1959" t="s">
        <v>4052</v>
      </c>
      <c r="E1959" t="s">
        <v>4053</v>
      </c>
      <c r="F1959" t="s">
        <v>4054</v>
      </c>
      <c r="G1959">
        <v>10</v>
      </c>
      <c r="H1959" s="2">
        <v>7765.38</v>
      </c>
      <c r="I1959" s="2">
        <v>776.54</v>
      </c>
    </row>
    <row r="1960" spans="1:9" x14ac:dyDescent="0.25">
      <c r="A1960" t="s">
        <v>1077</v>
      </c>
      <c r="B1960" t="s">
        <v>1078</v>
      </c>
      <c r="C1960" t="s">
        <v>21</v>
      </c>
      <c r="D1960" t="s">
        <v>4052</v>
      </c>
      <c r="E1960" t="s">
        <v>4053</v>
      </c>
      <c r="F1960" t="s">
        <v>4054</v>
      </c>
      <c r="G1960">
        <v>4</v>
      </c>
      <c r="H1960" s="2">
        <v>4800.42</v>
      </c>
      <c r="I1960" s="2">
        <v>192.02</v>
      </c>
    </row>
    <row r="1961" spans="1:9" x14ac:dyDescent="0.25">
      <c r="A1961" t="s">
        <v>1081</v>
      </c>
      <c r="B1961" t="s">
        <v>1082</v>
      </c>
      <c r="C1961" t="s">
        <v>42</v>
      </c>
      <c r="D1961" t="s">
        <v>4062</v>
      </c>
      <c r="E1961" t="s">
        <v>5079</v>
      </c>
      <c r="F1961" t="s">
        <v>4377</v>
      </c>
      <c r="G1961">
        <v>0.03</v>
      </c>
      <c r="H1961" s="2">
        <v>33604</v>
      </c>
      <c r="I1961" s="2">
        <v>1008.12</v>
      </c>
    </row>
    <row r="1962" spans="1:9" x14ac:dyDescent="0.25">
      <c r="A1962" t="s">
        <v>1081</v>
      </c>
      <c r="B1962" t="s">
        <v>1082</v>
      </c>
      <c r="C1962" t="s">
        <v>42</v>
      </c>
      <c r="D1962" t="s">
        <v>4062</v>
      </c>
      <c r="E1962" t="s">
        <v>5073</v>
      </c>
      <c r="F1962" t="s">
        <v>4377</v>
      </c>
      <c r="G1962">
        <v>0.02</v>
      </c>
      <c r="H1962" s="2">
        <v>20966.67</v>
      </c>
      <c r="I1962" s="2">
        <v>419.33</v>
      </c>
    </row>
    <row r="1963" spans="1:9" x14ac:dyDescent="0.25">
      <c r="A1963" t="s">
        <v>1081</v>
      </c>
      <c r="B1963" t="s">
        <v>1082</v>
      </c>
      <c r="C1963" t="s">
        <v>42</v>
      </c>
      <c r="D1963" t="s">
        <v>4062</v>
      </c>
      <c r="E1963" t="s">
        <v>4600</v>
      </c>
      <c r="F1963" t="s">
        <v>63</v>
      </c>
      <c r="G1963">
        <v>0.75</v>
      </c>
      <c r="H1963" s="2">
        <v>1195</v>
      </c>
      <c r="I1963" s="2">
        <v>896.25</v>
      </c>
    </row>
    <row r="1964" spans="1:9" x14ac:dyDescent="0.25">
      <c r="A1964" t="s">
        <v>1081</v>
      </c>
      <c r="B1964" t="s">
        <v>1082</v>
      </c>
      <c r="C1964" t="s">
        <v>42</v>
      </c>
      <c r="D1964" t="s">
        <v>4062</v>
      </c>
      <c r="E1964" t="s">
        <v>5074</v>
      </c>
      <c r="F1964" t="s">
        <v>4377</v>
      </c>
      <c r="G1964">
        <v>0.03</v>
      </c>
      <c r="H1964" s="2">
        <v>46450</v>
      </c>
      <c r="I1964" s="2">
        <v>1393.5</v>
      </c>
    </row>
    <row r="1965" spans="1:9" x14ac:dyDescent="0.25">
      <c r="A1965" t="s">
        <v>1081</v>
      </c>
      <c r="B1965" t="s">
        <v>1082</v>
      </c>
      <c r="C1965" t="s">
        <v>42</v>
      </c>
      <c r="D1965" t="s">
        <v>4049</v>
      </c>
      <c r="E1965" t="s">
        <v>5067</v>
      </c>
      <c r="F1965" t="s">
        <v>4051</v>
      </c>
      <c r="G1965">
        <v>0.28</v>
      </c>
      <c r="H1965" s="2">
        <v>10392.41</v>
      </c>
      <c r="I1965" s="2">
        <v>2857.91</v>
      </c>
    </row>
    <row r="1966" spans="1:9" x14ac:dyDescent="0.25">
      <c r="A1966" t="s">
        <v>1081</v>
      </c>
      <c r="B1966" t="s">
        <v>1082</v>
      </c>
      <c r="C1966" t="s">
        <v>42</v>
      </c>
      <c r="D1966" t="s">
        <v>4049</v>
      </c>
      <c r="E1966" t="s">
        <v>5068</v>
      </c>
      <c r="F1966" t="s">
        <v>4051</v>
      </c>
      <c r="G1966">
        <v>0.28</v>
      </c>
      <c r="H1966" s="2">
        <v>17845.35</v>
      </c>
      <c r="I1966" s="2">
        <v>4907.47</v>
      </c>
    </row>
    <row r="1967" spans="1:9" x14ac:dyDescent="0.25">
      <c r="A1967" t="s">
        <v>1081</v>
      </c>
      <c r="B1967" t="s">
        <v>1082</v>
      </c>
      <c r="C1967" t="s">
        <v>42</v>
      </c>
      <c r="D1967" t="s">
        <v>4052</v>
      </c>
      <c r="E1967" t="s">
        <v>4053</v>
      </c>
      <c r="F1967" t="s">
        <v>4054</v>
      </c>
      <c r="G1967">
        <v>5</v>
      </c>
      <c r="H1967" s="2">
        <v>7765.38</v>
      </c>
      <c r="I1967" s="2">
        <v>388.27</v>
      </c>
    </row>
    <row r="1968" spans="1:9" x14ac:dyDescent="0.25">
      <c r="A1968" t="s">
        <v>1084</v>
      </c>
      <c r="B1968" t="s">
        <v>1085</v>
      </c>
      <c r="C1968" t="s">
        <v>21</v>
      </c>
      <c r="D1968" t="s">
        <v>4062</v>
      </c>
      <c r="E1968" t="s">
        <v>5089</v>
      </c>
      <c r="F1968" t="s">
        <v>5090</v>
      </c>
      <c r="G1968">
        <v>0.03</v>
      </c>
      <c r="H1968" s="2">
        <v>21750</v>
      </c>
      <c r="I1968" s="2">
        <v>652.5</v>
      </c>
    </row>
    <row r="1969" spans="1:9" x14ac:dyDescent="0.25">
      <c r="A1969" t="s">
        <v>1084</v>
      </c>
      <c r="B1969" t="s">
        <v>1085</v>
      </c>
      <c r="C1969" t="s">
        <v>21</v>
      </c>
      <c r="D1969" t="s">
        <v>4062</v>
      </c>
      <c r="E1969" t="s">
        <v>5091</v>
      </c>
      <c r="F1969" t="s">
        <v>5090</v>
      </c>
      <c r="G1969">
        <v>0.12</v>
      </c>
      <c r="H1969" s="2">
        <v>20894.67</v>
      </c>
      <c r="I1969" s="2">
        <v>2507.36</v>
      </c>
    </row>
    <row r="1970" spans="1:9" x14ac:dyDescent="0.25">
      <c r="A1970" t="s">
        <v>1084</v>
      </c>
      <c r="B1970" t="s">
        <v>1085</v>
      </c>
      <c r="C1970" t="s">
        <v>21</v>
      </c>
      <c r="D1970" t="s">
        <v>4062</v>
      </c>
      <c r="E1970" t="s">
        <v>4475</v>
      </c>
      <c r="F1970" t="s">
        <v>231</v>
      </c>
      <c r="G1970">
        <v>0.35</v>
      </c>
      <c r="H1970" s="2">
        <v>730</v>
      </c>
      <c r="I1970" s="2">
        <v>255.5</v>
      </c>
    </row>
    <row r="1971" spans="1:9" x14ac:dyDescent="0.25">
      <c r="A1971" t="s">
        <v>1084</v>
      </c>
      <c r="B1971" t="s">
        <v>1085</v>
      </c>
      <c r="C1971" t="s">
        <v>21</v>
      </c>
      <c r="D1971" t="s">
        <v>4062</v>
      </c>
      <c r="E1971" t="s">
        <v>4600</v>
      </c>
      <c r="F1971" t="s">
        <v>63</v>
      </c>
      <c r="G1971">
        <v>0.1</v>
      </c>
      <c r="H1971" s="2">
        <v>1195</v>
      </c>
      <c r="I1971" s="2">
        <v>119.5</v>
      </c>
    </row>
    <row r="1972" spans="1:9" x14ac:dyDescent="0.25">
      <c r="A1972" t="s">
        <v>1084</v>
      </c>
      <c r="B1972" t="s">
        <v>1085</v>
      </c>
      <c r="C1972" t="s">
        <v>21</v>
      </c>
      <c r="D1972" t="s">
        <v>4049</v>
      </c>
      <c r="E1972" t="s">
        <v>4050</v>
      </c>
      <c r="F1972" t="s">
        <v>4051</v>
      </c>
      <c r="G1972">
        <v>0.22</v>
      </c>
      <c r="H1972" s="2">
        <v>9037.33</v>
      </c>
      <c r="I1972" s="2">
        <v>1988.21</v>
      </c>
    </row>
    <row r="1973" spans="1:9" x14ac:dyDescent="0.25">
      <c r="A1973" t="s">
        <v>1084</v>
      </c>
      <c r="B1973" t="s">
        <v>1085</v>
      </c>
      <c r="C1973" t="s">
        <v>21</v>
      </c>
      <c r="D1973" t="s">
        <v>4049</v>
      </c>
      <c r="E1973" t="s">
        <v>4073</v>
      </c>
      <c r="F1973" t="s">
        <v>4051</v>
      </c>
      <c r="G1973">
        <v>0.22</v>
      </c>
      <c r="H1973" s="2">
        <v>15517.89</v>
      </c>
      <c r="I1973" s="2">
        <v>3413.94</v>
      </c>
    </row>
    <row r="1974" spans="1:9" x14ac:dyDescent="0.25">
      <c r="A1974" t="s">
        <v>1084</v>
      </c>
      <c r="B1974" t="s">
        <v>1085</v>
      </c>
      <c r="C1974" t="s">
        <v>21</v>
      </c>
      <c r="D1974" t="s">
        <v>4052</v>
      </c>
      <c r="E1974" t="s">
        <v>4105</v>
      </c>
      <c r="F1974" t="s">
        <v>4106</v>
      </c>
      <c r="G1974">
        <v>0.35</v>
      </c>
      <c r="H1974" s="2">
        <v>25125</v>
      </c>
      <c r="I1974" s="2">
        <v>8793.75</v>
      </c>
    </row>
    <row r="1975" spans="1:9" x14ac:dyDescent="0.25">
      <c r="A1975" t="s">
        <v>1087</v>
      </c>
      <c r="B1975" t="s">
        <v>1088</v>
      </c>
      <c r="C1975" t="s">
        <v>21</v>
      </c>
      <c r="D1975" t="s">
        <v>4062</v>
      </c>
      <c r="E1975" t="s">
        <v>5089</v>
      </c>
      <c r="F1975" t="s">
        <v>5090</v>
      </c>
      <c r="G1975">
        <v>0.01</v>
      </c>
      <c r="H1975" s="2">
        <v>21750</v>
      </c>
      <c r="I1975" s="2">
        <v>217.5</v>
      </c>
    </row>
    <row r="1976" spans="1:9" x14ac:dyDescent="0.25">
      <c r="A1976" t="s">
        <v>1087</v>
      </c>
      <c r="B1976" t="s">
        <v>1088</v>
      </c>
      <c r="C1976" t="s">
        <v>21</v>
      </c>
      <c r="D1976" t="s">
        <v>4062</v>
      </c>
      <c r="E1976" t="s">
        <v>5091</v>
      </c>
      <c r="F1976" t="s">
        <v>5090</v>
      </c>
      <c r="G1976">
        <v>0.09</v>
      </c>
      <c r="H1976" s="2">
        <v>20894.67</v>
      </c>
      <c r="I1976" s="2">
        <v>1880.52</v>
      </c>
    </row>
    <row r="1977" spans="1:9" x14ac:dyDescent="0.25">
      <c r="A1977" t="s">
        <v>1087</v>
      </c>
      <c r="B1977" t="s">
        <v>1088</v>
      </c>
      <c r="C1977" t="s">
        <v>21</v>
      </c>
      <c r="D1977" t="s">
        <v>4062</v>
      </c>
      <c r="E1977" t="s">
        <v>4475</v>
      </c>
      <c r="F1977" t="s">
        <v>231</v>
      </c>
      <c r="G1977">
        <v>0.26</v>
      </c>
      <c r="H1977" s="2">
        <v>730</v>
      </c>
      <c r="I1977" s="2">
        <v>189.8</v>
      </c>
    </row>
    <row r="1978" spans="1:9" x14ac:dyDescent="0.25">
      <c r="A1978" t="s">
        <v>1087</v>
      </c>
      <c r="B1978" t="s">
        <v>1088</v>
      </c>
      <c r="C1978" t="s">
        <v>21</v>
      </c>
      <c r="D1978" t="s">
        <v>4062</v>
      </c>
      <c r="E1978" t="s">
        <v>4600</v>
      </c>
      <c r="F1978" t="s">
        <v>63</v>
      </c>
      <c r="G1978">
        <v>0.1</v>
      </c>
      <c r="H1978" s="2">
        <v>1195</v>
      </c>
      <c r="I1978" s="2">
        <v>119.5</v>
      </c>
    </row>
    <row r="1979" spans="1:9" x14ac:dyDescent="0.25">
      <c r="A1979" t="s">
        <v>1087</v>
      </c>
      <c r="B1979" t="s">
        <v>1088</v>
      </c>
      <c r="C1979" t="s">
        <v>21</v>
      </c>
      <c r="D1979" t="s">
        <v>4049</v>
      </c>
      <c r="E1979" t="s">
        <v>4050</v>
      </c>
      <c r="F1979" t="s">
        <v>4051</v>
      </c>
      <c r="G1979">
        <v>0.21</v>
      </c>
      <c r="H1979" s="2">
        <v>9037.33</v>
      </c>
      <c r="I1979" s="2">
        <v>1897.84</v>
      </c>
    </row>
    <row r="1980" spans="1:9" x14ac:dyDescent="0.25">
      <c r="A1980" t="s">
        <v>1087</v>
      </c>
      <c r="B1980" t="s">
        <v>1088</v>
      </c>
      <c r="C1980" t="s">
        <v>21</v>
      </c>
      <c r="D1980" t="s">
        <v>4049</v>
      </c>
      <c r="E1980" t="s">
        <v>4073</v>
      </c>
      <c r="F1980" t="s">
        <v>4051</v>
      </c>
      <c r="G1980">
        <v>0.21</v>
      </c>
      <c r="H1980" s="2">
        <v>15517.89</v>
      </c>
      <c r="I1980" s="2">
        <v>3258.76</v>
      </c>
    </row>
    <row r="1981" spans="1:9" x14ac:dyDescent="0.25">
      <c r="A1981" t="s">
        <v>1087</v>
      </c>
      <c r="B1981" t="s">
        <v>1088</v>
      </c>
      <c r="C1981" t="s">
        <v>21</v>
      </c>
      <c r="D1981" t="s">
        <v>4052</v>
      </c>
      <c r="E1981" t="s">
        <v>4053</v>
      </c>
      <c r="F1981" t="s">
        <v>4054</v>
      </c>
      <c r="G1981">
        <v>10</v>
      </c>
      <c r="H1981" s="2">
        <v>5156.6</v>
      </c>
      <c r="I1981" s="2">
        <v>515.66</v>
      </c>
    </row>
    <row r="1982" spans="1:9" x14ac:dyDescent="0.25">
      <c r="A1982" t="s">
        <v>1090</v>
      </c>
      <c r="B1982" t="s">
        <v>1091</v>
      </c>
      <c r="C1982" t="s">
        <v>21</v>
      </c>
      <c r="D1982" t="s">
        <v>4062</v>
      </c>
      <c r="E1982" t="s">
        <v>5089</v>
      </c>
      <c r="F1982" t="s">
        <v>5090</v>
      </c>
      <c r="G1982">
        <v>0.03</v>
      </c>
      <c r="H1982" s="2">
        <v>21750</v>
      </c>
      <c r="I1982" s="2">
        <v>652.5</v>
      </c>
    </row>
    <row r="1983" spans="1:9" x14ac:dyDescent="0.25">
      <c r="A1983" t="s">
        <v>1090</v>
      </c>
      <c r="B1983" t="s">
        <v>1091</v>
      </c>
      <c r="C1983" t="s">
        <v>21</v>
      </c>
      <c r="D1983" t="s">
        <v>4062</v>
      </c>
      <c r="E1983" t="s">
        <v>5091</v>
      </c>
      <c r="F1983" t="s">
        <v>5090</v>
      </c>
      <c r="G1983">
        <v>0.15</v>
      </c>
      <c r="H1983" s="2">
        <v>20894.67</v>
      </c>
      <c r="I1983" s="2">
        <v>3134.2</v>
      </c>
    </row>
    <row r="1984" spans="1:9" x14ac:dyDescent="0.25">
      <c r="A1984" t="s">
        <v>1090</v>
      </c>
      <c r="B1984" t="s">
        <v>1091</v>
      </c>
      <c r="C1984" t="s">
        <v>21</v>
      </c>
      <c r="D1984" t="s">
        <v>4062</v>
      </c>
      <c r="E1984" t="s">
        <v>4475</v>
      </c>
      <c r="F1984" t="s">
        <v>231</v>
      </c>
      <c r="G1984">
        <v>0.32</v>
      </c>
      <c r="H1984" s="2">
        <v>730</v>
      </c>
      <c r="I1984" s="2">
        <v>233.6</v>
      </c>
    </row>
    <row r="1985" spans="1:9" x14ac:dyDescent="0.25">
      <c r="A1985" t="s">
        <v>1090</v>
      </c>
      <c r="B1985" t="s">
        <v>1091</v>
      </c>
      <c r="C1985" t="s">
        <v>21</v>
      </c>
      <c r="D1985" t="s">
        <v>4062</v>
      </c>
      <c r="E1985" t="s">
        <v>4600</v>
      </c>
      <c r="F1985" t="s">
        <v>63</v>
      </c>
      <c r="G1985">
        <v>0.02</v>
      </c>
      <c r="H1985" s="2">
        <v>1195</v>
      </c>
      <c r="I1985" s="2">
        <v>23.9</v>
      </c>
    </row>
    <row r="1986" spans="1:9" x14ac:dyDescent="0.25">
      <c r="A1986" t="s">
        <v>1090</v>
      </c>
      <c r="B1986" t="s">
        <v>1091</v>
      </c>
      <c r="C1986" t="s">
        <v>21</v>
      </c>
      <c r="D1986" t="s">
        <v>4062</v>
      </c>
      <c r="E1986" t="s">
        <v>4602</v>
      </c>
      <c r="F1986" t="s">
        <v>4377</v>
      </c>
      <c r="G1986">
        <v>0.06</v>
      </c>
      <c r="H1986" s="2">
        <v>41112</v>
      </c>
      <c r="I1986" s="2">
        <v>2466.72</v>
      </c>
    </row>
    <row r="1987" spans="1:9" x14ac:dyDescent="0.25">
      <c r="A1987" t="s">
        <v>1090</v>
      </c>
      <c r="B1987" t="s">
        <v>1091</v>
      </c>
      <c r="C1987" t="s">
        <v>21</v>
      </c>
      <c r="D1987" t="s">
        <v>4049</v>
      </c>
      <c r="E1987" t="s">
        <v>4050</v>
      </c>
      <c r="F1987" t="s">
        <v>4051</v>
      </c>
      <c r="G1987">
        <v>0.3</v>
      </c>
      <c r="H1987" s="2">
        <v>9037.33</v>
      </c>
      <c r="I1987" s="2">
        <v>2711.2</v>
      </c>
    </row>
    <row r="1988" spans="1:9" x14ac:dyDescent="0.25">
      <c r="A1988" t="s">
        <v>1090</v>
      </c>
      <c r="B1988" t="s">
        <v>1091</v>
      </c>
      <c r="C1988" t="s">
        <v>21</v>
      </c>
      <c r="D1988" t="s">
        <v>4049</v>
      </c>
      <c r="E1988" t="s">
        <v>4073</v>
      </c>
      <c r="F1988" t="s">
        <v>4051</v>
      </c>
      <c r="G1988">
        <v>0.3</v>
      </c>
      <c r="H1988" s="2">
        <v>15517.89</v>
      </c>
      <c r="I1988" s="2">
        <v>4655.37</v>
      </c>
    </row>
    <row r="1989" spans="1:9" x14ac:dyDescent="0.25">
      <c r="A1989" t="s">
        <v>1090</v>
      </c>
      <c r="B1989" t="s">
        <v>1091</v>
      </c>
      <c r="C1989" t="s">
        <v>21</v>
      </c>
      <c r="D1989" t="s">
        <v>4052</v>
      </c>
      <c r="E1989" t="s">
        <v>4105</v>
      </c>
      <c r="F1989" t="s">
        <v>4106</v>
      </c>
      <c r="G1989">
        <v>0.3</v>
      </c>
      <c r="H1989" s="2">
        <v>25125</v>
      </c>
      <c r="I1989" s="2">
        <v>7537.5</v>
      </c>
    </row>
    <row r="1990" spans="1:9" x14ac:dyDescent="0.25">
      <c r="A1990" t="s">
        <v>1090</v>
      </c>
      <c r="B1990" t="s">
        <v>1091</v>
      </c>
      <c r="C1990" t="s">
        <v>21</v>
      </c>
      <c r="D1990" t="s">
        <v>4052</v>
      </c>
      <c r="E1990" t="s">
        <v>4053</v>
      </c>
      <c r="F1990" t="s">
        <v>4054</v>
      </c>
      <c r="G1990">
        <v>12</v>
      </c>
      <c r="H1990" s="2">
        <v>7366.57</v>
      </c>
      <c r="I1990" s="2">
        <v>883.99</v>
      </c>
    </row>
    <row r="1991" spans="1:9" x14ac:dyDescent="0.25">
      <c r="A1991" t="s">
        <v>1093</v>
      </c>
      <c r="B1991" t="s">
        <v>1094</v>
      </c>
      <c r="C1991" t="s">
        <v>21</v>
      </c>
      <c r="D1991" t="s">
        <v>4062</v>
      </c>
      <c r="E1991" t="s">
        <v>5089</v>
      </c>
      <c r="F1991" t="s">
        <v>5090</v>
      </c>
      <c r="G1991">
        <v>0.01</v>
      </c>
      <c r="H1991" s="2">
        <v>21750</v>
      </c>
      <c r="I1991" s="2">
        <v>217.5</v>
      </c>
    </row>
    <row r="1992" spans="1:9" x14ac:dyDescent="0.25">
      <c r="A1992" t="s">
        <v>1093</v>
      </c>
      <c r="B1992" t="s">
        <v>1094</v>
      </c>
      <c r="C1992" t="s">
        <v>21</v>
      </c>
      <c r="D1992" t="s">
        <v>4062</v>
      </c>
      <c r="E1992" t="s">
        <v>5091</v>
      </c>
      <c r="F1992" t="s">
        <v>5090</v>
      </c>
      <c r="G1992">
        <v>0.09</v>
      </c>
      <c r="H1992" s="2">
        <v>20894.67</v>
      </c>
      <c r="I1992" s="2">
        <v>1880.52</v>
      </c>
    </row>
    <row r="1993" spans="1:9" x14ac:dyDescent="0.25">
      <c r="A1993" t="s">
        <v>1093</v>
      </c>
      <c r="B1993" t="s">
        <v>1094</v>
      </c>
      <c r="C1993" t="s">
        <v>21</v>
      </c>
      <c r="D1993" t="s">
        <v>4062</v>
      </c>
      <c r="E1993" t="s">
        <v>4475</v>
      </c>
      <c r="F1993" t="s">
        <v>231</v>
      </c>
      <c r="G1993">
        <v>0.26</v>
      </c>
      <c r="H1993" s="2">
        <v>730</v>
      </c>
      <c r="I1993" s="2">
        <v>189.8</v>
      </c>
    </row>
    <row r="1994" spans="1:9" x14ac:dyDescent="0.25">
      <c r="A1994" t="s">
        <v>1093</v>
      </c>
      <c r="B1994" t="s">
        <v>1094</v>
      </c>
      <c r="C1994" t="s">
        <v>21</v>
      </c>
      <c r="D1994" t="s">
        <v>4062</v>
      </c>
      <c r="E1994" t="s">
        <v>4600</v>
      </c>
      <c r="F1994" t="s">
        <v>63</v>
      </c>
      <c r="G1994">
        <v>0.04</v>
      </c>
      <c r="H1994" s="2">
        <v>1195</v>
      </c>
      <c r="I1994" s="2">
        <v>47.8</v>
      </c>
    </row>
    <row r="1995" spans="1:9" x14ac:dyDescent="0.25">
      <c r="A1995" t="s">
        <v>1093</v>
      </c>
      <c r="B1995" t="s">
        <v>1094</v>
      </c>
      <c r="C1995" t="s">
        <v>21</v>
      </c>
      <c r="D1995" t="s">
        <v>4062</v>
      </c>
      <c r="E1995" t="s">
        <v>4602</v>
      </c>
      <c r="F1995" t="s">
        <v>4377</v>
      </c>
      <c r="G1995">
        <v>0.05</v>
      </c>
      <c r="H1995" s="2">
        <v>41112</v>
      </c>
      <c r="I1995" s="2">
        <v>2055.6</v>
      </c>
    </row>
    <row r="1996" spans="1:9" x14ac:dyDescent="0.25">
      <c r="A1996" t="s">
        <v>1093</v>
      </c>
      <c r="B1996" t="s">
        <v>1094</v>
      </c>
      <c r="C1996" t="s">
        <v>21</v>
      </c>
      <c r="D1996" t="s">
        <v>4049</v>
      </c>
      <c r="E1996" t="s">
        <v>4050</v>
      </c>
      <c r="F1996" t="s">
        <v>4051</v>
      </c>
      <c r="G1996">
        <v>0.3</v>
      </c>
      <c r="H1996" s="2">
        <v>9037.33</v>
      </c>
      <c r="I1996" s="2">
        <v>2711.2</v>
      </c>
    </row>
    <row r="1997" spans="1:9" x14ac:dyDescent="0.25">
      <c r="A1997" t="s">
        <v>1093</v>
      </c>
      <c r="B1997" t="s">
        <v>1094</v>
      </c>
      <c r="C1997" t="s">
        <v>21</v>
      </c>
      <c r="D1997" t="s">
        <v>4049</v>
      </c>
      <c r="E1997" t="s">
        <v>4073</v>
      </c>
      <c r="F1997" t="s">
        <v>4051</v>
      </c>
      <c r="G1997">
        <v>0.3</v>
      </c>
      <c r="H1997" s="2">
        <v>15517.89</v>
      </c>
      <c r="I1997" s="2">
        <v>4655.37</v>
      </c>
    </row>
    <row r="1998" spans="1:9" x14ac:dyDescent="0.25">
      <c r="A1998" t="s">
        <v>1093</v>
      </c>
      <c r="B1998" t="s">
        <v>1094</v>
      </c>
      <c r="C1998" t="s">
        <v>21</v>
      </c>
      <c r="D1998" t="s">
        <v>4052</v>
      </c>
      <c r="E1998" t="s">
        <v>4053</v>
      </c>
      <c r="F1998" t="s">
        <v>4054</v>
      </c>
      <c r="G1998">
        <v>12</v>
      </c>
      <c r="H1998" s="2">
        <v>7366.57</v>
      </c>
      <c r="I1998" s="2">
        <v>883.99</v>
      </c>
    </row>
    <row r="1999" spans="1:9" x14ac:dyDescent="0.25">
      <c r="A1999" t="s">
        <v>1096</v>
      </c>
      <c r="B1999" t="s">
        <v>1097</v>
      </c>
      <c r="C1999" t="s">
        <v>42</v>
      </c>
      <c r="D1999" t="s">
        <v>4062</v>
      </c>
      <c r="E1999" t="s">
        <v>5089</v>
      </c>
      <c r="F1999" t="s">
        <v>5090</v>
      </c>
      <c r="G1999">
        <v>0.03</v>
      </c>
      <c r="H1999" s="2">
        <v>21750</v>
      </c>
      <c r="I1999" s="2">
        <v>543.75</v>
      </c>
    </row>
    <row r="2000" spans="1:9" x14ac:dyDescent="0.25">
      <c r="A2000" t="s">
        <v>1096</v>
      </c>
      <c r="B2000" t="s">
        <v>1097</v>
      </c>
      <c r="C2000" t="s">
        <v>42</v>
      </c>
      <c r="D2000" t="s">
        <v>4062</v>
      </c>
      <c r="E2000" t="s">
        <v>4475</v>
      </c>
      <c r="F2000" t="s">
        <v>231</v>
      </c>
      <c r="G2000">
        <v>0.25</v>
      </c>
      <c r="H2000" s="2">
        <v>730</v>
      </c>
      <c r="I2000" s="2">
        <v>182.5</v>
      </c>
    </row>
    <row r="2001" spans="1:9" x14ac:dyDescent="0.25">
      <c r="A2001" t="s">
        <v>1096</v>
      </c>
      <c r="B2001" t="s">
        <v>1097</v>
      </c>
      <c r="C2001" t="s">
        <v>42</v>
      </c>
      <c r="D2001" t="s">
        <v>4062</v>
      </c>
      <c r="E2001" t="s">
        <v>4600</v>
      </c>
      <c r="F2001" t="s">
        <v>63</v>
      </c>
      <c r="G2001">
        <v>0.02</v>
      </c>
      <c r="H2001" s="2">
        <v>1195</v>
      </c>
      <c r="I2001" s="2">
        <v>23.9</v>
      </c>
    </row>
    <row r="2002" spans="1:9" x14ac:dyDescent="0.25">
      <c r="A2002" t="s">
        <v>1096</v>
      </c>
      <c r="B2002" t="s">
        <v>1097</v>
      </c>
      <c r="C2002" t="s">
        <v>42</v>
      </c>
      <c r="D2002" t="s">
        <v>4049</v>
      </c>
      <c r="E2002" t="s">
        <v>5067</v>
      </c>
      <c r="F2002" t="s">
        <v>4051</v>
      </c>
      <c r="G2002">
        <v>0.2</v>
      </c>
      <c r="H2002" s="2">
        <v>10392.41</v>
      </c>
      <c r="I2002" s="2">
        <v>2078.48</v>
      </c>
    </row>
    <row r="2003" spans="1:9" x14ac:dyDescent="0.25">
      <c r="A2003" t="s">
        <v>1096</v>
      </c>
      <c r="B2003" t="s">
        <v>1097</v>
      </c>
      <c r="C2003" t="s">
        <v>42</v>
      </c>
      <c r="D2003" t="s">
        <v>4049</v>
      </c>
      <c r="E2003" t="s">
        <v>5068</v>
      </c>
      <c r="F2003" t="s">
        <v>4051</v>
      </c>
      <c r="G2003">
        <v>0.2</v>
      </c>
      <c r="H2003" s="2">
        <v>17845.35</v>
      </c>
      <c r="I2003" s="2">
        <v>3569.07</v>
      </c>
    </row>
    <row r="2004" spans="1:9" x14ac:dyDescent="0.25">
      <c r="A2004" t="s">
        <v>1096</v>
      </c>
      <c r="B2004" t="s">
        <v>1097</v>
      </c>
      <c r="C2004" t="s">
        <v>42</v>
      </c>
      <c r="D2004" t="s">
        <v>4052</v>
      </c>
      <c r="E2004" t="s">
        <v>4053</v>
      </c>
      <c r="F2004" t="s">
        <v>4054</v>
      </c>
      <c r="G2004">
        <v>10</v>
      </c>
      <c r="H2004" s="2">
        <v>5647.55</v>
      </c>
      <c r="I2004" s="2">
        <v>564.75</v>
      </c>
    </row>
    <row r="2005" spans="1:9" x14ac:dyDescent="0.25">
      <c r="A2005" t="s">
        <v>1099</v>
      </c>
      <c r="B2005" t="s">
        <v>1100</v>
      </c>
      <c r="C2005" t="s">
        <v>21</v>
      </c>
      <c r="D2005" t="s">
        <v>4062</v>
      </c>
      <c r="E2005" t="s">
        <v>5102</v>
      </c>
      <c r="F2005" t="s">
        <v>231</v>
      </c>
      <c r="G2005">
        <v>0.2</v>
      </c>
      <c r="H2005" s="2">
        <v>6594</v>
      </c>
      <c r="I2005" s="2">
        <v>1318.8</v>
      </c>
    </row>
    <row r="2006" spans="1:9" x14ac:dyDescent="0.25">
      <c r="A2006" t="s">
        <v>1099</v>
      </c>
      <c r="B2006" t="s">
        <v>1100</v>
      </c>
      <c r="C2006" t="s">
        <v>21</v>
      </c>
      <c r="D2006" t="s">
        <v>4062</v>
      </c>
      <c r="E2006" t="s">
        <v>4690</v>
      </c>
      <c r="F2006" t="s">
        <v>231</v>
      </c>
      <c r="G2006">
        <v>1.05</v>
      </c>
      <c r="H2006" s="2">
        <v>2025</v>
      </c>
      <c r="I2006" s="2">
        <v>2126.25</v>
      </c>
    </row>
    <row r="2007" spans="1:9" x14ac:dyDescent="0.25">
      <c r="A2007" t="s">
        <v>1099</v>
      </c>
      <c r="B2007" t="s">
        <v>1100</v>
      </c>
      <c r="C2007" t="s">
        <v>21</v>
      </c>
      <c r="D2007" t="s">
        <v>4062</v>
      </c>
      <c r="E2007" t="s">
        <v>5103</v>
      </c>
      <c r="F2007" t="s">
        <v>5090</v>
      </c>
      <c r="G2007">
        <v>0.36</v>
      </c>
      <c r="H2007" s="2">
        <v>16597</v>
      </c>
      <c r="I2007" s="2">
        <v>5974.92</v>
      </c>
    </row>
    <row r="2008" spans="1:9" x14ac:dyDescent="0.25">
      <c r="A2008" t="s">
        <v>1099</v>
      </c>
      <c r="B2008" t="s">
        <v>1100</v>
      </c>
      <c r="C2008" t="s">
        <v>21</v>
      </c>
      <c r="D2008" t="s">
        <v>4062</v>
      </c>
      <c r="E2008" t="s">
        <v>4076</v>
      </c>
      <c r="F2008" t="s">
        <v>3963</v>
      </c>
      <c r="G2008">
        <v>0.5</v>
      </c>
      <c r="H2008" s="2">
        <v>21</v>
      </c>
      <c r="I2008" s="2">
        <v>10.5</v>
      </c>
    </row>
    <row r="2009" spans="1:9" x14ac:dyDescent="0.25">
      <c r="A2009" t="s">
        <v>1099</v>
      </c>
      <c r="B2009" t="s">
        <v>1100</v>
      </c>
      <c r="C2009" t="s">
        <v>21</v>
      </c>
      <c r="D2009" t="s">
        <v>4049</v>
      </c>
      <c r="E2009" t="s">
        <v>5067</v>
      </c>
      <c r="F2009" t="s">
        <v>4051</v>
      </c>
      <c r="G2009">
        <v>0.2</v>
      </c>
      <c r="H2009" s="2">
        <v>10392.41</v>
      </c>
      <c r="I2009" s="2">
        <v>2078.48</v>
      </c>
    </row>
    <row r="2010" spans="1:9" x14ac:dyDescent="0.25">
      <c r="A2010" t="s">
        <v>1099</v>
      </c>
      <c r="B2010" t="s">
        <v>1100</v>
      </c>
      <c r="C2010" t="s">
        <v>21</v>
      </c>
      <c r="D2010" t="s">
        <v>4049</v>
      </c>
      <c r="E2010" t="s">
        <v>5068</v>
      </c>
      <c r="F2010" t="s">
        <v>4051</v>
      </c>
      <c r="G2010">
        <v>0.2</v>
      </c>
      <c r="H2010" s="2">
        <v>17845.35</v>
      </c>
      <c r="I2010" s="2">
        <v>3569.07</v>
      </c>
    </row>
    <row r="2011" spans="1:9" x14ac:dyDescent="0.25">
      <c r="A2011" t="s">
        <v>1099</v>
      </c>
      <c r="B2011" t="s">
        <v>1100</v>
      </c>
      <c r="C2011" t="s">
        <v>21</v>
      </c>
      <c r="D2011" t="s">
        <v>4052</v>
      </c>
      <c r="E2011" t="s">
        <v>4053</v>
      </c>
      <c r="F2011" t="s">
        <v>4054</v>
      </c>
      <c r="G2011">
        <v>12</v>
      </c>
      <c r="H2011" s="2">
        <v>5647.55</v>
      </c>
      <c r="I2011" s="2">
        <v>677.71</v>
      </c>
    </row>
    <row r="2012" spans="1:9" x14ac:dyDescent="0.25">
      <c r="A2012" t="s">
        <v>1102</v>
      </c>
      <c r="B2012" t="s">
        <v>1103</v>
      </c>
      <c r="C2012" t="s">
        <v>21</v>
      </c>
      <c r="D2012" t="s">
        <v>4062</v>
      </c>
      <c r="E2012" t="s">
        <v>5084</v>
      </c>
      <c r="F2012" t="s">
        <v>21</v>
      </c>
      <c r="G2012">
        <v>1</v>
      </c>
      <c r="H2012" s="2">
        <v>11868</v>
      </c>
      <c r="I2012" s="2">
        <v>11868</v>
      </c>
    </row>
    <row r="2013" spans="1:9" x14ac:dyDescent="0.25">
      <c r="A2013" t="s">
        <v>1102</v>
      </c>
      <c r="B2013" t="s">
        <v>1103</v>
      </c>
      <c r="C2013" t="s">
        <v>21</v>
      </c>
      <c r="D2013" t="s">
        <v>4049</v>
      </c>
      <c r="E2013" t="s">
        <v>5067</v>
      </c>
      <c r="F2013" t="s">
        <v>4051</v>
      </c>
      <c r="G2013">
        <v>0.23</v>
      </c>
      <c r="H2013" s="2">
        <v>10392.41</v>
      </c>
      <c r="I2013" s="2">
        <v>2338.29</v>
      </c>
    </row>
    <row r="2014" spans="1:9" x14ac:dyDescent="0.25">
      <c r="A2014" t="s">
        <v>1102</v>
      </c>
      <c r="B2014" t="s">
        <v>1103</v>
      </c>
      <c r="C2014" t="s">
        <v>21</v>
      </c>
      <c r="D2014" t="s">
        <v>4049</v>
      </c>
      <c r="E2014" t="s">
        <v>5068</v>
      </c>
      <c r="F2014" t="s">
        <v>4051</v>
      </c>
      <c r="G2014">
        <v>0.23</v>
      </c>
      <c r="H2014" s="2">
        <v>17845.35</v>
      </c>
      <c r="I2014" s="2">
        <v>4015.2</v>
      </c>
    </row>
    <row r="2015" spans="1:9" x14ac:dyDescent="0.25">
      <c r="A2015" t="s">
        <v>1102</v>
      </c>
      <c r="B2015" t="s">
        <v>1103</v>
      </c>
      <c r="C2015" t="s">
        <v>21</v>
      </c>
      <c r="D2015" t="s">
        <v>4052</v>
      </c>
      <c r="E2015" t="s">
        <v>4053</v>
      </c>
      <c r="F2015" t="s">
        <v>4054</v>
      </c>
      <c r="G2015">
        <v>5</v>
      </c>
      <c r="H2015" s="2">
        <v>6353.49</v>
      </c>
      <c r="I2015" s="2">
        <v>317.67</v>
      </c>
    </row>
    <row r="2016" spans="1:9" x14ac:dyDescent="0.25">
      <c r="A2016" t="s">
        <v>1105</v>
      </c>
      <c r="B2016" t="s">
        <v>1106</v>
      </c>
      <c r="C2016" t="s">
        <v>21</v>
      </c>
      <c r="D2016" t="s">
        <v>4062</v>
      </c>
      <c r="E2016" t="s">
        <v>5108</v>
      </c>
      <c r="F2016" t="s">
        <v>4377</v>
      </c>
      <c r="G2016">
        <v>0.05</v>
      </c>
      <c r="H2016" s="2">
        <v>58620</v>
      </c>
      <c r="I2016" s="2">
        <v>2637.9</v>
      </c>
    </row>
    <row r="2017" spans="1:9" x14ac:dyDescent="0.25">
      <c r="A2017" t="s">
        <v>1105</v>
      </c>
      <c r="B2017" t="s">
        <v>1106</v>
      </c>
      <c r="C2017" t="s">
        <v>21</v>
      </c>
      <c r="D2017" t="s">
        <v>4049</v>
      </c>
      <c r="E2017" t="s">
        <v>5067</v>
      </c>
      <c r="F2017" t="s">
        <v>4051</v>
      </c>
      <c r="G2017">
        <v>0.3</v>
      </c>
      <c r="H2017" s="2">
        <v>10392.41</v>
      </c>
      <c r="I2017" s="2">
        <v>3117.72</v>
      </c>
    </row>
    <row r="2018" spans="1:9" x14ac:dyDescent="0.25">
      <c r="A2018" t="s">
        <v>1105</v>
      </c>
      <c r="B2018" t="s">
        <v>1106</v>
      </c>
      <c r="C2018" t="s">
        <v>21</v>
      </c>
      <c r="D2018" t="s">
        <v>4049</v>
      </c>
      <c r="E2018" t="s">
        <v>5068</v>
      </c>
      <c r="F2018" t="s">
        <v>4051</v>
      </c>
      <c r="G2018">
        <v>0.3</v>
      </c>
      <c r="H2018" s="2">
        <v>17845.35</v>
      </c>
      <c r="I2018" s="2">
        <v>5353.6</v>
      </c>
    </row>
    <row r="2019" spans="1:9" x14ac:dyDescent="0.25">
      <c r="A2019" t="s">
        <v>1105</v>
      </c>
      <c r="B2019" t="s">
        <v>1106</v>
      </c>
      <c r="C2019" t="s">
        <v>21</v>
      </c>
      <c r="D2019" t="s">
        <v>4052</v>
      </c>
      <c r="E2019" t="s">
        <v>4105</v>
      </c>
      <c r="F2019" t="s">
        <v>4106</v>
      </c>
      <c r="G2019">
        <v>0.1</v>
      </c>
      <c r="H2019" s="2">
        <v>25125</v>
      </c>
      <c r="I2019" s="2">
        <v>2512.5</v>
      </c>
    </row>
    <row r="2020" spans="1:9" x14ac:dyDescent="0.25">
      <c r="A2020" t="s">
        <v>1105</v>
      </c>
      <c r="B2020" t="s">
        <v>1106</v>
      </c>
      <c r="C2020" t="s">
        <v>21</v>
      </c>
      <c r="D2020" t="s">
        <v>4052</v>
      </c>
      <c r="E2020" t="s">
        <v>4053</v>
      </c>
      <c r="F2020" t="s">
        <v>4054</v>
      </c>
      <c r="G2020">
        <v>5</v>
      </c>
      <c r="H2020" s="2">
        <v>8471.32</v>
      </c>
      <c r="I2020" s="2">
        <v>423.57</v>
      </c>
    </row>
    <row r="2021" spans="1:9" x14ac:dyDescent="0.25">
      <c r="A2021" t="s">
        <v>1108</v>
      </c>
      <c r="B2021" t="s">
        <v>1109</v>
      </c>
      <c r="C2021" t="s">
        <v>21</v>
      </c>
      <c r="D2021" t="s">
        <v>4062</v>
      </c>
      <c r="E2021" t="s">
        <v>5111</v>
      </c>
      <c r="F2021" t="s">
        <v>4377</v>
      </c>
      <c r="G2021">
        <v>0.06</v>
      </c>
      <c r="H2021" s="2">
        <v>57000</v>
      </c>
      <c r="I2021" s="2">
        <v>3420</v>
      </c>
    </row>
    <row r="2022" spans="1:9" x14ac:dyDescent="0.25">
      <c r="A2022" t="s">
        <v>1108</v>
      </c>
      <c r="B2022" t="s">
        <v>1109</v>
      </c>
      <c r="C2022" t="s">
        <v>21</v>
      </c>
      <c r="D2022" t="s">
        <v>4062</v>
      </c>
      <c r="E2022" t="s">
        <v>4600</v>
      </c>
      <c r="F2022" t="s">
        <v>63</v>
      </c>
      <c r="G2022">
        <v>0.1</v>
      </c>
      <c r="H2022" s="2">
        <v>1195</v>
      </c>
      <c r="I2022" s="2">
        <v>119.5</v>
      </c>
    </row>
    <row r="2023" spans="1:9" x14ac:dyDescent="0.25">
      <c r="A2023" t="s">
        <v>1108</v>
      </c>
      <c r="B2023" t="s">
        <v>1109</v>
      </c>
      <c r="C2023" t="s">
        <v>21</v>
      </c>
      <c r="D2023" t="s">
        <v>4062</v>
      </c>
      <c r="E2023" t="s">
        <v>4076</v>
      </c>
      <c r="F2023" t="s">
        <v>3963</v>
      </c>
      <c r="G2023">
        <v>0.03</v>
      </c>
      <c r="H2023" s="2">
        <v>21</v>
      </c>
      <c r="I2023" s="2">
        <v>0.63</v>
      </c>
    </row>
    <row r="2024" spans="1:9" x14ac:dyDescent="0.25">
      <c r="A2024" t="s">
        <v>1108</v>
      </c>
      <c r="B2024" t="s">
        <v>1109</v>
      </c>
      <c r="C2024" t="s">
        <v>21</v>
      </c>
      <c r="D2024" t="s">
        <v>4049</v>
      </c>
      <c r="E2024" t="s">
        <v>5067</v>
      </c>
      <c r="F2024" t="s">
        <v>4051</v>
      </c>
      <c r="G2024">
        <v>0.15</v>
      </c>
      <c r="H2024" s="2">
        <v>10392.41</v>
      </c>
      <c r="I2024" s="2">
        <v>1558.86</v>
      </c>
    </row>
    <row r="2025" spans="1:9" x14ac:dyDescent="0.25">
      <c r="A2025" t="s">
        <v>1108</v>
      </c>
      <c r="B2025" t="s">
        <v>1109</v>
      </c>
      <c r="C2025" t="s">
        <v>21</v>
      </c>
      <c r="D2025" t="s">
        <v>4049</v>
      </c>
      <c r="E2025" t="s">
        <v>5068</v>
      </c>
      <c r="F2025" t="s">
        <v>4051</v>
      </c>
      <c r="G2025">
        <v>0.15</v>
      </c>
      <c r="H2025" s="2">
        <v>17845.35</v>
      </c>
      <c r="I2025" s="2">
        <v>2676.8</v>
      </c>
    </row>
    <row r="2026" spans="1:9" x14ac:dyDescent="0.25">
      <c r="A2026" t="s">
        <v>1108</v>
      </c>
      <c r="B2026" t="s">
        <v>1109</v>
      </c>
      <c r="C2026" t="s">
        <v>21</v>
      </c>
      <c r="D2026" t="s">
        <v>4052</v>
      </c>
      <c r="E2026" t="s">
        <v>4053</v>
      </c>
      <c r="F2026" t="s">
        <v>4054</v>
      </c>
      <c r="G2026">
        <v>12</v>
      </c>
      <c r="H2026" s="2">
        <v>4235.66</v>
      </c>
      <c r="I2026" s="2">
        <v>508.28</v>
      </c>
    </row>
    <row r="2027" spans="1:9" x14ac:dyDescent="0.25">
      <c r="A2027" t="s">
        <v>1111</v>
      </c>
      <c r="B2027" t="s">
        <v>1112</v>
      </c>
      <c r="C2027" t="s">
        <v>42</v>
      </c>
      <c r="D2027" t="s">
        <v>4062</v>
      </c>
      <c r="E2027" t="s">
        <v>5114</v>
      </c>
      <c r="F2027" t="s">
        <v>4377</v>
      </c>
      <c r="G2027">
        <v>0.02</v>
      </c>
      <c r="H2027" s="2">
        <v>48524</v>
      </c>
      <c r="I2027" s="2">
        <v>727.86</v>
      </c>
    </row>
    <row r="2028" spans="1:9" x14ac:dyDescent="0.25">
      <c r="A2028" t="s">
        <v>1111</v>
      </c>
      <c r="B2028" t="s">
        <v>1112</v>
      </c>
      <c r="C2028" t="s">
        <v>42</v>
      </c>
      <c r="D2028" t="s">
        <v>4062</v>
      </c>
      <c r="E2028" t="s">
        <v>5079</v>
      </c>
      <c r="F2028" t="s">
        <v>4377</v>
      </c>
      <c r="G2028">
        <v>0.01</v>
      </c>
      <c r="H2028" s="2">
        <v>33604</v>
      </c>
      <c r="I2028" s="2">
        <v>336.04</v>
      </c>
    </row>
    <row r="2029" spans="1:9" x14ac:dyDescent="0.25">
      <c r="A2029" t="s">
        <v>1111</v>
      </c>
      <c r="B2029" t="s">
        <v>1112</v>
      </c>
      <c r="C2029" t="s">
        <v>42</v>
      </c>
      <c r="D2029" t="s">
        <v>4062</v>
      </c>
      <c r="E2029" t="s">
        <v>4600</v>
      </c>
      <c r="F2029" t="s">
        <v>63</v>
      </c>
      <c r="G2029">
        <v>0.16</v>
      </c>
      <c r="H2029" s="2">
        <v>1195</v>
      </c>
      <c r="I2029" s="2">
        <v>191.2</v>
      </c>
    </row>
    <row r="2030" spans="1:9" x14ac:dyDescent="0.25">
      <c r="A2030" t="s">
        <v>1111</v>
      </c>
      <c r="B2030" t="s">
        <v>1112</v>
      </c>
      <c r="C2030" t="s">
        <v>42</v>
      </c>
      <c r="D2030" t="s">
        <v>4049</v>
      </c>
      <c r="E2030" t="s">
        <v>5067</v>
      </c>
      <c r="F2030" t="s">
        <v>4051</v>
      </c>
      <c r="G2030">
        <v>0.09</v>
      </c>
      <c r="H2030" s="2">
        <v>10392.41</v>
      </c>
      <c r="I2030" s="2">
        <v>935.32</v>
      </c>
    </row>
    <row r="2031" spans="1:9" x14ac:dyDescent="0.25">
      <c r="A2031" t="s">
        <v>1111</v>
      </c>
      <c r="B2031" t="s">
        <v>1112</v>
      </c>
      <c r="C2031" t="s">
        <v>42</v>
      </c>
      <c r="D2031" t="s">
        <v>4049</v>
      </c>
      <c r="E2031" t="s">
        <v>5068</v>
      </c>
      <c r="F2031" t="s">
        <v>4051</v>
      </c>
      <c r="G2031">
        <v>0.09</v>
      </c>
      <c r="H2031" s="2">
        <v>17845.35</v>
      </c>
      <c r="I2031" s="2">
        <v>1606.08</v>
      </c>
    </row>
    <row r="2032" spans="1:9" x14ac:dyDescent="0.25">
      <c r="A2032" t="s">
        <v>1111</v>
      </c>
      <c r="B2032" t="s">
        <v>1112</v>
      </c>
      <c r="C2032" t="s">
        <v>42</v>
      </c>
      <c r="D2032" t="s">
        <v>4052</v>
      </c>
      <c r="E2032" t="s">
        <v>4053</v>
      </c>
      <c r="F2032" t="s">
        <v>4054</v>
      </c>
      <c r="G2032">
        <v>5</v>
      </c>
      <c r="H2032" s="2">
        <v>2541.4</v>
      </c>
      <c r="I2032" s="2">
        <v>127.07</v>
      </c>
    </row>
    <row r="2033" spans="1:9" x14ac:dyDescent="0.25">
      <c r="A2033" t="s">
        <v>1114</v>
      </c>
      <c r="B2033" t="s">
        <v>1115</v>
      </c>
      <c r="C2033" t="s">
        <v>21</v>
      </c>
      <c r="D2033" t="s">
        <v>4062</v>
      </c>
      <c r="E2033" t="s">
        <v>5114</v>
      </c>
      <c r="F2033" t="s">
        <v>4377</v>
      </c>
      <c r="G2033">
        <v>0.02</v>
      </c>
      <c r="H2033" s="2">
        <v>48524</v>
      </c>
      <c r="I2033" s="2">
        <v>970.48</v>
      </c>
    </row>
    <row r="2034" spans="1:9" x14ac:dyDescent="0.25">
      <c r="A2034" t="s">
        <v>1114</v>
      </c>
      <c r="B2034" t="s">
        <v>1115</v>
      </c>
      <c r="C2034" t="s">
        <v>21</v>
      </c>
      <c r="D2034" t="s">
        <v>4062</v>
      </c>
      <c r="E2034" t="s">
        <v>5079</v>
      </c>
      <c r="F2034" t="s">
        <v>4377</v>
      </c>
      <c r="G2034">
        <v>0.02</v>
      </c>
      <c r="H2034" s="2">
        <v>33604</v>
      </c>
      <c r="I2034" s="2">
        <v>672.08</v>
      </c>
    </row>
    <row r="2035" spans="1:9" x14ac:dyDescent="0.25">
      <c r="A2035" t="s">
        <v>1114</v>
      </c>
      <c r="B2035" t="s">
        <v>1115</v>
      </c>
      <c r="C2035" t="s">
        <v>21</v>
      </c>
      <c r="D2035" t="s">
        <v>4062</v>
      </c>
      <c r="E2035" t="s">
        <v>4600</v>
      </c>
      <c r="F2035" t="s">
        <v>63</v>
      </c>
      <c r="G2035">
        <v>0.5</v>
      </c>
      <c r="H2035" s="2">
        <v>1195</v>
      </c>
      <c r="I2035" s="2">
        <v>597.5</v>
      </c>
    </row>
    <row r="2036" spans="1:9" x14ac:dyDescent="0.25">
      <c r="A2036" t="s">
        <v>1114</v>
      </c>
      <c r="B2036" t="s">
        <v>1115</v>
      </c>
      <c r="C2036" t="s">
        <v>21</v>
      </c>
      <c r="D2036" t="s">
        <v>4049</v>
      </c>
      <c r="E2036" t="s">
        <v>5067</v>
      </c>
      <c r="F2036" t="s">
        <v>4051</v>
      </c>
      <c r="G2036">
        <v>0.35</v>
      </c>
      <c r="H2036" s="2">
        <v>10392.41</v>
      </c>
      <c r="I2036" s="2">
        <v>3637.34</v>
      </c>
    </row>
    <row r="2037" spans="1:9" x14ac:dyDescent="0.25">
      <c r="A2037" t="s">
        <v>1114</v>
      </c>
      <c r="B2037" t="s">
        <v>1115</v>
      </c>
      <c r="C2037" t="s">
        <v>21</v>
      </c>
      <c r="D2037" t="s">
        <v>4049</v>
      </c>
      <c r="E2037" t="s">
        <v>5068</v>
      </c>
      <c r="F2037" t="s">
        <v>4051</v>
      </c>
      <c r="G2037">
        <v>0.35</v>
      </c>
      <c r="H2037" s="2">
        <v>17845.35</v>
      </c>
      <c r="I2037" s="2">
        <v>6245.87</v>
      </c>
    </row>
    <row r="2038" spans="1:9" x14ac:dyDescent="0.25">
      <c r="A2038" t="s">
        <v>1114</v>
      </c>
      <c r="B2038" t="s">
        <v>1115</v>
      </c>
      <c r="C2038" t="s">
        <v>21</v>
      </c>
      <c r="D2038" t="s">
        <v>4052</v>
      </c>
      <c r="E2038" t="s">
        <v>4053</v>
      </c>
      <c r="F2038" t="s">
        <v>4054</v>
      </c>
      <c r="G2038">
        <v>5</v>
      </c>
      <c r="H2038" s="2">
        <v>9883.21</v>
      </c>
      <c r="I2038" s="2">
        <v>494.16</v>
      </c>
    </row>
    <row r="2039" spans="1:9" x14ac:dyDescent="0.25">
      <c r="A2039" t="s">
        <v>1117</v>
      </c>
      <c r="B2039" t="s">
        <v>1118</v>
      </c>
      <c r="C2039" t="s">
        <v>42</v>
      </c>
      <c r="D2039" t="s">
        <v>4062</v>
      </c>
      <c r="E2039" t="s">
        <v>5114</v>
      </c>
      <c r="F2039" t="s">
        <v>4377</v>
      </c>
      <c r="G2039">
        <v>0.18</v>
      </c>
      <c r="H2039" s="2">
        <v>48524</v>
      </c>
      <c r="I2039" s="2">
        <v>8734.32</v>
      </c>
    </row>
    <row r="2040" spans="1:9" x14ac:dyDescent="0.25">
      <c r="A2040" t="s">
        <v>1117</v>
      </c>
      <c r="B2040" t="s">
        <v>1118</v>
      </c>
      <c r="C2040" t="s">
        <v>42</v>
      </c>
      <c r="D2040" t="s">
        <v>4062</v>
      </c>
      <c r="E2040" t="s">
        <v>5079</v>
      </c>
      <c r="F2040" t="s">
        <v>4377</v>
      </c>
      <c r="G2040">
        <v>0.11</v>
      </c>
      <c r="H2040" s="2">
        <v>33604</v>
      </c>
      <c r="I2040" s="2">
        <v>3696.44</v>
      </c>
    </row>
    <row r="2041" spans="1:9" x14ac:dyDescent="0.25">
      <c r="A2041" t="s">
        <v>1117</v>
      </c>
      <c r="B2041" t="s">
        <v>1118</v>
      </c>
      <c r="C2041" t="s">
        <v>42</v>
      </c>
      <c r="D2041" t="s">
        <v>4062</v>
      </c>
      <c r="E2041" t="s">
        <v>4600</v>
      </c>
      <c r="F2041" t="s">
        <v>63</v>
      </c>
      <c r="G2041">
        <v>3.15</v>
      </c>
      <c r="H2041" s="2">
        <v>1195</v>
      </c>
      <c r="I2041" s="2">
        <v>3764.25</v>
      </c>
    </row>
    <row r="2042" spans="1:9" x14ac:dyDescent="0.25">
      <c r="A2042" t="s">
        <v>1117</v>
      </c>
      <c r="B2042" t="s">
        <v>1118</v>
      </c>
      <c r="C2042" t="s">
        <v>42</v>
      </c>
      <c r="D2042" t="s">
        <v>4049</v>
      </c>
      <c r="E2042" t="s">
        <v>5067</v>
      </c>
      <c r="F2042" t="s">
        <v>4051</v>
      </c>
      <c r="G2042">
        <v>1.23</v>
      </c>
      <c r="H2042" s="2">
        <v>10392.41</v>
      </c>
      <c r="I2042" s="2">
        <v>12782.66</v>
      </c>
    </row>
    <row r="2043" spans="1:9" x14ac:dyDescent="0.25">
      <c r="A2043" t="s">
        <v>1117</v>
      </c>
      <c r="B2043" t="s">
        <v>1118</v>
      </c>
      <c r="C2043" t="s">
        <v>42</v>
      </c>
      <c r="D2043" t="s">
        <v>4049</v>
      </c>
      <c r="E2043" t="s">
        <v>5068</v>
      </c>
      <c r="F2043" t="s">
        <v>4051</v>
      </c>
      <c r="G2043">
        <v>1.23</v>
      </c>
      <c r="H2043" s="2">
        <v>17845.35</v>
      </c>
      <c r="I2043" s="2">
        <v>21949.78</v>
      </c>
    </row>
    <row r="2044" spans="1:9" x14ac:dyDescent="0.25">
      <c r="A2044" t="s">
        <v>1117</v>
      </c>
      <c r="B2044" t="s">
        <v>1118</v>
      </c>
      <c r="C2044" t="s">
        <v>42</v>
      </c>
      <c r="D2044" t="s">
        <v>4052</v>
      </c>
      <c r="E2044" t="s">
        <v>4053</v>
      </c>
      <c r="F2044" t="s">
        <v>4054</v>
      </c>
      <c r="G2044">
        <v>5</v>
      </c>
      <c r="H2044" s="2">
        <v>34732.44</v>
      </c>
      <c r="I2044" s="2">
        <v>1736.62</v>
      </c>
    </row>
    <row r="2045" spans="1:9" x14ac:dyDescent="0.25">
      <c r="A2045" t="s">
        <v>1120</v>
      </c>
      <c r="B2045" t="s">
        <v>1121</v>
      </c>
      <c r="C2045" t="s">
        <v>21</v>
      </c>
      <c r="D2045" t="s">
        <v>4062</v>
      </c>
      <c r="E2045" t="s">
        <v>5121</v>
      </c>
      <c r="F2045" t="s">
        <v>4377</v>
      </c>
      <c r="G2045">
        <v>0.06</v>
      </c>
      <c r="H2045" s="2">
        <v>33633</v>
      </c>
      <c r="I2045" s="2">
        <v>2017.98</v>
      </c>
    </row>
    <row r="2046" spans="1:9" x14ac:dyDescent="0.25">
      <c r="A2046" t="s">
        <v>1120</v>
      </c>
      <c r="B2046" t="s">
        <v>1121</v>
      </c>
      <c r="C2046" t="s">
        <v>21</v>
      </c>
      <c r="D2046" t="s">
        <v>4049</v>
      </c>
      <c r="E2046" t="s">
        <v>5067</v>
      </c>
      <c r="F2046" t="s">
        <v>4051</v>
      </c>
      <c r="G2046">
        <v>0.17</v>
      </c>
      <c r="H2046" s="2">
        <v>10392.41</v>
      </c>
      <c r="I2046" s="2">
        <v>1766.71</v>
      </c>
    </row>
    <row r="2047" spans="1:9" x14ac:dyDescent="0.25">
      <c r="A2047" t="s">
        <v>1120</v>
      </c>
      <c r="B2047" t="s">
        <v>1121</v>
      </c>
      <c r="C2047" t="s">
        <v>21</v>
      </c>
      <c r="D2047" t="s">
        <v>4049</v>
      </c>
      <c r="E2047" t="s">
        <v>5068</v>
      </c>
      <c r="F2047" t="s">
        <v>4051</v>
      </c>
      <c r="G2047">
        <v>0.17</v>
      </c>
      <c r="H2047" s="2">
        <v>17845.35</v>
      </c>
      <c r="I2047" s="2">
        <v>3033.71</v>
      </c>
    </row>
    <row r="2048" spans="1:9" x14ac:dyDescent="0.25">
      <c r="A2048" t="s">
        <v>1120</v>
      </c>
      <c r="B2048" t="s">
        <v>1121</v>
      </c>
      <c r="C2048" t="s">
        <v>21</v>
      </c>
      <c r="D2048" t="s">
        <v>4052</v>
      </c>
      <c r="E2048" t="s">
        <v>4105</v>
      </c>
      <c r="F2048" t="s">
        <v>4106</v>
      </c>
      <c r="G2048">
        <v>0.3</v>
      </c>
      <c r="H2048" s="2">
        <v>25125</v>
      </c>
      <c r="I2048" s="2">
        <v>7537.5</v>
      </c>
    </row>
    <row r="2049" spans="1:9" x14ac:dyDescent="0.25">
      <c r="A2049" t="s">
        <v>1120</v>
      </c>
      <c r="B2049" t="s">
        <v>1121</v>
      </c>
      <c r="C2049" t="s">
        <v>21</v>
      </c>
      <c r="D2049" t="s">
        <v>4052</v>
      </c>
      <c r="E2049" t="s">
        <v>4053</v>
      </c>
      <c r="F2049" t="s">
        <v>4054</v>
      </c>
      <c r="G2049">
        <v>12</v>
      </c>
      <c r="H2049" s="2">
        <v>4800.42</v>
      </c>
      <c r="I2049" s="2">
        <v>576.05</v>
      </c>
    </row>
    <row r="2050" spans="1:9" x14ac:dyDescent="0.25">
      <c r="A2050" t="s">
        <v>1123</v>
      </c>
      <c r="B2050" t="s">
        <v>1124</v>
      </c>
      <c r="C2050" t="s">
        <v>21</v>
      </c>
      <c r="D2050" t="s">
        <v>4062</v>
      </c>
      <c r="E2050" t="s">
        <v>5121</v>
      </c>
      <c r="F2050" t="s">
        <v>4377</v>
      </c>
      <c r="G2050">
        <v>0.04</v>
      </c>
      <c r="H2050" s="2">
        <v>33633</v>
      </c>
      <c r="I2050" s="2">
        <v>1345.32</v>
      </c>
    </row>
    <row r="2051" spans="1:9" x14ac:dyDescent="0.25">
      <c r="A2051" t="s">
        <v>1123</v>
      </c>
      <c r="B2051" t="s">
        <v>1124</v>
      </c>
      <c r="C2051" t="s">
        <v>21</v>
      </c>
      <c r="D2051" t="s">
        <v>4049</v>
      </c>
      <c r="E2051" t="s">
        <v>5067</v>
      </c>
      <c r="F2051" t="s">
        <v>4051</v>
      </c>
      <c r="G2051">
        <v>0.15</v>
      </c>
      <c r="H2051" s="2">
        <v>10392.41</v>
      </c>
      <c r="I2051" s="2">
        <v>1558.86</v>
      </c>
    </row>
    <row r="2052" spans="1:9" x14ac:dyDescent="0.25">
      <c r="A2052" t="s">
        <v>1123</v>
      </c>
      <c r="B2052" t="s">
        <v>1124</v>
      </c>
      <c r="C2052" t="s">
        <v>21</v>
      </c>
      <c r="D2052" t="s">
        <v>4049</v>
      </c>
      <c r="E2052" t="s">
        <v>5068</v>
      </c>
      <c r="F2052" t="s">
        <v>4051</v>
      </c>
      <c r="G2052">
        <v>0.15</v>
      </c>
      <c r="H2052" s="2">
        <v>17845.35</v>
      </c>
      <c r="I2052" s="2">
        <v>2676.8</v>
      </c>
    </row>
    <row r="2053" spans="1:9" x14ac:dyDescent="0.25">
      <c r="A2053" t="s">
        <v>1123</v>
      </c>
      <c r="B2053" t="s">
        <v>1124</v>
      </c>
      <c r="C2053" t="s">
        <v>21</v>
      </c>
      <c r="D2053" t="s">
        <v>4052</v>
      </c>
      <c r="E2053" t="s">
        <v>4053</v>
      </c>
      <c r="F2053" t="s">
        <v>4054</v>
      </c>
      <c r="G2053">
        <v>12</v>
      </c>
      <c r="H2053" s="2">
        <v>4235.66</v>
      </c>
      <c r="I2053" s="2">
        <v>508.28</v>
      </c>
    </row>
    <row r="2054" spans="1:9" x14ac:dyDescent="0.25">
      <c r="A2054" t="s">
        <v>1126</v>
      </c>
      <c r="B2054" t="s">
        <v>1128</v>
      </c>
      <c r="C2054" t="s">
        <v>21</v>
      </c>
      <c r="D2054" t="s">
        <v>4062</v>
      </c>
      <c r="E2054" t="s">
        <v>4492</v>
      </c>
      <c r="F2054" t="s">
        <v>34</v>
      </c>
      <c r="G2054">
        <v>0.04</v>
      </c>
      <c r="H2054" s="2">
        <v>68425</v>
      </c>
      <c r="I2054" s="2">
        <v>2737</v>
      </c>
    </row>
    <row r="2055" spans="1:9" x14ac:dyDescent="0.25">
      <c r="A2055" t="s">
        <v>1126</v>
      </c>
      <c r="B2055" t="s">
        <v>1128</v>
      </c>
      <c r="C2055" t="s">
        <v>21</v>
      </c>
      <c r="D2055" t="s">
        <v>4062</v>
      </c>
      <c r="E2055" t="s">
        <v>4690</v>
      </c>
      <c r="F2055" t="s">
        <v>231</v>
      </c>
      <c r="G2055">
        <v>0.51</v>
      </c>
      <c r="H2055" s="2">
        <v>2025</v>
      </c>
      <c r="I2055" s="2">
        <v>1032.75</v>
      </c>
    </row>
    <row r="2056" spans="1:9" x14ac:dyDescent="0.25">
      <c r="A2056" t="s">
        <v>1126</v>
      </c>
      <c r="B2056" t="s">
        <v>1128</v>
      </c>
      <c r="C2056" t="s">
        <v>21</v>
      </c>
      <c r="D2056" t="s">
        <v>4062</v>
      </c>
      <c r="E2056" t="s">
        <v>4475</v>
      </c>
      <c r="F2056" t="s">
        <v>231</v>
      </c>
      <c r="G2056">
        <v>9.41</v>
      </c>
      <c r="H2056" s="2">
        <v>730</v>
      </c>
      <c r="I2056" s="2">
        <v>6869.3</v>
      </c>
    </row>
    <row r="2057" spans="1:9" x14ac:dyDescent="0.25">
      <c r="A2057" t="s">
        <v>1126</v>
      </c>
      <c r="B2057" t="s">
        <v>1128</v>
      </c>
      <c r="C2057" t="s">
        <v>21</v>
      </c>
      <c r="D2057" t="s">
        <v>4062</v>
      </c>
      <c r="E2057" t="s">
        <v>5128</v>
      </c>
      <c r="F2057" t="s">
        <v>21</v>
      </c>
      <c r="G2057">
        <v>1.03</v>
      </c>
      <c r="H2057" s="2">
        <v>71911</v>
      </c>
      <c r="I2057" s="2">
        <v>74068.33</v>
      </c>
    </row>
    <row r="2058" spans="1:9" x14ac:dyDescent="0.25">
      <c r="A2058" t="s">
        <v>1126</v>
      </c>
      <c r="B2058" t="s">
        <v>1128</v>
      </c>
      <c r="C2058" t="s">
        <v>21</v>
      </c>
      <c r="D2058" t="s">
        <v>4062</v>
      </c>
      <c r="E2058" t="s">
        <v>4076</v>
      </c>
      <c r="F2058" t="s">
        <v>3963</v>
      </c>
      <c r="G2058">
        <v>6.48</v>
      </c>
      <c r="H2058" s="2">
        <v>21</v>
      </c>
      <c r="I2058" s="2">
        <v>136.08</v>
      </c>
    </row>
    <row r="2059" spans="1:9" x14ac:dyDescent="0.25">
      <c r="A2059" t="s">
        <v>1126</v>
      </c>
      <c r="B2059" t="s">
        <v>1128</v>
      </c>
      <c r="C2059" t="s">
        <v>21</v>
      </c>
      <c r="D2059" t="s">
        <v>4049</v>
      </c>
      <c r="E2059" t="s">
        <v>4050</v>
      </c>
      <c r="F2059" t="s">
        <v>4051</v>
      </c>
      <c r="G2059">
        <v>1.3</v>
      </c>
      <c r="H2059" s="2">
        <v>9037.33</v>
      </c>
      <c r="I2059" s="2">
        <v>11748.53</v>
      </c>
    </row>
    <row r="2060" spans="1:9" x14ac:dyDescent="0.25">
      <c r="A2060" t="s">
        <v>1126</v>
      </c>
      <c r="B2060" t="s">
        <v>1128</v>
      </c>
      <c r="C2060" t="s">
        <v>21</v>
      </c>
      <c r="D2060" t="s">
        <v>4049</v>
      </c>
      <c r="E2060" t="s">
        <v>4073</v>
      </c>
      <c r="F2060" t="s">
        <v>4051</v>
      </c>
      <c r="G2060">
        <v>1.3</v>
      </c>
      <c r="H2060" s="2">
        <v>15517.89</v>
      </c>
      <c r="I2060" s="2">
        <v>20173.26</v>
      </c>
    </row>
    <row r="2061" spans="1:9" x14ac:dyDescent="0.25">
      <c r="A2061" t="s">
        <v>1126</v>
      </c>
      <c r="B2061" t="s">
        <v>1128</v>
      </c>
      <c r="C2061" t="s">
        <v>21</v>
      </c>
      <c r="D2061" t="s">
        <v>4052</v>
      </c>
      <c r="E2061" t="s">
        <v>4105</v>
      </c>
      <c r="F2061" t="s">
        <v>4106</v>
      </c>
      <c r="G2061">
        <v>0.25</v>
      </c>
      <c r="H2061" s="2">
        <v>25125</v>
      </c>
      <c r="I2061" s="2">
        <v>6281.25</v>
      </c>
    </row>
    <row r="2062" spans="1:9" x14ac:dyDescent="0.25">
      <c r="A2062" t="s">
        <v>1126</v>
      </c>
      <c r="B2062" t="s">
        <v>1128</v>
      </c>
      <c r="C2062" t="s">
        <v>21</v>
      </c>
      <c r="D2062" t="s">
        <v>4052</v>
      </c>
      <c r="E2062" t="s">
        <v>4053</v>
      </c>
      <c r="F2062" t="s">
        <v>4054</v>
      </c>
      <c r="G2062">
        <v>3.3</v>
      </c>
      <c r="H2062" s="2">
        <v>31921.79</v>
      </c>
      <c r="I2062" s="2">
        <v>1053.42</v>
      </c>
    </row>
    <row r="2063" spans="1:9" x14ac:dyDescent="0.25">
      <c r="A2063" t="s">
        <v>1133</v>
      </c>
      <c r="B2063" t="s">
        <v>1134</v>
      </c>
      <c r="C2063" t="s">
        <v>21</v>
      </c>
      <c r="D2063" t="s">
        <v>4062</v>
      </c>
      <c r="E2063" t="s">
        <v>4474</v>
      </c>
      <c r="F2063" t="s">
        <v>34</v>
      </c>
      <c r="G2063">
        <v>0.04</v>
      </c>
      <c r="H2063" s="2">
        <v>114500</v>
      </c>
      <c r="I2063" s="2">
        <v>4580</v>
      </c>
    </row>
    <row r="2064" spans="1:9" x14ac:dyDescent="0.25">
      <c r="A2064" t="s">
        <v>1133</v>
      </c>
      <c r="B2064" t="s">
        <v>1134</v>
      </c>
      <c r="C2064" t="s">
        <v>21</v>
      </c>
      <c r="D2064" t="s">
        <v>4062</v>
      </c>
      <c r="E2064" t="s">
        <v>4690</v>
      </c>
      <c r="F2064" t="s">
        <v>231</v>
      </c>
      <c r="G2064">
        <v>0.51</v>
      </c>
      <c r="H2064" s="2">
        <v>2025</v>
      </c>
      <c r="I2064" s="2">
        <v>1032.75</v>
      </c>
    </row>
    <row r="2065" spans="1:9" x14ac:dyDescent="0.25">
      <c r="A2065" t="s">
        <v>1133</v>
      </c>
      <c r="B2065" t="s">
        <v>1134</v>
      </c>
      <c r="C2065" t="s">
        <v>21</v>
      </c>
      <c r="D2065" t="s">
        <v>4062</v>
      </c>
      <c r="E2065" t="s">
        <v>4475</v>
      </c>
      <c r="F2065" t="s">
        <v>231</v>
      </c>
      <c r="G2065">
        <v>9.41</v>
      </c>
      <c r="H2065" s="2">
        <v>730</v>
      </c>
      <c r="I2065" s="2">
        <v>6869.3</v>
      </c>
    </row>
    <row r="2066" spans="1:9" x14ac:dyDescent="0.25">
      <c r="A2066" t="s">
        <v>1133</v>
      </c>
      <c r="B2066" t="s">
        <v>1134</v>
      </c>
      <c r="C2066" t="s">
        <v>21</v>
      </c>
      <c r="D2066" t="s">
        <v>4062</v>
      </c>
      <c r="E2066" t="s">
        <v>5131</v>
      </c>
      <c r="F2066" t="s">
        <v>21</v>
      </c>
      <c r="G2066">
        <v>1.03</v>
      </c>
      <c r="H2066" s="2">
        <v>110200</v>
      </c>
      <c r="I2066" s="2">
        <v>113506</v>
      </c>
    </row>
    <row r="2067" spans="1:9" x14ac:dyDescent="0.25">
      <c r="A2067" t="s">
        <v>1133</v>
      </c>
      <c r="B2067" t="s">
        <v>1134</v>
      </c>
      <c r="C2067" t="s">
        <v>21</v>
      </c>
      <c r="D2067" t="s">
        <v>4062</v>
      </c>
      <c r="E2067" t="s">
        <v>4076</v>
      </c>
      <c r="F2067" t="s">
        <v>3963</v>
      </c>
      <c r="G2067">
        <v>6.48</v>
      </c>
      <c r="H2067" s="2">
        <v>21</v>
      </c>
      <c r="I2067" s="2">
        <v>136.08</v>
      </c>
    </row>
    <row r="2068" spans="1:9" x14ac:dyDescent="0.25">
      <c r="A2068" t="s">
        <v>1133</v>
      </c>
      <c r="B2068" t="s">
        <v>1134</v>
      </c>
      <c r="C2068" t="s">
        <v>21</v>
      </c>
      <c r="D2068" t="s">
        <v>4049</v>
      </c>
      <c r="E2068" t="s">
        <v>4050</v>
      </c>
      <c r="F2068" t="s">
        <v>4051</v>
      </c>
      <c r="G2068">
        <v>1.3</v>
      </c>
      <c r="H2068" s="2">
        <v>9037.33</v>
      </c>
      <c r="I2068" s="2">
        <v>11748.53</v>
      </c>
    </row>
    <row r="2069" spans="1:9" x14ac:dyDescent="0.25">
      <c r="A2069" t="s">
        <v>1133</v>
      </c>
      <c r="B2069" t="s">
        <v>1134</v>
      </c>
      <c r="C2069" t="s">
        <v>21</v>
      </c>
      <c r="D2069" t="s">
        <v>4049</v>
      </c>
      <c r="E2069" t="s">
        <v>4073</v>
      </c>
      <c r="F2069" t="s">
        <v>4051</v>
      </c>
      <c r="G2069">
        <v>1.3</v>
      </c>
      <c r="H2069" s="2">
        <v>15517.89</v>
      </c>
      <c r="I2069" s="2">
        <v>20173.26</v>
      </c>
    </row>
    <row r="2070" spans="1:9" x14ac:dyDescent="0.25">
      <c r="A2070" t="s">
        <v>1133</v>
      </c>
      <c r="B2070" t="s">
        <v>1134</v>
      </c>
      <c r="C2070" t="s">
        <v>21</v>
      </c>
      <c r="D2070" t="s">
        <v>4052</v>
      </c>
      <c r="E2070" t="s">
        <v>4105</v>
      </c>
      <c r="F2070" t="s">
        <v>4106</v>
      </c>
      <c r="G2070">
        <v>0.25</v>
      </c>
      <c r="H2070" s="2">
        <v>25125</v>
      </c>
      <c r="I2070" s="2">
        <v>6281.25</v>
      </c>
    </row>
    <row r="2071" spans="1:9" x14ac:dyDescent="0.25">
      <c r="A2071" t="s">
        <v>1133</v>
      </c>
      <c r="B2071" t="s">
        <v>1134</v>
      </c>
      <c r="C2071" t="s">
        <v>21</v>
      </c>
      <c r="D2071" t="s">
        <v>4052</v>
      </c>
      <c r="E2071" t="s">
        <v>4053</v>
      </c>
      <c r="F2071" t="s">
        <v>4054</v>
      </c>
      <c r="G2071">
        <v>3.3</v>
      </c>
      <c r="H2071" s="2">
        <v>31921.79</v>
      </c>
      <c r="I2071" s="2">
        <v>1053.42</v>
      </c>
    </row>
    <row r="2072" spans="1:9" x14ac:dyDescent="0.25">
      <c r="A2072" t="s">
        <v>1136</v>
      </c>
      <c r="B2072" t="s">
        <v>1137</v>
      </c>
      <c r="C2072" t="s">
        <v>21</v>
      </c>
      <c r="D2072" t="s">
        <v>4062</v>
      </c>
      <c r="E2072" t="s">
        <v>4474</v>
      </c>
      <c r="F2072" t="s">
        <v>34</v>
      </c>
      <c r="G2072">
        <v>0.04</v>
      </c>
      <c r="H2072" s="2">
        <v>114500</v>
      </c>
      <c r="I2072" s="2">
        <v>4580</v>
      </c>
    </row>
    <row r="2073" spans="1:9" x14ac:dyDescent="0.25">
      <c r="A2073" t="s">
        <v>1136</v>
      </c>
      <c r="B2073" t="s">
        <v>1137</v>
      </c>
      <c r="C2073" t="s">
        <v>21</v>
      </c>
      <c r="D2073" t="s">
        <v>4062</v>
      </c>
      <c r="E2073" t="s">
        <v>4690</v>
      </c>
      <c r="F2073" t="s">
        <v>231</v>
      </c>
      <c r="G2073">
        <v>0.51</v>
      </c>
      <c r="H2073" s="2">
        <v>2025</v>
      </c>
      <c r="I2073" s="2">
        <v>1032.75</v>
      </c>
    </row>
    <row r="2074" spans="1:9" x14ac:dyDescent="0.25">
      <c r="A2074" t="s">
        <v>1136</v>
      </c>
      <c r="B2074" t="s">
        <v>1137</v>
      </c>
      <c r="C2074" t="s">
        <v>21</v>
      </c>
      <c r="D2074" t="s">
        <v>4062</v>
      </c>
      <c r="E2074" t="s">
        <v>4475</v>
      </c>
      <c r="F2074" t="s">
        <v>231</v>
      </c>
      <c r="G2074">
        <v>9.41</v>
      </c>
      <c r="H2074" s="2">
        <v>730</v>
      </c>
      <c r="I2074" s="2">
        <v>6869.3</v>
      </c>
    </row>
    <row r="2075" spans="1:9" x14ac:dyDescent="0.25">
      <c r="A2075" t="s">
        <v>1136</v>
      </c>
      <c r="B2075" t="s">
        <v>1137</v>
      </c>
      <c r="C2075" t="s">
        <v>21</v>
      </c>
      <c r="D2075" t="s">
        <v>4062</v>
      </c>
      <c r="E2075" t="s">
        <v>5134</v>
      </c>
      <c r="F2075" t="s">
        <v>21</v>
      </c>
      <c r="G2075">
        <v>1.03</v>
      </c>
      <c r="H2075" s="2">
        <v>53915</v>
      </c>
      <c r="I2075" s="2">
        <v>55532.45</v>
      </c>
    </row>
    <row r="2076" spans="1:9" x14ac:dyDescent="0.25">
      <c r="A2076" t="s">
        <v>1136</v>
      </c>
      <c r="B2076" t="s">
        <v>1137</v>
      </c>
      <c r="C2076" t="s">
        <v>21</v>
      </c>
      <c r="D2076" t="s">
        <v>4062</v>
      </c>
      <c r="E2076" t="s">
        <v>4076</v>
      </c>
      <c r="F2076" t="s">
        <v>3963</v>
      </c>
      <c r="G2076">
        <v>6.48</v>
      </c>
      <c r="H2076" s="2">
        <v>21</v>
      </c>
      <c r="I2076" s="2">
        <v>136.08</v>
      </c>
    </row>
    <row r="2077" spans="1:9" x14ac:dyDescent="0.25">
      <c r="A2077" t="s">
        <v>1136</v>
      </c>
      <c r="B2077" t="s">
        <v>1137</v>
      </c>
      <c r="C2077" t="s">
        <v>21</v>
      </c>
      <c r="D2077" t="s">
        <v>4049</v>
      </c>
      <c r="E2077" t="s">
        <v>4050</v>
      </c>
      <c r="F2077" t="s">
        <v>4051</v>
      </c>
      <c r="G2077">
        <v>1.3</v>
      </c>
      <c r="H2077" s="2">
        <v>9037.33</v>
      </c>
      <c r="I2077" s="2">
        <v>11748.53</v>
      </c>
    </row>
    <row r="2078" spans="1:9" x14ac:dyDescent="0.25">
      <c r="A2078" t="s">
        <v>1136</v>
      </c>
      <c r="B2078" t="s">
        <v>1137</v>
      </c>
      <c r="C2078" t="s">
        <v>21</v>
      </c>
      <c r="D2078" t="s">
        <v>4049</v>
      </c>
      <c r="E2078" t="s">
        <v>4073</v>
      </c>
      <c r="F2078" t="s">
        <v>4051</v>
      </c>
      <c r="G2078">
        <v>1.3</v>
      </c>
      <c r="H2078" s="2">
        <v>15517.89</v>
      </c>
      <c r="I2078" s="2">
        <v>20173.26</v>
      </c>
    </row>
    <row r="2079" spans="1:9" x14ac:dyDescent="0.25">
      <c r="A2079" t="s">
        <v>1136</v>
      </c>
      <c r="B2079" t="s">
        <v>1137</v>
      </c>
      <c r="C2079" t="s">
        <v>21</v>
      </c>
      <c r="D2079" t="s">
        <v>4052</v>
      </c>
      <c r="E2079" t="s">
        <v>4105</v>
      </c>
      <c r="F2079" t="s">
        <v>4106</v>
      </c>
      <c r="G2079">
        <v>0.25</v>
      </c>
      <c r="H2079" s="2">
        <v>25125</v>
      </c>
      <c r="I2079" s="2">
        <v>6281.25</v>
      </c>
    </row>
    <row r="2080" spans="1:9" x14ac:dyDescent="0.25">
      <c r="A2080" t="s">
        <v>1136</v>
      </c>
      <c r="B2080" t="s">
        <v>1137</v>
      </c>
      <c r="C2080" t="s">
        <v>21</v>
      </c>
      <c r="D2080" t="s">
        <v>4052</v>
      </c>
      <c r="E2080" t="s">
        <v>4053</v>
      </c>
      <c r="F2080" t="s">
        <v>4054</v>
      </c>
      <c r="G2080">
        <v>3.3</v>
      </c>
      <c r="H2080" s="2">
        <v>31921.79</v>
      </c>
      <c r="I2080" s="2">
        <v>1053.42</v>
      </c>
    </row>
    <row r="2081" spans="1:9" x14ac:dyDescent="0.25">
      <c r="A2081" t="s">
        <v>1139</v>
      </c>
      <c r="B2081" t="s">
        <v>1140</v>
      </c>
      <c r="C2081" t="s">
        <v>21</v>
      </c>
      <c r="D2081" t="s">
        <v>4062</v>
      </c>
      <c r="E2081" t="s">
        <v>4690</v>
      </c>
      <c r="F2081" t="s">
        <v>231</v>
      </c>
      <c r="G2081">
        <v>0.7</v>
      </c>
      <c r="H2081" s="2">
        <v>2025</v>
      </c>
      <c r="I2081" s="2">
        <v>1417.5</v>
      </c>
    </row>
    <row r="2082" spans="1:9" x14ac:dyDescent="0.25">
      <c r="A2082" t="s">
        <v>1139</v>
      </c>
      <c r="B2082" t="s">
        <v>1140</v>
      </c>
      <c r="C2082" t="s">
        <v>21</v>
      </c>
      <c r="D2082" t="s">
        <v>4062</v>
      </c>
      <c r="E2082" t="s">
        <v>5137</v>
      </c>
      <c r="F2082" t="s">
        <v>21</v>
      </c>
      <c r="G2082">
        <v>1.05</v>
      </c>
      <c r="H2082" s="2">
        <v>23750</v>
      </c>
      <c r="I2082" s="2">
        <v>24937.5</v>
      </c>
    </row>
    <row r="2083" spans="1:9" x14ac:dyDescent="0.25">
      <c r="A2083" t="s">
        <v>1139</v>
      </c>
      <c r="B2083" t="s">
        <v>1140</v>
      </c>
      <c r="C2083" t="s">
        <v>21</v>
      </c>
      <c r="D2083" t="s">
        <v>4062</v>
      </c>
      <c r="E2083" t="s">
        <v>5138</v>
      </c>
      <c r="F2083" t="s">
        <v>231</v>
      </c>
      <c r="G2083">
        <v>0.5</v>
      </c>
      <c r="H2083" s="2">
        <v>4605.46</v>
      </c>
      <c r="I2083" s="2">
        <v>2302.73</v>
      </c>
    </row>
    <row r="2084" spans="1:9" x14ac:dyDescent="0.25">
      <c r="A2084" t="s">
        <v>1139</v>
      </c>
      <c r="B2084" t="s">
        <v>1140</v>
      </c>
      <c r="C2084" t="s">
        <v>21</v>
      </c>
      <c r="D2084" t="s">
        <v>4062</v>
      </c>
      <c r="E2084" t="s">
        <v>5139</v>
      </c>
      <c r="F2084" t="s">
        <v>231</v>
      </c>
      <c r="G2084">
        <v>3.15</v>
      </c>
      <c r="H2084" s="2">
        <v>1385</v>
      </c>
      <c r="I2084" s="2">
        <v>4362.75</v>
      </c>
    </row>
    <row r="2085" spans="1:9" x14ac:dyDescent="0.25">
      <c r="A2085" t="s">
        <v>1139</v>
      </c>
      <c r="B2085" t="s">
        <v>1140</v>
      </c>
      <c r="C2085" t="s">
        <v>21</v>
      </c>
      <c r="D2085" t="s">
        <v>4062</v>
      </c>
      <c r="E2085" t="s">
        <v>4076</v>
      </c>
      <c r="F2085" t="s">
        <v>3963</v>
      </c>
      <c r="G2085">
        <v>3</v>
      </c>
      <c r="H2085" s="2">
        <v>21</v>
      </c>
      <c r="I2085" s="2">
        <v>63</v>
      </c>
    </row>
    <row r="2086" spans="1:9" x14ac:dyDescent="0.25">
      <c r="A2086" t="s">
        <v>1139</v>
      </c>
      <c r="B2086" t="s">
        <v>1140</v>
      </c>
      <c r="C2086" t="s">
        <v>21</v>
      </c>
      <c r="D2086" t="s">
        <v>4049</v>
      </c>
      <c r="E2086" t="s">
        <v>4050</v>
      </c>
      <c r="F2086" t="s">
        <v>4051</v>
      </c>
      <c r="G2086">
        <v>0.8</v>
      </c>
      <c r="H2086" s="2">
        <v>9037.33</v>
      </c>
      <c r="I2086" s="2">
        <v>7229.86</v>
      </c>
    </row>
    <row r="2087" spans="1:9" x14ac:dyDescent="0.25">
      <c r="A2087" t="s">
        <v>1139</v>
      </c>
      <c r="B2087" t="s">
        <v>1140</v>
      </c>
      <c r="C2087" t="s">
        <v>21</v>
      </c>
      <c r="D2087" t="s">
        <v>4049</v>
      </c>
      <c r="E2087" t="s">
        <v>4073</v>
      </c>
      <c r="F2087" t="s">
        <v>4051</v>
      </c>
      <c r="G2087">
        <v>0.8</v>
      </c>
      <c r="H2087" s="2">
        <v>15517.89</v>
      </c>
      <c r="I2087" s="2">
        <v>12414.31</v>
      </c>
    </row>
    <row r="2088" spans="1:9" x14ac:dyDescent="0.25">
      <c r="A2088" t="s">
        <v>1139</v>
      </c>
      <c r="B2088" t="s">
        <v>1140</v>
      </c>
      <c r="C2088" t="s">
        <v>21</v>
      </c>
      <c r="D2088" t="s">
        <v>4052</v>
      </c>
      <c r="E2088" t="s">
        <v>4053</v>
      </c>
      <c r="F2088" t="s">
        <v>4054</v>
      </c>
      <c r="G2088">
        <v>3.3</v>
      </c>
      <c r="H2088" s="2">
        <v>19644.17</v>
      </c>
      <c r="I2088" s="2">
        <v>648.26</v>
      </c>
    </row>
    <row r="2089" spans="1:9" x14ac:dyDescent="0.25">
      <c r="A2089" t="s">
        <v>1142</v>
      </c>
      <c r="B2089" t="s">
        <v>1143</v>
      </c>
      <c r="C2089" t="s">
        <v>21</v>
      </c>
      <c r="D2089" t="s">
        <v>4062</v>
      </c>
      <c r="E2089" t="s">
        <v>4690</v>
      </c>
      <c r="F2089" t="s">
        <v>231</v>
      </c>
      <c r="G2089">
        <v>0.7</v>
      </c>
      <c r="H2089" s="2">
        <v>2025</v>
      </c>
      <c r="I2089" s="2">
        <v>1417.5</v>
      </c>
    </row>
    <row r="2090" spans="1:9" x14ac:dyDescent="0.25">
      <c r="A2090" t="s">
        <v>1142</v>
      </c>
      <c r="B2090" t="s">
        <v>1143</v>
      </c>
      <c r="C2090" t="s">
        <v>21</v>
      </c>
      <c r="D2090" t="s">
        <v>4062</v>
      </c>
      <c r="E2090" t="s">
        <v>5142</v>
      </c>
      <c r="F2090" t="s">
        <v>21</v>
      </c>
      <c r="G2090">
        <v>1.05</v>
      </c>
      <c r="H2090" s="2">
        <v>24400</v>
      </c>
      <c r="I2090" s="2">
        <v>25620</v>
      </c>
    </row>
    <row r="2091" spans="1:9" x14ac:dyDescent="0.25">
      <c r="A2091" t="s">
        <v>1142</v>
      </c>
      <c r="B2091" t="s">
        <v>1143</v>
      </c>
      <c r="C2091" t="s">
        <v>21</v>
      </c>
      <c r="D2091" t="s">
        <v>4062</v>
      </c>
      <c r="E2091" t="s">
        <v>5138</v>
      </c>
      <c r="F2091" t="s">
        <v>231</v>
      </c>
      <c r="G2091">
        <v>0.5</v>
      </c>
      <c r="H2091" s="2">
        <v>4605.46</v>
      </c>
      <c r="I2091" s="2">
        <v>2302.73</v>
      </c>
    </row>
    <row r="2092" spans="1:9" x14ac:dyDescent="0.25">
      <c r="A2092" t="s">
        <v>1142</v>
      </c>
      <c r="B2092" t="s">
        <v>1143</v>
      </c>
      <c r="C2092" t="s">
        <v>21</v>
      </c>
      <c r="D2092" t="s">
        <v>4062</v>
      </c>
      <c r="E2092" t="s">
        <v>5139</v>
      </c>
      <c r="F2092" t="s">
        <v>231</v>
      </c>
      <c r="G2092">
        <v>3.15</v>
      </c>
      <c r="H2092" s="2">
        <v>1385</v>
      </c>
      <c r="I2092" s="2">
        <v>4362.75</v>
      </c>
    </row>
    <row r="2093" spans="1:9" x14ac:dyDescent="0.25">
      <c r="A2093" t="s">
        <v>1142</v>
      </c>
      <c r="B2093" t="s">
        <v>1143</v>
      </c>
      <c r="C2093" t="s">
        <v>21</v>
      </c>
      <c r="D2093" t="s">
        <v>4062</v>
      </c>
      <c r="E2093" t="s">
        <v>4076</v>
      </c>
      <c r="F2093" t="s">
        <v>3963</v>
      </c>
      <c r="G2093">
        <v>3</v>
      </c>
      <c r="H2093" s="2">
        <v>21</v>
      </c>
      <c r="I2093" s="2">
        <v>63</v>
      </c>
    </row>
    <row r="2094" spans="1:9" x14ac:dyDescent="0.25">
      <c r="A2094" t="s">
        <v>1142</v>
      </c>
      <c r="B2094" t="s">
        <v>1143</v>
      </c>
      <c r="C2094" t="s">
        <v>21</v>
      </c>
      <c r="D2094" t="s">
        <v>4049</v>
      </c>
      <c r="E2094" t="s">
        <v>4050</v>
      </c>
      <c r="F2094" t="s">
        <v>4051</v>
      </c>
      <c r="G2094">
        <v>0.74</v>
      </c>
      <c r="H2094" s="2">
        <v>9037.33</v>
      </c>
      <c r="I2094" s="2">
        <v>6687.62</v>
      </c>
    </row>
    <row r="2095" spans="1:9" x14ac:dyDescent="0.25">
      <c r="A2095" t="s">
        <v>1142</v>
      </c>
      <c r="B2095" t="s">
        <v>1143</v>
      </c>
      <c r="C2095" t="s">
        <v>21</v>
      </c>
      <c r="D2095" t="s">
        <v>4049</v>
      </c>
      <c r="E2095" t="s">
        <v>4073</v>
      </c>
      <c r="F2095" t="s">
        <v>4051</v>
      </c>
      <c r="G2095">
        <v>0.73</v>
      </c>
      <c r="H2095" s="2">
        <v>15517.89</v>
      </c>
      <c r="I2095" s="2">
        <v>11343.58</v>
      </c>
    </row>
    <row r="2096" spans="1:9" x14ac:dyDescent="0.25">
      <c r="A2096" t="s">
        <v>1142</v>
      </c>
      <c r="B2096" t="s">
        <v>1143</v>
      </c>
      <c r="C2096" t="s">
        <v>21</v>
      </c>
      <c r="D2096" t="s">
        <v>4052</v>
      </c>
      <c r="E2096" t="s">
        <v>4053</v>
      </c>
      <c r="F2096" t="s">
        <v>4054</v>
      </c>
      <c r="G2096">
        <v>3.3</v>
      </c>
      <c r="H2096" s="2">
        <v>18031.2</v>
      </c>
      <c r="I2096" s="2">
        <v>595.03</v>
      </c>
    </row>
    <row r="2097" spans="1:9" x14ac:dyDescent="0.25">
      <c r="A2097" t="s">
        <v>1145</v>
      </c>
      <c r="B2097" t="s">
        <v>1146</v>
      </c>
      <c r="C2097" t="s">
        <v>21</v>
      </c>
      <c r="D2097" t="s">
        <v>4062</v>
      </c>
      <c r="E2097" t="s">
        <v>5145</v>
      </c>
      <c r="F2097" t="s">
        <v>21</v>
      </c>
      <c r="G2097">
        <v>1.03</v>
      </c>
      <c r="H2097" s="2">
        <v>148297</v>
      </c>
      <c r="I2097" s="2">
        <v>152745.91</v>
      </c>
    </row>
    <row r="2098" spans="1:9" x14ac:dyDescent="0.25">
      <c r="A2098" t="s">
        <v>1145</v>
      </c>
      <c r="B2098" t="s">
        <v>1146</v>
      </c>
      <c r="C2098" t="s">
        <v>21</v>
      </c>
      <c r="D2098" t="s">
        <v>4062</v>
      </c>
      <c r="E2098" t="s">
        <v>4492</v>
      </c>
      <c r="F2098" t="s">
        <v>34</v>
      </c>
      <c r="G2098">
        <v>0.2</v>
      </c>
      <c r="H2098" s="2">
        <v>68425</v>
      </c>
      <c r="I2098" s="2">
        <v>13685</v>
      </c>
    </row>
    <row r="2099" spans="1:9" x14ac:dyDescent="0.25">
      <c r="A2099" t="s">
        <v>1145</v>
      </c>
      <c r="B2099" t="s">
        <v>1146</v>
      </c>
      <c r="C2099" t="s">
        <v>21</v>
      </c>
      <c r="D2099" t="s">
        <v>4062</v>
      </c>
      <c r="E2099" t="s">
        <v>4475</v>
      </c>
      <c r="F2099" t="s">
        <v>231</v>
      </c>
      <c r="G2099">
        <v>8.31</v>
      </c>
      <c r="H2099" s="2">
        <v>730</v>
      </c>
      <c r="I2099" s="2">
        <v>6066.3</v>
      </c>
    </row>
    <row r="2100" spans="1:9" x14ac:dyDescent="0.25">
      <c r="A2100" t="s">
        <v>1145</v>
      </c>
      <c r="B2100" t="s">
        <v>1146</v>
      </c>
      <c r="C2100" t="s">
        <v>21</v>
      </c>
      <c r="D2100" t="s">
        <v>4062</v>
      </c>
      <c r="E2100" t="s">
        <v>4076</v>
      </c>
      <c r="F2100" t="s">
        <v>3963</v>
      </c>
      <c r="G2100">
        <v>2.85</v>
      </c>
      <c r="H2100" s="2">
        <v>21</v>
      </c>
      <c r="I2100" s="2">
        <v>59.85</v>
      </c>
    </row>
    <row r="2101" spans="1:9" x14ac:dyDescent="0.25">
      <c r="A2101" t="s">
        <v>1145</v>
      </c>
      <c r="B2101" t="s">
        <v>1146</v>
      </c>
      <c r="C2101" t="s">
        <v>21</v>
      </c>
      <c r="D2101" t="s">
        <v>4049</v>
      </c>
      <c r="E2101" t="s">
        <v>4050</v>
      </c>
      <c r="F2101" t="s">
        <v>4051</v>
      </c>
      <c r="G2101">
        <v>1.6</v>
      </c>
      <c r="H2101" s="2">
        <v>9037.33</v>
      </c>
      <c r="I2101" s="2">
        <v>14459.73</v>
      </c>
    </row>
    <row r="2102" spans="1:9" x14ac:dyDescent="0.25">
      <c r="A2102" t="s">
        <v>1145</v>
      </c>
      <c r="B2102" t="s">
        <v>1146</v>
      </c>
      <c r="C2102" t="s">
        <v>21</v>
      </c>
      <c r="D2102" t="s">
        <v>4049</v>
      </c>
      <c r="E2102" t="s">
        <v>4073</v>
      </c>
      <c r="F2102" t="s">
        <v>4051</v>
      </c>
      <c r="G2102">
        <v>1.6</v>
      </c>
      <c r="H2102" s="2">
        <v>15517.89</v>
      </c>
      <c r="I2102" s="2">
        <v>24828.62</v>
      </c>
    </row>
    <row r="2103" spans="1:9" x14ac:dyDescent="0.25">
      <c r="A2103" t="s">
        <v>1145</v>
      </c>
      <c r="B2103" t="s">
        <v>1146</v>
      </c>
      <c r="C2103" t="s">
        <v>21</v>
      </c>
      <c r="D2103" t="s">
        <v>4052</v>
      </c>
      <c r="E2103" t="s">
        <v>4053</v>
      </c>
      <c r="F2103" t="s">
        <v>4054</v>
      </c>
      <c r="G2103">
        <v>3.3</v>
      </c>
      <c r="H2103" s="2">
        <v>39288.35</v>
      </c>
      <c r="I2103" s="2">
        <v>1296.52</v>
      </c>
    </row>
    <row r="2104" spans="1:9" x14ac:dyDescent="0.25">
      <c r="A2104" t="s">
        <v>1149</v>
      </c>
      <c r="B2104" t="s">
        <v>1150</v>
      </c>
      <c r="C2104" t="s">
        <v>1151</v>
      </c>
      <c r="D2104" t="s">
        <v>4062</v>
      </c>
      <c r="E2104" t="s">
        <v>4690</v>
      </c>
      <c r="F2104" t="s">
        <v>231</v>
      </c>
      <c r="G2104">
        <v>1.54</v>
      </c>
      <c r="H2104" s="2">
        <v>2025</v>
      </c>
      <c r="I2104" s="2">
        <v>3118.5</v>
      </c>
    </row>
    <row r="2105" spans="1:9" x14ac:dyDescent="0.25">
      <c r="A2105" t="s">
        <v>1149</v>
      </c>
      <c r="B2105" t="s">
        <v>1150</v>
      </c>
      <c r="C2105" t="s">
        <v>1151</v>
      </c>
      <c r="D2105" t="s">
        <v>4062</v>
      </c>
      <c r="E2105" t="s">
        <v>5148</v>
      </c>
      <c r="F2105" t="s">
        <v>63</v>
      </c>
      <c r="G2105">
        <v>1</v>
      </c>
      <c r="H2105" s="2">
        <v>36350</v>
      </c>
      <c r="I2105" s="2">
        <v>36350</v>
      </c>
    </row>
    <row r="2106" spans="1:9" x14ac:dyDescent="0.25">
      <c r="A2106" t="s">
        <v>1149</v>
      </c>
      <c r="B2106" t="s">
        <v>1150</v>
      </c>
      <c r="C2106" t="s">
        <v>1151</v>
      </c>
      <c r="D2106" t="s">
        <v>4049</v>
      </c>
      <c r="E2106" t="s">
        <v>4050</v>
      </c>
      <c r="F2106" t="s">
        <v>4051</v>
      </c>
      <c r="G2106">
        <v>2</v>
      </c>
      <c r="H2106" s="2">
        <v>9037.33</v>
      </c>
      <c r="I2106" s="2">
        <v>18074.66</v>
      </c>
    </row>
    <row r="2107" spans="1:9" x14ac:dyDescent="0.25">
      <c r="A2107" t="s">
        <v>1149</v>
      </c>
      <c r="B2107" t="s">
        <v>1150</v>
      </c>
      <c r="C2107" t="s">
        <v>1151</v>
      </c>
      <c r="D2107" t="s">
        <v>4049</v>
      </c>
      <c r="E2107" t="s">
        <v>4073</v>
      </c>
      <c r="F2107" t="s">
        <v>4051</v>
      </c>
      <c r="G2107">
        <v>2</v>
      </c>
      <c r="H2107" s="2">
        <v>15517.89</v>
      </c>
      <c r="I2107" s="2">
        <v>31035.78</v>
      </c>
    </row>
    <row r="2108" spans="1:9" x14ac:dyDescent="0.25">
      <c r="A2108" t="s">
        <v>1149</v>
      </c>
      <c r="B2108" t="s">
        <v>1150</v>
      </c>
      <c r="C2108" t="s">
        <v>1151</v>
      </c>
      <c r="D2108" t="s">
        <v>4052</v>
      </c>
      <c r="E2108" t="s">
        <v>4053</v>
      </c>
      <c r="F2108" t="s">
        <v>4054</v>
      </c>
      <c r="G2108">
        <v>3.3</v>
      </c>
      <c r="H2108" s="2">
        <v>49110.44</v>
      </c>
      <c r="I2108" s="2">
        <v>1620.64</v>
      </c>
    </row>
    <row r="2109" spans="1:9" x14ac:dyDescent="0.25">
      <c r="A2109" t="s">
        <v>1155</v>
      </c>
      <c r="B2109" t="s">
        <v>1156</v>
      </c>
      <c r="C2109" t="s">
        <v>1151</v>
      </c>
      <c r="D2109" t="s">
        <v>4062</v>
      </c>
      <c r="E2109" t="s">
        <v>4690</v>
      </c>
      <c r="F2109" t="s">
        <v>231</v>
      </c>
      <c r="G2109">
        <v>1.54</v>
      </c>
      <c r="H2109" s="2">
        <v>2025</v>
      </c>
      <c r="I2109" s="2">
        <v>3118.5</v>
      </c>
    </row>
    <row r="2110" spans="1:9" x14ac:dyDescent="0.25">
      <c r="A2110" t="s">
        <v>1155</v>
      </c>
      <c r="B2110" t="s">
        <v>1156</v>
      </c>
      <c r="C2110" t="s">
        <v>1151</v>
      </c>
      <c r="D2110" t="s">
        <v>4062</v>
      </c>
      <c r="E2110" t="s">
        <v>5151</v>
      </c>
      <c r="F2110" t="s">
        <v>63</v>
      </c>
      <c r="G2110">
        <v>1</v>
      </c>
      <c r="H2110" s="2">
        <v>96400</v>
      </c>
      <c r="I2110" s="2">
        <v>96400</v>
      </c>
    </row>
    <row r="2111" spans="1:9" x14ac:dyDescent="0.25">
      <c r="A2111" t="s">
        <v>1155</v>
      </c>
      <c r="B2111" t="s">
        <v>1156</v>
      </c>
      <c r="C2111" t="s">
        <v>1151</v>
      </c>
      <c r="D2111" t="s">
        <v>4049</v>
      </c>
      <c r="E2111" t="s">
        <v>4050</v>
      </c>
      <c r="F2111" t="s">
        <v>4051</v>
      </c>
      <c r="G2111">
        <v>2</v>
      </c>
      <c r="H2111" s="2">
        <v>9037.33</v>
      </c>
      <c r="I2111" s="2">
        <v>18074.66</v>
      </c>
    </row>
    <row r="2112" spans="1:9" x14ac:dyDescent="0.25">
      <c r="A2112" t="s">
        <v>1155</v>
      </c>
      <c r="B2112" t="s">
        <v>1156</v>
      </c>
      <c r="C2112" t="s">
        <v>1151</v>
      </c>
      <c r="D2112" t="s">
        <v>4049</v>
      </c>
      <c r="E2112" t="s">
        <v>4073</v>
      </c>
      <c r="F2112" t="s">
        <v>4051</v>
      </c>
      <c r="G2112">
        <v>2</v>
      </c>
      <c r="H2112" s="2">
        <v>15517.89</v>
      </c>
      <c r="I2112" s="2">
        <v>31035.78</v>
      </c>
    </row>
    <row r="2113" spans="1:9" x14ac:dyDescent="0.25">
      <c r="A2113" t="s">
        <v>1155</v>
      </c>
      <c r="B2113" t="s">
        <v>1156</v>
      </c>
      <c r="C2113" t="s">
        <v>1151</v>
      </c>
      <c r="D2113" t="s">
        <v>4052</v>
      </c>
      <c r="E2113" t="s">
        <v>4053</v>
      </c>
      <c r="F2113" t="s">
        <v>4054</v>
      </c>
      <c r="G2113">
        <v>3.3</v>
      </c>
      <c r="H2113" s="2">
        <v>49110.44</v>
      </c>
      <c r="I2113" s="2">
        <v>1620.64</v>
      </c>
    </row>
    <row r="2114" spans="1:9" x14ac:dyDescent="0.25">
      <c r="A2114" t="s">
        <v>1158</v>
      </c>
      <c r="B2114" t="s">
        <v>1159</v>
      </c>
      <c r="C2114" t="s">
        <v>1151</v>
      </c>
      <c r="D2114" t="s">
        <v>4062</v>
      </c>
      <c r="E2114" t="s">
        <v>4690</v>
      </c>
      <c r="F2114" t="s">
        <v>231</v>
      </c>
      <c r="G2114">
        <v>1.54</v>
      </c>
      <c r="H2114" s="2">
        <v>2025</v>
      </c>
      <c r="I2114" s="2">
        <v>3118.5</v>
      </c>
    </row>
    <row r="2115" spans="1:9" x14ac:dyDescent="0.25">
      <c r="A2115" t="s">
        <v>1158</v>
      </c>
      <c r="B2115" t="s">
        <v>1159</v>
      </c>
      <c r="C2115" t="s">
        <v>1151</v>
      </c>
      <c r="D2115" t="s">
        <v>4062</v>
      </c>
      <c r="E2115" t="s">
        <v>5154</v>
      </c>
      <c r="F2115" t="s">
        <v>63</v>
      </c>
      <c r="G2115">
        <v>1</v>
      </c>
      <c r="H2115" s="2">
        <v>128437.93</v>
      </c>
      <c r="I2115" s="2">
        <v>128437.93</v>
      </c>
    </row>
    <row r="2116" spans="1:9" x14ac:dyDescent="0.25">
      <c r="A2116" t="s">
        <v>1158</v>
      </c>
      <c r="B2116" t="s">
        <v>1159</v>
      </c>
      <c r="C2116" t="s">
        <v>1151</v>
      </c>
      <c r="D2116" t="s">
        <v>4049</v>
      </c>
      <c r="E2116" t="s">
        <v>4050</v>
      </c>
      <c r="F2116" t="s">
        <v>4051</v>
      </c>
      <c r="G2116">
        <v>2.5</v>
      </c>
      <c r="H2116" s="2">
        <v>9037.33</v>
      </c>
      <c r="I2116" s="2">
        <v>22593.33</v>
      </c>
    </row>
    <row r="2117" spans="1:9" x14ac:dyDescent="0.25">
      <c r="A2117" t="s">
        <v>1158</v>
      </c>
      <c r="B2117" t="s">
        <v>1159</v>
      </c>
      <c r="C2117" t="s">
        <v>1151</v>
      </c>
      <c r="D2117" t="s">
        <v>4049</v>
      </c>
      <c r="E2117" t="s">
        <v>4073</v>
      </c>
      <c r="F2117" t="s">
        <v>4051</v>
      </c>
      <c r="G2117">
        <v>2.5</v>
      </c>
      <c r="H2117" s="2">
        <v>15517.89</v>
      </c>
      <c r="I2117" s="2">
        <v>38794.72</v>
      </c>
    </row>
    <row r="2118" spans="1:9" x14ac:dyDescent="0.25">
      <c r="A2118" t="s">
        <v>1158</v>
      </c>
      <c r="B2118" t="s">
        <v>1159</v>
      </c>
      <c r="C2118" t="s">
        <v>1151</v>
      </c>
      <c r="D2118" t="s">
        <v>4052</v>
      </c>
      <c r="E2118" t="s">
        <v>4053</v>
      </c>
      <c r="F2118" t="s">
        <v>4054</v>
      </c>
      <c r="G2118">
        <v>3.3</v>
      </c>
      <c r="H2118" s="2">
        <v>61388.05</v>
      </c>
      <c r="I2118" s="2">
        <v>2025.81</v>
      </c>
    </row>
    <row r="2119" spans="1:9" x14ac:dyDescent="0.25">
      <c r="A2119" t="s">
        <v>1161</v>
      </c>
      <c r="B2119" t="s">
        <v>1162</v>
      </c>
      <c r="C2119" t="s">
        <v>42</v>
      </c>
      <c r="D2119" t="s">
        <v>4062</v>
      </c>
      <c r="E2119" t="s">
        <v>5157</v>
      </c>
      <c r="F2119" t="s">
        <v>42</v>
      </c>
      <c r="G2119">
        <v>1.1</v>
      </c>
      <c r="H2119" s="2">
        <v>6596.5</v>
      </c>
      <c r="I2119" s="2">
        <v>7256.15</v>
      </c>
    </row>
    <row r="2120" spans="1:9" x14ac:dyDescent="0.25">
      <c r="A2120" t="s">
        <v>1161</v>
      </c>
      <c r="B2120" t="s">
        <v>1162</v>
      </c>
      <c r="C2120" t="s">
        <v>42</v>
      </c>
      <c r="D2120" t="s">
        <v>4062</v>
      </c>
      <c r="E2120" t="s">
        <v>4004</v>
      </c>
      <c r="F2120" t="s">
        <v>34</v>
      </c>
      <c r="G2120">
        <v>0.02</v>
      </c>
      <c r="H2120" s="2">
        <v>426702.51</v>
      </c>
      <c r="I2120" s="2">
        <v>8534.05</v>
      </c>
    </row>
    <row r="2121" spans="1:9" x14ac:dyDescent="0.25">
      <c r="A2121" t="s">
        <v>1161</v>
      </c>
      <c r="B2121" t="s">
        <v>1162</v>
      </c>
      <c r="C2121" t="s">
        <v>42</v>
      </c>
      <c r="D2121" t="s">
        <v>4062</v>
      </c>
      <c r="E2121" t="s">
        <v>5158</v>
      </c>
      <c r="F2121" t="s">
        <v>63</v>
      </c>
      <c r="G2121">
        <v>0.66</v>
      </c>
      <c r="H2121" s="2">
        <v>5633</v>
      </c>
      <c r="I2121" s="2">
        <v>3717.78</v>
      </c>
    </row>
    <row r="2122" spans="1:9" x14ac:dyDescent="0.25">
      <c r="A2122" t="s">
        <v>1161</v>
      </c>
      <c r="B2122" t="s">
        <v>1162</v>
      </c>
      <c r="C2122" t="s">
        <v>42</v>
      </c>
      <c r="D2122" t="s">
        <v>4062</v>
      </c>
      <c r="E2122" t="s">
        <v>4690</v>
      </c>
      <c r="F2122" t="s">
        <v>231</v>
      </c>
      <c r="G2122">
        <v>0.58</v>
      </c>
      <c r="H2122" s="2">
        <v>2025</v>
      </c>
      <c r="I2122" s="2">
        <v>1174.5</v>
      </c>
    </row>
    <row r="2123" spans="1:9" x14ac:dyDescent="0.25">
      <c r="A2123" t="s">
        <v>1161</v>
      </c>
      <c r="B2123" t="s">
        <v>1162</v>
      </c>
      <c r="C2123" t="s">
        <v>42</v>
      </c>
      <c r="D2123" t="s">
        <v>4062</v>
      </c>
      <c r="E2123" t="s">
        <v>5142</v>
      </c>
      <c r="F2123" t="s">
        <v>21</v>
      </c>
      <c r="G2123">
        <v>0.4</v>
      </c>
      <c r="H2123" s="2">
        <v>24400</v>
      </c>
      <c r="I2123" s="2">
        <v>9760</v>
      </c>
    </row>
    <row r="2124" spans="1:9" x14ac:dyDescent="0.25">
      <c r="A2124" t="s">
        <v>1161</v>
      </c>
      <c r="B2124" t="s">
        <v>1162</v>
      </c>
      <c r="C2124" t="s">
        <v>42</v>
      </c>
      <c r="D2124" t="s">
        <v>4062</v>
      </c>
      <c r="E2124" t="s">
        <v>5138</v>
      </c>
      <c r="F2124" t="s">
        <v>231</v>
      </c>
      <c r="G2124">
        <v>0.3</v>
      </c>
      <c r="H2124" s="2">
        <v>4605.46</v>
      </c>
      <c r="I2124" s="2">
        <v>1381.64</v>
      </c>
    </row>
    <row r="2125" spans="1:9" x14ac:dyDescent="0.25">
      <c r="A2125" t="s">
        <v>1161</v>
      </c>
      <c r="B2125" t="s">
        <v>1162</v>
      </c>
      <c r="C2125" t="s">
        <v>42</v>
      </c>
      <c r="D2125" t="s">
        <v>4062</v>
      </c>
      <c r="E2125" t="s">
        <v>5139</v>
      </c>
      <c r="F2125" t="s">
        <v>231</v>
      </c>
      <c r="G2125">
        <v>1.04</v>
      </c>
      <c r="H2125" s="2">
        <v>1385</v>
      </c>
      <c r="I2125" s="2">
        <v>1440.4</v>
      </c>
    </row>
    <row r="2126" spans="1:9" x14ac:dyDescent="0.25">
      <c r="A2126" t="s">
        <v>1161</v>
      </c>
      <c r="B2126" t="s">
        <v>1162</v>
      </c>
      <c r="C2126" t="s">
        <v>42</v>
      </c>
      <c r="D2126" t="s">
        <v>4049</v>
      </c>
      <c r="E2126" t="s">
        <v>4050</v>
      </c>
      <c r="F2126" t="s">
        <v>4051</v>
      </c>
      <c r="G2126">
        <v>0.79</v>
      </c>
      <c r="H2126" s="2">
        <v>9037.33</v>
      </c>
      <c r="I2126" s="2">
        <v>7139.49</v>
      </c>
    </row>
    <row r="2127" spans="1:9" x14ac:dyDescent="0.25">
      <c r="A2127" t="s">
        <v>1161</v>
      </c>
      <c r="B2127" t="s">
        <v>1162</v>
      </c>
      <c r="C2127" t="s">
        <v>42</v>
      </c>
      <c r="D2127" t="s">
        <v>4049</v>
      </c>
      <c r="E2127" t="s">
        <v>4073</v>
      </c>
      <c r="F2127" t="s">
        <v>4051</v>
      </c>
      <c r="G2127">
        <v>0.79</v>
      </c>
      <c r="H2127" s="2">
        <v>15517.89</v>
      </c>
      <c r="I2127" s="2">
        <v>12259.13</v>
      </c>
    </row>
    <row r="2128" spans="1:9" x14ac:dyDescent="0.25">
      <c r="A2128" t="s">
        <v>1161</v>
      </c>
      <c r="B2128" t="s">
        <v>1162</v>
      </c>
      <c r="C2128" t="s">
        <v>42</v>
      </c>
      <c r="D2128" t="s">
        <v>4052</v>
      </c>
      <c r="E2128" t="s">
        <v>4053</v>
      </c>
      <c r="F2128" t="s">
        <v>4054</v>
      </c>
      <c r="G2128">
        <v>3.3</v>
      </c>
      <c r="H2128" s="2">
        <v>19398.62</v>
      </c>
      <c r="I2128" s="2">
        <v>640.15</v>
      </c>
    </row>
    <row r="2129" spans="1:9" x14ac:dyDescent="0.25">
      <c r="A2129" t="s">
        <v>1165</v>
      </c>
      <c r="B2129" t="s">
        <v>1166</v>
      </c>
      <c r="C2129" t="s">
        <v>42</v>
      </c>
      <c r="D2129" t="s">
        <v>4062</v>
      </c>
      <c r="E2129" t="s">
        <v>4004</v>
      </c>
      <c r="F2129" t="s">
        <v>34</v>
      </c>
      <c r="G2129">
        <v>0.02</v>
      </c>
      <c r="H2129" s="2">
        <v>426702.51</v>
      </c>
      <c r="I2129" s="2">
        <v>8534.05</v>
      </c>
    </row>
    <row r="2130" spans="1:9" x14ac:dyDescent="0.25">
      <c r="A2130" t="s">
        <v>1165</v>
      </c>
      <c r="B2130" t="s">
        <v>1166</v>
      </c>
      <c r="C2130" t="s">
        <v>42</v>
      </c>
      <c r="D2130" t="s">
        <v>4062</v>
      </c>
      <c r="E2130" t="s">
        <v>5158</v>
      </c>
      <c r="F2130" t="s">
        <v>63</v>
      </c>
      <c r="G2130">
        <v>0.66</v>
      </c>
      <c r="H2130" s="2">
        <v>5633</v>
      </c>
      <c r="I2130" s="2">
        <v>3717.78</v>
      </c>
    </row>
    <row r="2131" spans="1:9" x14ac:dyDescent="0.25">
      <c r="A2131" t="s">
        <v>1165</v>
      </c>
      <c r="B2131" t="s">
        <v>1166</v>
      </c>
      <c r="C2131" t="s">
        <v>42</v>
      </c>
      <c r="D2131" t="s">
        <v>4062</v>
      </c>
      <c r="E2131" t="s">
        <v>4690</v>
      </c>
      <c r="F2131" t="s">
        <v>231</v>
      </c>
      <c r="G2131">
        <v>0.58</v>
      </c>
      <c r="H2131" s="2">
        <v>2025</v>
      </c>
      <c r="I2131" s="2">
        <v>1174.5</v>
      </c>
    </row>
    <row r="2132" spans="1:9" x14ac:dyDescent="0.25">
      <c r="A2132" t="s">
        <v>1165</v>
      </c>
      <c r="B2132" t="s">
        <v>1166</v>
      </c>
      <c r="C2132" t="s">
        <v>42</v>
      </c>
      <c r="D2132" t="s">
        <v>4062</v>
      </c>
      <c r="E2132" t="s">
        <v>5142</v>
      </c>
      <c r="F2132" t="s">
        <v>21</v>
      </c>
      <c r="G2132">
        <v>0.7</v>
      </c>
      <c r="H2132" s="2">
        <v>24400</v>
      </c>
      <c r="I2132" s="2">
        <v>17080</v>
      </c>
    </row>
    <row r="2133" spans="1:9" x14ac:dyDescent="0.25">
      <c r="A2133" t="s">
        <v>1165</v>
      </c>
      <c r="B2133" t="s">
        <v>1166</v>
      </c>
      <c r="C2133" t="s">
        <v>42</v>
      </c>
      <c r="D2133" t="s">
        <v>4062</v>
      </c>
      <c r="E2133" t="s">
        <v>5138</v>
      </c>
      <c r="F2133" t="s">
        <v>231</v>
      </c>
      <c r="G2133">
        <v>0.3</v>
      </c>
      <c r="H2133" s="2">
        <v>4605.46</v>
      </c>
      <c r="I2133" s="2">
        <v>1381.64</v>
      </c>
    </row>
    <row r="2134" spans="1:9" x14ac:dyDescent="0.25">
      <c r="A2134" t="s">
        <v>1165</v>
      </c>
      <c r="B2134" t="s">
        <v>1166</v>
      </c>
      <c r="C2134" t="s">
        <v>42</v>
      </c>
      <c r="D2134" t="s">
        <v>4062</v>
      </c>
      <c r="E2134" t="s">
        <v>5139</v>
      </c>
      <c r="F2134" t="s">
        <v>231</v>
      </c>
      <c r="G2134">
        <v>1</v>
      </c>
      <c r="H2134" s="2">
        <v>1385</v>
      </c>
      <c r="I2134" s="2">
        <v>1385</v>
      </c>
    </row>
    <row r="2135" spans="1:9" x14ac:dyDescent="0.25">
      <c r="A2135" t="s">
        <v>1165</v>
      </c>
      <c r="B2135" t="s">
        <v>1166</v>
      </c>
      <c r="C2135" t="s">
        <v>42</v>
      </c>
      <c r="D2135" t="s">
        <v>4049</v>
      </c>
      <c r="E2135" t="s">
        <v>4050</v>
      </c>
      <c r="F2135" t="s">
        <v>4051</v>
      </c>
      <c r="G2135">
        <v>0.79</v>
      </c>
      <c r="H2135" s="2">
        <v>9037.33</v>
      </c>
      <c r="I2135" s="2">
        <v>7139.49</v>
      </c>
    </row>
    <row r="2136" spans="1:9" x14ac:dyDescent="0.25">
      <c r="A2136" t="s">
        <v>1165</v>
      </c>
      <c r="B2136" t="s">
        <v>1166</v>
      </c>
      <c r="C2136" t="s">
        <v>42</v>
      </c>
      <c r="D2136" t="s">
        <v>4049</v>
      </c>
      <c r="E2136" t="s">
        <v>4073</v>
      </c>
      <c r="F2136" t="s">
        <v>4051</v>
      </c>
      <c r="G2136">
        <v>0.79</v>
      </c>
      <c r="H2136" s="2">
        <v>15517.89</v>
      </c>
      <c r="I2136" s="2">
        <v>12259.13</v>
      </c>
    </row>
    <row r="2137" spans="1:9" x14ac:dyDescent="0.25">
      <c r="A2137" t="s">
        <v>1165</v>
      </c>
      <c r="B2137" t="s">
        <v>1166</v>
      </c>
      <c r="C2137" t="s">
        <v>42</v>
      </c>
      <c r="D2137" t="s">
        <v>4052</v>
      </c>
      <c r="E2137" t="s">
        <v>4053</v>
      </c>
      <c r="F2137" t="s">
        <v>4054</v>
      </c>
      <c r="G2137">
        <v>3.3</v>
      </c>
      <c r="H2137" s="2">
        <v>19398.62</v>
      </c>
      <c r="I2137" s="2">
        <v>640.15</v>
      </c>
    </row>
    <row r="2138" spans="1:9" x14ac:dyDescent="0.25">
      <c r="A2138" t="s">
        <v>1168</v>
      </c>
      <c r="B2138" t="s">
        <v>1169</v>
      </c>
      <c r="C2138" t="s">
        <v>63</v>
      </c>
      <c r="D2138" t="s">
        <v>4062</v>
      </c>
      <c r="E2138" t="s">
        <v>4690</v>
      </c>
      <c r="F2138" t="s">
        <v>231</v>
      </c>
      <c r="G2138">
        <v>0.2</v>
      </c>
      <c r="H2138" s="2">
        <v>2025</v>
      </c>
      <c r="I2138" s="2">
        <v>405</v>
      </c>
    </row>
    <row r="2139" spans="1:9" x14ac:dyDescent="0.25">
      <c r="A2139" t="s">
        <v>1168</v>
      </c>
      <c r="B2139" t="s">
        <v>1169</v>
      </c>
      <c r="C2139" t="s">
        <v>63</v>
      </c>
      <c r="D2139" t="s">
        <v>4062</v>
      </c>
      <c r="E2139" t="s">
        <v>5163</v>
      </c>
      <c r="F2139" t="s">
        <v>63</v>
      </c>
      <c r="G2139">
        <v>1</v>
      </c>
      <c r="H2139" s="2">
        <v>20250</v>
      </c>
      <c r="I2139" s="2">
        <v>20250</v>
      </c>
    </row>
    <row r="2140" spans="1:9" x14ac:dyDescent="0.25">
      <c r="A2140" t="s">
        <v>1168</v>
      </c>
      <c r="B2140" t="s">
        <v>1169</v>
      </c>
      <c r="C2140" t="s">
        <v>63</v>
      </c>
      <c r="D2140" t="s">
        <v>4049</v>
      </c>
      <c r="E2140" t="s">
        <v>4050</v>
      </c>
      <c r="F2140" t="s">
        <v>4051</v>
      </c>
      <c r="G2140">
        <v>0.3</v>
      </c>
      <c r="H2140" s="2">
        <v>9037.33</v>
      </c>
      <c r="I2140" s="2">
        <v>2711.2</v>
      </c>
    </row>
    <row r="2141" spans="1:9" x14ac:dyDescent="0.25">
      <c r="A2141" t="s">
        <v>1168</v>
      </c>
      <c r="B2141" t="s">
        <v>1169</v>
      </c>
      <c r="C2141" t="s">
        <v>63</v>
      </c>
      <c r="D2141" t="s">
        <v>4049</v>
      </c>
      <c r="E2141" t="s">
        <v>4073</v>
      </c>
      <c r="F2141" t="s">
        <v>4051</v>
      </c>
      <c r="G2141">
        <v>0.3</v>
      </c>
      <c r="H2141" s="2">
        <v>15517.89</v>
      </c>
      <c r="I2141" s="2">
        <v>4655.37</v>
      </c>
    </row>
    <row r="2142" spans="1:9" x14ac:dyDescent="0.25">
      <c r="A2142" t="s">
        <v>1168</v>
      </c>
      <c r="B2142" t="s">
        <v>1169</v>
      </c>
      <c r="C2142" t="s">
        <v>63</v>
      </c>
      <c r="D2142" t="s">
        <v>4052</v>
      </c>
      <c r="E2142" t="s">
        <v>4053</v>
      </c>
      <c r="F2142" t="s">
        <v>4054</v>
      </c>
      <c r="G2142">
        <v>3.3</v>
      </c>
      <c r="H2142" s="2">
        <v>7366.57</v>
      </c>
      <c r="I2142" s="2">
        <v>243.1</v>
      </c>
    </row>
    <row r="2143" spans="1:9" x14ac:dyDescent="0.25">
      <c r="A2143" t="s">
        <v>1172</v>
      </c>
      <c r="B2143" t="s">
        <v>1173</v>
      </c>
      <c r="C2143" t="s">
        <v>63</v>
      </c>
      <c r="D2143" t="s">
        <v>4062</v>
      </c>
      <c r="E2143" t="s">
        <v>4690</v>
      </c>
      <c r="F2143" t="s">
        <v>231</v>
      </c>
      <c r="G2143">
        <v>0.2</v>
      </c>
      <c r="H2143" s="2">
        <v>2025</v>
      </c>
      <c r="I2143" s="2">
        <v>405</v>
      </c>
    </row>
    <row r="2144" spans="1:9" x14ac:dyDescent="0.25">
      <c r="A2144" t="s">
        <v>1172</v>
      </c>
      <c r="B2144" t="s">
        <v>1173</v>
      </c>
      <c r="C2144" t="s">
        <v>63</v>
      </c>
      <c r="D2144" t="s">
        <v>4062</v>
      </c>
      <c r="E2144" t="s">
        <v>5166</v>
      </c>
      <c r="F2144" t="s">
        <v>63</v>
      </c>
      <c r="G2144">
        <v>1</v>
      </c>
      <c r="H2144" s="2">
        <v>26518.39</v>
      </c>
      <c r="I2144" s="2">
        <v>26518.39</v>
      </c>
    </row>
    <row r="2145" spans="1:9" x14ac:dyDescent="0.25">
      <c r="A2145" t="s">
        <v>1172</v>
      </c>
      <c r="B2145" t="s">
        <v>1173</v>
      </c>
      <c r="C2145" t="s">
        <v>63</v>
      </c>
      <c r="D2145" t="s">
        <v>4049</v>
      </c>
      <c r="E2145" t="s">
        <v>4050</v>
      </c>
      <c r="F2145" t="s">
        <v>4051</v>
      </c>
      <c r="G2145">
        <v>0.3</v>
      </c>
      <c r="H2145" s="2">
        <v>9037.33</v>
      </c>
      <c r="I2145" s="2">
        <v>2711.2</v>
      </c>
    </row>
    <row r="2146" spans="1:9" x14ac:dyDescent="0.25">
      <c r="A2146" t="s">
        <v>1172</v>
      </c>
      <c r="B2146" t="s">
        <v>1173</v>
      </c>
      <c r="C2146" t="s">
        <v>63</v>
      </c>
      <c r="D2146" t="s">
        <v>4049</v>
      </c>
      <c r="E2146" t="s">
        <v>4073</v>
      </c>
      <c r="F2146" t="s">
        <v>4051</v>
      </c>
      <c r="G2146">
        <v>0.3</v>
      </c>
      <c r="H2146" s="2">
        <v>15517.89</v>
      </c>
      <c r="I2146" s="2">
        <v>4655.37</v>
      </c>
    </row>
    <row r="2147" spans="1:9" x14ac:dyDescent="0.25">
      <c r="A2147" t="s">
        <v>1172</v>
      </c>
      <c r="B2147" t="s">
        <v>1173</v>
      </c>
      <c r="C2147" t="s">
        <v>63</v>
      </c>
      <c r="D2147" t="s">
        <v>4052</v>
      </c>
      <c r="E2147" t="s">
        <v>4053</v>
      </c>
      <c r="F2147" t="s">
        <v>4054</v>
      </c>
      <c r="G2147">
        <v>3.3</v>
      </c>
      <c r="H2147" s="2">
        <v>7366.57</v>
      </c>
      <c r="I2147" s="2">
        <v>243.1</v>
      </c>
    </row>
    <row r="2148" spans="1:9" x14ac:dyDescent="0.25">
      <c r="A2148" t="s">
        <v>1175</v>
      </c>
      <c r="B2148" t="s">
        <v>1176</v>
      </c>
      <c r="C2148" t="s">
        <v>63</v>
      </c>
      <c r="D2148" t="s">
        <v>4062</v>
      </c>
      <c r="E2148" t="s">
        <v>4690</v>
      </c>
      <c r="F2148" t="s">
        <v>231</v>
      </c>
      <c r="G2148">
        <v>0.2</v>
      </c>
      <c r="H2148" s="2">
        <v>2025</v>
      </c>
      <c r="I2148" s="2">
        <v>405</v>
      </c>
    </row>
    <row r="2149" spans="1:9" x14ac:dyDescent="0.25">
      <c r="A2149" t="s">
        <v>1175</v>
      </c>
      <c r="B2149" t="s">
        <v>1176</v>
      </c>
      <c r="C2149" t="s">
        <v>63</v>
      </c>
      <c r="D2149" t="s">
        <v>4062</v>
      </c>
      <c r="E2149" t="s">
        <v>5169</v>
      </c>
      <c r="F2149" t="s">
        <v>63</v>
      </c>
      <c r="G2149">
        <v>1</v>
      </c>
      <c r="H2149" s="2">
        <v>11533.33</v>
      </c>
      <c r="I2149" s="2">
        <v>11533.33</v>
      </c>
    </row>
    <row r="2150" spans="1:9" x14ac:dyDescent="0.25">
      <c r="A2150" t="s">
        <v>1175</v>
      </c>
      <c r="B2150" t="s">
        <v>1176</v>
      </c>
      <c r="C2150" t="s">
        <v>63</v>
      </c>
      <c r="D2150" t="s">
        <v>4049</v>
      </c>
      <c r="E2150" t="s">
        <v>4050</v>
      </c>
      <c r="F2150" t="s">
        <v>4051</v>
      </c>
      <c r="G2150">
        <v>0.3</v>
      </c>
      <c r="H2150" s="2">
        <v>9037.33</v>
      </c>
      <c r="I2150" s="2">
        <v>2711.2</v>
      </c>
    </row>
    <row r="2151" spans="1:9" x14ac:dyDescent="0.25">
      <c r="A2151" t="s">
        <v>1175</v>
      </c>
      <c r="B2151" t="s">
        <v>1176</v>
      </c>
      <c r="C2151" t="s">
        <v>63</v>
      </c>
      <c r="D2151" t="s">
        <v>4049</v>
      </c>
      <c r="E2151" t="s">
        <v>4073</v>
      </c>
      <c r="F2151" t="s">
        <v>4051</v>
      </c>
      <c r="G2151">
        <v>0.3</v>
      </c>
      <c r="H2151" s="2">
        <v>15517.89</v>
      </c>
      <c r="I2151" s="2">
        <v>4655.37</v>
      </c>
    </row>
    <row r="2152" spans="1:9" x14ac:dyDescent="0.25">
      <c r="A2152" t="s">
        <v>1175</v>
      </c>
      <c r="B2152" t="s">
        <v>1176</v>
      </c>
      <c r="C2152" t="s">
        <v>63</v>
      </c>
      <c r="D2152" t="s">
        <v>4052</v>
      </c>
      <c r="E2152" t="s">
        <v>4053</v>
      </c>
      <c r="F2152" t="s">
        <v>4054</v>
      </c>
      <c r="G2152">
        <v>3.3</v>
      </c>
      <c r="H2152" s="2">
        <v>7366.57</v>
      </c>
      <c r="I2152" s="2">
        <v>243.1</v>
      </c>
    </row>
    <row r="2153" spans="1:9" x14ac:dyDescent="0.25">
      <c r="A2153" t="s">
        <v>1178</v>
      </c>
      <c r="B2153" t="s">
        <v>1179</v>
      </c>
      <c r="C2153" t="s">
        <v>63</v>
      </c>
      <c r="D2153" t="s">
        <v>4062</v>
      </c>
      <c r="E2153" t="s">
        <v>4690</v>
      </c>
      <c r="F2153" t="s">
        <v>231</v>
      </c>
      <c r="G2153">
        <v>0.2</v>
      </c>
      <c r="H2153" s="2">
        <v>2025</v>
      </c>
      <c r="I2153" s="2">
        <v>405</v>
      </c>
    </row>
    <row r="2154" spans="1:9" x14ac:dyDescent="0.25">
      <c r="A2154" t="s">
        <v>1178</v>
      </c>
      <c r="B2154" t="s">
        <v>1179</v>
      </c>
      <c r="C2154" t="s">
        <v>63</v>
      </c>
      <c r="D2154" t="s">
        <v>4062</v>
      </c>
      <c r="E2154" t="s">
        <v>5172</v>
      </c>
      <c r="F2154" t="s">
        <v>63</v>
      </c>
      <c r="G2154">
        <v>1</v>
      </c>
      <c r="H2154" s="2">
        <v>24900</v>
      </c>
      <c r="I2154" s="2">
        <v>24900</v>
      </c>
    </row>
    <row r="2155" spans="1:9" x14ac:dyDescent="0.25">
      <c r="A2155" t="s">
        <v>1178</v>
      </c>
      <c r="B2155" t="s">
        <v>1179</v>
      </c>
      <c r="C2155" t="s">
        <v>63</v>
      </c>
      <c r="D2155" t="s">
        <v>4049</v>
      </c>
      <c r="E2155" t="s">
        <v>4050</v>
      </c>
      <c r="F2155" t="s">
        <v>4051</v>
      </c>
      <c r="G2155">
        <v>0.3</v>
      </c>
      <c r="H2155" s="2">
        <v>9037.33</v>
      </c>
      <c r="I2155" s="2">
        <v>2711.2</v>
      </c>
    </row>
    <row r="2156" spans="1:9" x14ac:dyDescent="0.25">
      <c r="A2156" t="s">
        <v>1178</v>
      </c>
      <c r="B2156" t="s">
        <v>1179</v>
      </c>
      <c r="C2156" t="s">
        <v>63</v>
      </c>
      <c r="D2156" t="s">
        <v>4049</v>
      </c>
      <c r="E2156" t="s">
        <v>4073</v>
      </c>
      <c r="F2156" t="s">
        <v>4051</v>
      </c>
      <c r="G2156">
        <v>0.3</v>
      </c>
      <c r="H2156" s="2">
        <v>15517.89</v>
      </c>
      <c r="I2156" s="2">
        <v>4655.37</v>
      </c>
    </row>
    <row r="2157" spans="1:9" x14ac:dyDescent="0.25">
      <c r="A2157" t="s">
        <v>1178</v>
      </c>
      <c r="B2157" t="s">
        <v>1179</v>
      </c>
      <c r="C2157" t="s">
        <v>63</v>
      </c>
      <c r="D2157" t="s">
        <v>4052</v>
      </c>
      <c r="E2157" t="s">
        <v>4053</v>
      </c>
      <c r="F2157" t="s">
        <v>4054</v>
      </c>
      <c r="G2157">
        <v>3.3</v>
      </c>
      <c r="H2157" s="2">
        <v>7366.57</v>
      </c>
      <c r="I2157" s="2">
        <v>243.1</v>
      </c>
    </row>
    <row r="2158" spans="1:9" x14ac:dyDescent="0.25">
      <c r="A2158" t="s">
        <v>1181</v>
      </c>
      <c r="B2158" t="s">
        <v>1182</v>
      </c>
      <c r="C2158" t="s">
        <v>63</v>
      </c>
      <c r="D2158" t="s">
        <v>4062</v>
      </c>
      <c r="E2158" t="s">
        <v>4690</v>
      </c>
      <c r="F2158" t="s">
        <v>231</v>
      </c>
      <c r="G2158">
        <v>0.05</v>
      </c>
      <c r="H2158" s="2">
        <v>2025</v>
      </c>
      <c r="I2158" s="2">
        <v>101.25</v>
      </c>
    </row>
    <row r="2159" spans="1:9" x14ac:dyDescent="0.25">
      <c r="A2159" t="s">
        <v>1181</v>
      </c>
      <c r="B2159" t="s">
        <v>1182</v>
      </c>
      <c r="C2159" t="s">
        <v>63</v>
      </c>
      <c r="D2159" t="s">
        <v>4062</v>
      </c>
      <c r="E2159" t="s">
        <v>5175</v>
      </c>
      <c r="F2159" t="s">
        <v>63</v>
      </c>
      <c r="G2159">
        <v>1</v>
      </c>
      <c r="H2159" s="2">
        <v>10465.63</v>
      </c>
      <c r="I2159" s="2">
        <v>10465.63</v>
      </c>
    </row>
    <row r="2160" spans="1:9" x14ac:dyDescent="0.25">
      <c r="A2160" t="s">
        <v>1181</v>
      </c>
      <c r="B2160" t="s">
        <v>1182</v>
      </c>
      <c r="C2160" t="s">
        <v>63</v>
      </c>
      <c r="D2160" t="s">
        <v>4049</v>
      </c>
      <c r="E2160" t="s">
        <v>4050</v>
      </c>
      <c r="F2160" t="s">
        <v>4051</v>
      </c>
      <c r="G2160">
        <v>0.3</v>
      </c>
      <c r="H2160" s="2">
        <v>9037.33</v>
      </c>
      <c r="I2160" s="2">
        <v>2711.2</v>
      </c>
    </row>
    <row r="2161" spans="1:9" x14ac:dyDescent="0.25">
      <c r="A2161" t="s">
        <v>1181</v>
      </c>
      <c r="B2161" t="s">
        <v>1182</v>
      </c>
      <c r="C2161" t="s">
        <v>63</v>
      </c>
      <c r="D2161" t="s">
        <v>4049</v>
      </c>
      <c r="E2161" t="s">
        <v>4073</v>
      </c>
      <c r="F2161" t="s">
        <v>4051</v>
      </c>
      <c r="G2161">
        <v>0.3</v>
      </c>
      <c r="H2161" s="2">
        <v>15517.89</v>
      </c>
      <c r="I2161" s="2">
        <v>4655.37</v>
      </c>
    </row>
    <row r="2162" spans="1:9" x14ac:dyDescent="0.25">
      <c r="A2162" t="s">
        <v>1181</v>
      </c>
      <c r="B2162" t="s">
        <v>1182</v>
      </c>
      <c r="C2162" t="s">
        <v>63</v>
      </c>
      <c r="D2162" t="s">
        <v>4052</v>
      </c>
      <c r="E2162" t="s">
        <v>4053</v>
      </c>
      <c r="F2162" t="s">
        <v>4054</v>
      </c>
      <c r="G2162">
        <v>3.3</v>
      </c>
      <c r="H2162" s="2">
        <v>7366.57</v>
      </c>
      <c r="I2162" s="2">
        <v>243.1</v>
      </c>
    </row>
    <row r="2163" spans="1:9" x14ac:dyDescent="0.25">
      <c r="A2163" t="s">
        <v>1184</v>
      </c>
      <c r="B2163" t="s">
        <v>1185</v>
      </c>
      <c r="C2163" t="s">
        <v>63</v>
      </c>
      <c r="D2163" t="s">
        <v>4062</v>
      </c>
      <c r="E2163" t="s">
        <v>4690</v>
      </c>
      <c r="F2163" t="s">
        <v>231</v>
      </c>
      <c r="G2163">
        <v>0.05</v>
      </c>
      <c r="H2163" s="2">
        <v>2025</v>
      </c>
      <c r="I2163" s="2">
        <v>101.25</v>
      </c>
    </row>
    <row r="2164" spans="1:9" x14ac:dyDescent="0.25">
      <c r="A2164" t="s">
        <v>1184</v>
      </c>
      <c r="B2164" t="s">
        <v>1185</v>
      </c>
      <c r="C2164" t="s">
        <v>63</v>
      </c>
      <c r="D2164" t="s">
        <v>4062</v>
      </c>
      <c r="E2164" t="s">
        <v>5178</v>
      </c>
      <c r="F2164" t="s">
        <v>63</v>
      </c>
      <c r="G2164">
        <v>1</v>
      </c>
      <c r="H2164" s="2">
        <v>3950</v>
      </c>
      <c r="I2164" s="2">
        <v>3950</v>
      </c>
    </row>
    <row r="2165" spans="1:9" x14ac:dyDescent="0.25">
      <c r="A2165" t="s">
        <v>1184</v>
      </c>
      <c r="B2165" t="s">
        <v>1185</v>
      </c>
      <c r="C2165" t="s">
        <v>63</v>
      </c>
      <c r="D2165" t="s">
        <v>4049</v>
      </c>
      <c r="E2165" t="s">
        <v>4050</v>
      </c>
      <c r="F2165" t="s">
        <v>4051</v>
      </c>
      <c r="G2165">
        <v>0.3</v>
      </c>
      <c r="H2165" s="2">
        <v>9037.33</v>
      </c>
      <c r="I2165" s="2">
        <v>2711.2</v>
      </c>
    </row>
    <row r="2166" spans="1:9" x14ac:dyDescent="0.25">
      <c r="A2166" t="s">
        <v>1184</v>
      </c>
      <c r="B2166" t="s">
        <v>1185</v>
      </c>
      <c r="C2166" t="s">
        <v>63</v>
      </c>
      <c r="D2166" t="s">
        <v>4049</v>
      </c>
      <c r="E2166" t="s">
        <v>4073</v>
      </c>
      <c r="F2166" t="s">
        <v>4051</v>
      </c>
      <c r="G2166">
        <v>0.3</v>
      </c>
      <c r="H2166" s="2">
        <v>15517.89</v>
      </c>
      <c r="I2166" s="2">
        <v>4655.37</v>
      </c>
    </row>
    <row r="2167" spans="1:9" x14ac:dyDescent="0.25">
      <c r="A2167" t="s">
        <v>1184</v>
      </c>
      <c r="B2167" t="s">
        <v>1185</v>
      </c>
      <c r="C2167" t="s">
        <v>63</v>
      </c>
      <c r="D2167" t="s">
        <v>4052</v>
      </c>
      <c r="E2167" t="s">
        <v>4053</v>
      </c>
      <c r="F2167" t="s">
        <v>4054</v>
      </c>
      <c r="G2167">
        <v>3.3</v>
      </c>
      <c r="H2167" s="2">
        <v>7366.57</v>
      </c>
      <c r="I2167" s="2">
        <v>243.1</v>
      </c>
    </row>
    <row r="2168" spans="1:9" x14ac:dyDescent="0.25">
      <c r="A2168" t="s">
        <v>1187</v>
      </c>
      <c r="B2168" t="s">
        <v>1188</v>
      </c>
      <c r="C2168" t="s">
        <v>63</v>
      </c>
      <c r="D2168" t="s">
        <v>4062</v>
      </c>
      <c r="E2168" t="s">
        <v>4690</v>
      </c>
      <c r="F2168" t="s">
        <v>231</v>
      </c>
      <c r="G2168">
        <v>0.2</v>
      </c>
      <c r="H2168" s="2">
        <v>2025</v>
      </c>
      <c r="I2168" s="2">
        <v>405</v>
      </c>
    </row>
    <row r="2169" spans="1:9" x14ac:dyDescent="0.25">
      <c r="A2169" t="s">
        <v>1187</v>
      </c>
      <c r="B2169" t="s">
        <v>1188</v>
      </c>
      <c r="C2169" t="s">
        <v>63</v>
      </c>
      <c r="D2169" t="s">
        <v>4062</v>
      </c>
      <c r="E2169" t="s">
        <v>5172</v>
      </c>
      <c r="F2169" t="s">
        <v>63</v>
      </c>
      <c r="G2169">
        <v>1</v>
      </c>
      <c r="H2169" s="2">
        <v>24900</v>
      </c>
      <c r="I2169" s="2">
        <v>24900</v>
      </c>
    </row>
    <row r="2170" spans="1:9" x14ac:dyDescent="0.25">
      <c r="A2170" t="s">
        <v>1187</v>
      </c>
      <c r="B2170" t="s">
        <v>1188</v>
      </c>
      <c r="C2170" t="s">
        <v>63</v>
      </c>
      <c r="D2170" t="s">
        <v>4049</v>
      </c>
      <c r="E2170" t="s">
        <v>4050</v>
      </c>
      <c r="F2170" t="s">
        <v>4051</v>
      </c>
      <c r="G2170">
        <v>0.3</v>
      </c>
      <c r="H2170" s="2">
        <v>9037.33</v>
      </c>
      <c r="I2170" s="2">
        <v>2711.2</v>
      </c>
    </row>
    <row r="2171" spans="1:9" x14ac:dyDescent="0.25">
      <c r="A2171" t="s">
        <v>1187</v>
      </c>
      <c r="B2171" t="s">
        <v>1188</v>
      </c>
      <c r="C2171" t="s">
        <v>63</v>
      </c>
      <c r="D2171" t="s">
        <v>4049</v>
      </c>
      <c r="E2171" t="s">
        <v>4073</v>
      </c>
      <c r="F2171" t="s">
        <v>4051</v>
      </c>
      <c r="G2171">
        <v>0.3</v>
      </c>
      <c r="H2171" s="2">
        <v>15517.89</v>
      </c>
      <c r="I2171" s="2">
        <v>4655.37</v>
      </c>
    </row>
    <row r="2172" spans="1:9" x14ac:dyDescent="0.25">
      <c r="A2172" t="s">
        <v>1187</v>
      </c>
      <c r="B2172" t="s">
        <v>1188</v>
      </c>
      <c r="C2172" t="s">
        <v>63</v>
      </c>
      <c r="D2172" t="s">
        <v>4052</v>
      </c>
      <c r="E2172" t="s">
        <v>4053</v>
      </c>
      <c r="F2172" t="s">
        <v>4054</v>
      </c>
      <c r="G2172">
        <v>3.3</v>
      </c>
      <c r="H2172" s="2">
        <v>7366.57</v>
      </c>
      <c r="I2172" s="2">
        <v>243.1</v>
      </c>
    </row>
    <row r="2173" spans="1:9" x14ac:dyDescent="0.25">
      <c r="A2173" t="s">
        <v>1189</v>
      </c>
      <c r="B2173" t="s">
        <v>1190</v>
      </c>
      <c r="C2173" t="s">
        <v>42</v>
      </c>
      <c r="D2173" t="s">
        <v>4062</v>
      </c>
      <c r="E2173" t="s">
        <v>4690</v>
      </c>
      <c r="F2173" t="s">
        <v>231</v>
      </c>
      <c r="G2173">
        <v>0.2</v>
      </c>
      <c r="H2173" s="2">
        <v>2025</v>
      </c>
      <c r="I2173" s="2">
        <v>405</v>
      </c>
    </row>
    <row r="2174" spans="1:9" x14ac:dyDescent="0.25">
      <c r="A2174" t="s">
        <v>1189</v>
      </c>
      <c r="B2174" t="s">
        <v>1190</v>
      </c>
      <c r="C2174" t="s">
        <v>42</v>
      </c>
      <c r="D2174" t="s">
        <v>4049</v>
      </c>
      <c r="E2174" t="s">
        <v>4050</v>
      </c>
      <c r="F2174" t="s">
        <v>4051</v>
      </c>
      <c r="G2174">
        <v>0.29</v>
      </c>
      <c r="H2174" s="2">
        <v>9037.33</v>
      </c>
      <c r="I2174" s="2">
        <v>2620.83</v>
      </c>
    </row>
    <row r="2175" spans="1:9" x14ac:dyDescent="0.25">
      <c r="A2175" t="s">
        <v>1189</v>
      </c>
      <c r="B2175" t="s">
        <v>1190</v>
      </c>
      <c r="C2175" t="s">
        <v>42</v>
      </c>
      <c r="D2175" t="s">
        <v>4049</v>
      </c>
      <c r="E2175" t="s">
        <v>4073</v>
      </c>
      <c r="F2175" t="s">
        <v>4051</v>
      </c>
      <c r="G2175">
        <v>0.29</v>
      </c>
      <c r="H2175" s="2">
        <v>15517.89</v>
      </c>
      <c r="I2175" s="2">
        <v>4500.19</v>
      </c>
    </row>
    <row r="2176" spans="1:9" x14ac:dyDescent="0.25">
      <c r="A2176" t="s">
        <v>1189</v>
      </c>
      <c r="B2176" t="s">
        <v>1190</v>
      </c>
      <c r="C2176" t="s">
        <v>42</v>
      </c>
      <c r="D2176" t="s">
        <v>4052</v>
      </c>
      <c r="E2176" t="s">
        <v>5182</v>
      </c>
      <c r="F2176" t="s">
        <v>63</v>
      </c>
      <c r="G2176">
        <v>1.05</v>
      </c>
      <c r="H2176" s="2">
        <v>1101.49</v>
      </c>
      <c r="I2176" s="2">
        <v>1156.56</v>
      </c>
    </row>
    <row r="2177" spans="1:9" x14ac:dyDescent="0.25">
      <c r="A2177" t="s">
        <v>1189</v>
      </c>
      <c r="B2177" t="s">
        <v>1190</v>
      </c>
      <c r="C2177" t="s">
        <v>42</v>
      </c>
      <c r="D2177" t="s">
        <v>4052</v>
      </c>
      <c r="E2177" t="s">
        <v>4053</v>
      </c>
      <c r="F2177" t="s">
        <v>4054</v>
      </c>
      <c r="G2177">
        <v>3.3</v>
      </c>
      <c r="H2177" s="2">
        <v>7121.02</v>
      </c>
      <c r="I2177" s="2">
        <v>234.99</v>
      </c>
    </row>
    <row r="2178" spans="1:9" x14ac:dyDescent="0.25">
      <c r="A2178" t="s">
        <v>1193</v>
      </c>
      <c r="B2178" t="s">
        <v>1194</v>
      </c>
      <c r="C2178" t="s">
        <v>42</v>
      </c>
      <c r="D2178" t="s">
        <v>4062</v>
      </c>
      <c r="E2178" t="s">
        <v>5158</v>
      </c>
      <c r="F2178" t="s">
        <v>63</v>
      </c>
      <c r="G2178">
        <v>0.67</v>
      </c>
      <c r="H2178" s="2">
        <v>5633</v>
      </c>
      <c r="I2178" s="2">
        <v>3755.52</v>
      </c>
    </row>
    <row r="2179" spans="1:9" x14ac:dyDescent="0.25">
      <c r="A2179" t="s">
        <v>1193</v>
      </c>
      <c r="B2179" t="s">
        <v>1194</v>
      </c>
      <c r="C2179" t="s">
        <v>42</v>
      </c>
      <c r="D2179" t="s">
        <v>4062</v>
      </c>
      <c r="E2179" t="s">
        <v>4690</v>
      </c>
      <c r="F2179" t="s">
        <v>231</v>
      </c>
      <c r="G2179">
        <v>0.51</v>
      </c>
      <c r="H2179" s="2">
        <v>2025</v>
      </c>
      <c r="I2179" s="2">
        <v>1032.75</v>
      </c>
    </row>
    <row r="2180" spans="1:9" x14ac:dyDescent="0.25">
      <c r="A2180" t="s">
        <v>1193</v>
      </c>
      <c r="B2180" t="s">
        <v>1194</v>
      </c>
      <c r="C2180" t="s">
        <v>42</v>
      </c>
      <c r="D2180" t="s">
        <v>4062</v>
      </c>
      <c r="E2180" t="s">
        <v>5139</v>
      </c>
      <c r="F2180" t="s">
        <v>231</v>
      </c>
      <c r="G2180">
        <v>1.05</v>
      </c>
      <c r="H2180" s="2">
        <v>1385</v>
      </c>
      <c r="I2180" s="2">
        <v>1454.25</v>
      </c>
    </row>
    <row r="2181" spans="1:9" x14ac:dyDescent="0.25">
      <c r="A2181" t="s">
        <v>1193</v>
      </c>
      <c r="B2181" t="s">
        <v>1194</v>
      </c>
      <c r="C2181" t="s">
        <v>42</v>
      </c>
      <c r="D2181" t="s">
        <v>4049</v>
      </c>
      <c r="E2181" t="s">
        <v>4050</v>
      </c>
      <c r="F2181" t="s">
        <v>4051</v>
      </c>
      <c r="G2181">
        <v>0.5</v>
      </c>
      <c r="H2181" s="2">
        <v>9037.33</v>
      </c>
      <c r="I2181" s="2">
        <v>4518.66</v>
      </c>
    </row>
    <row r="2182" spans="1:9" x14ac:dyDescent="0.25">
      <c r="A2182" t="s">
        <v>1193</v>
      </c>
      <c r="B2182" t="s">
        <v>1194</v>
      </c>
      <c r="C2182" t="s">
        <v>42</v>
      </c>
      <c r="D2182" t="s">
        <v>4049</v>
      </c>
      <c r="E2182" t="s">
        <v>4073</v>
      </c>
      <c r="F2182" t="s">
        <v>4051</v>
      </c>
      <c r="G2182">
        <v>0.5</v>
      </c>
      <c r="H2182" s="2">
        <v>15517.89</v>
      </c>
      <c r="I2182" s="2">
        <v>7758.94</v>
      </c>
    </row>
    <row r="2183" spans="1:9" x14ac:dyDescent="0.25">
      <c r="A2183" t="s">
        <v>1193</v>
      </c>
      <c r="B2183" t="s">
        <v>1194</v>
      </c>
      <c r="C2183" t="s">
        <v>42</v>
      </c>
      <c r="D2183" t="s">
        <v>4052</v>
      </c>
      <c r="E2183" t="s">
        <v>4053</v>
      </c>
      <c r="F2183" t="s">
        <v>4054</v>
      </c>
      <c r="G2183">
        <v>3.3</v>
      </c>
      <c r="H2183" s="2">
        <v>12277.6</v>
      </c>
      <c r="I2183" s="2">
        <v>405.16</v>
      </c>
    </row>
    <row r="2184" spans="1:9" x14ac:dyDescent="0.25">
      <c r="A2184" t="s">
        <v>1196</v>
      </c>
      <c r="B2184" t="s">
        <v>1197</v>
      </c>
      <c r="C2184" t="s">
        <v>63</v>
      </c>
      <c r="D2184" t="s">
        <v>4062</v>
      </c>
      <c r="E2184" t="s">
        <v>5187</v>
      </c>
      <c r="F2184" t="s">
        <v>63</v>
      </c>
      <c r="G2184">
        <v>2</v>
      </c>
      <c r="H2184" s="2">
        <v>1244.6</v>
      </c>
      <c r="I2184" s="2">
        <v>2489.2</v>
      </c>
    </row>
    <row r="2185" spans="1:9" x14ac:dyDescent="0.25">
      <c r="A2185" t="s">
        <v>1196</v>
      </c>
      <c r="B2185" t="s">
        <v>1197</v>
      </c>
      <c r="C2185" t="s">
        <v>63</v>
      </c>
      <c r="D2185" t="s">
        <v>4062</v>
      </c>
      <c r="E2185" t="s">
        <v>5188</v>
      </c>
      <c r="F2185" t="s">
        <v>42</v>
      </c>
      <c r="G2185">
        <v>1.5</v>
      </c>
      <c r="H2185" s="2">
        <v>8950</v>
      </c>
      <c r="I2185" s="2">
        <v>13425</v>
      </c>
    </row>
    <row r="2186" spans="1:9" x14ac:dyDescent="0.25">
      <c r="A2186" t="s">
        <v>1196</v>
      </c>
      <c r="B2186" t="s">
        <v>1197</v>
      </c>
      <c r="C2186" t="s">
        <v>63</v>
      </c>
      <c r="D2186" t="s">
        <v>4049</v>
      </c>
      <c r="E2186" t="s">
        <v>4050</v>
      </c>
      <c r="F2186" t="s">
        <v>4051</v>
      </c>
      <c r="G2186">
        <v>0.3</v>
      </c>
      <c r="H2186" s="2">
        <v>9037.33</v>
      </c>
      <c r="I2186" s="2">
        <v>2711.2</v>
      </c>
    </row>
    <row r="2187" spans="1:9" x14ac:dyDescent="0.25">
      <c r="A2187" t="s">
        <v>1196</v>
      </c>
      <c r="B2187" t="s">
        <v>1197</v>
      </c>
      <c r="C2187" t="s">
        <v>63</v>
      </c>
      <c r="D2187" t="s">
        <v>4049</v>
      </c>
      <c r="E2187" t="s">
        <v>4073</v>
      </c>
      <c r="F2187" t="s">
        <v>4051</v>
      </c>
      <c r="G2187">
        <v>0.3</v>
      </c>
      <c r="H2187" s="2">
        <v>15517.89</v>
      </c>
      <c r="I2187" s="2">
        <v>4655.37</v>
      </c>
    </row>
    <row r="2188" spans="1:9" x14ac:dyDescent="0.25">
      <c r="A2188" t="s">
        <v>1196</v>
      </c>
      <c r="B2188" t="s">
        <v>1197</v>
      </c>
      <c r="C2188" t="s">
        <v>63</v>
      </c>
      <c r="D2188" t="s">
        <v>4052</v>
      </c>
      <c r="E2188" t="s">
        <v>4053</v>
      </c>
      <c r="F2188" t="s">
        <v>4054</v>
      </c>
      <c r="G2188">
        <v>3.3</v>
      </c>
      <c r="H2188" s="2">
        <v>7366.57</v>
      </c>
      <c r="I2188" s="2">
        <v>243.1</v>
      </c>
    </row>
    <row r="2189" spans="1:9" x14ac:dyDescent="0.25">
      <c r="A2189" t="s">
        <v>1199</v>
      </c>
      <c r="B2189" t="s">
        <v>1201</v>
      </c>
      <c r="C2189" t="s">
        <v>21</v>
      </c>
      <c r="D2189" t="s">
        <v>4062</v>
      </c>
      <c r="E2189" t="s">
        <v>3972</v>
      </c>
      <c r="F2189" t="s">
        <v>34</v>
      </c>
      <c r="G2189">
        <v>0.04</v>
      </c>
      <c r="H2189" s="2">
        <v>470829.15</v>
      </c>
      <c r="I2189" s="2">
        <v>18833.17</v>
      </c>
    </row>
    <row r="2190" spans="1:9" x14ac:dyDescent="0.25">
      <c r="A2190" t="s">
        <v>1199</v>
      </c>
      <c r="B2190" t="s">
        <v>1201</v>
      </c>
      <c r="C2190" t="s">
        <v>21</v>
      </c>
      <c r="D2190" t="s">
        <v>4062</v>
      </c>
      <c r="E2190" t="s">
        <v>5193</v>
      </c>
      <c r="F2190" t="s">
        <v>231</v>
      </c>
      <c r="G2190">
        <v>3.5</v>
      </c>
      <c r="H2190" s="2">
        <v>4997</v>
      </c>
      <c r="I2190" s="2">
        <v>17489.5</v>
      </c>
    </row>
    <row r="2191" spans="1:9" x14ac:dyDescent="0.25">
      <c r="A2191" t="s">
        <v>1199</v>
      </c>
      <c r="B2191" t="s">
        <v>1201</v>
      </c>
      <c r="C2191" t="s">
        <v>21</v>
      </c>
      <c r="D2191" t="s">
        <v>4049</v>
      </c>
      <c r="E2191" t="s">
        <v>4487</v>
      </c>
      <c r="F2191" t="s">
        <v>4236</v>
      </c>
      <c r="G2191">
        <v>0.3</v>
      </c>
      <c r="H2191" s="2">
        <v>24555.22</v>
      </c>
      <c r="I2191" s="2">
        <v>7366.57</v>
      </c>
    </row>
    <row r="2192" spans="1:9" x14ac:dyDescent="0.25">
      <c r="A2192" t="s">
        <v>1199</v>
      </c>
      <c r="B2192" t="s">
        <v>1201</v>
      </c>
      <c r="C2192" t="s">
        <v>21</v>
      </c>
      <c r="D2192" t="s">
        <v>4052</v>
      </c>
      <c r="E2192" t="s">
        <v>4053</v>
      </c>
      <c r="F2192" t="s">
        <v>4054</v>
      </c>
      <c r="G2192">
        <v>5</v>
      </c>
      <c r="H2192" s="2">
        <v>7366.57</v>
      </c>
      <c r="I2192" s="2">
        <v>368.33</v>
      </c>
    </row>
    <row r="2193" spans="1:9" x14ac:dyDescent="0.25">
      <c r="A2193" t="s">
        <v>1204</v>
      </c>
      <c r="B2193" t="s">
        <v>1205</v>
      </c>
      <c r="C2193" t="s">
        <v>21</v>
      </c>
      <c r="D2193" t="s">
        <v>4062</v>
      </c>
      <c r="E2193" t="s">
        <v>5196</v>
      </c>
      <c r="F2193" t="s">
        <v>42</v>
      </c>
      <c r="G2193">
        <v>3</v>
      </c>
      <c r="H2193" s="2">
        <v>1141</v>
      </c>
      <c r="I2193" s="2">
        <v>3423</v>
      </c>
    </row>
    <row r="2194" spans="1:9" x14ac:dyDescent="0.25">
      <c r="A2194" t="s">
        <v>1204</v>
      </c>
      <c r="B2194" t="s">
        <v>1205</v>
      </c>
      <c r="C2194" t="s">
        <v>21</v>
      </c>
      <c r="D2194" t="s">
        <v>4062</v>
      </c>
      <c r="E2194" t="s">
        <v>4492</v>
      </c>
      <c r="F2194" t="s">
        <v>34</v>
      </c>
      <c r="G2194">
        <v>0.01</v>
      </c>
      <c r="H2194" s="2">
        <v>68425</v>
      </c>
      <c r="I2194" s="2">
        <v>684.25</v>
      </c>
    </row>
    <row r="2195" spans="1:9" x14ac:dyDescent="0.25">
      <c r="A2195" t="s">
        <v>1204</v>
      </c>
      <c r="B2195" t="s">
        <v>1205</v>
      </c>
      <c r="C2195" t="s">
        <v>21</v>
      </c>
      <c r="D2195" t="s">
        <v>4062</v>
      </c>
      <c r="E2195" t="s">
        <v>4475</v>
      </c>
      <c r="F2195" t="s">
        <v>231</v>
      </c>
      <c r="G2195">
        <v>1.22</v>
      </c>
      <c r="H2195" s="2">
        <v>730</v>
      </c>
      <c r="I2195" s="2">
        <v>890.6</v>
      </c>
    </row>
    <row r="2196" spans="1:9" x14ac:dyDescent="0.25">
      <c r="A2196" t="s">
        <v>1204</v>
      </c>
      <c r="B2196" t="s">
        <v>1205</v>
      </c>
      <c r="C2196" t="s">
        <v>21</v>
      </c>
      <c r="D2196" t="s">
        <v>4062</v>
      </c>
      <c r="E2196" t="s">
        <v>4076</v>
      </c>
      <c r="F2196" t="s">
        <v>3963</v>
      </c>
      <c r="G2196">
        <v>0.55</v>
      </c>
      <c r="H2196" s="2">
        <v>21</v>
      </c>
      <c r="I2196" s="2">
        <v>11.55</v>
      </c>
    </row>
    <row r="2197" spans="1:9" x14ac:dyDescent="0.25">
      <c r="A2197" t="s">
        <v>1204</v>
      </c>
      <c r="B2197" t="s">
        <v>1205</v>
      </c>
      <c r="C2197" t="s">
        <v>21</v>
      </c>
      <c r="D2197" t="s">
        <v>4049</v>
      </c>
      <c r="E2197" t="s">
        <v>4487</v>
      </c>
      <c r="F2197" t="s">
        <v>4236</v>
      </c>
      <c r="G2197">
        <v>0.4</v>
      </c>
      <c r="H2197" s="2">
        <v>24555.22</v>
      </c>
      <c r="I2197" s="2">
        <v>9822.09</v>
      </c>
    </row>
    <row r="2198" spans="1:9" x14ac:dyDescent="0.25">
      <c r="A2198" t="s">
        <v>1204</v>
      </c>
      <c r="B2198" t="s">
        <v>1205</v>
      </c>
      <c r="C2198" t="s">
        <v>21</v>
      </c>
      <c r="D2198" t="s">
        <v>4052</v>
      </c>
      <c r="E2198" t="s">
        <v>4053</v>
      </c>
      <c r="F2198" t="s">
        <v>4054</v>
      </c>
      <c r="G2198">
        <v>5</v>
      </c>
      <c r="H2198" s="2">
        <v>9822.09</v>
      </c>
      <c r="I2198" s="2">
        <v>491.1</v>
      </c>
    </row>
    <row r="2199" spans="1:9" x14ac:dyDescent="0.25">
      <c r="A2199" t="s">
        <v>1207</v>
      </c>
      <c r="B2199" t="s">
        <v>1208</v>
      </c>
      <c r="C2199" t="s">
        <v>21</v>
      </c>
      <c r="D2199" t="s">
        <v>4062</v>
      </c>
      <c r="E2199" t="s">
        <v>3975</v>
      </c>
      <c r="F2199" t="s">
        <v>34</v>
      </c>
      <c r="G2199">
        <v>0.04</v>
      </c>
      <c r="H2199" s="2">
        <v>586929.15</v>
      </c>
      <c r="I2199" s="2">
        <v>23477.17</v>
      </c>
    </row>
    <row r="2200" spans="1:9" x14ac:dyDescent="0.25">
      <c r="A2200" t="s">
        <v>1207</v>
      </c>
      <c r="B2200" t="s">
        <v>1208</v>
      </c>
      <c r="C2200" t="s">
        <v>21</v>
      </c>
      <c r="D2200" t="s">
        <v>4049</v>
      </c>
      <c r="E2200" t="s">
        <v>4050</v>
      </c>
      <c r="F2200" t="s">
        <v>4051</v>
      </c>
      <c r="G2200">
        <v>0.4</v>
      </c>
      <c r="H2200" s="2">
        <v>9037.33</v>
      </c>
      <c r="I2200" s="2">
        <v>3614.93</v>
      </c>
    </row>
    <row r="2201" spans="1:9" x14ac:dyDescent="0.25">
      <c r="A2201" t="s">
        <v>1207</v>
      </c>
      <c r="B2201" t="s">
        <v>1208</v>
      </c>
      <c r="C2201" t="s">
        <v>21</v>
      </c>
      <c r="D2201" t="s">
        <v>4049</v>
      </c>
      <c r="E2201" t="s">
        <v>4073</v>
      </c>
      <c r="F2201" t="s">
        <v>4051</v>
      </c>
      <c r="G2201">
        <v>0.4</v>
      </c>
      <c r="H2201" s="2">
        <v>15517.89</v>
      </c>
      <c r="I2201" s="2">
        <v>6207.16</v>
      </c>
    </row>
    <row r="2202" spans="1:9" x14ac:dyDescent="0.25">
      <c r="A2202" t="s">
        <v>1207</v>
      </c>
      <c r="B2202" t="s">
        <v>1208</v>
      </c>
      <c r="C2202" t="s">
        <v>21</v>
      </c>
      <c r="D2202" t="s">
        <v>4052</v>
      </c>
      <c r="E2202" t="s">
        <v>4053</v>
      </c>
      <c r="F2202" t="s">
        <v>4054</v>
      </c>
      <c r="G2202">
        <v>5</v>
      </c>
      <c r="H2202" s="2">
        <v>9822.09</v>
      </c>
      <c r="I2202" s="2">
        <v>491.1</v>
      </c>
    </row>
    <row r="2203" spans="1:9" x14ac:dyDescent="0.25">
      <c r="A2203" t="s">
        <v>1210</v>
      </c>
      <c r="B2203" t="s">
        <v>1211</v>
      </c>
      <c r="C2203" t="s">
        <v>21</v>
      </c>
      <c r="D2203" t="s">
        <v>4062</v>
      </c>
      <c r="E2203" t="s">
        <v>3981</v>
      </c>
      <c r="F2203" t="s">
        <v>34</v>
      </c>
      <c r="G2203">
        <v>0.04</v>
      </c>
      <c r="H2203" s="2">
        <v>365704.15</v>
      </c>
      <c r="I2203" s="2">
        <v>14628.17</v>
      </c>
    </row>
    <row r="2204" spans="1:9" x14ac:dyDescent="0.25">
      <c r="A2204" t="s">
        <v>1210</v>
      </c>
      <c r="B2204" t="s">
        <v>1211</v>
      </c>
      <c r="C2204" t="s">
        <v>21</v>
      </c>
      <c r="D2204" t="s">
        <v>4049</v>
      </c>
      <c r="E2204" t="s">
        <v>4050</v>
      </c>
      <c r="F2204" t="s">
        <v>4051</v>
      </c>
      <c r="G2204">
        <v>0.4</v>
      </c>
      <c r="H2204" s="2">
        <v>9037.33</v>
      </c>
      <c r="I2204" s="2">
        <v>3614.93</v>
      </c>
    </row>
    <row r="2205" spans="1:9" x14ac:dyDescent="0.25">
      <c r="A2205" t="s">
        <v>1210</v>
      </c>
      <c r="B2205" t="s">
        <v>1211</v>
      </c>
      <c r="C2205" t="s">
        <v>21</v>
      </c>
      <c r="D2205" t="s">
        <v>4049</v>
      </c>
      <c r="E2205" t="s">
        <v>4073</v>
      </c>
      <c r="F2205" t="s">
        <v>4051</v>
      </c>
      <c r="G2205">
        <v>0.4</v>
      </c>
      <c r="H2205" s="2">
        <v>15517.89</v>
      </c>
      <c r="I2205" s="2">
        <v>6207.16</v>
      </c>
    </row>
    <row r="2206" spans="1:9" x14ac:dyDescent="0.25">
      <c r="A2206" t="s">
        <v>1210</v>
      </c>
      <c r="B2206" t="s">
        <v>1211</v>
      </c>
      <c r="C2206" t="s">
        <v>21</v>
      </c>
      <c r="D2206" t="s">
        <v>4052</v>
      </c>
      <c r="E2206" t="s">
        <v>4053</v>
      </c>
      <c r="F2206" t="s">
        <v>4054</v>
      </c>
      <c r="G2206">
        <v>5</v>
      </c>
      <c r="H2206" s="2">
        <v>9822.09</v>
      </c>
      <c r="I2206" s="2">
        <v>491.1</v>
      </c>
    </row>
    <row r="2207" spans="1:9" x14ac:dyDescent="0.25">
      <c r="A2207" t="s">
        <v>1213</v>
      </c>
      <c r="B2207" t="s">
        <v>1214</v>
      </c>
      <c r="C2207" t="s">
        <v>21</v>
      </c>
      <c r="D2207" t="s">
        <v>4062</v>
      </c>
      <c r="E2207" t="s">
        <v>4492</v>
      </c>
      <c r="F2207" t="s">
        <v>34</v>
      </c>
      <c r="G2207">
        <v>0.1</v>
      </c>
      <c r="H2207" s="2">
        <v>68425</v>
      </c>
      <c r="I2207" s="2">
        <v>6842.5</v>
      </c>
    </row>
    <row r="2208" spans="1:9" x14ac:dyDescent="0.25">
      <c r="A2208" t="s">
        <v>1213</v>
      </c>
      <c r="B2208" t="s">
        <v>1214</v>
      </c>
      <c r="C2208" t="s">
        <v>21</v>
      </c>
      <c r="D2208" t="s">
        <v>4062</v>
      </c>
      <c r="E2208" t="s">
        <v>4475</v>
      </c>
      <c r="F2208" t="s">
        <v>231</v>
      </c>
      <c r="G2208">
        <v>24.88</v>
      </c>
      <c r="H2208" s="2">
        <v>730</v>
      </c>
      <c r="I2208" s="2">
        <v>18162.4</v>
      </c>
    </row>
    <row r="2209" spans="1:9" x14ac:dyDescent="0.25">
      <c r="A2209" t="s">
        <v>1213</v>
      </c>
      <c r="B2209" t="s">
        <v>1214</v>
      </c>
      <c r="C2209" t="s">
        <v>21</v>
      </c>
      <c r="D2209" t="s">
        <v>4062</v>
      </c>
      <c r="E2209" t="s">
        <v>4076</v>
      </c>
      <c r="F2209" t="s">
        <v>3963</v>
      </c>
      <c r="G2209">
        <v>14.8</v>
      </c>
      <c r="H2209" s="2">
        <v>21</v>
      </c>
      <c r="I2209" s="2">
        <v>310.8</v>
      </c>
    </row>
    <row r="2210" spans="1:9" x14ac:dyDescent="0.25">
      <c r="A2210" t="s">
        <v>1213</v>
      </c>
      <c r="B2210" t="s">
        <v>1214</v>
      </c>
      <c r="C2210" t="s">
        <v>21</v>
      </c>
      <c r="D2210" t="s">
        <v>4062</v>
      </c>
      <c r="E2210" t="s">
        <v>4544</v>
      </c>
      <c r="F2210" t="s">
        <v>231</v>
      </c>
      <c r="G2210">
        <v>1.8</v>
      </c>
      <c r="H2210" s="2">
        <v>25521</v>
      </c>
      <c r="I2210" s="2">
        <v>45937.8</v>
      </c>
    </row>
    <row r="2211" spans="1:9" x14ac:dyDescent="0.25">
      <c r="A2211" t="s">
        <v>1213</v>
      </c>
      <c r="B2211" t="s">
        <v>1214</v>
      </c>
      <c r="C2211" t="s">
        <v>21</v>
      </c>
      <c r="D2211" t="s">
        <v>4049</v>
      </c>
      <c r="E2211" t="s">
        <v>4487</v>
      </c>
      <c r="F2211" t="s">
        <v>4236</v>
      </c>
      <c r="G2211">
        <v>0.6</v>
      </c>
      <c r="H2211" s="2">
        <v>24555.22</v>
      </c>
      <c r="I2211" s="2">
        <v>14733.13</v>
      </c>
    </row>
    <row r="2212" spans="1:9" x14ac:dyDescent="0.25">
      <c r="A2212" t="s">
        <v>1213</v>
      </c>
      <c r="B2212" t="s">
        <v>1214</v>
      </c>
      <c r="C2212" t="s">
        <v>21</v>
      </c>
      <c r="D2212" t="s">
        <v>4052</v>
      </c>
      <c r="E2212" t="s">
        <v>4053</v>
      </c>
      <c r="F2212" t="s">
        <v>4054</v>
      </c>
      <c r="G2212">
        <v>5</v>
      </c>
      <c r="H2212" s="2">
        <v>14733.13</v>
      </c>
      <c r="I2212" s="2">
        <v>736.66</v>
      </c>
    </row>
    <row r="2213" spans="1:9" x14ac:dyDescent="0.25">
      <c r="A2213" t="s">
        <v>1216</v>
      </c>
      <c r="B2213" t="s">
        <v>1217</v>
      </c>
      <c r="C2213" t="s">
        <v>34</v>
      </c>
      <c r="D2213" t="s">
        <v>4062</v>
      </c>
      <c r="E2213" t="s">
        <v>5205</v>
      </c>
      <c r="F2213" t="s">
        <v>34</v>
      </c>
      <c r="G2213">
        <v>1.2</v>
      </c>
      <c r="H2213" s="2">
        <v>28333.33</v>
      </c>
      <c r="I2213" s="2">
        <v>34000</v>
      </c>
    </row>
    <row r="2214" spans="1:9" x14ac:dyDescent="0.25">
      <c r="A2214" t="s">
        <v>1216</v>
      </c>
      <c r="B2214" t="s">
        <v>1217</v>
      </c>
      <c r="C2214" t="s">
        <v>34</v>
      </c>
      <c r="D2214" t="s">
        <v>4062</v>
      </c>
      <c r="E2214" t="s">
        <v>4076</v>
      </c>
      <c r="F2214" t="s">
        <v>3963</v>
      </c>
      <c r="G2214">
        <v>0.25</v>
      </c>
      <c r="H2214" s="2">
        <v>21</v>
      </c>
      <c r="I2214" s="2">
        <v>5.25</v>
      </c>
    </row>
    <row r="2215" spans="1:9" x14ac:dyDescent="0.25">
      <c r="A2215" t="s">
        <v>1216</v>
      </c>
      <c r="B2215" t="s">
        <v>1217</v>
      </c>
      <c r="C2215" t="s">
        <v>34</v>
      </c>
      <c r="D2215" t="s">
        <v>4049</v>
      </c>
      <c r="E2215" t="s">
        <v>4176</v>
      </c>
      <c r="F2215" t="s">
        <v>4177</v>
      </c>
      <c r="G2215">
        <v>0.1</v>
      </c>
      <c r="H2215" s="2">
        <v>72300.17</v>
      </c>
      <c r="I2215" s="2">
        <v>7230.02</v>
      </c>
    </row>
    <row r="2216" spans="1:9" x14ac:dyDescent="0.25">
      <c r="A2216" t="s">
        <v>1216</v>
      </c>
      <c r="B2216" t="s">
        <v>1217</v>
      </c>
      <c r="C2216" t="s">
        <v>34</v>
      </c>
      <c r="D2216" t="s">
        <v>4049</v>
      </c>
      <c r="E2216" t="s">
        <v>4313</v>
      </c>
      <c r="F2216" t="s">
        <v>4177</v>
      </c>
      <c r="G2216">
        <v>0.1</v>
      </c>
      <c r="H2216" s="2">
        <v>124137.15</v>
      </c>
      <c r="I2216" s="2">
        <v>12413.72</v>
      </c>
    </row>
    <row r="2217" spans="1:9" x14ac:dyDescent="0.25">
      <c r="A2217" t="s">
        <v>1216</v>
      </c>
      <c r="B2217" t="s">
        <v>1217</v>
      </c>
      <c r="C2217" t="s">
        <v>34</v>
      </c>
      <c r="D2217" t="s">
        <v>4052</v>
      </c>
      <c r="E2217" t="s">
        <v>4342</v>
      </c>
      <c r="F2217" t="s">
        <v>287</v>
      </c>
      <c r="G2217">
        <v>0.33</v>
      </c>
      <c r="H2217" s="2">
        <v>8333.33</v>
      </c>
      <c r="I2217" s="2">
        <v>2750</v>
      </c>
    </row>
    <row r="2218" spans="1:9" x14ac:dyDescent="0.25">
      <c r="A2218" t="s">
        <v>1216</v>
      </c>
      <c r="B2218" t="s">
        <v>1217</v>
      </c>
      <c r="C2218" t="s">
        <v>34</v>
      </c>
      <c r="D2218" t="s">
        <v>4052</v>
      </c>
      <c r="E2218" t="s">
        <v>4053</v>
      </c>
      <c r="F2218" t="s">
        <v>4054</v>
      </c>
      <c r="G2218">
        <v>3.3</v>
      </c>
      <c r="H2218" s="2">
        <v>19643.74</v>
      </c>
      <c r="I2218" s="2">
        <v>648.24</v>
      </c>
    </row>
    <row r="2219" spans="1:9" x14ac:dyDescent="0.25">
      <c r="A2219" t="s">
        <v>1221</v>
      </c>
      <c r="B2219" t="s">
        <v>1222</v>
      </c>
      <c r="C2219" t="s">
        <v>42</v>
      </c>
      <c r="D2219" t="s">
        <v>4062</v>
      </c>
      <c r="E2219" t="s">
        <v>4475</v>
      </c>
      <c r="F2219" t="s">
        <v>231</v>
      </c>
      <c r="G2219">
        <v>6</v>
      </c>
      <c r="H2219" s="2">
        <v>730</v>
      </c>
      <c r="I2219" s="2">
        <v>4380</v>
      </c>
    </row>
    <row r="2220" spans="1:9" x14ac:dyDescent="0.25">
      <c r="A2220" t="s">
        <v>1221</v>
      </c>
      <c r="B2220" t="s">
        <v>1222</v>
      </c>
      <c r="C2220" t="s">
        <v>42</v>
      </c>
      <c r="D2220" t="s">
        <v>4062</v>
      </c>
      <c r="E2220" t="s">
        <v>5208</v>
      </c>
      <c r="F2220" t="s">
        <v>42</v>
      </c>
      <c r="G2220">
        <v>0.36</v>
      </c>
      <c r="H2220" s="2">
        <v>12961</v>
      </c>
      <c r="I2220" s="2">
        <v>4665.96</v>
      </c>
    </row>
    <row r="2221" spans="1:9" x14ac:dyDescent="0.25">
      <c r="A2221" t="s">
        <v>1221</v>
      </c>
      <c r="B2221" t="s">
        <v>1222</v>
      </c>
      <c r="C2221" t="s">
        <v>42</v>
      </c>
      <c r="D2221" t="s">
        <v>4062</v>
      </c>
      <c r="E2221" t="s">
        <v>5209</v>
      </c>
      <c r="F2221" t="s">
        <v>5090</v>
      </c>
      <c r="G2221">
        <v>0.05</v>
      </c>
      <c r="H2221" s="2">
        <v>20230</v>
      </c>
      <c r="I2221" s="2">
        <v>910.35</v>
      </c>
    </row>
    <row r="2222" spans="1:9" x14ac:dyDescent="0.25">
      <c r="A2222" t="s">
        <v>1221</v>
      </c>
      <c r="B2222" t="s">
        <v>1222</v>
      </c>
      <c r="C2222" t="s">
        <v>42</v>
      </c>
      <c r="D2222" t="s">
        <v>4062</v>
      </c>
      <c r="E2222" t="s">
        <v>3972</v>
      </c>
      <c r="F2222" t="s">
        <v>34</v>
      </c>
      <c r="G2222">
        <v>0.01</v>
      </c>
      <c r="H2222" s="2">
        <v>470829.15</v>
      </c>
      <c r="I2222" s="2">
        <v>3766.63</v>
      </c>
    </row>
    <row r="2223" spans="1:9" x14ac:dyDescent="0.25">
      <c r="A2223" t="s">
        <v>1221</v>
      </c>
      <c r="B2223" t="s">
        <v>1222</v>
      </c>
      <c r="C2223" t="s">
        <v>42</v>
      </c>
      <c r="D2223" t="s">
        <v>4062</v>
      </c>
      <c r="E2223" t="s">
        <v>5103</v>
      </c>
      <c r="F2223" t="s">
        <v>5090</v>
      </c>
      <c r="G2223">
        <v>0.08</v>
      </c>
      <c r="H2223" s="2">
        <v>16597</v>
      </c>
      <c r="I2223" s="2">
        <v>1244.77</v>
      </c>
    </row>
    <row r="2224" spans="1:9" x14ac:dyDescent="0.25">
      <c r="A2224" t="s">
        <v>1221</v>
      </c>
      <c r="B2224" t="s">
        <v>1222</v>
      </c>
      <c r="C2224" t="s">
        <v>42</v>
      </c>
      <c r="D2224" t="s">
        <v>4062</v>
      </c>
      <c r="E2224" t="s">
        <v>5210</v>
      </c>
      <c r="F2224" t="s">
        <v>231</v>
      </c>
      <c r="G2224">
        <v>0.2</v>
      </c>
      <c r="H2224" s="2">
        <v>8133.33</v>
      </c>
      <c r="I2224" s="2">
        <v>1626.67</v>
      </c>
    </row>
    <row r="2225" spans="1:9" x14ac:dyDescent="0.25">
      <c r="A2225" t="s">
        <v>1221</v>
      </c>
      <c r="B2225" t="s">
        <v>1222</v>
      </c>
      <c r="C2225" t="s">
        <v>42</v>
      </c>
      <c r="D2225" t="s">
        <v>4062</v>
      </c>
      <c r="E2225" t="s">
        <v>4076</v>
      </c>
      <c r="F2225" t="s">
        <v>3963</v>
      </c>
      <c r="G2225">
        <v>3.5</v>
      </c>
      <c r="H2225" s="2">
        <v>21</v>
      </c>
      <c r="I2225" s="2">
        <v>73.5</v>
      </c>
    </row>
    <row r="2226" spans="1:9" x14ac:dyDescent="0.25">
      <c r="A2226" t="s">
        <v>1221</v>
      </c>
      <c r="B2226" t="s">
        <v>1222</v>
      </c>
      <c r="C2226" t="s">
        <v>42</v>
      </c>
      <c r="D2226" t="s">
        <v>4049</v>
      </c>
      <c r="E2226" t="s">
        <v>4050</v>
      </c>
      <c r="F2226" t="s">
        <v>4051</v>
      </c>
      <c r="G2226">
        <v>0.5</v>
      </c>
      <c r="H2226" s="2">
        <v>9037.33</v>
      </c>
      <c r="I2226" s="2">
        <v>4518.66</v>
      </c>
    </row>
    <row r="2227" spans="1:9" x14ac:dyDescent="0.25">
      <c r="A2227" t="s">
        <v>1221</v>
      </c>
      <c r="B2227" t="s">
        <v>1222</v>
      </c>
      <c r="C2227" t="s">
        <v>42</v>
      </c>
      <c r="D2227" t="s">
        <v>4049</v>
      </c>
      <c r="E2227" t="s">
        <v>4073</v>
      </c>
      <c r="F2227" t="s">
        <v>4051</v>
      </c>
      <c r="G2227">
        <v>2</v>
      </c>
      <c r="H2227" s="2">
        <v>15517.89</v>
      </c>
      <c r="I2227" s="2">
        <v>31035.78</v>
      </c>
    </row>
    <row r="2228" spans="1:9" x14ac:dyDescent="0.25">
      <c r="A2228" t="s">
        <v>1221</v>
      </c>
      <c r="B2228" t="s">
        <v>1222</v>
      </c>
      <c r="C2228" t="s">
        <v>42</v>
      </c>
      <c r="D2228" t="s">
        <v>4052</v>
      </c>
      <c r="E2228" t="s">
        <v>4113</v>
      </c>
      <c r="F2228" t="s">
        <v>4106</v>
      </c>
      <c r="G2228">
        <v>0.2</v>
      </c>
      <c r="H2228" s="2">
        <v>43805.88</v>
      </c>
      <c r="I2228" s="2">
        <v>8761.18</v>
      </c>
    </row>
    <row r="2229" spans="1:9" x14ac:dyDescent="0.25">
      <c r="A2229" t="s">
        <v>1221</v>
      </c>
      <c r="B2229" t="s">
        <v>1222</v>
      </c>
      <c r="C2229" t="s">
        <v>42</v>
      </c>
      <c r="D2229" t="s">
        <v>4052</v>
      </c>
      <c r="E2229" t="s">
        <v>4053</v>
      </c>
      <c r="F2229" t="s">
        <v>4054</v>
      </c>
      <c r="G2229">
        <v>1</v>
      </c>
      <c r="H2229" s="2">
        <v>35554.44</v>
      </c>
      <c r="I2229" s="2">
        <v>355.54</v>
      </c>
    </row>
    <row r="2230" spans="1:9" x14ac:dyDescent="0.25">
      <c r="A2230" t="s">
        <v>1224</v>
      </c>
      <c r="B2230" t="s">
        <v>1225</v>
      </c>
      <c r="C2230" t="s">
        <v>42</v>
      </c>
      <c r="D2230" t="s">
        <v>4062</v>
      </c>
      <c r="E2230" t="s">
        <v>4475</v>
      </c>
      <c r="F2230" t="s">
        <v>231</v>
      </c>
      <c r="G2230">
        <v>6</v>
      </c>
      <c r="H2230" s="2">
        <v>730</v>
      </c>
      <c r="I2230" s="2">
        <v>4380</v>
      </c>
    </row>
    <row r="2231" spans="1:9" x14ac:dyDescent="0.25">
      <c r="A2231" t="s">
        <v>1224</v>
      </c>
      <c r="B2231" t="s">
        <v>1225</v>
      </c>
      <c r="C2231" t="s">
        <v>42</v>
      </c>
      <c r="D2231" t="s">
        <v>4062</v>
      </c>
      <c r="E2231" t="s">
        <v>5208</v>
      </c>
      <c r="F2231" t="s">
        <v>42</v>
      </c>
      <c r="G2231">
        <v>0.36</v>
      </c>
      <c r="H2231" s="2">
        <v>12961</v>
      </c>
      <c r="I2231" s="2">
        <v>4665.96</v>
      </c>
    </row>
    <row r="2232" spans="1:9" x14ac:dyDescent="0.25">
      <c r="A2232" t="s">
        <v>1224</v>
      </c>
      <c r="B2232" t="s">
        <v>1225</v>
      </c>
      <c r="C2232" t="s">
        <v>42</v>
      </c>
      <c r="D2232" t="s">
        <v>4062</v>
      </c>
      <c r="E2232" t="s">
        <v>5209</v>
      </c>
      <c r="F2232" t="s">
        <v>5090</v>
      </c>
      <c r="G2232">
        <v>0.05</v>
      </c>
      <c r="H2232" s="2">
        <v>20230</v>
      </c>
      <c r="I2232" s="2">
        <v>910.35</v>
      </c>
    </row>
    <row r="2233" spans="1:9" x14ac:dyDescent="0.25">
      <c r="A2233" t="s">
        <v>1224</v>
      </c>
      <c r="B2233" t="s">
        <v>1225</v>
      </c>
      <c r="C2233" t="s">
        <v>42</v>
      </c>
      <c r="D2233" t="s">
        <v>4062</v>
      </c>
      <c r="E2233" t="s">
        <v>3972</v>
      </c>
      <c r="F2233" t="s">
        <v>34</v>
      </c>
      <c r="G2233">
        <v>0.01</v>
      </c>
      <c r="H2233" s="2">
        <v>470829.15</v>
      </c>
      <c r="I2233" s="2">
        <v>3766.63</v>
      </c>
    </row>
    <row r="2234" spans="1:9" x14ac:dyDescent="0.25">
      <c r="A2234" t="s">
        <v>1224</v>
      </c>
      <c r="B2234" t="s">
        <v>1225</v>
      </c>
      <c r="C2234" t="s">
        <v>42</v>
      </c>
      <c r="D2234" t="s">
        <v>4062</v>
      </c>
      <c r="E2234" t="s">
        <v>5103</v>
      </c>
      <c r="F2234" t="s">
        <v>5090</v>
      </c>
      <c r="G2234">
        <v>0.08</v>
      </c>
      <c r="H2234" s="2">
        <v>16597</v>
      </c>
      <c r="I2234" s="2">
        <v>1244.77</v>
      </c>
    </row>
    <row r="2235" spans="1:9" x14ac:dyDescent="0.25">
      <c r="A2235" t="s">
        <v>1224</v>
      </c>
      <c r="B2235" t="s">
        <v>1225</v>
      </c>
      <c r="C2235" t="s">
        <v>42</v>
      </c>
      <c r="D2235" t="s">
        <v>4062</v>
      </c>
      <c r="E2235" t="s">
        <v>5210</v>
      </c>
      <c r="F2235" t="s">
        <v>231</v>
      </c>
      <c r="G2235">
        <v>0.2</v>
      </c>
      <c r="H2235" s="2">
        <v>8133.33</v>
      </c>
      <c r="I2235" s="2">
        <v>1626.67</v>
      </c>
    </row>
    <row r="2236" spans="1:9" x14ac:dyDescent="0.25">
      <c r="A2236" t="s">
        <v>1224</v>
      </c>
      <c r="B2236" t="s">
        <v>1225</v>
      </c>
      <c r="C2236" t="s">
        <v>42</v>
      </c>
      <c r="D2236" t="s">
        <v>4062</v>
      </c>
      <c r="E2236" t="s">
        <v>4076</v>
      </c>
      <c r="F2236" t="s">
        <v>3963</v>
      </c>
      <c r="G2236">
        <v>3.5</v>
      </c>
      <c r="H2236" s="2">
        <v>21</v>
      </c>
      <c r="I2236" s="2">
        <v>73.5</v>
      </c>
    </row>
    <row r="2237" spans="1:9" x14ac:dyDescent="0.25">
      <c r="A2237" t="s">
        <v>1224</v>
      </c>
      <c r="B2237" t="s">
        <v>1225</v>
      </c>
      <c r="C2237" t="s">
        <v>42</v>
      </c>
      <c r="D2237" t="s">
        <v>4049</v>
      </c>
      <c r="E2237" t="s">
        <v>4050</v>
      </c>
      <c r="F2237" t="s">
        <v>4051</v>
      </c>
      <c r="G2237">
        <v>0.5</v>
      </c>
      <c r="H2237" s="2">
        <v>9037.33</v>
      </c>
      <c r="I2237" s="2">
        <v>4518.66</v>
      </c>
    </row>
    <row r="2238" spans="1:9" x14ac:dyDescent="0.25">
      <c r="A2238" t="s">
        <v>1224</v>
      </c>
      <c r="B2238" t="s">
        <v>1225</v>
      </c>
      <c r="C2238" t="s">
        <v>42</v>
      </c>
      <c r="D2238" t="s">
        <v>4049</v>
      </c>
      <c r="E2238" t="s">
        <v>4073</v>
      </c>
      <c r="F2238" t="s">
        <v>4051</v>
      </c>
      <c r="G2238">
        <v>1.6</v>
      </c>
      <c r="H2238" s="2">
        <v>15517.89</v>
      </c>
      <c r="I2238" s="2">
        <v>24828.62</v>
      </c>
    </row>
    <row r="2239" spans="1:9" x14ac:dyDescent="0.25">
      <c r="A2239" t="s">
        <v>1224</v>
      </c>
      <c r="B2239" t="s">
        <v>1225</v>
      </c>
      <c r="C2239" t="s">
        <v>42</v>
      </c>
      <c r="D2239" t="s">
        <v>4052</v>
      </c>
      <c r="E2239" t="s">
        <v>4053</v>
      </c>
      <c r="F2239" t="s">
        <v>4054</v>
      </c>
      <c r="G2239">
        <v>0.7</v>
      </c>
      <c r="H2239" s="2">
        <v>29347.28</v>
      </c>
      <c r="I2239" s="2">
        <v>205.43</v>
      </c>
    </row>
    <row r="2240" spans="1:9" x14ac:dyDescent="0.25">
      <c r="A2240" t="s">
        <v>1227</v>
      </c>
      <c r="B2240" t="s">
        <v>1228</v>
      </c>
      <c r="C2240" t="s">
        <v>42</v>
      </c>
      <c r="D2240" t="s">
        <v>4062</v>
      </c>
      <c r="E2240" t="s">
        <v>4474</v>
      </c>
      <c r="F2240" t="s">
        <v>34</v>
      </c>
      <c r="G2240">
        <v>0.07</v>
      </c>
      <c r="H2240" s="2">
        <v>114500</v>
      </c>
      <c r="I2240" s="2">
        <v>8015</v>
      </c>
    </row>
    <row r="2241" spans="1:9" x14ac:dyDescent="0.25">
      <c r="A2241" t="s">
        <v>1227</v>
      </c>
      <c r="B2241" t="s">
        <v>1228</v>
      </c>
      <c r="C2241" t="s">
        <v>42</v>
      </c>
      <c r="D2241" t="s">
        <v>4062</v>
      </c>
      <c r="E2241" t="s">
        <v>4690</v>
      </c>
      <c r="F2241" t="s">
        <v>231</v>
      </c>
      <c r="G2241">
        <v>10.5</v>
      </c>
      <c r="H2241" s="2">
        <v>2025</v>
      </c>
      <c r="I2241" s="2">
        <v>21262.5</v>
      </c>
    </row>
    <row r="2242" spans="1:9" x14ac:dyDescent="0.25">
      <c r="A2242" t="s">
        <v>1227</v>
      </c>
      <c r="B2242" t="s">
        <v>1228</v>
      </c>
      <c r="C2242" t="s">
        <v>42</v>
      </c>
      <c r="D2242" t="s">
        <v>4062</v>
      </c>
      <c r="E2242" t="s">
        <v>4475</v>
      </c>
      <c r="F2242" t="s">
        <v>231</v>
      </c>
      <c r="G2242">
        <v>12</v>
      </c>
      <c r="H2242" s="2">
        <v>730</v>
      </c>
      <c r="I2242" s="2">
        <v>8760</v>
      </c>
    </row>
    <row r="2243" spans="1:9" x14ac:dyDescent="0.25">
      <c r="A2243" t="s">
        <v>1227</v>
      </c>
      <c r="B2243" t="s">
        <v>1228</v>
      </c>
      <c r="C2243" t="s">
        <v>42</v>
      </c>
      <c r="D2243" t="s">
        <v>4062</v>
      </c>
      <c r="E2243" t="s">
        <v>5208</v>
      </c>
      <c r="F2243" t="s">
        <v>42</v>
      </c>
      <c r="G2243">
        <v>0.2</v>
      </c>
      <c r="H2243" s="2">
        <v>12961</v>
      </c>
      <c r="I2243" s="2">
        <v>2592.2</v>
      </c>
    </row>
    <row r="2244" spans="1:9" x14ac:dyDescent="0.25">
      <c r="A2244" t="s">
        <v>1227</v>
      </c>
      <c r="B2244" t="s">
        <v>1228</v>
      </c>
      <c r="C2244" t="s">
        <v>42</v>
      </c>
      <c r="D2244" t="s">
        <v>4062</v>
      </c>
      <c r="E2244" t="s">
        <v>5215</v>
      </c>
      <c r="F2244" t="s">
        <v>5090</v>
      </c>
      <c r="G2244">
        <v>0.38</v>
      </c>
      <c r="H2244" s="2">
        <v>25667</v>
      </c>
      <c r="I2244" s="2">
        <v>9753.46</v>
      </c>
    </row>
    <row r="2245" spans="1:9" x14ac:dyDescent="0.25">
      <c r="A2245" t="s">
        <v>1227</v>
      </c>
      <c r="B2245" t="s">
        <v>1228</v>
      </c>
      <c r="C2245" t="s">
        <v>42</v>
      </c>
      <c r="D2245" t="s">
        <v>4062</v>
      </c>
      <c r="E2245" t="s">
        <v>5103</v>
      </c>
      <c r="F2245" t="s">
        <v>5090</v>
      </c>
      <c r="G2245">
        <v>0.25</v>
      </c>
      <c r="H2245" s="2">
        <v>16597</v>
      </c>
      <c r="I2245" s="2">
        <v>4149.25</v>
      </c>
    </row>
    <row r="2246" spans="1:9" x14ac:dyDescent="0.25">
      <c r="A2246" t="s">
        <v>1227</v>
      </c>
      <c r="B2246" t="s">
        <v>1228</v>
      </c>
      <c r="C2246" t="s">
        <v>42</v>
      </c>
      <c r="D2246" t="s">
        <v>4062</v>
      </c>
      <c r="E2246" t="s">
        <v>5210</v>
      </c>
      <c r="F2246" t="s">
        <v>231</v>
      </c>
      <c r="G2246">
        <v>0.15</v>
      </c>
      <c r="H2246" s="2">
        <v>8133.33</v>
      </c>
      <c r="I2246" s="2">
        <v>1220</v>
      </c>
    </row>
    <row r="2247" spans="1:9" x14ac:dyDescent="0.25">
      <c r="A2247" t="s">
        <v>1227</v>
      </c>
      <c r="B2247" t="s">
        <v>1228</v>
      </c>
      <c r="C2247" t="s">
        <v>42</v>
      </c>
      <c r="D2247" t="s">
        <v>4062</v>
      </c>
      <c r="E2247" t="s">
        <v>5216</v>
      </c>
      <c r="F2247" t="s">
        <v>42</v>
      </c>
      <c r="G2247">
        <v>1.03</v>
      </c>
      <c r="H2247" s="2">
        <v>8949</v>
      </c>
      <c r="I2247" s="2">
        <v>9217.47</v>
      </c>
    </row>
    <row r="2248" spans="1:9" x14ac:dyDescent="0.25">
      <c r="A2248" t="s">
        <v>1227</v>
      </c>
      <c r="B2248" t="s">
        <v>1228</v>
      </c>
      <c r="C2248" t="s">
        <v>42</v>
      </c>
      <c r="D2248" t="s">
        <v>4062</v>
      </c>
      <c r="E2248" t="s">
        <v>4076</v>
      </c>
      <c r="F2248" t="s">
        <v>3963</v>
      </c>
      <c r="G2248">
        <v>3.7</v>
      </c>
      <c r="H2248" s="2">
        <v>21</v>
      </c>
      <c r="I2248" s="2">
        <v>77.7</v>
      </c>
    </row>
    <row r="2249" spans="1:9" x14ac:dyDescent="0.25">
      <c r="A2249" t="s">
        <v>1227</v>
      </c>
      <c r="B2249" t="s">
        <v>1228</v>
      </c>
      <c r="C2249" t="s">
        <v>42</v>
      </c>
      <c r="D2249" t="s">
        <v>4049</v>
      </c>
      <c r="E2249" t="s">
        <v>4050</v>
      </c>
      <c r="F2249" t="s">
        <v>4051</v>
      </c>
      <c r="G2249">
        <v>2.3</v>
      </c>
      <c r="H2249" s="2">
        <v>9037.33</v>
      </c>
      <c r="I2249" s="2">
        <v>20785.86</v>
      </c>
    </row>
    <row r="2250" spans="1:9" x14ac:dyDescent="0.25">
      <c r="A2250" t="s">
        <v>1227</v>
      </c>
      <c r="B2250" t="s">
        <v>1228</v>
      </c>
      <c r="C2250" t="s">
        <v>42</v>
      </c>
      <c r="D2250" t="s">
        <v>4049</v>
      </c>
      <c r="E2250" t="s">
        <v>4073</v>
      </c>
      <c r="F2250" t="s">
        <v>4051</v>
      </c>
      <c r="G2250">
        <v>2.3</v>
      </c>
      <c r="H2250" s="2">
        <v>15517.89</v>
      </c>
      <c r="I2250" s="2">
        <v>35691.15</v>
      </c>
    </row>
    <row r="2251" spans="1:9" x14ac:dyDescent="0.25">
      <c r="A2251" t="s">
        <v>1227</v>
      </c>
      <c r="B2251" t="s">
        <v>1228</v>
      </c>
      <c r="C2251" t="s">
        <v>42</v>
      </c>
      <c r="D2251" t="s">
        <v>4052</v>
      </c>
      <c r="E2251" t="s">
        <v>4053</v>
      </c>
      <c r="F2251" t="s">
        <v>4054</v>
      </c>
      <c r="G2251">
        <v>5</v>
      </c>
      <c r="H2251" s="2">
        <v>56477.01</v>
      </c>
      <c r="I2251" s="2">
        <v>2823.85</v>
      </c>
    </row>
    <row r="2252" spans="1:9" x14ac:dyDescent="0.25">
      <c r="A2252" t="s">
        <v>1230</v>
      </c>
      <c r="B2252" t="s">
        <v>1231</v>
      </c>
      <c r="C2252" t="s">
        <v>42</v>
      </c>
      <c r="D2252" t="s">
        <v>4062</v>
      </c>
      <c r="E2252" t="s">
        <v>4690</v>
      </c>
      <c r="F2252" t="s">
        <v>231</v>
      </c>
      <c r="G2252">
        <v>3.5</v>
      </c>
      <c r="H2252" s="2">
        <v>2025</v>
      </c>
      <c r="I2252" s="2">
        <v>7087.5</v>
      </c>
    </row>
    <row r="2253" spans="1:9" x14ac:dyDescent="0.25">
      <c r="A2253" t="s">
        <v>1230</v>
      </c>
      <c r="B2253" t="s">
        <v>1231</v>
      </c>
      <c r="C2253" t="s">
        <v>42</v>
      </c>
      <c r="D2253" t="s">
        <v>4062</v>
      </c>
      <c r="E2253" t="s">
        <v>5219</v>
      </c>
      <c r="F2253" t="s">
        <v>34</v>
      </c>
      <c r="G2253">
        <v>0.1</v>
      </c>
      <c r="H2253" s="2">
        <v>92880</v>
      </c>
      <c r="I2253" s="2">
        <v>9288</v>
      </c>
    </row>
    <row r="2254" spans="1:9" x14ac:dyDescent="0.25">
      <c r="A2254" t="s">
        <v>1230</v>
      </c>
      <c r="B2254" t="s">
        <v>1231</v>
      </c>
      <c r="C2254" t="s">
        <v>42</v>
      </c>
      <c r="D2254" t="s">
        <v>4062</v>
      </c>
      <c r="E2254" t="s">
        <v>5210</v>
      </c>
      <c r="F2254" t="s">
        <v>231</v>
      </c>
      <c r="G2254">
        <v>0.15</v>
      </c>
      <c r="H2254" s="2">
        <v>8133.33</v>
      </c>
      <c r="I2254" s="2">
        <v>1220</v>
      </c>
    </row>
    <row r="2255" spans="1:9" x14ac:dyDescent="0.25">
      <c r="A2255" t="s">
        <v>1230</v>
      </c>
      <c r="B2255" t="s">
        <v>1231</v>
      </c>
      <c r="C2255" t="s">
        <v>42</v>
      </c>
      <c r="D2255" t="s">
        <v>4062</v>
      </c>
      <c r="E2255" t="s">
        <v>5216</v>
      </c>
      <c r="F2255" t="s">
        <v>42</v>
      </c>
      <c r="G2255">
        <v>1.03</v>
      </c>
      <c r="H2255" s="2">
        <v>8949</v>
      </c>
      <c r="I2255" s="2">
        <v>9217.47</v>
      </c>
    </row>
    <row r="2256" spans="1:9" x14ac:dyDescent="0.25">
      <c r="A2256" t="s">
        <v>1230</v>
      </c>
      <c r="B2256" t="s">
        <v>1231</v>
      </c>
      <c r="C2256" t="s">
        <v>42</v>
      </c>
      <c r="D2256" t="s">
        <v>4062</v>
      </c>
      <c r="E2256" t="s">
        <v>4076</v>
      </c>
      <c r="F2256" t="s">
        <v>3963</v>
      </c>
      <c r="G2256">
        <v>1.59</v>
      </c>
      <c r="H2256" s="2">
        <v>21</v>
      </c>
      <c r="I2256" s="2">
        <v>33.39</v>
      </c>
    </row>
    <row r="2257" spans="1:9" x14ac:dyDescent="0.25">
      <c r="A2257" t="s">
        <v>1230</v>
      </c>
      <c r="B2257" t="s">
        <v>1231</v>
      </c>
      <c r="C2257" t="s">
        <v>42</v>
      </c>
      <c r="D2257" t="s">
        <v>4049</v>
      </c>
      <c r="E2257" t="s">
        <v>4050</v>
      </c>
      <c r="F2257" t="s">
        <v>4051</v>
      </c>
      <c r="G2257">
        <v>2.3</v>
      </c>
      <c r="H2257" s="2">
        <v>9037.33</v>
      </c>
      <c r="I2257" s="2">
        <v>20785.86</v>
      </c>
    </row>
    <row r="2258" spans="1:9" x14ac:dyDescent="0.25">
      <c r="A2258" t="s">
        <v>1230</v>
      </c>
      <c r="B2258" t="s">
        <v>1231</v>
      </c>
      <c r="C2258" t="s">
        <v>42</v>
      </c>
      <c r="D2258" t="s">
        <v>4049</v>
      </c>
      <c r="E2258" t="s">
        <v>4073</v>
      </c>
      <c r="F2258" t="s">
        <v>4051</v>
      </c>
      <c r="G2258">
        <v>2.3</v>
      </c>
      <c r="H2258" s="2">
        <v>15517.89</v>
      </c>
      <c r="I2258" s="2">
        <v>35691.15</v>
      </c>
    </row>
    <row r="2259" spans="1:9" x14ac:dyDescent="0.25">
      <c r="A2259" t="s">
        <v>1230</v>
      </c>
      <c r="B2259" t="s">
        <v>1231</v>
      </c>
      <c r="C2259" t="s">
        <v>42</v>
      </c>
      <c r="D2259" t="s">
        <v>4052</v>
      </c>
      <c r="E2259" t="s">
        <v>4053</v>
      </c>
      <c r="F2259" t="s">
        <v>4054</v>
      </c>
      <c r="G2259">
        <v>5</v>
      </c>
      <c r="H2259" s="2">
        <v>56477.01</v>
      </c>
      <c r="I2259" s="2">
        <v>2823.85</v>
      </c>
    </row>
    <row r="2260" spans="1:9" x14ac:dyDescent="0.25">
      <c r="A2260" t="s">
        <v>1233</v>
      </c>
      <c r="B2260" t="s">
        <v>1234</v>
      </c>
      <c r="C2260" t="s">
        <v>42</v>
      </c>
      <c r="D2260" t="s">
        <v>4062</v>
      </c>
      <c r="E2260" t="s">
        <v>5222</v>
      </c>
      <c r="F2260" t="s">
        <v>63</v>
      </c>
      <c r="G2260">
        <v>3</v>
      </c>
      <c r="H2260" s="2">
        <v>17</v>
      </c>
      <c r="I2260" s="2">
        <v>51</v>
      </c>
    </row>
    <row r="2261" spans="1:9" x14ac:dyDescent="0.25">
      <c r="A2261" t="s">
        <v>1233</v>
      </c>
      <c r="B2261" t="s">
        <v>1234</v>
      </c>
      <c r="C2261" t="s">
        <v>42</v>
      </c>
      <c r="D2261" t="s">
        <v>4062</v>
      </c>
      <c r="E2261" t="s">
        <v>5216</v>
      </c>
      <c r="F2261" t="s">
        <v>42</v>
      </c>
      <c r="G2261">
        <v>1.03</v>
      </c>
      <c r="H2261" s="2">
        <v>8949</v>
      </c>
      <c r="I2261" s="2">
        <v>9217.47</v>
      </c>
    </row>
    <row r="2262" spans="1:9" x14ac:dyDescent="0.25">
      <c r="A2262" t="s">
        <v>1233</v>
      </c>
      <c r="B2262" t="s">
        <v>1234</v>
      </c>
      <c r="C2262" t="s">
        <v>42</v>
      </c>
      <c r="D2262" t="s">
        <v>4049</v>
      </c>
      <c r="E2262" t="s">
        <v>4487</v>
      </c>
      <c r="F2262" t="s">
        <v>4236</v>
      </c>
      <c r="G2262">
        <v>0.3</v>
      </c>
      <c r="H2262" s="2">
        <v>24555.22</v>
      </c>
      <c r="I2262" s="2">
        <v>7366.57</v>
      </c>
    </row>
    <row r="2263" spans="1:9" x14ac:dyDescent="0.25">
      <c r="A2263" t="s">
        <v>1233</v>
      </c>
      <c r="B2263" t="s">
        <v>1234</v>
      </c>
      <c r="C2263" t="s">
        <v>42</v>
      </c>
      <c r="D2263" t="s">
        <v>4052</v>
      </c>
      <c r="E2263" t="s">
        <v>4053</v>
      </c>
      <c r="F2263" t="s">
        <v>4054</v>
      </c>
      <c r="G2263">
        <v>5</v>
      </c>
      <c r="H2263" s="2">
        <v>7366.57</v>
      </c>
      <c r="I2263" s="2">
        <v>368.33</v>
      </c>
    </row>
    <row r="2264" spans="1:9" x14ac:dyDescent="0.25">
      <c r="A2264" t="s">
        <v>1236</v>
      </c>
      <c r="B2264" t="s">
        <v>1237</v>
      </c>
      <c r="C2264" t="s">
        <v>42</v>
      </c>
      <c r="D2264" t="s">
        <v>4062</v>
      </c>
      <c r="E2264" t="s">
        <v>4492</v>
      </c>
      <c r="F2264" t="s">
        <v>34</v>
      </c>
      <c r="G2264">
        <v>0.02</v>
      </c>
      <c r="H2264" s="2">
        <v>68425</v>
      </c>
      <c r="I2264" s="2">
        <v>1368.5</v>
      </c>
    </row>
    <row r="2265" spans="1:9" x14ac:dyDescent="0.25">
      <c r="A2265" t="s">
        <v>1236</v>
      </c>
      <c r="B2265" t="s">
        <v>1237</v>
      </c>
      <c r="C2265" t="s">
        <v>42</v>
      </c>
      <c r="D2265" t="s">
        <v>4062</v>
      </c>
      <c r="E2265" t="s">
        <v>4475</v>
      </c>
      <c r="F2265" t="s">
        <v>231</v>
      </c>
      <c r="G2265">
        <v>3.32</v>
      </c>
      <c r="H2265" s="2">
        <v>730</v>
      </c>
      <c r="I2265" s="2">
        <v>2423.6</v>
      </c>
    </row>
    <row r="2266" spans="1:9" x14ac:dyDescent="0.25">
      <c r="A2266" t="s">
        <v>1236</v>
      </c>
      <c r="B2266" t="s">
        <v>1237</v>
      </c>
      <c r="C2266" t="s">
        <v>42</v>
      </c>
      <c r="D2266" t="s">
        <v>4062</v>
      </c>
      <c r="E2266" t="s">
        <v>4588</v>
      </c>
      <c r="F2266" t="s">
        <v>63</v>
      </c>
      <c r="G2266">
        <v>11</v>
      </c>
      <c r="H2266" s="2">
        <v>487</v>
      </c>
      <c r="I2266" s="2">
        <v>5357</v>
      </c>
    </row>
    <row r="2267" spans="1:9" x14ac:dyDescent="0.25">
      <c r="A2267" t="s">
        <v>1236</v>
      </c>
      <c r="B2267" t="s">
        <v>1237</v>
      </c>
      <c r="C2267" t="s">
        <v>42</v>
      </c>
      <c r="D2267" t="s">
        <v>4049</v>
      </c>
      <c r="E2267" t="s">
        <v>4487</v>
      </c>
      <c r="F2267" t="s">
        <v>4236</v>
      </c>
      <c r="G2267">
        <v>0.84</v>
      </c>
      <c r="H2267" s="2">
        <v>24555.22</v>
      </c>
      <c r="I2267" s="2">
        <v>20626.38</v>
      </c>
    </row>
    <row r="2268" spans="1:9" x14ac:dyDescent="0.25">
      <c r="A2268" t="s">
        <v>1236</v>
      </c>
      <c r="B2268" t="s">
        <v>1237</v>
      </c>
      <c r="C2268" t="s">
        <v>42</v>
      </c>
      <c r="D2268" t="s">
        <v>4052</v>
      </c>
      <c r="E2268" t="s">
        <v>4053</v>
      </c>
      <c r="F2268" t="s">
        <v>4054</v>
      </c>
      <c r="G2268">
        <v>5</v>
      </c>
      <c r="H2268" s="2">
        <v>20626.38</v>
      </c>
      <c r="I2268" s="2">
        <v>1031.32</v>
      </c>
    </row>
    <row r="2269" spans="1:9" x14ac:dyDescent="0.25">
      <c r="A2269" t="s">
        <v>1239</v>
      </c>
      <c r="B2269" t="s">
        <v>1240</v>
      </c>
      <c r="C2269" t="s">
        <v>21</v>
      </c>
      <c r="D2269" t="s">
        <v>4062</v>
      </c>
      <c r="E2269" t="s">
        <v>5227</v>
      </c>
      <c r="F2269" t="s">
        <v>4377</v>
      </c>
      <c r="G2269">
        <v>0.3</v>
      </c>
      <c r="H2269" s="2">
        <v>7951</v>
      </c>
      <c r="I2269" s="2">
        <v>2385.3</v>
      </c>
    </row>
    <row r="2270" spans="1:9" x14ac:dyDescent="0.25">
      <c r="A2270" t="s">
        <v>1239</v>
      </c>
      <c r="B2270" t="s">
        <v>1240</v>
      </c>
      <c r="C2270" t="s">
        <v>21</v>
      </c>
      <c r="D2270" t="s">
        <v>4062</v>
      </c>
      <c r="E2270" t="s">
        <v>5228</v>
      </c>
      <c r="F2270" t="s">
        <v>21</v>
      </c>
      <c r="G2270">
        <v>1.05</v>
      </c>
      <c r="H2270" s="2">
        <v>39275</v>
      </c>
      <c r="I2270" s="2">
        <v>41238.75</v>
      </c>
    </row>
    <row r="2271" spans="1:9" x14ac:dyDescent="0.25">
      <c r="A2271" t="s">
        <v>1239</v>
      </c>
      <c r="B2271" t="s">
        <v>1240</v>
      </c>
      <c r="C2271" t="s">
        <v>21</v>
      </c>
      <c r="D2271" t="s">
        <v>4049</v>
      </c>
      <c r="E2271" t="s">
        <v>4050</v>
      </c>
      <c r="F2271" t="s">
        <v>4051</v>
      </c>
      <c r="G2271">
        <v>0.16</v>
      </c>
      <c r="H2271" s="2">
        <v>9037.33</v>
      </c>
      <c r="I2271" s="2">
        <v>1445.97</v>
      </c>
    </row>
    <row r="2272" spans="1:9" x14ac:dyDescent="0.25">
      <c r="A2272" t="s">
        <v>1239</v>
      </c>
      <c r="B2272" t="s">
        <v>1240</v>
      </c>
      <c r="C2272" t="s">
        <v>21</v>
      </c>
      <c r="D2272" t="s">
        <v>4049</v>
      </c>
      <c r="E2272" t="s">
        <v>4073</v>
      </c>
      <c r="F2272" t="s">
        <v>4051</v>
      </c>
      <c r="G2272">
        <v>0.16</v>
      </c>
      <c r="H2272" s="2">
        <v>15517.89</v>
      </c>
      <c r="I2272" s="2">
        <v>2482.86</v>
      </c>
    </row>
    <row r="2273" spans="1:9" x14ac:dyDescent="0.25">
      <c r="A2273" t="s">
        <v>1239</v>
      </c>
      <c r="B2273" t="s">
        <v>1240</v>
      </c>
      <c r="C2273" t="s">
        <v>21</v>
      </c>
      <c r="D2273" t="s">
        <v>4052</v>
      </c>
      <c r="E2273" t="s">
        <v>4053</v>
      </c>
      <c r="F2273" t="s">
        <v>4054</v>
      </c>
      <c r="G2273">
        <v>5</v>
      </c>
      <c r="H2273" s="2">
        <v>3928.83</v>
      </c>
      <c r="I2273" s="2">
        <v>196.44</v>
      </c>
    </row>
    <row r="2274" spans="1:9" x14ac:dyDescent="0.25">
      <c r="A2274" t="s">
        <v>1242</v>
      </c>
      <c r="B2274" t="s">
        <v>1243</v>
      </c>
      <c r="C2274" t="s">
        <v>21</v>
      </c>
      <c r="D2274" t="s">
        <v>4062</v>
      </c>
      <c r="E2274" t="s">
        <v>5227</v>
      </c>
      <c r="F2274" t="s">
        <v>4377</v>
      </c>
      <c r="G2274">
        <v>0.3</v>
      </c>
      <c r="H2274" s="2">
        <v>7951</v>
      </c>
      <c r="I2274" s="2">
        <v>2385.3</v>
      </c>
    </row>
    <row r="2275" spans="1:9" x14ac:dyDescent="0.25">
      <c r="A2275" t="s">
        <v>1242</v>
      </c>
      <c r="B2275" t="s">
        <v>1243</v>
      </c>
      <c r="C2275" t="s">
        <v>21</v>
      </c>
      <c r="D2275" t="s">
        <v>4062</v>
      </c>
      <c r="E2275" t="s">
        <v>5231</v>
      </c>
      <c r="F2275" t="s">
        <v>21</v>
      </c>
      <c r="G2275">
        <v>1.05</v>
      </c>
      <c r="H2275" s="2">
        <v>51467</v>
      </c>
      <c r="I2275" s="2">
        <v>54040.35</v>
      </c>
    </row>
    <row r="2276" spans="1:9" x14ac:dyDescent="0.25">
      <c r="A2276" t="s">
        <v>1242</v>
      </c>
      <c r="B2276" t="s">
        <v>1243</v>
      </c>
      <c r="C2276" t="s">
        <v>21</v>
      </c>
      <c r="D2276" t="s">
        <v>4049</v>
      </c>
      <c r="E2276" t="s">
        <v>4050</v>
      </c>
      <c r="F2276" t="s">
        <v>4051</v>
      </c>
      <c r="G2276">
        <v>0.1</v>
      </c>
      <c r="H2276" s="2">
        <v>9037.33</v>
      </c>
      <c r="I2276" s="2">
        <v>903.73</v>
      </c>
    </row>
    <row r="2277" spans="1:9" x14ac:dyDescent="0.25">
      <c r="A2277" t="s">
        <v>1242</v>
      </c>
      <c r="B2277" t="s">
        <v>1243</v>
      </c>
      <c r="C2277" t="s">
        <v>21</v>
      </c>
      <c r="D2277" t="s">
        <v>4049</v>
      </c>
      <c r="E2277" t="s">
        <v>4073</v>
      </c>
      <c r="F2277" t="s">
        <v>4051</v>
      </c>
      <c r="G2277">
        <v>0.1</v>
      </c>
      <c r="H2277" s="2">
        <v>15517.89</v>
      </c>
      <c r="I2277" s="2">
        <v>1551.79</v>
      </c>
    </row>
    <row r="2278" spans="1:9" x14ac:dyDescent="0.25">
      <c r="A2278" t="s">
        <v>1242</v>
      </c>
      <c r="B2278" t="s">
        <v>1243</v>
      </c>
      <c r="C2278" t="s">
        <v>21</v>
      </c>
      <c r="D2278" t="s">
        <v>4052</v>
      </c>
      <c r="E2278" t="s">
        <v>4053</v>
      </c>
      <c r="F2278" t="s">
        <v>4054</v>
      </c>
      <c r="G2278">
        <v>5</v>
      </c>
      <c r="H2278" s="2">
        <v>2455.52</v>
      </c>
      <c r="I2278" s="2">
        <v>122.78</v>
      </c>
    </row>
    <row r="2279" spans="1:9" x14ac:dyDescent="0.25">
      <c r="A2279" t="s">
        <v>1245</v>
      </c>
      <c r="B2279" t="s">
        <v>1246</v>
      </c>
      <c r="C2279" t="s">
        <v>21</v>
      </c>
      <c r="D2279" t="s">
        <v>4062</v>
      </c>
      <c r="E2279" t="s">
        <v>5234</v>
      </c>
      <c r="F2279" t="s">
        <v>231</v>
      </c>
      <c r="G2279">
        <v>0.5</v>
      </c>
      <c r="H2279" s="2">
        <v>4950</v>
      </c>
      <c r="I2279" s="2">
        <v>2475</v>
      </c>
    </row>
    <row r="2280" spans="1:9" x14ac:dyDescent="0.25">
      <c r="A2280" t="s">
        <v>1245</v>
      </c>
      <c r="B2280" t="s">
        <v>1246</v>
      </c>
      <c r="C2280" t="s">
        <v>21</v>
      </c>
      <c r="D2280" t="s">
        <v>4062</v>
      </c>
      <c r="E2280" t="s">
        <v>5138</v>
      </c>
      <c r="F2280" t="s">
        <v>231</v>
      </c>
      <c r="G2280">
        <v>0.2</v>
      </c>
      <c r="H2280" s="2">
        <v>4605.46</v>
      </c>
      <c r="I2280" s="2">
        <v>921.09</v>
      </c>
    </row>
    <row r="2281" spans="1:9" x14ac:dyDescent="0.25">
      <c r="A2281" t="s">
        <v>1245</v>
      </c>
      <c r="B2281" t="s">
        <v>1246</v>
      </c>
      <c r="C2281" t="s">
        <v>21</v>
      </c>
      <c r="D2281" t="s">
        <v>4062</v>
      </c>
      <c r="E2281" t="s">
        <v>5139</v>
      </c>
      <c r="F2281" t="s">
        <v>231</v>
      </c>
      <c r="G2281">
        <v>3.1</v>
      </c>
      <c r="H2281" s="2">
        <v>1385</v>
      </c>
      <c r="I2281" s="2">
        <v>4293.5</v>
      </c>
    </row>
    <row r="2282" spans="1:9" x14ac:dyDescent="0.25">
      <c r="A2282" t="s">
        <v>1245</v>
      </c>
      <c r="B2282" t="s">
        <v>1246</v>
      </c>
      <c r="C2282" t="s">
        <v>21</v>
      </c>
      <c r="D2282" t="s">
        <v>4062</v>
      </c>
      <c r="E2282" t="s">
        <v>5235</v>
      </c>
      <c r="F2282" t="s">
        <v>21</v>
      </c>
      <c r="G2282">
        <v>1.05</v>
      </c>
      <c r="H2282" s="2">
        <v>18620</v>
      </c>
      <c r="I2282" s="2">
        <v>19551</v>
      </c>
    </row>
    <row r="2283" spans="1:9" x14ac:dyDescent="0.25">
      <c r="A2283" t="s">
        <v>1245</v>
      </c>
      <c r="B2283" t="s">
        <v>1246</v>
      </c>
      <c r="C2283" t="s">
        <v>21</v>
      </c>
      <c r="D2283" t="s">
        <v>4062</v>
      </c>
      <c r="E2283" t="s">
        <v>4076</v>
      </c>
      <c r="F2283" t="s">
        <v>3963</v>
      </c>
      <c r="G2283">
        <v>14.83</v>
      </c>
      <c r="H2283" s="2">
        <v>21</v>
      </c>
      <c r="I2283" s="2">
        <v>311.43</v>
      </c>
    </row>
    <row r="2284" spans="1:9" x14ac:dyDescent="0.25">
      <c r="A2284" t="s">
        <v>1245</v>
      </c>
      <c r="B2284" t="s">
        <v>1246</v>
      </c>
      <c r="C2284" t="s">
        <v>21</v>
      </c>
      <c r="D2284" t="s">
        <v>4049</v>
      </c>
      <c r="E2284" t="s">
        <v>4050</v>
      </c>
      <c r="F2284" t="s">
        <v>4051</v>
      </c>
      <c r="G2284">
        <v>0.85</v>
      </c>
      <c r="H2284" s="2">
        <v>9037.33</v>
      </c>
      <c r="I2284" s="2">
        <v>7681.73</v>
      </c>
    </row>
    <row r="2285" spans="1:9" x14ac:dyDescent="0.25">
      <c r="A2285" t="s">
        <v>1245</v>
      </c>
      <c r="B2285" t="s">
        <v>1246</v>
      </c>
      <c r="C2285" t="s">
        <v>21</v>
      </c>
      <c r="D2285" t="s">
        <v>4049</v>
      </c>
      <c r="E2285" t="s">
        <v>4073</v>
      </c>
      <c r="F2285" t="s">
        <v>4051</v>
      </c>
      <c r="G2285">
        <v>0.85</v>
      </c>
      <c r="H2285" s="2">
        <v>15517.89</v>
      </c>
      <c r="I2285" s="2">
        <v>13190.21</v>
      </c>
    </row>
    <row r="2286" spans="1:9" x14ac:dyDescent="0.25">
      <c r="A2286" t="s">
        <v>1245</v>
      </c>
      <c r="B2286" t="s">
        <v>1246</v>
      </c>
      <c r="C2286" t="s">
        <v>21</v>
      </c>
      <c r="D2286" t="s">
        <v>4052</v>
      </c>
      <c r="E2286" t="s">
        <v>4053</v>
      </c>
      <c r="F2286" t="s">
        <v>4054</v>
      </c>
      <c r="G2286">
        <v>5</v>
      </c>
      <c r="H2286" s="2">
        <v>20871.94</v>
      </c>
      <c r="I2286" s="2">
        <v>1043.6</v>
      </c>
    </row>
    <row r="2287" spans="1:9" x14ac:dyDescent="0.25">
      <c r="A2287" t="s">
        <v>1248</v>
      </c>
      <c r="B2287" t="s">
        <v>1249</v>
      </c>
      <c r="C2287" t="s">
        <v>21</v>
      </c>
      <c r="D2287" t="s">
        <v>4062</v>
      </c>
      <c r="E2287" t="s">
        <v>4547</v>
      </c>
      <c r="F2287" t="s">
        <v>34</v>
      </c>
      <c r="G2287">
        <v>0.02</v>
      </c>
      <c r="H2287" s="2">
        <v>57129.33</v>
      </c>
      <c r="I2287" s="2">
        <v>1142.59</v>
      </c>
    </row>
    <row r="2288" spans="1:9" x14ac:dyDescent="0.25">
      <c r="A2288" t="s">
        <v>1248</v>
      </c>
      <c r="B2288" t="s">
        <v>1249</v>
      </c>
      <c r="C2288" t="s">
        <v>21</v>
      </c>
      <c r="D2288" t="s">
        <v>4062</v>
      </c>
      <c r="E2288" t="s">
        <v>5238</v>
      </c>
      <c r="F2288" t="s">
        <v>21</v>
      </c>
      <c r="G2288">
        <v>1.1</v>
      </c>
      <c r="H2288" s="2">
        <v>3533</v>
      </c>
      <c r="I2288" s="2">
        <v>3886.3</v>
      </c>
    </row>
    <row r="2289" spans="1:9" x14ac:dyDescent="0.25">
      <c r="A2289" t="s">
        <v>1248</v>
      </c>
      <c r="B2289" t="s">
        <v>1249</v>
      </c>
      <c r="C2289" t="s">
        <v>21</v>
      </c>
      <c r="D2289" t="s">
        <v>4049</v>
      </c>
      <c r="E2289" t="s">
        <v>4487</v>
      </c>
      <c r="F2289" t="s">
        <v>4236</v>
      </c>
      <c r="G2289">
        <v>0.1</v>
      </c>
      <c r="H2289" s="2">
        <v>24555.22</v>
      </c>
      <c r="I2289" s="2">
        <v>2455.52</v>
      </c>
    </row>
    <row r="2290" spans="1:9" x14ac:dyDescent="0.25">
      <c r="A2290" t="s">
        <v>1248</v>
      </c>
      <c r="B2290" t="s">
        <v>1249</v>
      </c>
      <c r="C2290" t="s">
        <v>21</v>
      </c>
      <c r="D2290" t="s">
        <v>4052</v>
      </c>
      <c r="E2290" t="s">
        <v>4053</v>
      </c>
      <c r="F2290" t="s">
        <v>4054</v>
      </c>
      <c r="G2290">
        <v>5</v>
      </c>
      <c r="H2290" s="2">
        <v>2455.52</v>
      </c>
      <c r="I2290" s="2">
        <v>122.78</v>
      </c>
    </row>
    <row r="2291" spans="1:9" x14ac:dyDescent="0.25">
      <c r="A2291" t="s">
        <v>1251</v>
      </c>
      <c r="B2291" t="s">
        <v>1252</v>
      </c>
      <c r="C2291" t="s">
        <v>21</v>
      </c>
      <c r="D2291" t="s">
        <v>4062</v>
      </c>
      <c r="E2291" t="s">
        <v>4474</v>
      </c>
      <c r="F2291" t="s">
        <v>34</v>
      </c>
      <c r="G2291">
        <v>0.09</v>
      </c>
      <c r="H2291" s="2">
        <v>114500</v>
      </c>
      <c r="I2291" s="2">
        <v>10305</v>
      </c>
    </row>
    <row r="2292" spans="1:9" x14ac:dyDescent="0.25">
      <c r="A2292" t="s">
        <v>1251</v>
      </c>
      <c r="B2292" t="s">
        <v>1252</v>
      </c>
      <c r="C2292" t="s">
        <v>21</v>
      </c>
      <c r="D2292" t="s">
        <v>4062</v>
      </c>
      <c r="E2292" t="s">
        <v>4690</v>
      </c>
      <c r="F2292" t="s">
        <v>231</v>
      </c>
      <c r="G2292">
        <v>21</v>
      </c>
      <c r="H2292" s="2">
        <v>2025</v>
      </c>
      <c r="I2292" s="2">
        <v>42525</v>
      </c>
    </row>
    <row r="2293" spans="1:9" x14ac:dyDescent="0.25">
      <c r="A2293" t="s">
        <v>1251</v>
      </c>
      <c r="B2293" t="s">
        <v>1252</v>
      </c>
      <c r="C2293" t="s">
        <v>21</v>
      </c>
      <c r="D2293" t="s">
        <v>4062</v>
      </c>
      <c r="E2293" t="s">
        <v>4475</v>
      </c>
      <c r="F2293" t="s">
        <v>231</v>
      </c>
      <c r="G2293">
        <v>18.7</v>
      </c>
      <c r="H2293" s="2">
        <v>730</v>
      </c>
      <c r="I2293" s="2">
        <v>13651</v>
      </c>
    </row>
    <row r="2294" spans="1:9" x14ac:dyDescent="0.25">
      <c r="A2294" t="s">
        <v>1251</v>
      </c>
      <c r="B2294" t="s">
        <v>1252</v>
      </c>
      <c r="C2294" t="s">
        <v>21</v>
      </c>
      <c r="D2294" t="s">
        <v>4062</v>
      </c>
      <c r="E2294" t="s">
        <v>5208</v>
      </c>
      <c r="F2294" t="s">
        <v>42</v>
      </c>
      <c r="G2294">
        <v>1.35</v>
      </c>
      <c r="H2294" s="2">
        <v>12961</v>
      </c>
      <c r="I2294" s="2">
        <v>17497.35</v>
      </c>
    </row>
    <row r="2295" spans="1:9" x14ac:dyDescent="0.25">
      <c r="A2295" t="s">
        <v>1251</v>
      </c>
      <c r="B2295" t="s">
        <v>1252</v>
      </c>
      <c r="C2295" t="s">
        <v>21</v>
      </c>
      <c r="D2295" t="s">
        <v>4062</v>
      </c>
      <c r="E2295" t="s">
        <v>5215</v>
      </c>
      <c r="F2295" t="s">
        <v>5090</v>
      </c>
      <c r="G2295">
        <v>0.75</v>
      </c>
      <c r="H2295" s="2">
        <v>25667</v>
      </c>
      <c r="I2295" s="2">
        <v>19250.25</v>
      </c>
    </row>
    <row r="2296" spans="1:9" x14ac:dyDescent="0.25">
      <c r="A2296" t="s">
        <v>1251</v>
      </c>
      <c r="B2296" t="s">
        <v>1252</v>
      </c>
      <c r="C2296" t="s">
        <v>21</v>
      </c>
      <c r="D2296" t="s">
        <v>4062</v>
      </c>
      <c r="E2296" t="s">
        <v>5103</v>
      </c>
      <c r="F2296" t="s">
        <v>5090</v>
      </c>
      <c r="G2296">
        <v>0.5</v>
      </c>
      <c r="H2296" s="2">
        <v>16597</v>
      </c>
      <c r="I2296" s="2">
        <v>8298.5</v>
      </c>
    </row>
    <row r="2297" spans="1:9" x14ac:dyDescent="0.25">
      <c r="A2297" t="s">
        <v>1251</v>
      </c>
      <c r="B2297" t="s">
        <v>1252</v>
      </c>
      <c r="C2297" t="s">
        <v>21</v>
      </c>
      <c r="D2297" t="s">
        <v>4062</v>
      </c>
      <c r="E2297" t="s">
        <v>5210</v>
      </c>
      <c r="F2297" t="s">
        <v>231</v>
      </c>
      <c r="G2297">
        <v>0.33</v>
      </c>
      <c r="H2297" s="2">
        <v>8133.33</v>
      </c>
      <c r="I2297" s="2">
        <v>2684</v>
      </c>
    </row>
    <row r="2298" spans="1:9" x14ac:dyDescent="0.25">
      <c r="A2298" t="s">
        <v>1251</v>
      </c>
      <c r="B2298" t="s">
        <v>1252</v>
      </c>
      <c r="C2298" t="s">
        <v>21</v>
      </c>
      <c r="D2298" t="s">
        <v>4062</v>
      </c>
      <c r="E2298" t="s">
        <v>4076</v>
      </c>
      <c r="F2298" t="s">
        <v>3963</v>
      </c>
      <c r="G2298">
        <v>7.41</v>
      </c>
      <c r="H2298" s="2">
        <v>21</v>
      </c>
      <c r="I2298" s="2">
        <v>155.61</v>
      </c>
    </row>
    <row r="2299" spans="1:9" x14ac:dyDescent="0.25">
      <c r="A2299" t="s">
        <v>1251</v>
      </c>
      <c r="B2299" t="s">
        <v>1252</v>
      </c>
      <c r="C2299" t="s">
        <v>21</v>
      </c>
      <c r="D2299" t="s">
        <v>4049</v>
      </c>
      <c r="E2299" t="s">
        <v>4050</v>
      </c>
      <c r="F2299" t="s">
        <v>4051</v>
      </c>
      <c r="G2299">
        <v>1.5</v>
      </c>
      <c r="H2299" s="2">
        <v>9037.33</v>
      </c>
      <c r="I2299" s="2">
        <v>13555.99</v>
      </c>
    </row>
    <row r="2300" spans="1:9" x14ac:dyDescent="0.25">
      <c r="A2300" t="s">
        <v>1251</v>
      </c>
      <c r="B2300" t="s">
        <v>1252</v>
      </c>
      <c r="C2300" t="s">
        <v>21</v>
      </c>
      <c r="D2300" t="s">
        <v>4049</v>
      </c>
      <c r="E2300" t="s">
        <v>4073</v>
      </c>
      <c r="F2300" t="s">
        <v>4051</v>
      </c>
      <c r="G2300">
        <v>1.5</v>
      </c>
      <c r="H2300" s="2">
        <v>15517.89</v>
      </c>
      <c r="I2300" s="2">
        <v>23276.83</v>
      </c>
    </row>
    <row r="2301" spans="1:9" x14ac:dyDescent="0.25">
      <c r="A2301" t="s">
        <v>1251</v>
      </c>
      <c r="B2301" t="s">
        <v>1252</v>
      </c>
      <c r="C2301" t="s">
        <v>21</v>
      </c>
      <c r="D2301" t="s">
        <v>4052</v>
      </c>
      <c r="E2301" t="s">
        <v>4053</v>
      </c>
      <c r="F2301" t="s">
        <v>4054</v>
      </c>
      <c r="G2301">
        <v>5</v>
      </c>
      <c r="H2301" s="2">
        <v>36832.82</v>
      </c>
      <c r="I2301" s="2">
        <v>1841.64</v>
      </c>
    </row>
    <row r="2302" spans="1:9" x14ac:dyDescent="0.25">
      <c r="A2302" t="s">
        <v>1254</v>
      </c>
      <c r="B2302" t="s">
        <v>1255</v>
      </c>
      <c r="C2302" t="s">
        <v>34</v>
      </c>
      <c r="D2302" t="s">
        <v>4062</v>
      </c>
      <c r="E2302" t="s">
        <v>5243</v>
      </c>
      <c r="F2302" t="s">
        <v>34</v>
      </c>
      <c r="G2302">
        <v>1.2</v>
      </c>
      <c r="H2302" s="2">
        <v>275000</v>
      </c>
      <c r="I2302" s="2">
        <v>330000</v>
      </c>
    </row>
    <row r="2303" spans="1:9" x14ac:dyDescent="0.25">
      <c r="A2303" t="s">
        <v>1254</v>
      </c>
      <c r="B2303" t="s">
        <v>1255</v>
      </c>
      <c r="C2303" t="s">
        <v>34</v>
      </c>
      <c r="D2303" t="s">
        <v>4049</v>
      </c>
      <c r="E2303" t="s">
        <v>4342</v>
      </c>
      <c r="F2303" t="s">
        <v>4106</v>
      </c>
      <c r="G2303">
        <v>0.04</v>
      </c>
      <c r="H2303" s="2">
        <v>66666.67</v>
      </c>
      <c r="I2303" s="2">
        <v>2666.67</v>
      </c>
    </row>
    <row r="2304" spans="1:9" x14ac:dyDescent="0.25">
      <c r="A2304" t="s">
        <v>1254</v>
      </c>
      <c r="B2304" t="s">
        <v>1255</v>
      </c>
      <c r="C2304" t="s">
        <v>34</v>
      </c>
      <c r="D2304" t="s">
        <v>4049</v>
      </c>
      <c r="E2304" t="s">
        <v>4487</v>
      </c>
      <c r="F2304" t="s">
        <v>4236</v>
      </c>
      <c r="G2304">
        <v>0.7</v>
      </c>
      <c r="H2304" s="2">
        <v>24555.22</v>
      </c>
      <c r="I2304" s="2">
        <v>17188.65</v>
      </c>
    </row>
    <row r="2305" spans="1:9" x14ac:dyDescent="0.25">
      <c r="A2305" t="s">
        <v>1257</v>
      </c>
      <c r="B2305" t="s">
        <v>1258</v>
      </c>
      <c r="C2305" t="s">
        <v>21</v>
      </c>
      <c r="D2305" t="s">
        <v>4062</v>
      </c>
      <c r="E2305" t="s">
        <v>4474</v>
      </c>
      <c r="F2305" t="s">
        <v>34</v>
      </c>
      <c r="G2305">
        <v>0.09</v>
      </c>
      <c r="H2305" s="2">
        <v>114500</v>
      </c>
      <c r="I2305" s="2">
        <v>10305</v>
      </c>
    </row>
    <row r="2306" spans="1:9" x14ac:dyDescent="0.25">
      <c r="A2306" t="s">
        <v>1257</v>
      </c>
      <c r="B2306" t="s">
        <v>1258</v>
      </c>
      <c r="C2306" t="s">
        <v>21</v>
      </c>
      <c r="D2306" t="s">
        <v>4062</v>
      </c>
      <c r="E2306" t="s">
        <v>4690</v>
      </c>
      <c r="F2306" t="s">
        <v>231</v>
      </c>
      <c r="G2306">
        <v>18.7</v>
      </c>
      <c r="H2306" s="2">
        <v>2025</v>
      </c>
      <c r="I2306" s="2">
        <v>37867.5</v>
      </c>
    </row>
    <row r="2307" spans="1:9" x14ac:dyDescent="0.25">
      <c r="A2307" t="s">
        <v>1257</v>
      </c>
      <c r="B2307" t="s">
        <v>1258</v>
      </c>
      <c r="C2307" t="s">
        <v>21</v>
      </c>
      <c r="D2307" t="s">
        <v>4062</v>
      </c>
      <c r="E2307" t="s">
        <v>4475</v>
      </c>
      <c r="F2307" t="s">
        <v>231</v>
      </c>
      <c r="G2307">
        <v>15</v>
      </c>
      <c r="H2307" s="2">
        <v>730</v>
      </c>
      <c r="I2307" s="2">
        <v>10950</v>
      </c>
    </row>
    <row r="2308" spans="1:9" x14ac:dyDescent="0.25">
      <c r="A2308" t="s">
        <v>1257</v>
      </c>
      <c r="B2308" t="s">
        <v>1258</v>
      </c>
      <c r="C2308" t="s">
        <v>21</v>
      </c>
      <c r="D2308" t="s">
        <v>4062</v>
      </c>
      <c r="E2308" t="s">
        <v>5208</v>
      </c>
      <c r="F2308" t="s">
        <v>42</v>
      </c>
      <c r="G2308">
        <v>1.35</v>
      </c>
      <c r="H2308" s="2">
        <v>12961</v>
      </c>
      <c r="I2308" s="2">
        <v>17497.35</v>
      </c>
    </row>
    <row r="2309" spans="1:9" x14ac:dyDescent="0.25">
      <c r="A2309" t="s">
        <v>1257</v>
      </c>
      <c r="B2309" t="s">
        <v>1258</v>
      </c>
      <c r="C2309" t="s">
        <v>21</v>
      </c>
      <c r="D2309" t="s">
        <v>4062</v>
      </c>
      <c r="E2309" t="s">
        <v>5215</v>
      </c>
      <c r="F2309" t="s">
        <v>5090</v>
      </c>
      <c r="G2309">
        <v>0.75</v>
      </c>
      <c r="H2309" s="2">
        <v>25667</v>
      </c>
      <c r="I2309" s="2">
        <v>19250.25</v>
      </c>
    </row>
    <row r="2310" spans="1:9" x14ac:dyDescent="0.25">
      <c r="A2310" t="s">
        <v>1257</v>
      </c>
      <c r="B2310" t="s">
        <v>1258</v>
      </c>
      <c r="C2310" t="s">
        <v>21</v>
      </c>
      <c r="D2310" t="s">
        <v>4062</v>
      </c>
      <c r="E2310" t="s">
        <v>5103</v>
      </c>
      <c r="F2310" t="s">
        <v>5090</v>
      </c>
      <c r="G2310">
        <v>0.5</v>
      </c>
      <c r="H2310" s="2">
        <v>16597</v>
      </c>
      <c r="I2310" s="2">
        <v>8298.5</v>
      </c>
    </row>
    <row r="2311" spans="1:9" x14ac:dyDescent="0.25">
      <c r="A2311" t="s">
        <v>1257</v>
      </c>
      <c r="B2311" t="s">
        <v>1258</v>
      </c>
      <c r="C2311" t="s">
        <v>21</v>
      </c>
      <c r="D2311" t="s">
        <v>4062</v>
      </c>
      <c r="E2311" t="s">
        <v>5210</v>
      </c>
      <c r="F2311" t="s">
        <v>231</v>
      </c>
      <c r="G2311">
        <v>0.33</v>
      </c>
      <c r="H2311" s="2">
        <v>8133.33</v>
      </c>
      <c r="I2311" s="2">
        <v>2684</v>
      </c>
    </row>
    <row r="2312" spans="1:9" x14ac:dyDescent="0.25">
      <c r="A2312" t="s">
        <v>1257</v>
      </c>
      <c r="B2312" t="s">
        <v>1258</v>
      </c>
      <c r="C2312" t="s">
        <v>21</v>
      </c>
      <c r="D2312" t="s">
        <v>4062</v>
      </c>
      <c r="E2312" t="s">
        <v>4076</v>
      </c>
      <c r="F2312" t="s">
        <v>3963</v>
      </c>
      <c r="G2312">
        <v>7.41</v>
      </c>
      <c r="H2312" s="2">
        <v>21</v>
      </c>
      <c r="I2312" s="2">
        <v>155.61</v>
      </c>
    </row>
    <row r="2313" spans="1:9" x14ac:dyDescent="0.25">
      <c r="A2313" t="s">
        <v>1257</v>
      </c>
      <c r="B2313" t="s">
        <v>1258</v>
      </c>
      <c r="C2313" t="s">
        <v>21</v>
      </c>
      <c r="D2313" t="s">
        <v>4049</v>
      </c>
      <c r="E2313" t="s">
        <v>4113</v>
      </c>
      <c r="F2313" t="s">
        <v>4106</v>
      </c>
      <c r="G2313">
        <v>0.25</v>
      </c>
      <c r="H2313" s="2">
        <v>43805.88</v>
      </c>
      <c r="I2313" s="2">
        <v>10951.47</v>
      </c>
    </row>
    <row r="2314" spans="1:9" x14ac:dyDescent="0.25">
      <c r="A2314" t="s">
        <v>1257</v>
      </c>
      <c r="B2314" t="s">
        <v>1258</v>
      </c>
      <c r="C2314" t="s">
        <v>21</v>
      </c>
      <c r="D2314" t="s">
        <v>4049</v>
      </c>
      <c r="E2314" t="s">
        <v>4050</v>
      </c>
      <c r="F2314" t="s">
        <v>4051</v>
      </c>
      <c r="G2314">
        <v>1.5</v>
      </c>
      <c r="H2314" s="2">
        <v>9037.33</v>
      </c>
      <c r="I2314" s="2">
        <v>13555.99</v>
      </c>
    </row>
    <row r="2315" spans="1:9" x14ac:dyDescent="0.25">
      <c r="A2315" t="s">
        <v>1257</v>
      </c>
      <c r="B2315" t="s">
        <v>1258</v>
      </c>
      <c r="C2315" t="s">
        <v>21</v>
      </c>
      <c r="D2315" t="s">
        <v>4049</v>
      </c>
      <c r="E2315" t="s">
        <v>4073</v>
      </c>
      <c r="F2315" t="s">
        <v>4051</v>
      </c>
      <c r="G2315">
        <v>1.5</v>
      </c>
      <c r="H2315" s="2">
        <v>15517.89</v>
      </c>
      <c r="I2315" s="2">
        <v>23276.83</v>
      </c>
    </row>
    <row r="2316" spans="1:9" x14ac:dyDescent="0.25">
      <c r="A2316" t="s">
        <v>1257</v>
      </c>
      <c r="B2316" t="s">
        <v>1258</v>
      </c>
      <c r="C2316" t="s">
        <v>21</v>
      </c>
      <c r="D2316" t="s">
        <v>4052</v>
      </c>
      <c r="E2316" t="s">
        <v>4053</v>
      </c>
      <c r="F2316" t="s">
        <v>4054</v>
      </c>
      <c r="G2316">
        <v>5</v>
      </c>
      <c r="H2316" s="2">
        <v>36832.82</v>
      </c>
      <c r="I2316" s="2">
        <v>1841.64</v>
      </c>
    </row>
    <row r="2317" spans="1:9" x14ac:dyDescent="0.25">
      <c r="A2317" t="s">
        <v>1260</v>
      </c>
      <c r="B2317" t="s">
        <v>1261</v>
      </c>
      <c r="C2317" t="s">
        <v>21</v>
      </c>
      <c r="D2317" t="s">
        <v>4062</v>
      </c>
      <c r="E2317" t="s">
        <v>4474</v>
      </c>
      <c r="F2317" t="s">
        <v>34</v>
      </c>
      <c r="G2317">
        <v>0.03</v>
      </c>
      <c r="H2317" s="2">
        <v>114500</v>
      </c>
      <c r="I2317" s="2">
        <v>3435</v>
      </c>
    </row>
    <row r="2318" spans="1:9" x14ac:dyDescent="0.25">
      <c r="A2318" t="s">
        <v>1260</v>
      </c>
      <c r="B2318" t="s">
        <v>1261</v>
      </c>
      <c r="C2318" t="s">
        <v>21</v>
      </c>
      <c r="D2318" t="s">
        <v>4062</v>
      </c>
      <c r="E2318" t="s">
        <v>4475</v>
      </c>
      <c r="F2318" t="s">
        <v>231</v>
      </c>
      <c r="G2318">
        <v>6.98</v>
      </c>
      <c r="H2318" s="2">
        <v>730</v>
      </c>
      <c r="I2318" s="2">
        <v>5095.4</v>
      </c>
    </row>
    <row r="2319" spans="1:9" x14ac:dyDescent="0.25">
      <c r="A2319" t="s">
        <v>1260</v>
      </c>
      <c r="B2319" t="s">
        <v>1261</v>
      </c>
      <c r="C2319" t="s">
        <v>21</v>
      </c>
      <c r="D2319" t="s">
        <v>4062</v>
      </c>
      <c r="E2319" t="s">
        <v>5208</v>
      </c>
      <c r="F2319" t="s">
        <v>42</v>
      </c>
      <c r="G2319">
        <v>0.8</v>
      </c>
      <c r="H2319" s="2">
        <v>12961</v>
      </c>
      <c r="I2319" s="2">
        <v>10368.8</v>
      </c>
    </row>
    <row r="2320" spans="1:9" x14ac:dyDescent="0.25">
      <c r="A2320" t="s">
        <v>1260</v>
      </c>
      <c r="B2320" t="s">
        <v>1261</v>
      </c>
      <c r="C2320" t="s">
        <v>21</v>
      </c>
      <c r="D2320" t="s">
        <v>4062</v>
      </c>
      <c r="E2320" t="s">
        <v>5219</v>
      </c>
      <c r="F2320" t="s">
        <v>34</v>
      </c>
      <c r="G2320">
        <v>0.02</v>
      </c>
      <c r="H2320" s="2">
        <v>92880</v>
      </c>
      <c r="I2320" s="2">
        <v>1857.6</v>
      </c>
    </row>
    <row r="2321" spans="1:9" x14ac:dyDescent="0.25">
      <c r="A2321" t="s">
        <v>1260</v>
      </c>
      <c r="B2321" t="s">
        <v>1261</v>
      </c>
      <c r="C2321" t="s">
        <v>21</v>
      </c>
      <c r="D2321" t="s">
        <v>4062</v>
      </c>
      <c r="E2321" t="s">
        <v>5210</v>
      </c>
      <c r="F2321" t="s">
        <v>231</v>
      </c>
      <c r="G2321">
        <v>1.03</v>
      </c>
      <c r="H2321" s="2">
        <v>8133.33</v>
      </c>
      <c r="I2321" s="2">
        <v>8377.33</v>
      </c>
    </row>
    <row r="2322" spans="1:9" x14ac:dyDescent="0.25">
      <c r="A2322" t="s">
        <v>1260</v>
      </c>
      <c r="B2322" t="s">
        <v>1261</v>
      </c>
      <c r="C2322" t="s">
        <v>21</v>
      </c>
      <c r="D2322" t="s">
        <v>4062</v>
      </c>
      <c r="E2322" t="s">
        <v>4076</v>
      </c>
      <c r="F2322" t="s">
        <v>3963</v>
      </c>
      <c r="G2322">
        <v>3.18</v>
      </c>
      <c r="H2322" s="2">
        <v>21</v>
      </c>
      <c r="I2322" s="2">
        <v>66.78</v>
      </c>
    </row>
    <row r="2323" spans="1:9" x14ac:dyDescent="0.25">
      <c r="A2323" t="s">
        <v>1260</v>
      </c>
      <c r="B2323" t="s">
        <v>1261</v>
      </c>
      <c r="C2323" t="s">
        <v>21</v>
      </c>
      <c r="D2323" t="s">
        <v>4049</v>
      </c>
      <c r="E2323" t="s">
        <v>4050</v>
      </c>
      <c r="F2323" t="s">
        <v>4051</v>
      </c>
      <c r="G2323">
        <v>2.5</v>
      </c>
      <c r="H2323" s="2">
        <v>9037.33</v>
      </c>
      <c r="I2323" s="2">
        <v>22593.33</v>
      </c>
    </row>
    <row r="2324" spans="1:9" x14ac:dyDescent="0.25">
      <c r="A2324" t="s">
        <v>1260</v>
      </c>
      <c r="B2324" t="s">
        <v>1261</v>
      </c>
      <c r="C2324" t="s">
        <v>21</v>
      </c>
      <c r="D2324" t="s">
        <v>4049</v>
      </c>
      <c r="E2324" t="s">
        <v>4073</v>
      </c>
      <c r="F2324" t="s">
        <v>4051</v>
      </c>
      <c r="G2324">
        <v>2.5</v>
      </c>
      <c r="H2324" s="2">
        <v>15517.89</v>
      </c>
      <c r="I2324" s="2">
        <v>38794.72</v>
      </c>
    </row>
    <row r="2325" spans="1:9" x14ac:dyDescent="0.25">
      <c r="A2325" t="s">
        <v>1260</v>
      </c>
      <c r="B2325" t="s">
        <v>1261</v>
      </c>
      <c r="C2325" t="s">
        <v>21</v>
      </c>
      <c r="D2325" t="s">
        <v>4052</v>
      </c>
      <c r="E2325" t="s">
        <v>4053</v>
      </c>
      <c r="F2325" t="s">
        <v>4054</v>
      </c>
      <c r="G2325">
        <v>5</v>
      </c>
      <c r="H2325" s="2">
        <v>61388.05</v>
      </c>
      <c r="I2325" s="2">
        <v>3069.4</v>
      </c>
    </row>
    <row r="2326" spans="1:9" x14ac:dyDescent="0.25">
      <c r="A2326" t="s">
        <v>1263</v>
      </c>
      <c r="B2326" t="s">
        <v>1264</v>
      </c>
      <c r="C2326" t="s">
        <v>21</v>
      </c>
      <c r="D2326" t="s">
        <v>4062</v>
      </c>
      <c r="E2326" t="s">
        <v>5250</v>
      </c>
      <c r="F2326" t="s">
        <v>63</v>
      </c>
      <c r="G2326">
        <v>40</v>
      </c>
      <c r="H2326" s="2">
        <v>185</v>
      </c>
      <c r="I2326" s="2">
        <v>7400</v>
      </c>
    </row>
    <row r="2327" spans="1:9" x14ac:dyDescent="0.25">
      <c r="A2327" t="s">
        <v>1263</v>
      </c>
      <c r="B2327" t="s">
        <v>1264</v>
      </c>
      <c r="C2327" t="s">
        <v>21</v>
      </c>
      <c r="D2327" t="s">
        <v>4062</v>
      </c>
      <c r="E2327" t="s">
        <v>5251</v>
      </c>
      <c r="F2327" t="s">
        <v>63</v>
      </c>
      <c r="G2327">
        <v>40</v>
      </c>
      <c r="H2327" s="2">
        <v>782.4</v>
      </c>
      <c r="I2327" s="2">
        <v>31296</v>
      </c>
    </row>
    <row r="2328" spans="1:9" x14ac:dyDescent="0.25">
      <c r="A2328" t="s">
        <v>1263</v>
      </c>
      <c r="B2328" t="s">
        <v>1264</v>
      </c>
      <c r="C2328" t="s">
        <v>21</v>
      </c>
      <c r="D2328" t="s">
        <v>4062</v>
      </c>
      <c r="E2328" t="s">
        <v>5252</v>
      </c>
      <c r="F2328" t="s">
        <v>21</v>
      </c>
      <c r="G2328">
        <v>1.1</v>
      </c>
      <c r="H2328" s="2">
        <v>22891.7</v>
      </c>
      <c r="I2328" s="2">
        <v>25180.87</v>
      </c>
    </row>
    <row r="2329" spans="1:9" x14ac:dyDescent="0.25">
      <c r="A2329" t="s">
        <v>1263</v>
      </c>
      <c r="B2329" t="s">
        <v>1264</v>
      </c>
      <c r="C2329" t="s">
        <v>21</v>
      </c>
      <c r="D2329" t="s">
        <v>4062</v>
      </c>
      <c r="E2329" t="s">
        <v>5253</v>
      </c>
      <c r="F2329" t="s">
        <v>4377</v>
      </c>
      <c r="G2329">
        <v>0.3</v>
      </c>
      <c r="H2329" s="2">
        <v>60500</v>
      </c>
      <c r="I2329" s="2">
        <v>18150</v>
      </c>
    </row>
    <row r="2330" spans="1:9" x14ac:dyDescent="0.25">
      <c r="A2330" t="s">
        <v>1263</v>
      </c>
      <c r="B2330" t="s">
        <v>1264</v>
      </c>
      <c r="C2330" t="s">
        <v>21</v>
      </c>
      <c r="D2330" t="s">
        <v>4062</v>
      </c>
      <c r="E2330" t="s">
        <v>5254</v>
      </c>
      <c r="F2330" t="s">
        <v>4377</v>
      </c>
      <c r="G2330">
        <v>0.01</v>
      </c>
      <c r="H2330" s="2">
        <v>25500</v>
      </c>
      <c r="I2330" s="2">
        <v>255</v>
      </c>
    </row>
    <row r="2331" spans="1:9" x14ac:dyDescent="0.25">
      <c r="A2331" t="s">
        <v>1263</v>
      </c>
      <c r="B2331" t="s">
        <v>1264</v>
      </c>
      <c r="C2331" t="s">
        <v>21</v>
      </c>
      <c r="D2331" t="s">
        <v>4049</v>
      </c>
      <c r="E2331" t="s">
        <v>4182</v>
      </c>
      <c r="F2331" t="s">
        <v>4051</v>
      </c>
      <c r="G2331">
        <v>0.5</v>
      </c>
      <c r="H2331" s="2">
        <v>10845.1</v>
      </c>
      <c r="I2331" s="2">
        <v>5422.55</v>
      </c>
    </row>
    <row r="2332" spans="1:9" x14ac:dyDescent="0.25">
      <c r="A2332" t="s">
        <v>1263</v>
      </c>
      <c r="B2332" t="s">
        <v>1264</v>
      </c>
      <c r="C2332" t="s">
        <v>21</v>
      </c>
      <c r="D2332" t="s">
        <v>4049</v>
      </c>
      <c r="E2332" t="s">
        <v>4183</v>
      </c>
      <c r="F2332" t="s">
        <v>4051</v>
      </c>
      <c r="G2332">
        <v>0.5</v>
      </c>
      <c r="H2332" s="2">
        <v>18621.17</v>
      </c>
      <c r="I2332" s="2">
        <v>9310.58</v>
      </c>
    </row>
    <row r="2333" spans="1:9" x14ac:dyDescent="0.25">
      <c r="A2333" t="s">
        <v>1263</v>
      </c>
      <c r="B2333" t="s">
        <v>1264</v>
      </c>
      <c r="C2333" t="s">
        <v>21</v>
      </c>
      <c r="D2333" t="s">
        <v>4052</v>
      </c>
      <c r="E2333" t="s">
        <v>4053</v>
      </c>
      <c r="F2333" t="s">
        <v>4054</v>
      </c>
      <c r="G2333">
        <v>5</v>
      </c>
      <c r="H2333" s="2">
        <v>14733.13</v>
      </c>
      <c r="I2333" s="2">
        <v>736.66</v>
      </c>
    </row>
    <row r="2334" spans="1:9" x14ac:dyDescent="0.25">
      <c r="A2334" t="s">
        <v>1266</v>
      </c>
      <c r="B2334" t="s">
        <v>1267</v>
      </c>
      <c r="C2334" t="s">
        <v>21</v>
      </c>
      <c r="D2334" t="s">
        <v>4062</v>
      </c>
      <c r="E2334" t="s">
        <v>4690</v>
      </c>
      <c r="F2334" t="s">
        <v>231</v>
      </c>
      <c r="G2334">
        <v>1.03</v>
      </c>
      <c r="H2334" s="2">
        <v>2025</v>
      </c>
      <c r="I2334" s="2">
        <v>2085.75</v>
      </c>
    </row>
    <row r="2335" spans="1:9" x14ac:dyDescent="0.25">
      <c r="A2335" t="s">
        <v>1266</v>
      </c>
      <c r="B2335" t="s">
        <v>1267</v>
      </c>
      <c r="C2335" t="s">
        <v>21</v>
      </c>
      <c r="D2335" t="s">
        <v>4062</v>
      </c>
      <c r="E2335" t="s">
        <v>3978</v>
      </c>
      <c r="F2335" t="s">
        <v>34</v>
      </c>
      <c r="G2335">
        <v>0.02</v>
      </c>
      <c r="H2335" s="2">
        <v>409741.65</v>
      </c>
      <c r="I2335" s="2">
        <v>8194.83</v>
      </c>
    </row>
    <row r="2336" spans="1:9" x14ac:dyDescent="0.25">
      <c r="A2336" t="s">
        <v>1266</v>
      </c>
      <c r="B2336" t="s">
        <v>1267</v>
      </c>
      <c r="C2336" t="s">
        <v>21</v>
      </c>
      <c r="D2336" t="s">
        <v>4062</v>
      </c>
      <c r="E2336" t="s">
        <v>5257</v>
      </c>
      <c r="F2336" t="s">
        <v>21</v>
      </c>
      <c r="G2336">
        <v>1.03</v>
      </c>
      <c r="H2336" s="2">
        <v>120600</v>
      </c>
      <c r="I2336" s="2">
        <v>124218</v>
      </c>
    </row>
    <row r="2337" spans="1:9" x14ac:dyDescent="0.25">
      <c r="A2337" t="s">
        <v>1266</v>
      </c>
      <c r="B2337" t="s">
        <v>1267</v>
      </c>
      <c r="C2337" t="s">
        <v>21</v>
      </c>
      <c r="D2337" t="s">
        <v>4049</v>
      </c>
      <c r="E2337" t="s">
        <v>4050</v>
      </c>
      <c r="F2337" t="s">
        <v>4051</v>
      </c>
      <c r="G2337">
        <v>1.3</v>
      </c>
      <c r="H2337" s="2">
        <v>9037.33</v>
      </c>
      <c r="I2337" s="2">
        <v>11748.53</v>
      </c>
    </row>
    <row r="2338" spans="1:9" x14ac:dyDescent="0.25">
      <c r="A2338" t="s">
        <v>1266</v>
      </c>
      <c r="B2338" t="s">
        <v>1267</v>
      </c>
      <c r="C2338" t="s">
        <v>21</v>
      </c>
      <c r="D2338" t="s">
        <v>4049</v>
      </c>
      <c r="E2338" t="s">
        <v>4073</v>
      </c>
      <c r="F2338" t="s">
        <v>4051</v>
      </c>
      <c r="G2338">
        <v>1.3</v>
      </c>
      <c r="H2338" s="2">
        <v>15517.89</v>
      </c>
      <c r="I2338" s="2">
        <v>20173.26</v>
      </c>
    </row>
    <row r="2339" spans="1:9" x14ac:dyDescent="0.25">
      <c r="A2339" t="s">
        <v>1266</v>
      </c>
      <c r="B2339" t="s">
        <v>1267</v>
      </c>
      <c r="C2339" t="s">
        <v>21</v>
      </c>
      <c r="D2339" t="s">
        <v>4052</v>
      </c>
      <c r="E2339" t="s">
        <v>4053</v>
      </c>
      <c r="F2339" t="s">
        <v>4054</v>
      </c>
      <c r="G2339">
        <v>5</v>
      </c>
      <c r="H2339" s="2">
        <v>31921.79</v>
      </c>
      <c r="I2339" s="2">
        <v>1596.09</v>
      </c>
    </row>
    <row r="2340" spans="1:9" x14ac:dyDescent="0.25">
      <c r="A2340" t="s">
        <v>1269</v>
      </c>
      <c r="B2340" t="s">
        <v>1270</v>
      </c>
      <c r="C2340" t="s">
        <v>21</v>
      </c>
      <c r="D2340" t="s">
        <v>4062</v>
      </c>
      <c r="E2340" t="s">
        <v>4475</v>
      </c>
      <c r="F2340" t="s">
        <v>231</v>
      </c>
      <c r="G2340">
        <v>2.1</v>
      </c>
      <c r="H2340" s="2">
        <v>730</v>
      </c>
      <c r="I2340" s="2">
        <v>1533</v>
      </c>
    </row>
    <row r="2341" spans="1:9" x14ac:dyDescent="0.25">
      <c r="A2341" t="s">
        <v>1269</v>
      </c>
      <c r="B2341" t="s">
        <v>1270</v>
      </c>
      <c r="C2341" t="s">
        <v>21</v>
      </c>
      <c r="D2341" t="s">
        <v>4062</v>
      </c>
      <c r="E2341" t="s">
        <v>3978</v>
      </c>
      <c r="F2341" t="s">
        <v>34</v>
      </c>
      <c r="G2341">
        <v>0.03</v>
      </c>
      <c r="H2341" s="2">
        <v>409741.65</v>
      </c>
      <c r="I2341" s="2">
        <v>12292.25</v>
      </c>
    </row>
    <row r="2342" spans="1:9" x14ac:dyDescent="0.25">
      <c r="A2342" t="s">
        <v>1269</v>
      </c>
      <c r="B2342" t="s">
        <v>1270</v>
      </c>
      <c r="C2342" t="s">
        <v>21</v>
      </c>
      <c r="D2342" t="s">
        <v>4062</v>
      </c>
      <c r="E2342" t="s">
        <v>5260</v>
      </c>
      <c r="F2342" t="s">
        <v>21</v>
      </c>
      <c r="G2342">
        <v>1.05</v>
      </c>
      <c r="H2342" s="2">
        <v>18200</v>
      </c>
      <c r="I2342" s="2">
        <v>19110</v>
      </c>
    </row>
    <row r="2343" spans="1:9" x14ac:dyDescent="0.25">
      <c r="A2343" t="s">
        <v>1269</v>
      </c>
      <c r="B2343" t="s">
        <v>1270</v>
      </c>
      <c r="C2343" t="s">
        <v>21</v>
      </c>
      <c r="D2343" t="s">
        <v>4049</v>
      </c>
      <c r="E2343" t="s">
        <v>4050</v>
      </c>
      <c r="F2343" t="s">
        <v>4051</v>
      </c>
      <c r="G2343">
        <v>1</v>
      </c>
      <c r="H2343" s="2">
        <v>9037.33</v>
      </c>
      <c r="I2343" s="2">
        <v>9037.33</v>
      </c>
    </row>
    <row r="2344" spans="1:9" x14ac:dyDescent="0.25">
      <c r="A2344" t="s">
        <v>1269</v>
      </c>
      <c r="B2344" t="s">
        <v>1270</v>
      </c>
      <c r="C2344" t="s">
        <v>21</v>
      </c>
      <c r="D2344" t="s">
        <v>4049</v>
      </c>
      <c r="E2344" t="s">
        <v>4073</v>
      </c>
      <c r="F2344" t="s">
        <v>4051</v>
      </c>
      <c r="G2344">
        <v>0.8</v>
      </c>
      <c r="H2344" s="2">
        <v>15517.89</v>
      </c>
      <c r="I2344" s="2">
        <v>12414.31</v>
      </c>
    </row>
    <row r="2345" spans="1:9" x14ac:dyDescent="0.25">
      <c r="A2345" t="s">
        <v>1269</v>
      </c>
      <c r="B2345" t="s">
        <v>1270</v>
      </c>
      <c r="C2345" t="s">
        <v>21</v>
      </c>
      <c r="D2345" t="s">
        <v>4052</v>
      </c>
      <c r="E2345" t="s">
        <v>4113</v>
      </c>
      <c r="F2345" t="s">
        <v>4106</v>
      </c>
      <c r="G2345">
        <v>0.05</v>
      </c>
      <c r="H2345" s="2">
        <v>43805.88</v>
      </c>
      <c r="I2345" s="2">
        <v>2190.29</v>
      </c>
    </row>
    <row r="2346" spans="1:9" x14ac:dyDescent="0.25">
      <c r="A2346" t="s">
        <v>1269</v>
      </c>
      <c r="B2346" t="s">
        <v>1270</v>
      </c>
      <c r="C2346" t="s">
        <v>21</v>
      </c>
      <c r="D2346" t="s">
        <v>4052</v>
      </c>
      <c r="E2346" t="s">
        <v>4053</v>
      </c>
      <c r="F2346" t="s">
        <v>4054</v>
      </c>
      <c r="G2346">
        <v>4.9</v>
      </c>
      <c r="H2346" s="2">
        <v>21451.64</v>
      </c>
      <c r="I2346" s="2">
        <v>1051.13</v>
      </c>
    </row>
    <row r="2347" spans="1:9" x14ac:dyDescent="0.25">
      <c r="A2347" t="s">
        <v>1272</v>
      </c>
      <c r="B2347" t="s">
        <v>1273</v>
      </c>
      <c r="C2347" t="s">
        <v>21</v>
      </c>
      <c r="D2347" t="s">
        <v>4062</v>
      </c>
      <c r="E2347" t="s">
        <v>5253</v>
      </c>
      <c r="F2347" t="s">
        <v>4377</v>
      </c>
      <c r="G2347">
        <v>0.09</v>
      </c>
      <c r="H2347" s="2">
        <v>60500</v>
      </c>
      <c r="I2347" s="2">
        <v>5445</v>
      </c>
    </row>
    <row r="2348" spans="1:9" x14ac:dyDescent="0.25">
      <c r="A2348" t="s">
        <v>1272</v>
      </c>
      <c r="B2348" t="s">
        <v>1273</v>
      </c>
      <c r="C2348" t="s">
        <v>21</v>
      </c>
      <c r="D2348" t="s">
        <v>4062</v>
      </c>
      <c r="E2348" t="s">
        <v>5263</v>
      </c>
      <c r="F2348" t="s">
        <v>21</v>
      </c>
      <c r="G2348">
        <v>1</v>
      </c>
      <c r="H2348" s="2">
        <v>25900</v>
      </c>
      <c r="I2348" s="2">
        <v>25900</v>
      </c>
    </row>
    <row r="2349" spans="1:9" x14ac:dyDescent="0.25">
      <c r="A2349" t="s">
        <v>1272</v>
      </c>
      <c r="B2349" t="s">
        <v>1273</v>
      </c>
      <c r="C2349" t="s">
        <v>21</v>
      </c>
      <c r="D2349" t="s">
        <v>4049</v>
      </c>
      <c r="E2349" t="s">
        <v>4050</v>
      </c>
      <c r="F2349" t="s">
        <v>4051</v>
      </c>
      <c r="G2349">
        <v>0.25</v>
      </c>
      <c r="H2349" s="2">
        <v>9037.33</v>
      </c>
      <c r="I2349" s="2">
        <v>2259.33</v>
      </c>
    </row>
    <row r="2350" spans="1:9" x14ac:dyDescent="0.25">
      <c r="A2350" t="s">
        <v>1272</v>
      </c>
      <c r="B2350" t="s">
        <v>1273</v>
      </c>
      <c r="C2350" t="s">
        <v>21</v>
      </c>
      <c r="D2350" t="s">
        <v>4049</v>
      </c>
      <c r="E2350" t="s">
        <v>4073</v>
      </c>
      <c r="F2350" t="s">
        <v>4051</v>
      </c>
      <c r="G2350">
        <v>0.25</v>
      </c>
      <c r="H2350" s="2">
        <v>15517.89</v>
      </c>
      <c r="I2350" s="2">
        <v>3879.47</v>
      </c>
    </row>
    <row r="2351" spans="1:9" x14ac:dyDescent="0.25">
      <c r="A2351" t="s">
        <v>1272</v>
      </c>
      <c r="B2351" t="s">
        <v>1273</v>
      </c>
      <c r="C2351" t="s">
        <v>21</v>
      </c>
      <c r="D2351" t="s">
        <v>4052</v>
      </c>
      <c r="E2351" t="s">
        <v>4053</v>
      </c>
      <c r="F2351" t="s">
        <v>4054</v>
      </c>
      <c r="G2351">
        <v>5</v>
      </c>
      <c r="H2351" s="2">
        <v>6138.8</v>
      </c>
      <c r="I2351" s="2">
        <v>306.94</v>
      </c>
    </row>
    <row r="2352" spans="1:9" x14ac:dyDescent="0.25">
      <c r="A2352" t="s">
        <v>1275</v>
      </c>
      <c r="B2352" t="s">
        <v>1276</v>
      </c>
      <c r="C2352" t="s">
        <v>21</v>
      </c>
      <c r="D2352" t="s">
        <v>4062</v>
      </c>
      <c r="E2352" t="s">
        <v>4001</v>
      </c>
      <c r="F2352" t="s">
        <v>34</v>
      </c>
      <c r="G2352">
        <v>0.09</v>
      </c>
      <c r="H2352" s="2">
        <v>450245.66</v>
      </c>
      <c r="I2352" s="2">
        <v>38270.88</v>
      </c>
    </row>
    <row r="2353" spans="1:9" x14ac:dyDescent="0.25">
      <c r="A2353" t="s">
        <v>1275</v>
      </c>
      <c r="B2353" t="s">
        <v>1276</v>
      </c>
      <c r="C2353" t="s">
        <v>21</v>
      </c>
      <c r="D2353" t="s">
        <v>4062</v>
      </c>
      <c r="E2353" t="s">
        <v>5266</v>
      </c>
      <c r="F2353" t="s">
        <v>42</v>
      </c>
      <c r="G2353">
        <v>0.51</v>
      </c>
      <c r="H2353" s="2">
        <v>5823.14</v>
      </c>
      <c r="I2353" s="2">
        <v>2969.8</v>
      </c>
    </row>
    <row r="2354" spans="1:9" x14ac:dyDescent="0.25">
      <c r="A2354" t="s">
        <v>1275</v>
      </c>
      <c r="B2354" t="s">
        <v>1276</v>
      </c>
      <c r="C2354" t="s">
        <v>21</v>
      </c>
      <c r="D2354" t="s">
        <v>4049</v>
      </c>
      <c r="E2354" t="s">
        <v>4050</v>
      </c>
      <c r="F2354" t="s">
        <v>4051</v>
      </c>
      <c r="G2354">
        <v>0.8</v>
      </c>
      <c r="H2354" s="2">
        <v>9037.33</v>
      </c>
      <c r="I2354" s="2">
        <v>7229.86</v>
      </c>
    </row>
    <row r="2355" spans="1:9" x14ac:dyDescent="0.25">
      <c r="A2355" t="s">
        <v>1275</v>
      </c>
      <c r="B2355" t="s">
        <v>1276</v>
      </c>
      <c r="C2355" t="s">
        <v>21</v>
      </c>
      <c r="D2355" t="s">
        <v>4049</v>
      </c>
      <c r="E2355" t="s">
        <v>4073</v>
      </c>
      <c r="F2355" t="s">
        <v>4051</v>
      </c>
      <c r="G2355">
        <v>0.8</v>
      </c>
      <c r="H2355" s="2">
        <v>15517.89</v>
      </c>
      <c r="I2355" s="2">
        <v>12414.31</v>
      </c>
    </row>
    <row r="2356" spans="1:9" x14ac:dyDescent="0.25">
      <c r="A2356" t="s">
        <v>1275</v>
      </c>
      <c r="B2356" t="s">
        <v>1276</v>
      </c>
      <c r="C2356" t="s">
        <v>21</v>
      </c>
      <c r="D2356" t="s">
        <v>4052</v>
      </c>
      <c r="E2356" t="s">
        <v>4053</v>
      </c>
      <c r="F2356" t="s">
        <v>4054</v>
      </c>
      <c r="G2356">
        <v>5</v>
      </c>
      <c r="H2356" s="2">
        <v>19644.17</v>
      </c>
      <c r="I2356" s="2">
        <v>982.21</v>
      </c>
    </row>
    <row r="2357" spans="1:9" x14ac:dyDescent="0.25">
      <c r="A2357" t="s">
        <v>1278</v>
      </c>
      <c r="B2357" t="s">
        <v>1279</v>
      </c>
      <c r="C2357" t="s">
        <v>21</v>
      </c>
      <c r="D2357" t="s">
        <v>4062</v>
      </c>
      <c r="E2357" t="s">
        <v>4001</v>
      </c>
      <c r="F2357" t="s">
        <v>34</v>
      </c>
      <c r="G2357">
        <v>0.11</v>
      </c>
      <c r="H2357" s="2">
        <v>450245.66</v>
      </c>
      <c r="I2357" s="2">
        <v>47275.79</v>
      </c>
    </row>
    <row r="2358" spans="1:9" x14ac:dyDescent="0.25">
      <c r="A2358" t="s">
        <v>1278</v>
      </c>
      <c r="B2358" t="s">
        <v>1279</v>
      </c>
      <c r="C2358" t="s">
        <v>21</v>
      </c>
      <c r="D2358" t="s">
        <v>4062</v>
      </c>
      <c r="E2358" t="s">
        <v>5266</v>
      </c>
      <c r="F2358" t="s">
        <v>42</v>
      </c>
      <c r="G2358">
        <v>0.51</v>
      </c>
      <c r="H2358" s="2">
        <v>5823.14</v>
      </c>
      <c r="I2358" s="2">
        <v>2969.8</v>
      </c>
    </row>
    <row r="2359" spans="1:9" x14ac:dyDescent="0.25">
      <c r="A2359" t="s">
        <v>1278</v>
      </c>
      <c r="B2359" t="s">
        <v>1279</v>
      </c>
      <c r="C2359" t="s">
        <v>21</v>
      </c>
      <c r="D2359" t="s">
        <v>4049</v>
      </c>
      <c r="E2359" t="s">
        <v>4050</v>
      </c>
      <c r="F2359" t="s">
        <v>4051</v>
      </c>
      <c r="G2359">
        <v>0.66</v>
      </c>
      <c r="H2359" s="2">
        <v>9037.33</v>
      </c>
      <c r="I2359" s="2">
        <v>5964.64</v>
      </c>
    </row>
    <row r="2360" spans="1:9" x14ac:dyDescent="0.25">
      <c r="A2360" t="s">
        <v>1278</v>
      </c>
      <c r="B2360" t="s">
        <v>1279</v>
      </c>
      <c r="C2360" t="s">
        <v>21</v>
      </c>
      <c r="D2360" t="s">
        <v>4049</v>
      </c>
      <c r="E2360" t="s">
        <v>4073</v>
      </c>
      <c r="F2360" t="s">
        <v>4051</v>
      </c>
      <c r="G2360">
        <v>0.66</v>
      </c>
      <c r="H2360" s="2">
        <v>15517.89</v>
      </c>
      <c r="I2360" s="2">
        <v>10241.81</v>
      </c>
    </row>
    <row r="2361" spans="1:9" x14ac:dyDescent="0.25">
      <c r="A2361" t="s">
        <v>1278</v>
      </c>
      <c r="B2361" t="s">
        <v>1279</v>
      </c>
      <c r="C2361" t="s">
        <v>21</v>
      </c>
      <c r="D2361" t="s">
        <v>4052</v>
      </c>
      <c r="E2361" t="s">
        <v>4053</v>
      </c>
      <c r="F2361" t="s">
        <v>4054</v>
      </c>
      <c r="G2361">
        <v>3</v>
      </c>
      <c r="H2361" s="2">
        <v>16206.45</v>
      </c>
      <c r="I2361" s="2">
        <v>486.19</v>
      </c>
    </row>
    <row r="2362" spans="1:9" x14ac:dyDescent="0.25">
      <c r="A2362" t="s">
        <v>1281</v>
      </c>
      <c r="B2362" t="s">
        <v>1282</v>
      </c>
      <c r="C2362" t="s">
        <v>21</v>
      </c>
      <c r="D2362" t="s">
        <v>4062</v>
      </c>
      <c r="E2362" t="s">
        <v>4001</v>
      </c>
      <c r="F2362" t="s">
        <v>34</v>
      </c>
      <c r="G2362">
        <v>0.05</v>
      </c>
      <c r="H2362" s="2">
        <v>450245.66</v>
      </c>
      <c r="I2362" s="2">
        <v>22512.28</v>
      </c>
    </row>
    <row r="2363" spans="1:9" x14ac:dyDescent="0.25">
      <c r="A2363" t="s">
        <v>1281</v>
      </c>
      <c r="B2363" t="s">
        <v>1282</v>
      </c>
      <c r="C2363" t="s">
        <v>21</v>
      </c>
      <c r="D2363" t="s">
        <v>4062</v>
      </c>
      <c r="E2363" t="s">
        <v>5266</v>
      </c>
      <c r="F2363" t="s">
        <v>42</v>
      </c>
      <c r="G2363">
        <v>1</v>
      </c>
      <c r="H2363" s="2">
        <v>5823.14</v>
      </c>
      <c r="I2363" s="2">
        <v>5823.14</v>
      </c>
    </row>
    <row r="2364" spans="1:9" x14ac:dyDescent="0.25">
      <c r="A2364" t="s">
        <v>1281</v>
      </c>
      <c r="B2364" t="s">
        <v>1282</v>
      </c>
      <c r="C2364" t="s">
        <v>21</v>
      </c>
      <c r="D2364" t="s">
        <v>4049</v>
      </c>
      <c r="E2364" t="s">
        <v>4050</v>
      </c>
      <c r="F2364" t="s">
        <v>4051</v>
      </c>
      <c r="G2364">
        <v>0.52</v>
      </c>
      <c r="H2364" s="2">
        <v>9037.33</v>
      </c>
      <c r="I2364" s="2">
        <v>4699.41</v>
      </c>
    </row>
    <row r="2365" spans="1:9" x14ac:dyDescent="0.25">
      <c r="A2365" t="s">
        <v>1281</v>
      </c>
      <c r="B2365" t="s">
        <v>1282</v>
      </c>
      <c r="C2365" t="s">
        <v>21</v>
      </c>
      <c r="D2365" t="s">
        <v>4049</v>
      </c>
      <c r="E2365" t="s">
        <v>4073</v>
      </c>
      <c r="F2365" t="s">
        <v>4051</v>
      </c>
      <c r="G2365">
        <v>0.52</v>
      </c>
      <c r="H2365" s="2">
        <v>15517.89</v>
      </c>
      <c r="I2365" s="2">
        <v>8069.3</v>
      </c>
    </row>
    <row r="2366" spans="1:9" x14ac:dyDescent="0.25">
      <c r="A2366" t="s">
        <v>1281</v>
      </c>
      <c r="B2366" t="s">
        <v>1282</v>
      </c>
      <c r="C2366" t="s">
        <v>21</v>
      </c>
      <c r="D2366" t="s">
        <v>4052</v>
      </c>
      <c r="E2366" t="s">
        <v>4053</v>
      </c>
      <c r="F2366" t="s">
        <v>4054</v>
      </c>
      <c r="G2366">
        <v>5</v>
      </c>
      <c r="H2366" s="2">
        <v>12768.71</v>
      </c>
      <c r="I2366" s="2">
        <v>638.44</v>
      </c>
    </row>
    <row r="2367" spans="1:9" x14ac:dyDescent="0.25">
      <c r="A2367" t="s">
        <v>1284</v>
      </c>
      <c r="B2367" t="s">
        <v>1285</v>
      </c>
      <c r="C2367" t="s">
        <v>21</v>
      </c>
      <c r="D2367" t="s">
        <v>4062</v>
      </c>
      <c r="E2367" t="s">
        <v>5273</v>
      </c>
      <c r="F2367" t="s">
        <v>4377</v>
      </c>
      <c r="G2367">
        <v>0.03</v>
      </c>
      <c r="H2367" s="2">
        <v>37750</v>
      </c>
      <c r="I2367" s="2">
        <v>943.75</v>
      </c>
    </row>
    <row r="2368" spans="1:9" x14ac:dyDescent="0.25">
      <c r="A2368" t="s">
        <v>1284</v>
      </c>
      <c r="B2368" t="s">
        <v>1285</v>
      </c>
      <c r="C2368" t="s">
        <v>21</v>
      </c>
      <c r="D2368" t="s">
        <v>4062</v>
      </c>
      <c r="E2368" t="s">
        <v>4076</v>
      </c>
      <c r="F2368" t="s">
        <v>3963</v>
      </c>
      <c r="G2368">
        <v>2</v>
      </c>
      <c r="H2368" s="2">
        <v>21</v>
      </c>
      <c r="I2368" s="2">
        <v>42</v>
      </c>
    </row>
    <row r="2369" spans="1:9" x14ac:dyDescent="0.25">
      <c r="A2369" t="s">
        <v>1284</v>
      </c>
      <c r="B2369" t="s">
        <v>1285</v>
      </c>
      <c r="C2369" t="s">
        <v>21</v>
      </c>
      <c r="D2369" t="s">
        <v>4049</v>
      </c>
      <c r="E2369" t="s">
        <v>4050</v>
      </c>
      <c r="F2369" t="s">
        <v>4051</v>
      </c>
      <c r="G2369">
        <v>0.35</v>
      </c>
      <c r="H2369" s="2">
        <v>9037.33</v>
      </c>
      <c r="I2369" s="2">
        <v>3163.07</v>
      </c>
    </row>
    <row r="2370" spans="1:9" x14ac:dyDescent="0.25">
      <c r="A2370" t="s">
        <v>1284</v>
      </c>
      <c r="B2370" t="s">
        <v>1285</v>
      </c>
      <c r="C2370" t="s">
        <v>21</v>
      </c>
      <c r="D2370" t="s">
        <v>4049</v>
      </c>
      <c r="E2370" t="s">
        <v>4073</v>
      </c>
      <c r="F2370" t="s">
        <v>4051</v>
      </c>
      <c r="G2370">
        <v>0.35</v>
      </c>
      <c r="H2370" s="2">
        <v>15517.89</v>
      </c>
      <c r="I2370" s="2">
        <v>5431.26</v>
      </c>
    </row>
    <row r="2371" spans="1:9" x14ac:dyDescent="0.25">
      <c r="A2371" t="s">
        <v>1284</v>
      </c>
      <c r="B2371" t="s">
        <v>1285</v>
      </c>
      <c r="C2371" t="s">
        <v>21</v>
      </c>
      <c r="D2371" t="s">
        <v>4052</v>
      </c>
      <c r="E2371" t="s">
        <v>5274</v>
      </c>
      <c r="F2371" t="s">
        <v>4106</v>
      </c>
      <c r="G2371">
        <v>0.25</v>
      </c>
      <c r="H2371" s="2">
        <v>22356</v>
      </c>
      <c r="I2371" s="2">
        <v>5589</v>
      </c>
    </row>
    <row r="2372" spans="1:9" x14ac:dyDescent="0.25">
      <c r="A2372" t="s">
        <v>1284</v>
      </c>
      <c r="B2372" t="s">
        <v>1285</v>
      </c>
      <c r="C2372" t="s">
        <v>21</v>
      </c>
      <c r="D2372" t="s">
        <v>4052</v>
      </c>
      <c r="E2372" t="s">
        <v>4053</v>
      </c>
      <c r="F2372" t="s">
        <v>4054</v>
      </c>
      <c r="G2372">
        <v>5</v>
      </c>
      <c r="H2372" s="2">
        <v>8594.33</v>
      </c>
      <c r="I2372" s="2">
        <v>429.72</v>
      </c>
    </row>
    <row r="2373" spans="1:9" x14ac:dyDescent="0.25">
      <c r="A2373" t="s">
        <v>1287</v>
      </c>
      <c r="B2373" t="s">
        <v>1288</v>
      </c>
      <c r="C2373" t="s">
        <v>21</v>
      </c>
      <c r="D2373" t="s">
        <v>4049</v>
      </c>
      <c r="E2373" t="s">
        <v>4050</v>
      </c>
      <c r="F2373" t="s">
        <v>4051</v>
      </c>
      <c r="G2373">
        <v>0.7</v>
      </c>
      <c r="H2373" s="2">
        <v>9037.33</v>
      </c>
      <c r="I2373" s="2">
        <v>6326.13</v>
      </c>
    </row>
    <row r="2374" spans="1:9" x14ac:dyDescent="0.25">
      <c r="A2374" t="s">
        <v>1287</v>
      </c>
      <c r="B2374" t="s">
        <v>1288</v>
      </c>
      <c r="C2374" t="s">
        <v>21</v>
      </c>
      <c r="D2374" t="s">
        <v>4049</v>
      </c>
      <c r="E2374" t="s">
        <v>4073</v>
      </c>
      <c r="F2374" t="s">
        <v>4051</v>
      </c>
      <c r="G2374">
        <v>0.7</v>
      </c>
      <c r="H2374" s="2">
        <v>15517.89</v>
      </c>
      <c r="I2374" s="2">
        <v>10862.52</v>
      </c>
    </row>
    <row r="2375" spans="1:9" x14ac:dyDescent="0.25">
      <c r="A2375" t="s">
        <v>1287</v>
      </c>
      <c r="B2375" t="s">
        <v>1288</v>
      </c>
      <c r="C2375" t="s">
        <v>21</v>
      </c>
      <c r="D2375" t="s">
        <v>4052</v>
      </c>
      <c r="E2375" t="s">
        <v>4113</v>
      </c>
      <c r="F2375" t="s">
        <v>4106</v>
      </c>
      <c r="G2375">
        <v>0.15</v>
      </c>
      <c r="H2375" s="2">
        <v>43805.88</v>
      </c>
      <c r="I2375" s="2">
        <v>6570.88</v>
      </c>
    </row>
    <row r="2376" spans="1:9" x14ac:dyDescent="0.25">
      <c r="A2376" t="s">
        <v>1287</v>
      </c>
      <c r="B2376" t="s">
        <v>1288</v>
      </c>
      <c r="C2376" t="s">
        <v>21</v>
      </c>
      <c r="D2376" t="s">
        <v>4052</v>
      </c>
      <c r="E2376" t="s">
        <v>4053</v>
      </c>
      <c r="F2376" t="s">
        <v>4054</v>
      </c>
      <c r="G2376">
        <v>5.25</v>
      </c>
      <c r="H2376" s="2">
        <v>17188.65</v>
      </c>
      <c r="I2376" s="2">
        <v>902.4</v>
      </c>
    </row>
    <row r="2377" spans="1:9" x14ac:dyDescent="0.25">
      <c r="A2377" t="s">
        <v>1290</v>
      </c>
      <c r="B2377" t="s">
        <v>1291</v>
      </c>
      <c r="C2377" t="s">
        <v>21</v>
      </c>
      <c r="D2377" t="s">
        <v>4062</v>
      </c>
      <c r="E2377" t="s">
        <v>4587</v>
      </c>
      <c r="F2377" t="s">
        <v>34</v>
      </c>
      <c r="G2377">
        <v>0.03</v>
      </c>
      <c r="H2377" s="2">
        <v>82125</v>
      </c>
      <c r="I2377" s="2">
        <v>2463.75</v>
      </c>
    </row>
    <row r="2378" spans="1:9" x14ac:dyDescent="0.25">
      <c r="A2378" t="s">
        <v>1290</v>
      </c>
      <c r="B2378" t="s">
        <v>1291</v>
      </c>
      <c r="C2378" t="s">
        <v>21</v>
      </c>
      <c r="D2378" t="s">
        <v>4062</v>
      </c>
      <c r="E2378" t="s">
        <v>5279</v>
      </c>
      <c r="F2378" t="s">
        <v>63</v>
      </c>
      <c r="G2378">
        <v>50</v>
      </c>
      <c r="H2378" s="2">
        <v>666.67</v>
      </c>
      <c r="I2378" s="2">
        <v>33333.5</v>
      </c>
    </row>
    <row r="2379" spans="1:9" x14ac:dyDescent="0.25">
      <c r="A2379" t="s">
        <v>1290</v>
      </c>
      <c r="B2379" t="s">
        <v>1291</v>
      </c>
      <c r="C2379" t="s">
        <v>21</v>
      </c>
      <c r="D2379" t="s">
        <v>4062</v>
      </c>
      <c r="E2379" t="s">
        <v>4076</v>
      </c>
      <c r="F2379" t="s">
        <v>3963</v>
      </c>
      <c r="G2379">
        <v>2.85</v>
      </c>
      <c r="H2379" s="2">
        <v>21</v>
      </c>
      <c r="I2379" s="2">
        <v>59.85</v>
      </c>
    </row>
    <row r="2380" spans="1:9" x14ac:dyDescent="0.25">
      <c r="A2380" t="s">
        <v>1290</v>
      </c>
      <c r="B2380" t="s">
        <v>1291</v>
      </c>
      <c r="C2380" t="s">
        <v>21</v>
      </c>
      <c r="D2380" t="s">
        <v>4049</v>
      </c>
      <c r="E2380" t="s">
        <v>4487</v>
      </c>
      <c r="F2380" t="s">
        <v>4236</v>
      </c>
      <c r="G2380">
        <v>0.5</v>
      </c>
      <c r="H2380" s="2">
        <v>24555.22</v>
      </c>
      <c r="I2380" s="2">
        <v>12277.61</v>
      </c>
    </row>
    <row r="2381" spans="1:9" x14ac:dyDescent="0.25">
      <c r="A2381" t="s">
        <v>1290</v>
      </c>
      <c r="B2381" t="s">
        <v>1291</v>
      </c>
      <c r="C2381" t="s">
        <v>21</v>
      </c>
      <c r="D2381" t="s">
        <v>4052</v>
      </c>
      <c r="E2381" t="s">
        <v>4053</v>
      </c>
      <c r="F2381" t="s">
        <v>4054</v>
      </c>
      <c r="G2381">
        <v>5</v>
      </c>
      <c r="H2381" s="2">
        <v>12277.61</v>
      </c>
      <c r="I2381" s="2">
        <v>613.88</v>
      </c>
    </row>
    <row r="2382" spans="1:9" x14ac:dyDescent="0.25">
      <c r="A2382" t="s">
        <v>1294</v>
      </c>
      <c r="B2382" t="s">
        <v>1295</v>
      </c>
      <c r="C2382" t="s">
        <v>21</v>
      </c>
      <c r="D2382" t="s">
        <v>4062</v>
      </c>
      <c r="E2382" t="s">
        <v>4587</v>
      </c>
      <c r="F2382" t="s">
        <v>34</v>
      </c>
      <c r="G2382">
        <v>0.03</v>
      </c>
      <c r="H2382" s="2">
        <v>82125</v>
      </c>
      <c r="I2382" s="2">
        <v>2463.75</v>
      </c>
    </row>
    <row r="2383" spans="1:9" x14ac:dyDescent="0.25">
      <c r="A2383" t="s">
        <v>1294</v>
      </c>
      <c r="B2383" t="s">
        <v>1295</v>
      </c>
      <c r="C2383" t="s">
        <v>21</v>
      </c>
      <c r="D2383" t="s">
        <v>4062</v>
      </c>
      <c r="E2383" t="s">
        <v>5282</v>
      </c>
      <c r="F2383" t="s">
        <v>63</v>
      </c>
      <c r="G2383">
        <v>50</v>
      </c>
      <c r="H2383" s="2">
        <v>690</v>
      </c>
      <c r="I2383" s="2">
        <v>34500</v>
      </c>
    </row>
    <row r="2384" spans="1:9" x14ac:dyDescent="0.25">
      <c r="A2384" t="s">
        <v>1294</v>
      </c>
      <c r="B2384" t="s">
        <v>1295</v>
      </c>
      <c r="C2384" t="s">
        <v>21</v>
      </c>
      <c r="D2384" t="s">
        <v>4062</v>
      </c>
      <c r="E2384" t="s">
        <v>4076</v>
      </c>
      <c r="F2384" t="s">
        <v>3963</v>
      </c>
      <c r="G2384">
        <v>2.85</v>
      </c>
      <c r="H2384" s="2">
        <v>21</v>
      </c>
      <c r="I2384" s="2">
        <v>59.85</v>
      </c>
    </row>
    <row r="2385" spans="1:9" x14ac:dyDescent="0.25">
      <c r="A2385" t="s">
        <v>1294</v>
      </c>
      <c r="B2385" t="s">
        <v>1295</v>
      </c>
      <c r="C2385" t="s">
        <v>21</v>
      </c>
      <c r="D2385" t="s">
        <v>4049</v>
      </c>
      <c r="E2385" t="s">
        <v>4487</v>
      </c>
      <c r="F2385" t="s">
        <v>4236</v>
      </c>
      <c r="G2385">
        <v>0.7</v>
      </c>
      <c r="H2385" s="2">
        <v>24555.22</v>
      </c>
      <c r="I2385" s="2">
        <v>17188.65</v>
      </c>
    </row>
    <row r="2386" spans="1:9" x14ac:dyDescent="0.25">
      <c r="A2386" t="s">
        <v>1294</v>
      </c>
      <c r="B2386" t="s">
        <v>1295</v>
      </c>
      <c r="C2386" t="s">
        <v>21</v>
      </c>
      <c r="D2386" t="s">
        <v>4052</v>
      </c>
      <c r="E2386" t="s">
        <v>4053</v>
      </c>
      <c r="F2386" t="s">
        <v>4054</v>
      </c>
      <c r="G2386">
        <v>5</v>
      </c>
      <c r="H2386" s="2">
        <v>17188.65</v>
      </c>
      <c r="I2386" s="2">
        <v>859.43</v>
      </c>
    </row>
    <row r="2387" spans="1:9" x14ac:dyDescent="0.25">
      <c r="A2387" t="s">
        <v>1297</v>
      </c>
      <c r="B2387" t="s">
        <v>1298</v>
      </c>
      <c r="C2387" t="s">
        <v>21</v>
      </c>
      <c r="D2387" t="s">
        <v>4062</v>
      </c>
      <c r="E2387" t="s">
        <v>4492</v>
      </c>
      <c r="F2387" t="s">
        <v>34</v>
      </c>
      <c r="G2387">
        <v>0.02</v>
      </c>
      <c r="H2387" s="2">
        <v>68425</v>
      </c>
      <c r="I2387" s="2">
        <v>1368.5</v>
      </c>
    </row>
    <row r="2388" spans="1:9" x14ac:dyDescent="0.25">
      <c r="A2388" t="s">
        <v>1297</v>
      </c>
      <c r="B2388" t="s">
        <v>1298</v>
      </c>
      <c r="C2388" t="s">
        <v>21</v>
      </c>
      <c r="D2388" t="s">
        <v>4062</v>
      </c>
      <c r="E2388" t="s">
        <v>5210</v>
      </c>
      <c r="F2388" t="s">
        <v>231</v>
      </c>
      <c r="G2388">
        <v>1.03</v>
      </c>
      <c r="H2388" s="2">
        <v>8133.33</v>
      </c>
      <c r="I2388" s="2">
        <v>8377.33</v>
      </c>
    </row>
    <row r="2389" spans="1:9" x14ac:dyDescent="0.25">
      <c r="A2389" t="s">
        <v>1297</v>
      </c>
      <c r="B2389" t="s">
        <v>1298</v>
      </c>
      <c r="C2389" t="s">
        <v>21</v>
      </c>
      <c r="D2389" t="s">
        <v>4062</v>
      </c>
      <c r="E2389" t="s">
        <v>5285</v>
      </c>
      <c r="F2389" t="s">
        <v>21</v>
      </c>
      <c r="G2389">
        <v>1.03</v>
      </c>
      <c r="H2389" s="2">
        <v>38296</v>
      </c>
      <c r="I2389" s="2">
        <v>39444.88</v>
      </c>
    </row>
    <row r="2390" spans="1:9" x14ac:dyDescent="0.25">
      <c r="A2390" t="s">
        <v>1297</v>
      </c>
      <c r="B2390" t="s">
        <v>1298</v>
      </c>
      <c r="C2390" t="s">
        <v>21</v>
      </c>
      <c r="D2390" t="s">
        <v>4062</v>
      </c>
      <c r="E2390" t="s">
        <v>4076</v>
      </c>
      <c r="F2390" t="s">
        <v>3963</v>
      </c>
      <c r="G2390">
        <v>2.8</v>
      </c>
      <c r="H2390" s="2">
        <v>21</v>
      </c>
      <c r="I2390" s="2">
        <v>58.8</v>
      </c>
    </row>
    <row r="2391" spans="1:9" x14ac:dyDescent="0.25">
      <c r="A2391" t="s">
        <v>1297</v>
      </c>
      <c r="B2391" t="s">
        <v>1298</v>
      </c>
      <c r="C2391" t="s">
        <v>21</v>
      </c>
      <c r="D2391" t="s">
        <v>4049</v>
      </c>
      <c r="E2391" t="s">
        <v>4050</v>
      </c>
      <c r="F2391" t="s">
        <v>4051</v>
      </c>
      <c r="G2391">
        <v>1</v>
      </c>
      <c r="H2391" s="2">
        <v>9037.33</v>
      </c>
      <c r="I2391" s="2">
        <v>9037.33</v>
      </c>
    </row>
    <row r="2392" spans="1:9" x14ac:dyDescent="0.25">
      <c r="A2392" t="s">
        <v>1297</v>
      </c>
      <c r="B2392" t="s">
        <v>1298</v>
      </c>
      <c r="C2392" t="s">
        <v>21</v>
      </c>
      <c r="D2392" t="s">
        <v>4049</v>
      </c>
      <c r="E2392" t="s">
        <v>4073</v>
      </c>
      <c r="F2392" t="s">
        <v>4051</v>
      </c>
      <c r="G2392">
        <v>1.05</v>
      </c>
      <c r="H2392" s="2">
        <v>15517.89</v>
      </c>
      <c r="I2392" s="2">
        <v>16293.78</v>
      </c>
    </row>
    <row r="2393" spans="1:9" x14ac:dyDescent="0.25">
      <c r="A2393" t="s">
        <v>1297</v>
      </c>
      <c r="B2393" t="s">
        <v>1298</v>
      </c>
      <c r="C2393" t="s">
        <v>21</v>
      </c>
      <c r="D2393" t="s">
        <v>4052</v>
      </c>
      <c r="E2393" t="s">
        <v>4053</v>
      </c>
      <c r="F2393" t="s">
        <v>4054</v>
      </c>
      <c r="G2393">
        <v>5</v>
      </c>
      <c r="H2393" s="2">
        <v>25331.11</v>
      </c>
      <c r="I2393" s="2">
        <v>1266.56</v>
      </c>
    </row>
    <row r="2394" spans="1:9" x14ac:dyDescent="0.25">
      <c r="A2394" t="s">
        <v>1300</v>
      </c>
      <c r="B2394" t="s">
        <v>1301</v>
      </c>
      <c r="C2394" t="s">
        <v>21</v>
      </c>
      <c r="D2394" t="s">
        <v>4062</v>
      </c>
      <c r="E2394" t="s">
        <v>4690</v>
      </c>
      <c r="F2394" t="s">
        <v>231</v>
      </c>
      <c r="G2394">
        <v>0.3</v>
      </c>
      <c r="H2394" s="2">
        <v>2025</v>
      </c>
      <c r="I2394" s="2">
        <v>607.5</v>
      </c>
    </row>
    <row r="2395" spans="1:9" x14ac:dyDescent="0.25">
      <c r="A2395" t="s">
        <v>1300</v>
      </c>
      <c r="B2395" t="s">
        <v>1301</v>
      </c>
      <c r="C2395" t="s">
        <v>21</v>
      </c>
      <c r="D2395" t="s">
        <v>4062</v>
      </c>
      <c r="E2395" t="s">
        <v>3978</v>
      </c>
      <c r="F2395" t="s">
        <v>34</v>
      </c>
      <c r="G2395">
        <v>0.02</v>
      </c>
      <c r="H2395" s="2">
        <v>409741.65</v>
      </c>
      <c r="I2395" s="2">
        <v>8194.83</v>
      </c>
    </row>
    <row r="2396" spans="1:9" x14ac:dyDescent="0.25">
      <c r="A2396" t="s">
        <v>1300</v>
      </c>
      <c r="B2396" t="s">
        <v>1301</v>
      </c>
      <c r="C2396" t="s">
        <v>21</v>
      </c>
      <c r="D2396" t="s">
        <v>4062</v>
      </c>
      <c r="E2396" t="s">
        <v>5288</v>
      </c>
      <c r="F2396" t="s">
        <v>21</v>
      </c>
      <c r="G2396">
        <v>1.03</v>
      </c>
      <c r="H2396" s="2">
        <v>28802</v>
      </c>
      <c r="I2396" s="2">
        <v>29666.06</v>
      </c>
    </row>
    <row r="2397" spans="1:9" x14ac:dyDescent="0.25">
      <c r="A2397" t="s">
        <v>1300</v>
      </c>
      <c r="B2397" t="s">
        <v>1301</v>
      </c>
      <c r="C2397" t="s">
        <v>21</v>
      </c>
      <c r="D2397" t="s">
        <v>4049</v>
      </c>
      <c r="E2397" t="s">
        <v>4050</v>
      </c>
      <c r="F2397" t="s">
        <v>4051</v>
      </c>
      <c r="G2397">
        <v>0.95</v>
      </c>
      <c r="H2397" s="2">
        <v>9037.33</v>
      </c>
      <c r="I2397" s="2">
        <v>8585.46</v>
      </c>
    </row>
    <row r="2398" spans="1:9" x14ac:dyDescent="0.25">
      <c r="A2398" t="s">
        <v>1300</v>
      </c>
      <c r="B2398" t="s">
        <v>1301</v>
      </c>
      <c r="C2398" t="s">
        <v>21</v>
      </c>
      <c r="D2398" t="s">
        <v>4049</v>
      </c>
      <c r="E2398" t="s">
        <v>4073</v>
      </c>
      <c r="F2398" t="s">
        <v>4051</v>
      </c>
      <c r="G2398">
        <v>0.95</v>
      </c>
      <c r="H2398" s="2">
        <v>15517.89</v>
      </c>
      <c r="I2398" s="2">
        <v>14742</v>
      </c>
    </row>
    <row r="2399" spans="1:9" x14ac:dyDescent="0.25">
      <c r="A2399" t="s">
        <v>1300</v>
      </c>
      <c r="B2399" t="s">
        <v>1301</v>
      </c>
      <c r="C2399" t="s">
        <v>21</v>
      </c>
      <c r="D2399" t="s">
        <v>4052</v>
      </c>
      <c r="E2399" t="s">
        <v>4053</v>
      </c>
      <c r="F2399" t="s">
        <v>4054</v>
      </c>
      <c r="G2399">
        <v>5</v>
      </c>
      <c r="H2399" s="2">
        <v>23327.46</v>
      </c>
      <c r="I2399" s="2">
        <v>1166.37</v>
      </c>
    </row>
    <row r="2400" spans="1:9" x14ac:dyDescent="0.25">
      <c r="A2400" t="s">
        <v>1303</v>
      </c>
      <c r="B2400" t="s">
        <v>1304</v>
      </c>
      <c r="C2400" t="s">
        <v>21</v>
      </c>
      <c r="D2400" t="s">
        <v>4062</v>
      </c>
      <c r="E2400" t="s">
        <v>4690</v>
      </c>
      <c r="F2400" t="s">
        <v>231</v>
      </c>
      <c r="G2400">
        <v>0.25</v>
      </c>
      <c r="H2400" s="2">
        <v>2025</v>
      </c>
      <c r="I2400" s="2">
        <v>506.25</v>
      </c>
    </row>
    <row r="2401" spans="1:9" x14ac:dyDescent="0.25">
      <c r="A2401" t="s">
        <v>1303</v>
      </c>
      <c r="B2401" t="s">
        <v>1304</v>
      </c>
      <c r="C2401" t="s">
        <v>21</v>
      </c>
      <c r="D2401" t="s">
        <v>4062</v>
      </c>
      <c r="E2401" t="s">
        <v>3978</v>
      </c>
      <c r="F2401" t="s">
        <v>34</v>
      </c>
      <c r="G2401">
        <v>0.02</v>
      </c>
      <c r="H2401" s="2">
        <v>409741.65</v>
      </c>
      <c r="I2401" s="2">
        <v>8194.83</v>
      </c>
    </row>
    <row r="2402" spans="1:9" x14ac:dyDescent="0.25">
      <c r="A2402" t="s">
        <v>1303</v>
      </c>
      <c r="B2402" t="s">
        <v>1304</v>
      </c>
      <c r="C2402" t="s">
        <v>21</v>
      </c>
      <c r="D2402" t="s">
        <v>4062</v>
      </c>
      <c r="E2402" t="s">
        <v>5291</v>
      </c>
      <c r="F2402" t="s">
        <v>21</v>
      </c>
      <c r="G2402">
        <v>1.03</v>
      </c>
      <c r="H2402" s="2">
        <v>40329</v>
      </c>
      <c r="I2402" s="2">
        <v>41538.87</v>
      </c>
    </row>
    <row r="2403" spans="1:9" x14ac:dyDescent="0.25">
      <c r="A2403" t="s">
        <v>1303</v>
      </c>
      <c r="B2403" t="s">
        <v>1304</v>
      </c>
      <c r="C2403" t="s">
        <v>21</v>
      </c>
      <c r="D2403" t="s">
        <v>4049</v>
      </c>
      <c r="E2403" t="s">
        <v>4050</v>
      </c>
      <c r="F2403" t="s">
        <v>4051</v>
      </c>
      <c r="G2403">
        <v>0.95</v>
      </c>
      <c r="H2403" s="2">
        <v>9037.33</v>
      </c>
      <c r="I2403" s="2">
        <v>8585.46</v>
      </c>
    </row>
    <row r="2404" spans="1:9" x14ac:dyDescent="0.25">
      <c r="A2404" t="s">
        <v>1303</v>
      </c>
      <c r="B2404" t="s">
        <v>1304</v>
      </c>
      <c r="C2404" t="s">
        <v>21</v>
      </c>
      <c r="D2404" t="s">
        <v>4049</v>
      </c>
      <c r="E2404" t="s">
        <v>4073</v>
      </c>
      <c r="F2404" t="s">
        <v>4051</v>
      </c>
      <c r="G2404">
        <v>0.95</v>
      </c>
      <c r="H2404" s="2">
        <v>15517.89</v>
      </c>
      <c r="I2404" s="2">
        <v>14742</v>
      </c>
    </row>
    <row r="2405" spans="1:9" x14ac:dyDescent="0.25">
      <c r="A2405" t="s">
        <v>1303</v>
      </c>
      <c r="B2405" t="s">
        <v>1304</v>
      </c>
      <c r="C2405" t="s">
        <v>21</v>
      </c>
      <c r="D2405" t="s">
        <v>4052</v>
      </c>
      <c r="E2405" t="s">
        <v>4053</v>
      </c>
      <c r="F2405" t="s">
        <v>4054</v>
      </c>
      <c r="G2405">
        <v>5</v>
      </c>
      <c r="H2405" s="2">
        <v>23327.46</v>
      </c>
      <c r="I2405" s="2">
        <v>1166.37</v>
      </c>
    </row>
    <row r="2406" spans="1:9" x14ac:dyDescent="0.25">
      <c r="A2406" t="s">
        <v>1306</v>
      </c>
      <c r="B2406" t="s">
        <v>1307</v>
      </c>
      <c r="C2406" t="s">
        <v>42</v>
      </c>
      <c r="D2406" t="s">
        <v>4062</v>
      </c>
      <c r="E2406" t="s">
        <v>4298</v>
      </c>
      <c r="F2406" t="s">
        <v>42</v>
      </c>
      <c r="G2406">
        <v>0.33</v>
      </c>
      <c r="H2406" s="2">
        <v>6466.67</v>
      </c>
      <c r="I2406" s="2">
        <v>2134</v>
      </c>
    </row>
    <row r="2407" spans="1:9" x14ac:dyDescent="0.25">
      <c r="A2407" t="s">
        <v>1306</v>
      </c>
      <c r="B2407" t="s">
        <v>1307</v>
      </c>
      <c r="C2407" t="s">
        <v>42</v>
      </c>
      <c r="D2407" t="s">
        <v>4062</v>
      </c>
      <c r="E2407" t="s">
        <v>4004</v>
      </c>
      <c r="F2407" t="s">
        <v>34</v>
      </c>
      <c r="G2407">
        <v>0.02</v>
      </c>
      <c r="H2407" s="2">
        <v>426702.51</v>
      </c>
      <c r="I2407" s="2">
        <v>8534.05</v>
      </c>
    </row>
    <row r="2408" spans="1:9" x14ac:dyDescent="0.25">
      <c r="A2408" t="s">
        <v>1306</v>
      </c>
      <c r="B2408" t="s">
        <v>1307</v>
      </c>
      <c r="C2408" t="s">
        <v>42</v>
      </c>
      <c r="D2408" t="s">
        <v>4049</v>
      </c>
      <c r="E2408" t="s">
        <v>4487</v>
      </c>
      <c r="F2408" t="s">
        <v>4236</v>
      </c>
      <c r="G2408">
        <v>0.8</v>
      </c>
      <c r="H2408" s="2">
        <v>24555.22</v>
      </c>
      <c r="I2408" s="2">
        <v>19644.18</v>
      </c>
    </row>
    <row r="2409" spans="1:9" x14ac:dyDescent="0.25">
      <c r="A2409" t="s">
        <v>1306</v>
      </c>
      <c r="B2409" t="s">
        <v>1307</v>
      </c>
      <c r="C2409" t="s">
        <v>42</v>
      </c>
      <c r="D2409" t="s">
        <v>4052</v>
      </c>
      <c r="E2409" t="s">
        <v>4053</v>
      </c>
      <c r="F2409" t="s">
        <v>4054</v>
      </c>
      <c r="G2409">
        <v>5</v>
      </c>
      <c r="H2409" s="2">
        <v>19644.18</v>
      </c>
      <c r="I2409" s="2">
        <v>982.21</v>
      </c>
    </row>
    <row r="2410" spans="1:9" x14ac:dyDescent="0.25">
      <c r="A2410" t="s">
        <v>1309</v>
      </c>
      <c r="B2410" t="s">
        <v>1310</v>
      </c>
      <c r="C2410" t="s">
        <v>42</v>
      </c>
      <c r="D2410" t="s">
        <v>4062</v>
      </c>
      <c r="E2410" t="s">
        <v>4690</v>
      </c>
      <c r="F2410" t="s">
        <v>231</v>
      </c>
      <c r="G2410">
        <v>0.25</v>
      </c>
      <c r="H2410" s="2">
        <v>2025</v>
      </c>
      <c r="I2410" s="2">
        <v>506.25</v>
      </c>
    </row>
    <row r="2411" spans="1:9" x14ac:dyDescent="0.25">
      <c r="A2411" t="s">
        <v>1309</v>
      </c>
      <c r="B2411" t="s">
        <v>1310</v>
      </c>
      <c r="C2411" t="s">
        <v>42</v>
      </c>
      <c r="D2411" t="s">
        <v>4062</v>
      </c>
      <c r="E2411" t="s">
        <v>5296</v>
      </c>
      <c r="F2411" t="s">
        <v>42</v>
      </c>
      <c r="G2411">
        <v>1.03</v>
      </c>
      <c r="H2411" s="2">
        <v>13427</v>
      </c>
      <c r="I2411" s="2">
        <v>13829.81</v>
      </c>
    </row>
    <row r="2412" spans="1:9" x14ac:dyDescent="0.25">
      <c r="A2412" t="s">
        <v>1309</v>
      </c>
      <c r="B2412" t="s">
        <v>1310</v>
      </c>
      <c r="C2412" t="s">
        <v>42</v>
      </c>
      <c r="D2412" t="s">
        <v>4062</v>
      </c>
      <c r="E2412" t="s">
        <v>5103</v>
      </c>
      <c r="F2412" t="s">
        <v>5090</v>
      </c>
      <c r="G2412">
        <v>0.1</v>
      </c>
      <c r="H2412" s="2">
        <v>16597</v>
      </c>
      <c r="I2412" s="2">
        <v>1659.7</v>
      </c>
    </row>
    <row r="2413" spans="1:9" x14ac:dyDescent="0.25">
      <c r="A2413" t="s">
        <v>1309</v>
      </c>
      <c r="B2413" t="s">
        <v>1310</v>
      </c>
      <c r="C2413" t="s">
        <v>42</v>
      </c>
      <c r="D2413" t="s">
        <v>4062</v>
      </c>
      <c r="E2413" t="s">
        <v>3978</v>
      </c>
      <c r="F2413" t="s">
        <v>34</v>
      </c>
      <c r="G2413">
        <v>0</v>
      </c>
      <c r="H2413" s="2">
        <v>409741.65</v>
      </c>
      <c r="I2413" s="2">
        <v>614.61</v>
      </c>
    </row>
    <row r="2414" spans="1:9" x14ac:dyDescent="0.25">
      <c r="A2414" t="s">
        <v>1309</v>
      </c>
      <c r="B2414" t="s">
        <v>1310</v>
      </c>
      <c r="C2414" t="s">
        <v>42</v>
      </c>
      <c r="D2414" t="s">
        <v>4062</v>
      </c>
      <c r="E2414" t="s">
        <v>5297</v>
      </c>
      <c r="F2414" t="s">
        <v>21</v>
      </c>
      <c r="G2414">
        <v>0.4</v>
      </c>
      <c r="H2414" s="2">
        <v>19363.66</v>
      </c>
      <c r="I2414" s="2">
        <v>7745.46</v>
      </c>
    </row>
    <row r="2415" spans="1:9" x14ac:dyDescent="0.25">
      <c r="A2415" t="s">
        <v>1309</v>
      </c>
      <c r="B2415" t="s">
        <v>1310</v>
      </c>
      <c r="C2415" t="s">
        <v>42</v>
      </c>
      <c r="D2415" t="s">
        <v>4049</v>
      </c>
      <c r="E2415" t="s">
        <v>4050</v>
      </c>
      <c r="F2415" t="s">
        <v>4051</v>
      </c>
      <c r="G2415">
        <v>0.5</v>
      </c>
      <c r="H2415" s="2">
        <v>9037.33</v>
      </c>
      <c r="I2415" s="2">
        <v>4518.66</v>
      </c>
    </row>
    <row r="2416" spans="1:9" x14ac:dyDescent="0.25">
      <c r="A2416" t="s">
        <v>1309</v>
      </c>
      <c r="B2416" t="s">
        <v>1310</v>
      </c>
      <c r="C2416" t="s">
        <v>42</v>
      </c>
      <c r="D2416" t="s">
        <v>4049</v>
      </c>
      <c r="E2416" t="s">
        <v>4073</v>
      </c>
      <c r="F2416" t="s">
        <v>4051</v>
      </c>
      <c r="G2416">
        <v>0.5</v>
      </c>
      <c r="H2416" s="2">
        <v>15517.89</v>
      </c>
      <c r="I2416" s="2">
        <v>7758.94</v>
      </c>
    </row>
    <row r="2417" spans="1:9" x14ac:dyDescent="0.25">
      <c r="A2417" t="s">
        <v>1309</v>
      </c>
      <c r="B2417" t="s">
        <v>1310</v>
      </c>
      <c r="C2417" t="s">
        <v>42</v>
      </c>
      <c r="D2417" t="s">
        <v>4052</v>
      </c>
      <c r="E2417" t="s">
        <v>4053</v>
      </c>
      <c r="F2417" t="s">
        <v>4054</v>
      </c>
      <c r="G2417">
        <v>5</v>
      </c>
      <c r="H2417" s="2">
        <v>12277.6</v>
      </c>
      <c r="I2417" s="2">
        <v>613.88</v>
      </c>
    </row>
    <row r="2418" spans="1:9" x14ac:dyDescent="0.25">
      <c r="A2418" t="s">
        <v>1312</v>
      </c>
      <c r="B2418" t="s">
        <v>1313</v>
      </c>
      <c r="C2418" t="s">
        <v>42</v>
      </c>
      <c r="D2418" t="s">
        <v>4062</v>
      </c>
      <c r="E2418" t="s">
        <v>4690</v>
      </c>
      <c r="F2418" t="s">
        <v>231</v>
      </c>
      <c r="G2418">
        <v>0.25</v>
      </c>
      <c r="H2418" s="2">
        <v>2025</v>
      </c>
      <c r="I2418" s="2">
        <v>506.25</v>
      </c>
    </row>
    <row r="2419" spans="1:9" x14ac:dyDescent="0.25">
      <c r="A2419" t="s">
        <v>1312</v>
      </c>
      <c r="B2419" t="s">
        <v>1313</v>
      </c>
      <c r="C2419" t="s">
        <v>42</v>
      </c>
      <c r="D2419" t="s">
        <v>4062</v>
      </c>
      <c r="E2419" t="s">
        <v>5300</v>
      </c>
      <c r="F2419" t="s">
        <v>63</v>
      </c>
      <c r="G2419">
        <v>4.92</v>
      </c>
      <c r="H2419" s="2">
        <v>5282</v>
      </c>
      <c r="I2419" s="2">
        <v>25987.44</v>
      </c>
    </row>
    <row r="2420" spans="1:9" x14ac:dyDescent="0.25">
      <c r="A2420" t="s">
        <v>1312</v>
      </c>
      <c r="B2420" t="s">
        <v>1313</v>
      </c>
      <c r="C2420" t="s">
        <v>42</v>
      </c>
      <c r="D2420" t="s">
        <v>4062</v>
      </c>
      <c r="E2420" t="s">
        <v>3978</v>
      </c>
      <c r="F2420" t="s">
        <v>34</v>
      </c>
      <c r="G2420">
        <v>0</v>
      </c>
      <c r="H2420" s="2">
        <v>409741.65</v>
      </c>
      <c r="I2420" s="2">
        <v>614.61</v>
      </c>
    </row>
    <row r="2421" spans="1:9" x14ac:dyDescent="0.25">
      <c r="A2421" t="s">
        <v>1312</v>
      </c>
      <c r="B2421" t="s">
        <v>1313</v>
      </c>
      <c r="C2421" t="s">
        <v>42</v>
      </c>
      <c r="D2421" t="s">
        <v>4049</v>
      </c>
      <c r="E2421" t="s">
        <v>4050</v>
      </c>
      <c r="F2421" t="s">
        <v>4051</v>
      </c>
      <c r="G2421">
        <v>0.5</v>
      </c>
      <c r="H2421" s="2">
        <v>9037.33</v>
      </c>
      <c r="I2421" s="2">
        <v>4518.66</v>
      </c>
    </row>
    <row r="2422" spans="1:9" x14ac:dyDescent="0.25">
      <c r="A2422" t="s">
        <v>1312</v>
      </c>
      <c r="B2422" t="s">
        <v>1313</v>
      </c>
      <c r="C2422" t="s">
        <v>42</v>
      </c>
      <c r="D2422" t="s">
        <v>4049</v>
      </c>
      <c r="E2422" t="s">
        <v>4073</v>
      </c>
      <c r="F2422" t="s">
        <v>4051</v>
      </c>
      <c r="G2422">
        <v>0.5</v>
      </c>
      <c r="H2422" s="2">
        <v>15517.89</v>
      </c>
      <c r="I2422" s="2">
        <v>7758.94</v>
      </c>
    </row>
    <row r="2423" spans="1:9" x14ac:dyDescent="0.25">
      <c r="A2423" t="s">
        <v>1312</v>
      </c>
      <c r="B2423" t="s">
        <v>1313</v>
      </c>
      <c r="C2423" t="s">
        <v>42</v>
      </c>
      <c r="D2423" t="s">
        <v>4052</v>
      </c>
      <c r="E2423" t="s">
        <v>4053</v>
      </c>
      <c r="F2423" t="s">
        <v>4054</v>
      </c>
      <c r="G2423">
        <v>5</v>
      </c>
      <c r="H2423" s="2">
        <v>12277.6</v>
      </c>
      <c r="I2423" s="2">
        <v>613.88</v>
      </c>
    </row>
    <row r="2424" spans="1:9" x14ac:dyDescent="0.25">
      <c r="A2424" t="s">
        <v>1315</v>
      </c>
      <c r="B2424" t="s">
        <v>1316</v>
      </c>
      <c r="C2424" t="s">
        <v>42</v>
      </c>
      <c r="D2424" t="s">
        <v>4062</v>
      </c>
      <c r="E2424" t="s">
        <v>5303</v>
      </c>
      <c r="F2424" t="s">
        <v>42</v>
      </c>
      <c r="G2424">
        <v>1.05</v>
      </c>
      <c r="H2424" s="2">
        <v>16358</v>
      </c>
      <c r="I2424" s="2">
        <v>17175.9</v>
      </c>
    </row>
    <row r="2425" spans="1:9" x14ac:dyDescent="0.25">
      <c r="A2425" t="s">
        <v>1315</v>
      </c>
      <c r="B2425" t="s">
        <v>1316</v>
      </c>
      <c r="C2425" t="s">
        <v>42</v>
      </c>
      <c r="D2425" t="s">
        <v>4062</v>
      </c>
      <c r="E2425" t="s">
        <v>4690</v>
      </c>
      <c r="F2425" t="s">
        <v>231</v>
      </c>
      <c r="G2425">
        <v>4</v>
      </c>
      <c r="H2425" s="2">
        <v>2025</v>
      </c>
      <c r="I2425" s="2">
        <v>8100</v>
      </c>
    </row>
    <row r="2426" spans="1:9" x14ac:dyDescent="0.25">
      <c r="A2426" t="s">
        <v>1315</v>
      </c>
      <c r="B2426" t="s">
        <v>1316</v>
      </c>
      <c r="C2426" t="s">
        <v>42</v>
      </c>
      <c r="D2426" t="s">
        <v>4062</v>
      </c>
      <c r="E2426" t="s">
        <v>5103</v>
      </c>
      <c r="F2426" t="s">
        <v>5090</v>
      </c>
      <c r="G2426">
        <v>0.15</v>
      </c>
      <c r="H2426" s="2">
        <v>16597</v>
      </c>
      <c r="I2426" s="2">
        <v>2489.55</v>
      </c>
    </row>
    <row r="2427" spans="1:9" x14ac:dyDescent="0.25">
      <c r="A2427" t="s">
        <v>1315</v>
      </c>
      <c r="B2427" t="s">
        <v>1316</v>
      </c>
      <c r="C2427" t="s">
        <v>42</v>
      </c>
      <c r="D2427" t="s">
        <v>4062</v>
      </c>
      <c r="E2427" t="s">
        <v>5210</v>
      </c>
      <c r="F2427" t="s">
        <v>231</v>
      </c>
      <c r="G2427">
        <v>0.1</v>
      </c>
      <c r="H2427" s="2">
        <v>8133.33</v>
      </c>
      <c r="I2427" s="2">
        <v>813.33</v>
      </c>
    </row>
    <row r="2428" spans="1:9" x14ac:dyDescent="0.25">
      <c r="A2428" t="s">
        <v>1315</v>
      </c>
      <c r="B2428" t="s">
        <v>1316</v>
      </c>
      <c r="C2428" t="s">
        <v>42</v>
      </c>
      <c r="D2428" t="s">
        <v>4049</v>
      </c>
      <c r="E2428" t="s">
        <v>4050</v>
      </c>
      <c r="F2428" t="s">
        <v>4051</v>
      </c>
      <c r="G2428">
        <v>0.5</v>
      </c>
      <c r="H2428" s="2">
        <v>9037.33</v>
      </c>
      <c r="I2428" s="2">
        <v>4518.66</v>
      </c>
    </row>
    <row r="2429" spans="1:9" x14ac:dyDescent="0.25">
      <c r="A2429" t="s">
        <v>1315</v>
      </c>
      <c r="B2429" t="s">
        <v>1316</v>
      </c>
      <c r="C2429" t="s">
        <v>42</v>
      </c>
      <c r="D2429" t="s">
        <v>4049</v>
      </c>
      <c r="E2429" t="s">
        <v>4073</v>
      </c>
      <c r="F2429" t="s">
        <v>4051</v>
      </c>
      <c r="G2429">
        <v>0.5</v>
      </c>
      <c r="H2429" s="2">
        <v>15517.89</v>
      </c>
      <c r="I2429" s="2">
        <v>7758.94</v>
      </c>
    </row>
    <row r="2430" spans="1:9" x14ac:dyDescent="0.25">
      <c r="A2430" t="s">
        <v>1315</v>
      </c>
      <c r="B2430" t="s">
        <v>1316</v>
      </c>
      <c r="C2430" t="s">
        <v>42</v>
      </c>
      <c r="D2430" t="s">
        <v>4052</v>
      </c>
      <c r="E2430" t="s">
        <v>4053</v>
      </c>
      <c r="F2430" t="s">
        <v>4054</v>
      </c>
      <c r="G2430">
        <v>5</v>
      </c>
      <c r="H2430" s="2">
        <v>12277.6</v>
      </c>
      <c r="I2430" s="2">
        <v>613.88</v>
      </c>
    </row>
    <row r="2431" spans="1:9" x14ac:dyDescent="0.25">
      <c r="A2431" t="s">
        <v>1318</v>
      </c>
      <c r="B2431" t="s">
        <v>1319</v>
      </c>
      <c r="C2431" t="s">
        <v>42</v>
      </c>
      <c r="D2431" t="s">
        <v>4062</v>
      </c>
      <c r="E2431" t="s">
        <v>5306</v>
      </c>
      <c r="F2431" t="s">
        <v>42</v>
      </c>
      <c r="G2431">
        <v>1.03</v>
      </c>
      <c r="H2431" s="2">
        <v>6466</v>
      </c>
      <c r="I2431" s="2">
        <v>6659.98</v>
      </c>
    </row>
    <row r="2432" spans="1:9" x14ac:dyDescent="0.25">
      <c r="A2432" t="s">
        <v>1318</v>
      </c>
      <c r="B2432" t="s">
        <v>1319</v>
      </c>
      <c r="C2432" t="s">
        <v>42</v>
      </c>
      <c r="D2432" t="s">
        <v>4062</v>
      </c>
      <c r="E2432" t="s">
        <v>5253</v>
      </c>
      <c r="F2432" t="s">
        <v>4377</v>
      </c>
      <c r="G2432">
        <v>0.06</v>
      </c>
      <c r="H2432" s="2">
        <v>60500</v>
      </c>
      <c r="I2432" s="2">
        <v>3630</v>
      </c>
    </row>
    <row r="2433" spans="1:9" x14ac:dyDescent="0.25">
      <c r="A2433" t="s">
        <v>1318</v>
      </c>
      <c r="B2433" t="s">
        <v>1319</v>
      </c>
      <c r="C2433" t="s">
        <v>42</v>
      </c>
      <c r="D2433" t="s">
        <v>4049</v>
      </c>
      <c r="E2433" t="s">
        <v>4050</v>
      </c>
      <c r="F2433" t="s">
        <v>4051</v>
      </c>
      <c r="G2433">
        <v>0.25</v>
      </c>
      <c r="H2433" s="2">
        <v>9037.33</v>
      </c>
      <c r="I2433" s="2">
        <v>2259.33</v>
      </c>
    </row>
    <row r="2434" spans="1:9" x14ac:dyDescent="0.25">
      <c r="A2434" t="s">
        <v>1318</v>
      </c>
      <c r="B2434" t="s">
        <v>1319</v>
      </c>
      <c r="C2434" t="s">
        <v>42</v>
      </c>
      <c r="D2434" t="s">
        <v>4049</v>
      </c>
      <c r="E2434" t="s">
        <v>4073</v>
      </c>
      <c r="F2434" t="s">
        <v>4051</v>
      </c>
      <c r="G2434">
        <v>0.25</v>
      </c>
      <c r="H2434" s="2">
        <v>15517.89</v>
      </c>
      <c r="I2434" s="2">
        <v>3879.47</v>
      </c>
    </row>
    <row r="2435" spans="1:9" x14ac:dyDescent="0.25">
      <c r="A2435" t="s">
        <v>1318</v>
      </c>
      <c r="B2435" t="s">
        <v>1319</v>
      </c>
      <c r="C2435" t="s">
        <v>42</v>
      </c>
      <c r="D2435" t="s">
        <v>4052</v>
      </c>
      <c r="E2435" t="s">
        <v>4053</v>
      </c>
      <c r="F2435" t="s">
        <v>4054</v>
      </c>
      <c r="G2435">
        <v>5</v>
      </c>
      <c r="H2435" s="2">
        <v>6138.8</v>
      </c>
      <c r="I2435" s="2">
        <v>306.94</v>
      </c>
    </row>
    <row r="2436" spans="1:9" x14ac:dyDescent="0.25">
      <c r="A2436" t="s">
        <v>1321</v>
      </c>
      <c r="B2436" t="s">
        <v>1322</v>
      </c>
      <c r="C2436" t="s">
        <v>42</v>
      </c>
      <c r="D2436" t="s">
        <v>4062</v>
      </c>
      <c r="E2436" t="s">
        <v>5309</v>
      </c>
      <c r="F2436" t="s">
        <v>63</v>
      </c>
      <c r="G2436">
        <v>2</v>
      </c>
      <c r="H2436" s="2">
        <v>925</v>
      </c>
      <c r="I2436" s="2">
        <v>1850</v>
      </c>
    </row>
    <row r="2437" spans="1:9" x14ac:dyDescent="0.25">
      <c r="A2437" t="s">
        <v>1321</v>
      </c>
      <c r="B2437" t="s">
        <v>1322</v>
      </c>
      <c r="C2437" t="s">
        <v>42</v>
      </c>
      <c r="D2437" t="s">
        <v>4062</v>
      </c>
      <c r="E2437" t="s">
        <v>5310</v>
      </c>
      <c r="F2437" t="s">
        <v>42</v>
      </c>
      <c r="G2437">
        <v>1.03</v>
      </c>
      <c r="H2437" s="2">
        <v>3170.94</v>
      </c>
      <c r="I2437" s="2">
        <v>3266.07</v>
      </c>
    </row>
    <row r="2438" spans="1:9" x14ac:dyDescent="0.25">
      <c r="A2438" t="s">
        <v>1321</v>
      </c>
      <c r="B2438" t="s">
        <v>1322</v>
      </c>
      <c r="C2438" t="s">
        <v>42</v>
      </c>
      <c r="D2438" t="s">
        <v>4049</v>
      </c>
      <c r="E2438" t="s">
        <v>4050</v>
      </c>
      <c r="F2438" t="s">
        <v>4051</v>
      </c>
      <c r="G2438">
        <v>0.2</v>
      </c>
      <c r="H2438" s="2">
        <v>9037.33</v>
      </c>
      <c r="I2438" s="2">
        <v>1807.47</v>
      </c>
    </row>
    <row r="2439" spans="1:9" x14ac:dyDescent="0.25">
      <c r="A2439" t="s">
        <v>1321</v>
      </c>
      <c r="B2439" t="s">
        <v>1322</v>
      </c>
      <c r="C2439" t="s">
        <v>42</v>
      </c>
      <c r="D2439" t="s">
        <v>4049</v>
      </c>
      <c r="E2439" t="s">
        <v>4073</v>
      </c>
      <c r="F2439" t="s">
        <v>4051</v>
      </c>
      <c r="G2439">
        <v>0.2</v>
      </c>
      <c r="H2439" s="2">
        <v>15517.89</v>
      </c>
      <c r="I2439" s="2">
        <v>3103.58</v>
      </c>
    </row>
    <row r="2440" spans="1:9" x14ac:dyDescent="0.25">
      <c r="A2440" t="s">
        <v>1321</v>
      </c>
      <c r="B2440" t="s">
        <v>1322</v>
      </c>
      <c r="C2440" t="s">
        <v>42</v>
      </c>
      <c r="D2440" t="s">
        <v>4052</v>
      </c>
      <c r="E2440" t="s">
        <v>4053</v>
      </c>
      <c r="F2440" t="s">
        <v>4054</v>
      </c>
      <c r="G2440">
        <v>5</v>
      </c>
      <c r="H2440" s="2">
        <v>4911.05</v>
      </c>
      <c r="I2440" s="2">
        <v>245.55</v>
      </c>
    </row>
    <row r="2441" spans="1:9" x14ac:dyDescent="0.25">
      <c r="A2441" t="s">
        <v>1324</v>
      </c>
      <c r="B2441" t="s">
        <v>1325</v>
      </c>
      <c r="C2441" t="s">
        <v>42</v>
      </c>
      <c r="D2441" t="s">
        <v>4062</v>
      </c>
      <c r="E2441" t="s">
        <v>5073</v>
      </c>
      <c r="F2441" t="s">
        <v>4377</v>
      </c>
      <c r="G2441">
        <v>0</v>
      </c>
      <c r="H2441" s="2">
        <v>20966.67</v>
      </c>
      <c r="I2441" s="2">
        <v>20.97</v>
      </c>
    </row>
    <row r="2442" spans="1:9" x14ac:dyDescent="0.25">
      <c r="A2442" t="s">
        <v>1324</v>
      </c>
      <c r="B2442" t="s">
        <v>1325</v>
      </c>
      <c r="C2442" t="s">
        <v>42</v>
      </c>
      <c r="D2442" t="s">
        <v>4062</v>
      </c>
      <c r="E2442" t="s">
        <v>5313</v>
      </c>
      <c r="F2442" t="s">
        <v>42</v>
      </c>
      <c r="G2442">
        <v>1.03</v>
      </c>
      <c r="H2442" s="2">
        <v>7167</v>
      </c>
      <c r="I2442" s="2">
        <v>7382.01</v>
      </c>
    </row>
    <row r="2443" spans="1:9" x14ac:dyDescent="0.25">
      <c r="A2443" t="s">
        <v>1324</v>
      </c>
      <c r="B2443" t="s">
        <v>1325</v>
      </c>
      <c r="C2443" t="s">
        <v>42</v>
      </c>
      <c r="D2443" t="s">
        <v>4062</v>
      </c>
      <c r="E2443" t="s">
        <v>5314</v>
      </c>
      <c r="F2443" t="s">
        <v>3963</v>
      </c>
      <c r="G2443">
        <v>0.08</v>
      </c>
      <c r="H2443" s="2">
        <v>12875</v>
      </c>
      <c r="I2443" s="2">
        <v>1030</v>
      </c>
    </row>
    <row r="2444" spans="1:9" x14ac:dyDescent="0.25">
      <c r="A2444" t="s">
        <v>1324</v>
      </c>
      <c r="B2444" t="s">
        <v>1325</v>
      </c>
      <c r="C2444" t="s">
        <v>42</v>
      </c>
      <c r="D2444" t="s">
        <v>4062</v>
      </c>
      <c r="E2444" t="s">
        <v>4600</v>
      </c>
      <c r="F2444" t="s">
        <v>63</v>
      </c>
      <c r="G2444">
        <v>0.05</v>
      </c>
      <c r="H2444" s="2">
        <v>1195</v>
      </c>
      <c r="I2444" s="2">
        <v>59.75</v>
      </c>
    </row>
    <row r="2445" spans="1:9" x14ac:dyDescent="0.25">
      <c r="A2445" t="s">
        <v>1324</v>
      </c>
      <c r="B2445" t="s">
        <v>1325</v>
      </c>
      <c r="C2445" t="s">
        <v>42</v>
      </c>
      <c r="D2445" t="s">
        <v>4062</v>
      </c>
      <c r="E2445" t="s">
        <v>5315</v>
      </c>
      <c r="F2445" t="s">
        <v>4377</v>
      </c>
      <c r="G2445">
        <v>0.01</v>
      </c>
      <c r="H2445" s="2">
        <v>4783.33</v>
      </c>
      <c r="I2445" s="2">
        <v>33.48</v>
      </c>
    </row>
    <row r="2446" spans="1:9" x14ac:dyDescent="0.25">
      <c r="A2446" t="s">
        <v>1324</v>
      </c>
      <c r="B2446" t="s">
        <v>1325</v>
      </c>
      <c r="C2446" t="s">
        <v>42</v>
      </c>
      <c r="D2446" t="s">
        <v>4049</v>
      </c>
      <c r="E2446" t="s">
        <v>4182</v>
      </c>
      <c r="F2446" t="s">
        <v>4051</v>
      </c>
      <c r="G2446">
        <v>0.2</v>
      </c>
      <c r="H2446" s="2">
        <v>10845.1</v>
      </c>
      <c r="I2446" s="2">
        <v>2169.02</v>
      </c>
    </row>
    <row r="2447" spans="1:9" x14ac:dyDescent="0.25">
      <c r="A2447" t="s">
        <v>1324</v>
      </c>
      <c r="B2447" t="s">
        <v>1325</v>
      </c>
      <c r="C2447" t="s">
        <v>42</v>
      </c>
      <c r="D2447" t="s">
        <v>4049</v>
      </c>
      <c r="E2447" t="s">
        <v>5067</v>
      </c>
      <c r="F2447" t="s">
        <v>4051</v>
      </c>
      <c r="G2447">
        <v>0.05</v>
      </c>
      <c r="H2447" s="2">
        <v>10392.41</v>
      </c>
      <c r="I2447" s="2">
        <v>519.62</v>
      </c>
    </row>
    <row r="2448" spans="1:9" x14ac:dyDescent="0.25">
      <c r="A2448" t="s">
        <v>1324</v>
      </c>
      <c r="B2448" t="s">
        <v>1325</v>
      </c>
      <c r="C2448" t="s">
        <v>42</v>
      </c>
      <c r="D2448" t="s">
        <v>4049</v>
      </c>
      <c r="E2448" t="s">
        <v>4183</v>
      </c>
      <c r="F2448" t="s">
        <v>4051</v>
      </c>
      <c r="G2448">
        <v>0.2</v>
      </c>
      <c r="H2448" s="2">
        <v>18621.17</v>
      </c>
      <c r="I2448" s="2">
        <v>3724.23</v>
      </c>
    </row>
    <row r="2449" spans="1:9" x14ac:dyDescent="0.25">
      <c r="A2449" t="s">
        <v>1324</v>
      </c>
      <c r="B2449" t="s">
        <v>1325</v>
      </c>
      <c r="C2449" t="s">
        <v>42</v>
      </c>
      <c r="D2449" t="s">
        <v>4049</v>
      </c>
      <c r="E2449" t="s">
        <v>5068</v>
      </c>
      <c r="F2449" t="s">
        <v>4051</v>
      </c>
      <c r="G2449">
        <v>0.05</v>
      </c>
      <c r="H2449" s="2">
        <v>17845.35</v>
      </c>
      <c r="I2449" s="2">
        <v>892.27</v>
      </c>
    </row>
    <row r="2450" spans="1:9" x14ac:dyDescent="0.25">
      <c r="A2450" t="s">
        <v>1324</v>
      </c>
      <c r="B2450" t="s">
        <v>1325</v>
      </c>
      <c r="C2450" t="s">
        <v>42</v>
      </c>
      <c r="D2450" t="s">
        <v>4052</v>
      </c>
      <c r="E2450" t="s">
        <v>4053</v>
      </c>
      <c r="F2450" t="s">
        <v>4054</v>
      </c>
      <c r="G2450">
        <v>5</v>
      </c>
      <c r="H2450" s="2">
        <v>7305.14</v>
      </c>
      <c r="I2450" s="2">
        <v>365.26</v>
      </c>
    </row>
    <row r="2451" spans="1:9" x14ac:dyDescent="0.25">
      <c r="A2451" t="s">
        <v>1327</v>
      </c>
      <c r="B2451" t="s">
        <v>1328</v>
      </c>
      <c r="C2451" t="s">
        <v>21</v>
      </c>
      <c r="D2451" t="s">
        <v>4062</v>
      </c>
      <c r="E2451" t="s">
        <v>3978</v>
      </c>
      <c r="F2451" t="s">
        <v>34</v>
      </c>
      <c r="G2451">
        <v>0.02</v>
      </c>
      <c r="H2451" s="2">
        <v>409741.65</v>
      </c>
      <c r="I2451" s="2">
        <v>8194.83</v>
      </c>
    </row>
    <row r="2452" spans="1:9" x14ac:dyDescent="0.25">
      <c r="A2452" t="s">
        <v>1327</v>
      </c>
      <c r="B2452" t="s">
        <v>1328</v>
      </c>
      <c r="C2452" t="s">
        <v>21</v>
      </c>
      <c r="D2452" t="s">
        <v>4062</v>
      </c>
      <c r="E2452" t="s">
        <v>5318</v>
      </c>
      <c r="F2452" t="s">
        <v>21</v>
      </c>
      <c r="G2452">
        <v>1.05</v>
      </c>
      <c r="H2452" s="2">
        <v>14500</v>
      </c>
      <c r="I2452" s="2">
        <v>15225</v>
      </c>
    </row>
    <row r="2453" spans="1:9" x14ac:dyDescent="0.25">
      <c r="A2453" t="s">
        <v>1327</v>
      </c>
      <c r="B2453" t="s">
        <v>1328</v>
      </c>
      <c r="C2453" t="s">
        <v>21</v>
      </c>
      <c r="D2453" t="s">
        <v>4049</v>
      </c>
      <c r="E2453" t="s">
        <v>4050</v>
      </c>
      <c r="F2453" t="s">
        <v>4051</v>
      </c>
      <c r="G2453">
        <v>0.7</v>
      </c>
      <c r="H2453" s="2">
        <v>9037.33</v>
      </c>
      <c r="I2453" s="2">
        <v>6326.13</v>
      </c>
    </row>
    <row r="2454" spans="1:9" x14ac:dyDescent="0.25">
      <c r="A2454" t="s">
        <v>1327</v>
      </c>
      <c r="B2454" t="s">
        <v>1328</v>
      </c>
      <c r="C2454" t="s">
        <v>21</v>
      </c>
      <c r="D2454" t="s">
        <v>4049</v>
      </c>
      <c r="E2454" t="s">
        <v>4073</v>
      </c>
      <c r="F2454" t="s">
        <v>4051</v>
      </c>
      <c r="G2454">
        <v>0.7</v>
      </c>
      <c r="H2454" s="2">
        <v>15517.89</v>
      </c>
      <c r="I2454" s="2">
        <v>10862.52</v>
      </c>
    </row>
    <row r="2455" spans="1:9" x14ac:dyDescent="0.25">
      <c r="A2455" t="s">
        <v>1327</v>
      </c>
      <c r="B2455" t="s">
        <v>1328</v>
      </c>
      <c r="C2455" t="s">
        <v>21</v>
      </c>
      <c r="D2455" t="s">
        <v>4052</v>
      </c>
      <c r="E2455" t="s">
        <v>4053</v>
      </c>
      <c r="F2455" t="s">
        <v>4054</v>
      </c>
      <c r="G2455">
        <v>5</v>
      </c>
      <c r="H2455" s="2">
        <v>17188.65</v>
      </c>
      <c r="I2455" s="2">
        <v>859.43</v>
      </c>
    </row>
    <row r="2456" spans="1:9" x14ac:dyDescent="0.25">
      <c r="A2456" t="s">
        <v>1330</v>
      </c>
      <c r="B2456" t="s">
        <v>1331</v>
      </c>
      <c r="C2456" t="s">
        <v>21</v>
      </c>
      <c r="D2456" t="s">
        <v>4062</v>
      </c>
      <c r="E2456" t="s">
        <v>5234</v>
      </c>
      <c r="F2456" t="s">
        <v>231</v>
      </c>
      <c r="G2456">
        <v>2.05</v>
      </c>
      <c r="H2456" s="2">
        <v>4950</v>
      </c>
      <c r="I2456" s="2">
        <v>10147.5</v>
      </c>
    </row>
    <row r="2457" spans="1:9" x14ac:dyDescent="0.25">
      <c r="A2457" t="s">
        <v>1330</v>
      </c>
      <c r="B2457" t="s">
        <v>1331</v>
      </c>
      <c r="C2457" t="s">
        <v>21</v>
      </c>
      <c r="D2457" t="s">
        <v>4062</v>
      </c>
      <c r="E2457" t="s">
        <v>3978</v>
      </c>
      <c r="F2457" t="s">
        <v>34</v>
      </c>
      <c r="G2457">
        <v>0.03</v>
      </c>
      <c r="H2457" s="2">
        <v>409741.65</v>
      </c>
      <c r="I2457" s="2">
        <v>12292.25</v>
      </c>
    </row>
    <row r="2458" spans="1:9" x14ac:dyDescent="0.25">
      <c r="A2458" t="s">
        <v>1330</v>
      </c>
      <c r="B2458" t="s">
        <v>1331</v>
      </c>
      <c r="C2458" t="s">
        <v>21</v>
      </c>
      <c r="D2458" t="s">
        <v>4062</v>
      </c>
      <c r="E2458" t="s">
        <v>5260</v>
      </c>
      <c r="F2458" t="s">
        <v>21</v>
      </c>
      <c r="G2458">
        <v>1.05</v>
      </c>
      <c r="H2458" s="2">
        <v>18200</v>
      </c>
      <c r="I2458" s="2">
        <v>19110</v>
      </c>
    </row>
    <row r="2459" spans="1:9" x14ac:dyDescent="0.25">
      <c r="A2459" t="s">
        <v>1330</v>
      </c>
      <c r="B2459" t="s">
        <v>1331</v>
      </c>
      <c r="C2459" t="s">
        <v>21</v>
      </c>
      <c r="D2459" t="s">
        <v>4049</v>
      </c>
      <c r="E2459" t="s">
        <v>4050</v>
      </c>
      <c r="F2459" t="s">
        <v>4051</v>
      </c>
      <c r="G2459">
        <v>0.5</v>
      </c>
      <c r="H2459" s="2">
        <v>9037.33</v>
      </c>
      <c r="I2459" s="2">
        <v>4518.66</v>
      </c>
    </row>
    <row r="2460" spans="1:9" x14ac:dyDescent="0.25">
      <c r="A2460" t="s">
        <v>1330</v>
      </c>
      <c r="B2460" t="s">
        <v>1331</v>
      </c>
      <c r="C2460" t="s">
        <v>21</v>
      </c>
      <c r="D2460" t="s">
        <v>4049</v>
      </c>
      <c r="E2460" t="s">
        <v>4073</v>
      </c>
      <c r="F2460" t="s">
        <v>4051</v>
      </c>
      <c r="G2460">
        <v>0.5</v>
      </c>
      <c r="H2460" s="2">
        <v>15517.89</v>
      </c>
      <c r="I2460" s="2">
        <v>7758.94</v>
      </c>
    </row>
    <row r="2461" spans="1:9" x14ac:dyDescent="0.25">
      <c r="A2461" t="s">
        <v>1330</v>
      </c>
      <c r="B2461" t="s">
        <v>1331</v>
      </c>
      <c r="C2461" t="s">
        <v>21</v>
      </c>
      <c r="D2461" t="s">
        <v>4052</v>
      </c>
      <c r="E2461" t="s">
        <v>4053</v>
      </c>
      <c r="F2461" t="s">
        <v>4054</v>
      </c>
      <c r="G2461">
        <v>5</v>
      </c>
      <c r="H2461" s="2">
        <v>12277.6</v>
      </c>
      <c r="I2461" s="2">
        <v>613.88</v>
      </c>
    </row>
    <row r="2462" spans="1:9" x14ac:dyDescent="0.25">
      <c r="A2462" t="s">
        <v>1333</v>
      </c>
      <c r="B2462" t="s">
        <v>1335</v>
      </c>
      <c r="C2462" t="s">
        <v>21</v>
      </c>
      <c r="D2462" t="s">
        <v>4062</v>
      </c>
      <c r="E2462" t="s">
        <v>4474</v>
      </c>
      <c r="F2462" t="s">
        <v>34</v>
      </c>
      <c r="G2462">
        <v>0.06</v>
      </c>
      <c r="H2462" s="2">
        <v>114500</v>
      </c>
      <c r="I2462" s="2">
        <v>6870</v>
      </c>
    </row>
    <row r="2463" spans="1:9" x14ac:dyDescent="0.25">
      <c r="A2463" t="s">
        <v>1333</v>
      </c>
      <c r="B2463" t="s">
        <v>1335</v>
      </c>
      <c r="C2463" t="s">
        <v>21</v>
      </c>
      <c r="D2463" t="s">
        <v>4062</v>
      </c>
      <c r="E2463" t="s">
        <v>4475</v>
      </c>
      <c r="F2463" t="s">
        <v>231</v>
      </c>
      <c r="G2463">
        <v>23.38</v>
      </c>
      <c r="H2463" s="2">
        <v>730</v>
      </c>
      <c r="I2463" s="2">
        <v>17067.4</v>
      </c>
    </row>
    <row r="2464" spans="1:9" x14ac:dyDescent="0.25">
      <c r="A2464" t="s">
        <v>1333</v>
      </c>
      <c r="B2464" t="s">
        <v>1335</v>
      </c>
      <c r="C2464" t="s">
        <v>21</v>
      </c>
      <c r="D2464" t="s">
        <v>4062</v>
      </c>
      <c r="E2464" t="s">
        <v>4076</v>
      </c>
      <c r="F2464" t="s">
        <v>3963</v>
      </c>
      <c r="G2464">
        <v>13.93</v>
      </c>
      <c r="H2464" s="2">
        <v>21</v>
      </c>
      <c r="I2464" s="2">
        <v>292.53</v>
      </c>
    </row>
    <row r="2465" spans="1:9" x14ac:dyDescent="0.25">
      <c r="A2465" t="s">
        <v>1333</v>
      </c>
      <c r="B2465" t="s">
        <v>1335</v>
      </c>
      <c r="C2465" t="s">
        <v>21</v>
      </c>
      <c r="D2465" t="s">
        <v>4049</v>
      </c>
      <c r="E2465" t="s">
        <v>4050</v>
      </c>
      <c r="F2465" t="s">
        <v>4051</v>
      </c>
      <c r="G2465">
        <v>0.7</v>
      </c>
      <c r="H2465" s="2">
        <v>9037.33</v>
      </c>
      <c r="I2465" s="2">
        <v>6326.13</v>
      </c>
    </row>
    <row r="2466" spans="1:9" x14ac:dyDescent="0.25">
      <c r="A2466" t="s">
        <v>1333</v>
      </c>
      <c r="B2466" t="s">
        <v>1335</v>
      </c>
      <c r="C2466" t="s">
        <v>21</v>
      </c>
      <c r="D2466" t="s">
        <v>4049</v>
      </c>
      <c r="E2466" t="s">
        <v>4073</v>
      </c>
      <c r="F2466" t="s">
        <v>4051</v>
      </c>
      <c r="G2466">
        <v>0.7</v>
      </c>
      <c r="H2466" s="2">
        <v>15517.89</v>
      </c>
      <c r="I2466" s="2">
        <v>10862.52</v>
      </c>
    </row>
    <row r="2467" spans="1:9" x14ac:dyDescent="0.25">
      <c r="A2467" t="s">
        <v>1333</v>
      </c>
      <c r="B2467" t="s">
        <v>1335</v>
      </c>
      <c r="C2467" t="s">
        <v>21</v>
      </c>
      <c r="D2467" t="s">
        <v>4052</v>
      </c>
      <c r="E2467" t="s">
        <v>4105</v>
      </c>
      <c r="F2467" t="s">
        <v>4106</v>
      </c>
      <c r="G2467">
        <v>0.1</v>
      </c>
      <c r="H2467" s="2">
        <v>25125</v>
      </c>
      <c r="I2467" s="2">
        <v>2512.5</v>
      </c>
    </row>
    <row r="2468" spans="1:9" x14ac:dyDescent="0.25">
      <c r="A2468" t="s">
        <v>1333</v>
      </c>
      <c r="B2468" t="s">
        <v>1335</v>
      </c>
      <c r="C2468" t="s">
        <v>21</v>
      </c>
      <c r="D2468" t="s">
        <v>4052</v>
      </c>
      <c r="E2468" t="s">
        <v>4053</v>
      </c>
      <c r="F2468" t="s">
        <v>4054</v>
      </c>
      <c r="G2468">
        <v>20</v>
      </c>
      <c r="H2468" s="2">
        <v>17188.65</v>
      </c>
      <c r="I2468" s="2">
        <v>3437.73</v>
      </c>
    </row>
    <row r="2469" spans="1:9" x14ac:dyDescent="0.25">
      <c r="A2469" t="s">
        <v>1340</v>
      </c>
      <c r="B2469" t="s">
        <v>1341</v>
      </c>
      <c r="C2469" t="s">
        <v>21</v>
      </c>
      <c r="D2469" t="s">
        <v>4062</v>
      </c>
      <c r="E2469" t="s">
        <v>4390</v>
      </c>
      <c r="F2469" t="s">
        <v>231</v>
      </c>
      <c r="G2469">
        <v>0.02</v>
      </c>
      <c r="H2469" s="2">
        <v>4155</v>
      </c>
      <c r="I2469" s="2">
        <v>83.1</v>
      </c>
    </row>
    <row r="2470" spans="1:9" x14ac:dyDescent="0.25">
      <c r="A2470" t="s">
        <v>1340</v>
      </c>
      <c r="B2470" t="s">
        <v>1341</v>
      </c>
      <c r="C2470" t="s">
        <v>21</v>
      </c>
      <c r="D2470" t="s">
        <v>4062</v>
      </c>
      <c r="E2470" t="s">
        <v>3975</v>
      </c>
      <c r="F2470" t="s">
        <v>34</v>
      </c>
      <c r="G2470">
        <v>0.05</v>
      </c>
      <c r="H2470" s="2">
        <v>586929.15</v>
      </c>
      <c r="I2470" s="2">
        <v>29346.46</v>
      </c>
    </row>
    <row r="2471" spans="1:9" x14ac:dyDescent="0.25">
      <c r="A2471" t="s">
        <v>1340</v>
      </c>
      <c r="B2471" t="s">
        <v>1341</v>
      </c>
      <c r="C2471" t="s">
        <v>21</v>
      </c>
      <c r="D2471" t="s">
        <v>4062</v>
      </c>
      <c r="E2471" t="s">
        <v>5327</v>
      </c>
      <c r="F2471" t="s">
        <v>231</v>
      </c>
      <c r="G2471">
        <v>1.02</v>
      </c>
      <c r="H2471" s="2">
        <v>2087.7</v>
      </c>
      <c r="I2471" s="2">
        <v>2129.45</v>
      </c>
    </row>
    <row r="2472" spans="1:9" x14ac:dyDescent="0.25">
      <c r="A2472" t="s">
        <v>1340</v>
      </c>
      <c r="B2472" t="s">
        <v>1341</v>
      </c>
      <c r="C2472" t="s">
        <v>21</v>
      </c>
      <c r="D2472" t="s">
        <v>4062</v>
      </c>
      <c r="E2472" t="s">
        <v>5328</v>
      </c>
      <c r="F2472" t="s">
        <v>63</v>
      </c>
      <c r="G2472">
        <v>0.85</v>
      </c>
      <c r="H2472" s="2">
        <v>32833</v>
      </c>
      <c r="I2472" s="2">
        <v>27908.05</v>
      </c>
    </row>
    <row r="2473" spans="1:9" x14ac:dyDescent="0.25">
      <c r="A2473" t="s">
        <v>1340</v>
      </c>
      <c r="B2473" t="s">
        <v>1341</v>
      </c>
      <c r="C2473" t="s">
        <v>21</v>
      </c>
      <c r="D2473" t="s">
        <v>4062</v>
      </c>
      <c r="E2473" t="s">
        <v>4065</v>
      </c>
      <c r="F2473" t="s">
        <v>4066</v>
      </c>
      <c r="G2473">
        <v>0.05</v>
      </c>
      <c r="H2473" s="2">
        <v>3433</v>
      </c>
      <c r="I2473" s="2">
        <v>171.65</v>
      </c>
    </row>
    <row r="2474" spans="1:9" x14ac:dyDescent="0.25">
      <c r="A2474" t="s">
        <v>1340</v>
      </c>
      <c r="B2474" t="s">
        <v>1341</v>
      </c>
      <c r="C2474" t="s">
        <v>21</v>
      </c>
      <c r="D2474" t="s">
        <v>4062</v>
      </c>
      <c r="E2474" t="s">
        <v>4067</v>
      </c>
      <c r="F2474" t="s">
        <v>231</v>
      </c>
      <c r="G2474">
        <v>6.3</v>
      </c>
      <c r="H2474" s="2">
        <v>7080</v>
      </c>
      <c r="I2474" s="2">
        <v>44604</v>
      </c>
    </row>
    <row r="2475" spans="1:9" x14ac:dyDescent="0.25">
      <c r="A2475" t="s">
        <v>1340</v>
      </c>
      <c r="B2475" t="s">
        <v>1341</v>
      </c>
      <c r="C2475" t="s">
        <v>21</v>
      </c>
      <c r="D2475" t="s">
        <v>4049</v>
      </c>
      <c r="E2475" t="s">
        <v>4241</v>
      </c>
      <c r="F2475" t="s">
        <v>4051</v>
      </c>
      <c r="G2475">
        <v>1.4</v>
      </c>
      <c r="H2475" s="2">
        <v>9941.22</v>
      </c>
      <c r="I2475" s="2">
        <v>13917.71</v>
      </c>
    </row>
    <row r="2476" spans="1:9" x14ac:dyDescent="0.25">
      <c r="A2476" t="s">
        <v>1340</v>
      </c>
      <c r="B2476" t="s">
        <v>1341</v>
      </c>
      <c r="C2476" t="s">
        <v>21</v>
      </c>
      <c r="D2476" t="s">
        <v>4049</v>
      </c>
      <c r="E2476" t="s">
        <v>4073</v>
      </c>
      <c r="F2476" t="s">
        <v>4051</v>
      </c>
      <c r="G2476">
        <v>1.4</v>
      </c>
      <c r="H2476" s="2">
        <v>15517.89</v>
      </c>
      <c r="I2476" s="2">
        <v>21725.05</v>
      </c>
    </row>
    <row r="2477" spans="1:9" x14ac:dyDescent="0.25">
      <c r="A2477" t="s">
        <v>1340</v>
      </c>
      <c r="B2477" t="s">
        <v>1341</v>
      </c>
      <c r="C2477" t="s">
        <v>21</v>
      </c>
      <c r="D2477" t="s">
        <v>4052</v>
      </c>
      <c r="E2477" t="s">
        <v>4105</v>
      </c>
      <c r="F2477" t="s">
        <v>4106</v>
      </c>
      <c r="G2477">
        <v>0.1</v>
      </c>
      <c r="H2477" s="2">
        <v>25125</v>
      </c>
      <c r="I2477" s="2">
        <v>2512.5</v>
      </c>
    </row>
    <row r="2478" spans="1:9" x14ac:dyDescent="0.25">
      <c r="A2478" t="s">
        <v>1340</v>
      </c>
      <c r="B2478" t="s">
        <v>1341</v>
      </c>
      <c r="C2478" t="s">
        <v>21</v>
      </c>
      <c r="D2478" t="s">
        <v>4052</v>
      </c>
      <c r="E2478" t="s">
        <v>4053</v>
      </c>
      <c r="F2478" t="s">
        <v>4054</v>
      </c>
      <c r="G2478">
        <v>3.3</v>
      </c>
      <c r="H2478" s="2">
        <v>35642.76</v>
      </c>
      <c r="I2478" s="2">
        <v>1176.21</v>
      </c>
    </row>
    <row r="2479" spans="1:9" x14ac:dyDescent="0.25">
      <c r="A2479" t="s">
        <v>1343</v>
      </c>
      <c r="B2479" t="s">
        <v>1344</v>
      </c>
      <c r="C2479" t="s">
        <v>42</v>
      </c>
      <c r="D2479" t="s">
        <v>4062</v>
      </c>
      <c r="E2479" t="s">
        <v>5222</v>
      </c>
      <c r="F2479" t="s">
        <v>63</v>
      </c>
      <c r="G2479">
        <v>2</v>
      </c>
      <c r="H2479" s="2">
        <v>17</v>
      </c>
      <c r="I2479" s="2">
        <v>34</v>
      </c>
    </row>
    <row r="2480" spans="1:9" x14ac:dyDescent="0.25">
      <c r="A2480" t="s">
        <v>1343</v>
      </c>
      <c r="B2480" t="s">
        <v>1344</v>
      </c>
      <c r="C2480" t="s">
        <v>42</v>
      </c>
      <c r="D2480" t="s">
        <v>4062</v>
      </c>
      <c r="E2480" t="s">
        <v>5331</v>
      </c>
      <c r="F2480" t="s">
        <v>63</v>
      </c>
      <c r="G2480">
        <v>0.34</v>
      </c>
      <c r="H2480" s="2">
        <v>13250</v>
      </c>
      <c r="I2480" s="2">
        <v>4505</v>
      </c>
    </row>
    <row r="2481" spans="1:9" x14ac:dyDescent="0.25">
      <c r="A2481" t="s">
        <v>1343</v>
      </c>
      <c r="B2481" t="s">
        <v>1344</v>
      </c>
      <c r="C2481" t="s">
        <v>42</v>
      </c>
      <c r="D2481" t="s">
        <v>4062</v>
      </c>
      <c r="E2481" t="s">
        <v>5332</v>
      </c>
      <c r="F2481" t="s">
        <v>42</v>
      </c>
      <c r="G2481">
        <v>1.05</v>
      </c>
      <c r="H2481" s="2">
        <v>34500</v>
      </c>
      <c r="I2481" s="2">
        <v>36225</v>
      </c>
    </row>
    <row r="2482" spans="1:9" x14ac:dyDescent="0.25">
      <c r="A2482" t="s">
        <v>1343</v>
      </c>
      <c r="B2482" t="s">
        <v>1344</v>
      </c>
      <c r="C2482" t="s">
        <v>42</v>
      </c>
      <c r="D2482" t="s">
        <v>4062</v>
      </c>
      <c r="E2482" t="s">
        <v>5333</v>
      </c>
      <c r="F2482" t="s">
        <v>63</v>
      </c>
      <c r="G2482">
        <v>0.17</v>
      </c>
      <c r="H2482" s="2">
        <v>4866.67</v>
      </c>
      <c r="I2482" s="2">
        <v>827.33</v>
      </c>
    </row>
    <row r="2483" spans="1:9" x14ac:dyDescent="0.25">
      <c r="A2483" t="s">
        <v>1343</v>
      </c>
      <c r="B2483" t="s">
        <v>1344</v>
      </c>
      <c r="C2483" t="s">
        <v>42</v>
      </c>
      <c r="D2483" t="s">
        <v>4062</v>
      </c>
      <c r="E2483" t="s">
        <v>5334</v>
      </c>
      <c r="F2483" t="s">
        <v>63</v>
      </c>
      <c r="G2483">
        <v>3</v>
      </c>
      <c r="H2483" s="2">
        <v>2144.08</v>
      </c>
      <c r="I2483" s="2">
        <v>6432.24</v>
      </c>
    </row>
    <row r="2484" spans="1:9" x14ac:dyDescent="0.25">
      <c r="A2484" t="s">
        <v>1343</v>
      </c>
      <c r="B2484" t="s">
        <v>1344</v>
      </c>
      <c r="C2484" t="s">
        <v>42</v>
      </c>
      <c r="D2484" t="s">
        <v>4049</v>
      </c>
      <c r="E2484" t="s">
        <v>4105</v>
      </c>
      <c r="F2484" t="s">
        <v>4106</v>
      </c>
      <c r="G2484">
        <v>0.1</v>
      </c>
      <c r="H2484" s="2">
        <v>25125</v>
      </c>
      <c r="I2484" s="2">
        <v>2512.5</v>
      </c>
    </row>
    <row r="2485" spans="1:9" x14ac:dyDescent="0.25">
      <c r="A2485" t="s">
        <v>1343</v>
      </c>
      <c r="B2485" t="s">
        <v>1344</v>
      </c>
      <c r="C2485" t="s">
        <v>42</v>
      </c>
      <c r="D2485" t="s">
        <v>4049</v>
      </c>
      <c r="E2485" t="s">
        <v>4235</v>
      </c>
      <c r="F2485" t="s">
        <v>4236</v>
      </c>
      <c r="G2485">
        <v>0.6</v>
      </c>
      <c r="H2485" s="2">
        <v>27010.74</v>
      </c>
      <c r="I2485" s="2">
        <v>16206.44</v>
      </c>
    </row>
    <row r="2486" spans="1:9" x14ac:dyDescent="0.25">
      <c r="A2486" t="s">
        <v>1343</v>
      </c>
      <c r="B2486" t="s">
        <v>1344</v>
      </c>
      <c r="C2486" t="s">
        <v>42</v>
      </c>
      <c r="D2486" t="s">
        <v>4052</v>
      </c>
      <c r="E2486" t="s">
        <v>4053</v>
      </c>
      <c r="F2486" t="s">
        <v>4054</v>
      </c>
      <c r="G2486">
        <v>3.3</v>
      </c>
      <c r="H2486" s="2">
        <v>16206.44</v>
      </c>
      <c r="I2486" s="2">
        <v>534.81</v>
      </c>
    </row>
    <row r="2487" spans="1:9" x14ac:dyDescent="0.25">
      <c r="A2487" t="s">
        <v>1347</v>
      </c>
      <c r="B2487" t="s">
        <v>1348</v>
      </c>
      <c r="C2487" t="s">
        <v>42</v>
      </c>
      <c r="D2487" t="s">
        <v>4062</v>
      </c>
      <c r="E2487" t="s">
        <v>5337</v>
      </c>
      <c r="F2487" t="s">
        <v>63</v>
      </c>
      <c r="G2487">
        <v>0.68</v>
      </c>
      <c r="H2487" s="2">
        <v>5710</v>
      </c>
      <c r="I2487" s="2">
        <v>3882.8</v>
      </c>
    </row>
    <row r="2488" spans="1:9" x14ac:dyDescent="0.25">
      <c r="A2488" t="s">
        <v>1347</v>
      </c>
      <c r="B2488" t="s">
        <v>1348</v>
      </c>
      <c r="C2488" t="s">
        <v>42</v>
      </c>
      <c r="D2488" t="s">
        <v>4062</v>
      </c>
      <c r="E2488" t="s">
        <v>5331</v>
      </c>
      <c r="F2488" t="s">
        <v>63</v>
      </c>
      <c r="G2488">
        <v>0.34</v>
      </c>
      <c r="H2488" s="2">
        <v>13250</v>
      </c>
      <c r="I2488" s="2">
        <v>4505</v>
      </c>
    </row>
    <row r="2489" spans="1:9" x14ac:dyDescent="0.25">
      <c r="A2489" t="s">
        <v>1347</v>
      </c>
      <c r="B2489" t="s">
        <v>1348</v>
      </c>
      <c r="C2489" t="s">
        <v>42</v>
      </c>
      <c r="D2489" t="s">
        <v>4062</v>
      </c>
      <c r="E2489" t="s">
        <v>5338</v>
      </c>
      <c r="F2489" t="s">
        <v>42</v>
      </c>
      <c r="G2489">
        <v>1.03</v>
      </c>
      <c r="H2489" s="2">
        <v>36850</v>
      </c>
      <c r="I2489" s="2">
        <v>37955.5</v>
      </c>
    </row>
    <row r="2490" spans="1:9" x14ac:dyDescent="0.25">
      <c r="A2490" t="s">
        <v>1347</v>
      </c>
      <c r="B2490" t="s">
        <v>1348</v>
      </c>
      <c r="C2490" t="s">
        <v>42</v>
      </c>
      <c r="D2490" t="s">
        <v>4062</v>
      </c>
      <c r="E2490" t="s">
        <v>5339</v>
      </c>
      <c r="F2490" t="s">
        <v>63</v>
      </c>
      <c r="G2490">
        <v>3</v>
      </c>
      <c r="H2490" s="2">
        <v>6600</v>
      </c>
      <c r="I2490" s="2">
        <v>19800</v>
      </c>
    </row>
    <row r="2491" spans="1:9" x14ac:dyDescent="0.25">
      <c r="A2491" t="s">
        <v>1347</v>
      </c>
      <c r="B2491" t="s">
        <v>1348</v>
      </c>
      <c r="C2491" t="s">
        <v>42</v>
      </c>
      <c r="D2491" t="s">
        <v>4049</v>
      </c>
      <c r="E2491" t="s">
        <v>4235</v>
      </c>
      <c r="F2491" t="s">
        <v>4236</v>
      </c>
      <c r="G2491">
        <v>0.85</v>
      </c>
      <c r="H2491" s="2">
        <v>27010.74</v>
      </c>
      <c r="I2491" s="2">
        <v>22959.13</v>
      </c>
    </row>
    <row r="2492" spans="1:9" x14ac:dyDescent="0.25">
      <c r="A2492" t="s">
        <v>1347</v>
      </c>
      <c r="B2492" t="s">
        <v>1348</v>
      </c>
      <c r="C2492" t="s">
        <v>42</v>
      </c>
      <c r="D2492" t="s">
        <v>4052</v>
      </c>
      <c r="E2492" t="s">
        <v>4053</v>
      </c>
      <c r="F2492" t="s">
        <v>4054</v>
      </c>
      <c r="G2492">
        <v>3.3</v>
      </c>
      <c r="H2492" s="2">
        <v>22959.13</v>
      </c>
      <c r="I2492" s="2">
        <v>757.65</v>
      </c>
    </row>
    <row r="2493" spans="1:9" x14ac:dyDescent="0.25">
      <c r="A2493" t="s">
        <v>1351</v>
      </c>
      <c r="B2493" t="s">
        <v>1352</v>
      </c>
      <c r="C2493" t="s">
        <v>42</v>
      </c>
      <c r="D2493" t="s">
        <v>4062</v>
      </c>
      <c r="E2493" t="s">
        <v>5342</v>
      </c>
      <c r="F2493" t="s">
        <v>63</v>
      </c>
      <c r="G2493">
        <v>0.17</v>
      </c>
      <c r="H2493" s="2">
        <v>4933.33</v>
      </c>
      <c r="I2493" s="2">
        <v>838.67</v>
      </c>
    </row>
    <row r="2494" spans="1:9" x14ac:dyDescent="0.25">
      <c r="A2494" t="s">
        <v>1351</v>
      </c>
      <c r="B2494" t="s">
        <v>1352</v>
      </c>
      <c r="C2494" t="s">
        <v>42</v>
      </c>
      <c r="D2494" t="s">
        <v>4062</v>
      </c>
      <c r="E2494" t="s">
        <v>5343</v>
      </c>
      <c r="F2494" t="s">
        <v>63</v>
      </c>
      <c r="G2494">
        <v>0.17</v>
      </c>
      <c r="H2494" s="2">
        <v>6800</v>
      </c>
      <c r="I2494" s="2">
        <v>1156</v>
      </c>
    </row>
    <row r="2495" spans="1:9" x14ac:dyDescent="0.25">
      <c r="A2495" t="s">
        <v>1351</v>
      </c>
      <c r="B2495" t="s">
        <v>1352</v>
      </c>
      <c r="C2495" t="s">
        <v>42</v>
      </c>
      <c r="D2495" t="s">
        <v>4062</v>
      </c>
      <c r="E2495" t="s">
        <v>5344</v>
      </c>
      <c r="F2495" t="s">
        <v>42</v>
      </c>
      <c r="G2495">
        <v>1.03</v>
      </c>
      <c r="H2495" s="2">
        <v>26983.33</v>
      </c>
      <c r="I2495" s="2">
        <v>27792.83</v>
      </c>
    </row>
    <row r="2496" spans="1:9" x14ac:dyDescent="0.25">
      <c r="A2496" t="s">
        <v>1351</v>
      </c>
      <c r="B2496" t="s">
        <v>1352</v>
      </c>
      <c r="C2496" t="s">
        <v>42</v>
      </c>
      <c r="D2496" t="s">
        <v>4062</v>
      </c>
      <c r="E2496" t="s">
        <v>5345</v>
      </c>
      <c r="F2496" t="s">
        <v>63</v>
      </c>
      <c r="G2496">
        <v>3</v>
      </c>
      <c r="H2496" s="2">
        <v>4559.38</v>
      </c>
      <c r="I2496" s="2">
        <v>13678.14</v>
      </c>
    </row>
    <row r="2497" spans="1:9" x14ac:dyDescent="0.25">
      <c r="A2497" t="s">
        <v>1351</v>
      </c>
      <c r="B2497" t="s">
        <v>1352</v>
      </c>
      <c r="C2497" t="s">
        <v>42</v>
      </c>
      <c r="D2497" t="s">
        <v>4049</v>
      </c>
      <c r="E2497" t="s">
        <v>4235</v>
      </c>
      <c r="F2497" t="s">
        <v>4236</v>
      </c>
      <c r="G2497">
        <v>0.8</v>
      </c>
      <c r="H2497" s="2">
        <v>27010.74</v>
      </c>
      <c r="I2497" s="2">
        <v>21608.59</v>
      </c>
    </row>
    <row r="2498" spans="1:9" x14ac:dyDescent="0.25">
      <c r="A2498" t="s">
        <v>1351</v>
      </c>
      <c r="B2498" t="s">
        <v>1352</v>
      </c>
      <c r="C2498" t="s">
        <v>42</v>
      </c>
      <c r="D2498" t="s">
        <v>4052</v>
      </c>
      <c r="E2498" t="s">
        <v>4053</v>
      </c>
      <c r="F2498" t="s">
        <v>4054</v>
      </c>
      <c r="G2498">
        <v>3.3</v>
      </c>
      <c r="H2498" s="2">
        <v>21608.59</v>
      </c>
      <c r="I2498" s="2">
        <v>713.08</v>
      </c>
    </row>
    <row r="2499" spans="1:9" x14ac:dyDescent="0.25">
      <c r="A2499" t="s">
        <v>1354</v>
      </c>
      <c r="B2499" t="s">
        <v>1355</v>
      </c>
      <c r="C2499" t="s">
        <v>42</v>
      </c>
      <c r="D2499" t="s">
        <v>4062</v>
      </c>
      <c r="E2499" t="s">
        <v>5337</v>
      </c>
      <c r="F2499" t="s">
        <v>63</v>
      </c>
      <c r="G2499">
        <v>0.17</v>
      </c>
      <c r="H2499" s="2">
        <v>5710</v>
      </c>
      <c r="I2499" s="2">
        <v>970.7</v>
      </c>
    </row>
    <row r="2500" spans="1:9" x14ac:dyDescent="0.25">
      <c r="A2500" t="s">
        <v>1354</v>
      </c>
      <c r="B2500" t="s">
        <v>1355</v>
      </c>
      <c r="C2500" t="s">
        <v>42</v>
      </c>
      <c r="D2500" t="s">
        <v>4062</v>
      </c>
      <c r="E2500" t="s">
        <v>5222</v>
      </c>
      <c r="F2500" t="s">
        <v>63</v>
      </c>
      <c r="G2500">
        <v>4</v>
      </c>
      <c r="H2500" s="2">
        <v>17</v>
      </c>
      <c r="I2500" s="2">
        <v>68</v>
      </c>
    </row>
    <row r="2501" spans="1:9" x14ac:dyDescent="0.25">
      <c r="A2501" t="s">
        <v>1354</v>
      </c>
      <c r="B2501" t="s">
        <v>1355</v>
      </c>
      <c r="C2501" t="s">
        <v>42</v>
      </c>
      <c r="D2501" t="s">
        <v>4062</v>
      </c>
      <c r="E2501" t="s">
        <v>5348</v>
      </c>
      <c r="F2501" t="s">
        <v>63</v>
      </c>
      <c r="G2501">
        <v>0.17</v>
      </c>
      <c r="H2501" s="2">
        <v>10201</v>
      </c>
      <c r="I2501" s="2">
        <v>1734.17</v>
      </c>
    </row>
    <row r="2502" spans="1:9" x14ac:dyDescent="0.25">
      <c r="A2502" t="s">
        <v>1354</v>
      </c>
      <c r="B2502" t="s">
        <v>1355</v>
      </c>
      <c r="C2502" t="s">
        <v>42</v>
      </c>
      <c r="D2502" t="s">
        <v>4062</v>
      </c>
      <c r="E2502" t="s">
        <v>5349</v>
      </c>
      <c r="F2502" t="s">
        <v>42</v>
      </c>
      <c r="G2502">
        <v>1.03</v>
      </c>
      <c r="H2502" s="2">
        <v>19263</v>
      </c>
      <c r="I2502" s="2">
        <v>19840.89</v>
      </c>
    </row>
    <row r="2503" spans="1:9" x14ac:dyDescent="0.25">
      <c r="A2503" t="s">
        <v>1354</v>
      </c>
      <c r="B2503" t="s">
        <v>1355</v>
      </c>
      <c r="C2503" t="s">
        <v>42</v>
      </c>
      <c r="D2503" t="s">
        <v>4062</v>
      </c>
      <c r="E2503" t="s">
        <v>5350</v>
      </c>
      <c r="F2503" t="s">
        <v>63</v>
      </c>
      <c r="G2503">
        <v>3</v>
      </c>
      <c r="H2503" s="2">
        <v>3504.02</v>
      </c>
      <c r="I2503" s="2">
        <v>10512.06</v>
      </c>
    </row>
    <row r="2504" spans="1:9" x14ac:dyDescent="0.25">
      <c r="A2504" t="s">
        <v>1354</v>
      </c>
      <c r="B2504" t="s">
        <v>1355</v>
      </c>
      <c r="C2504" t="s">
        <v>42</v>
      </c>
      <c r="D2504" t="s">
        <v>4049</v>
      </c>
      <c r="E2504" t="s">
        <v>4105</v>
      </c>
      <c r="F2504" t="s">
        <v>4106</v>
      </c>
      <c r="G2504">
        <v>0.09</v>
      </c>
      <c r="H2504" s="2">
        <v>25125</v>
      </c>
      <c r="I2504" s="2">
        <v>2261.25</v>
      </c>
    </row>
    <row r="2505" spans="1:9" x14ac:dyDescent="0.25">
      <c r="A2505" t="s">
        <v>1354</v>
      </c>
      <c r="B2505" t="s">
        <v>1355</v>
      </c>
      <c r="C2505" t="s">
        <v>42</v>
      </c>
      <c r="D2505" t="s">
        <v>4049</v>
      </c>
      <c r="E2505" t="s">
        <v>4235</v>
      </c>
      <c r="F2505" t="s">
        <v>4236</v>
      </c>
      <c r="G2505">
        <v>0.74</v>
      </c>
      <c r="H2505" s="2">
        <v>27010.74</v>
      </c>
      <c r="I2505" s="2">
        <v>19987.95</v>
      </c>
    </row>
    <row r="2506" spans="1:9" x14ac:dyDescent="0.25">
      <c r="A2506" t="s">
        <v>1354</v>
      </c>
      <c r="B2506" t="s">
        <v>1355</v>
      </c>
      <c r="C2506" t="s">
        <v>42</v>
      </c>
      <c r="D2506" t="s">
        <v>4052</v>
      </c>
      <c r="E2506" t="s">
        <v>4053</v>
      </c>
      <c r="F2506" t="s">
        <v>4054</v>
      </c>
      <c r="G2506">
        <v>3.3</v>
      </c>
      <c r="H2506" s="2">
        <v>19987.95</v>
      </c>
      <c r="I2506" s="2">
        <v>659.6</v>
      </c>
    </row>
    <row r="2507" spans="1:9" x14ac:dyDescent="0.25">
      <c r="A2507" t="s">
        <v>1357</v>
      </c>
      <c r="B2507" t="s">
        <v>1358</v>
      </c>
      <c r="C2507" t="s">
        <v>21</v>
      </c>
      <c r="D2507" t="s">
        <v>4062</v>
      </c>
      <c r="E2507" t="s">
        <v>5353</v>
      </c>
      <c r="F2507" t="s">
        <v>63</v>
      </c>
      <c r="G2507">
        <v>1.6</v>
      </c>
      <c r="H2507" s="2">
        <v>192</v>
      </c>
      <c r="I2507" s="2">
        <v>307.2</v>
      </c>
    </row>
    <row r="2508" spans="1:9" x14ac:dyDescent="0.25">
      <c r="A2508" t="s">
        <v>1357</v>
      </c>
      <c r="B2508" t="s">
        <v>1358</v>
      </c>
      <c r="C2508" t="s">
        <v>21</v>
      </c>
      <c r="D2508" t="s">
        <v>4062</v>
      </c>
      <c r="E2508" t="s">
        <v>5354</v>
      </c>
      <c r="F2508" t="s">
        <v>63</v>
      </c>
      <c r="G2508">
        <v>0.47</v>
      </c>
      <c r="H2508" s="2">
        <v>39100</v>
      </c>
      <c r="I2508" s="2">
        <v>18377</v>
      </c>
    </row>
    <row r="2509" spans="1:9" x14ac:dyDescent="0.25">
      <c r="A2509" t="s">
        <v>1357</v>
      </c>
      <c r="B2509" t="s">
        <v>1358</v>
      </c>
      <c r="C2509" t="s">
        <v>21</v>
      </c>
      <c r="D2509" t="s">
        <v>4049</v>
      </c>
      <c r="E2509" t="s">
        <v>4487</v>
      </c>
      <c r="F2509" t="s">
        <v>4236</v>
      </c>
      <c r="G2509">
        <v>0.3</v>
      </c>
      <c r="H2509" s="2">
        <v>24555.22</v>
      </c>
      <c r="I2509" s="2">
        <v>7366.57</v>
      </c>
    </row>
    <row r="2510" spans="1:9" x14ac:dyDescent="0.25">
      <c r="A2510" t="s">
        <v>1357</v>
      </c>
      <c r="B2510" t="s">
        <v>1358</v>
      </c>
      <c r="C2510" t="s">
        <v>21</v>
      </c>
      <c r="D2510" t="s">
        <v>4052</v>
      </c>
      <c r="E2510" t="s">
        <v>4105</v>
      </c>
      <c r="F2510" t="s">
        <v>4106</v>
      </c>
      <c r="G2510">
        <v>0.04</v>
      </c>
      <c r="H2510" s="2">
        <v>25125</v>
      </c>
      <c r="I2510" s="2">
        <v>942.19</v>
      </c>
    </row>
    <row r="2511" spans="1:9" x14ac:dyDescent="0.25">
      <c r="A2511" t="s">
        <v>1357</v>
      </c>
      <c r="B2511" t="s">
        <v>1358</v>
      </c>
      <c r="C2511" t="s">
        <v>21</v>
      </c>
      <c r="D2511" t="s">
        <v>4052</v>
      </c>
      <c r="E2511" t="s">
        <v>4053</v>
      </c>
      <c r="F2511" t="s">
        <v>4054</v>
      </c>
      <c r="G2511">
        <v>3.3</v>
      </c>
      <c r="H2511" s="2">
        <v>7366.57</v>
      </c>
      <c r="I2511" s="2">
        <v>243.1</v>
      </c>
    </row>
    <row r="2512" spans="1:9" x14ac:dyDescent="0.25">
      <c r="A2512" t="s">
        <v>1360</v>
      </c>
      <c r="B2512" t="s">
        <v>1361</v>
      </c>
      <c r="C2512" t="s">
        <v>21</v>
      </c>
      <c r="D2512" t="s">
        <v>4062</v>
      </c>
      <c r="E2512" t="s">
        <v>5357</v>
      </c>
      <c r="F2512" t="s">
        <v>21</v>
      </c>
      <c r="G2512">
        <v>1.05</v>
      </c>
      <c r="H2512" s="2">
        <v>83475.22</v>
      </c>
      <c r="I2512" s="2">
        <v>87648.98</v>
      </c>
    </row>
    <row r="2513" spans="1:9" x14ac:dyDescent="0.25">
      <c r="A2513" t="s">
        <v>1360</v>
      </c>
      <c r="B2513" t="s">
        <v>1361</v>
      </c>
      <c r="C2513" t="s">
        <v>21</v>
      </c>
      <c r="D2513" t="s">
        <v>4062</v>
      </c>
      <c r="E2513" t="s">
        <v>5353</v>
      </c>
      <c r="F2513" t="s">
        <v>63</v>
      </c>
      <c r="G2513">
        <v>3</v>
      </c>
      <c r="H2513" s="2">
        <v>192</v>
      </c>
      <c r="I2513" s="2">
        <v>576</v>
      </c>
    </row>
    <row r="2514" spans="1:9" x14ac:dyDescent="0.25">
      <c r="A2514" t="s">
        <v>1360</v>
      </c>
      <c r="B2514" t="s">
        <v>1361</v>
      </c>
      <c r="C2514" t="s">
        <v>21</v>
      </c>
      <c r="D2514" t="s">
        <v>4062</v>
      </c>
      <c r="E2514" t="s">
        <v>5358</v>
      </c>
      <c r="F2514" t="s">
        <v>63</v>
      </c>
      <c r="G2514">
        <v>3</v>
      </c>
      <c r="H2514" s="2">
        <v>5700</v>
      </c>
      <c r="I2514" s="2">
        <v>17100</v>
      </c>
    </row>
    <row r="2515" spans="1:9" x14ac:dyDescent="0.25">
      <c r="A2515" t="s">
        <v>1360</v>
      </c>
      <c r="B2515" t="s">
        <v>1361</v>
      </c>
      <c r="C2515" t="s">
        <v>21</v>
      </c>
      <c r="D2515" t="s">
        <v>4049</v>
      </c>
      <c r="E2515" t="s">
        <v>4105</v>
      </c>
      <c r="F2515" t="s">
        <v>4106</v>
      </c>
      <c r="G2515">
        <v>0.05</v>
      </c>
      <c r="H2515" s="2">
        <v>25125</v>
      </c>
      <c r="I2515" s="2">
        <v>1155.75</v>
      </c>
    </row>
    <row r="2516" spans="1:9" x14ac:dyDescent="0.25">
      <c r="A2516" t="s">
        <v>1360</v>
      </c>
      <c r="B2516" t="s">
        <v>1361</v>
      </c>
      <c r="C2516" t="s">
        <v>21</v>
      </c>
      <c r="D2516" t="s">
        <v>4049</v>
      </c>
      <c r="E2516" t="s">
        <v>4487</v>
      </c>
      <c r="F2516" t="s">
        <v>4236</v>
      </c>
      <c r="G2516">
        <v>0.37</v>
      </c>
      <c r="H2516" s="2">
        <v>24555.22</v>
      </c>
      <c r="I2516" s="2">
        <v>9085.43</v>
      </c>
    </row>
    <row r="2517" spans="1:9" x14ac:dyDescent="0.25">
      <c r="A2517" t="s">
        <v>1360</v>
      </c>
      <c r="B2517" t="s">
        <v>1361</v>
      </c>
      <c r="C2517" t="s">
        <v>21</v>
      </c>
      <c r="D2517" t="s">
        <v>4052</v>
      </c>
      <c r="E2517" t="s">
        <v>4053</v>
      </c>
      <c r="F2517" t="s">
        <v>4054</v>
      </c>
      <c r="G2517">
        <v>3.3</v>
      </c>
      <c r="H2517" s="2">
        <v>9085.43</v>
      </c>
      <c r="I2517" s="2">
        <v>299.82</v>
      </c>
    </row>
    <row r="2518" spans="1:9" x14ac:dyDescent="0.25">
      <c r="A2518" t="s">
        <v>1363</v>
      </c>
      <c r="B2518" t="s">
        <v>1364</v>
      </c>
      <c r="C2518" t="s">
        <v>21</v>
      </c>
      <c r="D2518" t="s">
        <v>4062</v>
      </c>
      <c r="E2518" t="s">
        <v>5353</v>
      </c>
      <c r="F2518" t="s">
        <v>63</v>
      </c>
      <c r="G2518">
        <v>2.12</v>
      </c>
      <c r="H2518" s="2">
        <v>192</v>
      </c>
      <c r="I2518" s="2">
        <v>407.04</v>
      </c>
    </row>
    <row r="2519" spans="1:9" x14ac:dyDescent="0.25">
      <c r="A2519" t="s">
        <v>1363</v>
      </c>
      <c r="B2519" t="s">
        <v>1364</v>
      </c>
      <c r="C2519" t="s">
        <v>21</v>
      </c>
      <c r="D2519" t="s">
        <v>4062</v>
      </c>
      <c r="E2519" t="s">
        <v>5361</v>
      </c>
      <c r="F2519" t="s">
        <v>42</v>
      </c>
      <c r="G2519">
        <v>0.42</v>
      </c>
      <c r="H2519" s="2">
        <v>49684.55</v>
      </c>
      <c r="I2519" s="2">
        <v>20867.51</v>
      </c>
    </row>
    <row r="2520" spans="1:9" x14ac:dyDescent="0.25">
      <c r="A2520" t="s">
        <v>1363</v>
      </c>
      <c r="B2520" t="s">
        <v>1364</v>
      </c>
      <c r="C2520" t="s">
        <v>21</v>
      </c>
      <c r="D2520" t="s">
        <v>4049</v>
      </c>
      <c r="E2520" t="s">
        <v>4487</v>
      </c>
      <c r="F2520" t="s">
        <v>4236</v>
      </c>
      <c r="G2520">
        <v>0.3</v>
      </c>
      <c r="H2520" s="2">
        <v>24555.22</v>
      </c>
      <c r="I2520" s="2">
        <v>7366.57</v>
      </c>
    </row>
    <row r="2521" spans="1:9" x14ac:dyDescent="0.25">
      <c r="A2521" t="s">
        <v>1363</v>
      </c>
      <c r="B2521" t="s">
        <v>1364</v>
      </c>
      <c r="C2521" t="s">
        <v>21</v>
      </c>
      <c r="D2521" t="s">
        <v>4052</v>
      </c>
      <c r="E2521" t="s">
        <v>4053</v>
      </c>
      <c r="F2521" t="s">
        <v>4054</v>
      </c>
      <c r="G2521">
        <v>3.3</v>
      </c>
      <c r="H2521" s="2">
        <v>7366.57</v>
      </c>
      <c r="I2521" s="2">
        <v>243.1</v>
      </c>
    </row>
    <row r="2522" spans="1:9" x14ac:dyDescent="0.25">
      <c r="A2522" t="s">
        <v>1366</v>
      </c>
      <c r="B2522" t="s">
        <v>1367</v>
      </c>
      <c r="C2522" t="s">
        <v>21</v>
      </c>
      <c r="D2522" t="s">
        <v>4062</v>
      </c>
      <c r="E2522" t="s">
        <v>5364</v>
      </c>
      <c r="F2522" t="s">
        <v>21</v>
      </c>
      <c r="G2522">
        <v>1</v>
      </c>
      <c r="H2522" s="2">
        <v>38320.94</v>
      </c>
      <c r="I2522" s="2">
        <v>38320.94</v>
      </c>
    </row>
    <row r="2523" spans="1:9" x14ac:dyDescent="0.25">
      <c r="A2523" t="s">
        <v>1366</v>
      </c>
      <c r="B2523" t="s">
        <v>1367</v>
      </c>
      <c r="C2523" t="s">
        <v>21</v>
      </c>
      <c r="D2523" t="s">
        <v>4062</v>
      </c>
      <c r="E2523" t="s">
        <v>5353</v>
      </c>
      <c r="F2523" t="s">
        <v>63</v>
      </c>
      <c r="G2523">
        <v>3</v>
      </c>
      <c r="H2523" s="2">
        <v>192</v>
      </c>
      <c r="I2523" s="2">
        <v>576</v>
      </c>
    </row>
    <row r="2524" spans="1:9" x14ac:dyDescent="0.25">
      <c r="A2524" t="s">
        <v>1366</v>
      </c>
      <c r="B2524" t="s">
        <v>1367</v>
      </c>
      <c r="C2524" t="s">
        <v>21</v>
      </c>
      <c r="D2524" t="s">
        <v>4049</v>
      </c>
      <c r="E2524" t="s">
        <v>4105</v>
      </c>
      <c r="F2524" t="s">
        <v>4106</v>
      </c>
      <c r="G2524">
        <v>0.04</v>
      </c>
      <c r="H2524" s="2">
        <v>25125</v>
      </c>
      <c r="I2524" s="2">
        <v>942.19</v>
      </c>
    </row>
    <row r="2525" spans="1:9" x14ac:dyDescent="0.25">
      <c r="A2525" t="s">
        <v>1366</v>
      </c>
      <c r="B2525" t="s">
        <v>1367</v>
      </c>
      <c r="C2525" t="s">
        <v>21</v>
      </c>
      <c r="D2525" t="s">
        <v>4049</v>
      </c>
      <c r="E2525" t="s">
        <v>4487</v>
      </c>
      <c r="F2525" t="s">
        <v>4236</v>
      </c>
      <c r="G2525">
        <v>0.3</v>
      </c>
      <c r="H2525" s="2">
        <v>24555.22</v>
      </c>
      <c r="I2525" s="2">
        <v>7366.57</v>
      </c>
    </row>
    <row r="2526" spans="1:9" x14ac:dyDescent="0.25">
      <c r="A2526" t="s">
        <v>1366</v>
      </c>
      <c r="B2526" t="s">
        <v>1367</v>
      </c>
      <c r="C2526" t="s">
        <v>21</v>
      </c>
      <c r="D2526" t="s">
        <v>4052</v>
      </c>
      <c r="E2526" t="s">
        <v>4053</v>
      </c>
      <c r="F2526" t="s">
        <v>4054</v>
      </c>
      <c r="G2526">
        <v>3.3</v>
      </c>
      <c r="H2526" s="2">
        <v>7366.57</v>
      </c>
      <c r="I2526" s="2">
        <v>243.1</v>
      </c>
    </row>
    <row r="2527" spans="1:9" x14ac:dyDescent="0.25">
      <c r="A2527" t="s">
        <v>1369</v>
      </c>
      <c r="B2527" t="s">
        <v>1370</v>
      </c>
      <c r="C2527" t="s">
        <v>42</v>
      </c>
      <c r="D2527" t="s">
        <v>4062</v>
      </c>
      <c r="E2527" t="s">
        <v>4234</v>
      </c>
      <c r="F2527" t="s">
        <v>42</v>
      </c>
      <c r="G2527">
        <v>5</v>
      </c>
      <c r="H2527" s="2">
        <v>5365</v>
      </c>
      <c r="I2527" s="2">
        <v>26825</v>
      </c>
    </row>
    <row r="2528" spans="1:9" x14ac:dyDescent="0.25">
      <c r="A2528" t="s">
        <v>1369</v>
      </c>
      <c r="B2528" t="s">
        <v>1370</v>
      </c>
      <c r="C2528" t="s">
        <v>42</v>
      </c>
      <c r="D2528" t="s">
        <v>4062</v>
      </c>
      <c r="E2528" t="s">
        <v>4065</v>
      </c>
      <c r="F2528" t="s">
        <v>4066</v>
      </c>
      <c r="G2528">
        <v>0.3</v>
      </c>
      <c r="H2528" s="2">
        <v>3433</v>
      </c>
      <c r="I2528" s="2">
        <v>1029.9</v>
      </c>
    </row>
    <row r="2529" spans="1:9" x14ac:dyDescent="0.25">
      <c r="A2529" t="s">
        <v>1369</v>
      </c>
      <c r="B2529" t="s">
        <v>1370</v>
      </c>
      <c r="C2529" t="s">
        <v>42</v>
      </c>
      <c r="D2529" t="s">
        <v>4049</v>
      </c>
      <c r="E2529" t="s">
        <v>4487</v>
      </c>
      <c r="F2529" t="s">
        <v>4236</v>
      </c>
      <c r="G2529">
        <v>1.86</v>
      </c>
      <c r="H2529" s="2">
        <v>24555.22</v>
      </c>
      <c r="I2529" s="2">
        <v>45672.71</v>
      </c>
    </row>
    <row r="2530" spans="1:9" x14ac:dyDescent="0.25">
      <c r="A2530" t="s">
        <v>1369</v>
      </c>
      <c r="B2530" t="s">
        <v>1370</v>
      </c>
      <c r="C2530" t="s">
        <v>42</v>
      </c>
      <c r="D2530" t="s">
        <v>4052</v>
      </c>
      <c r="E2530" t="s">
        <v>4105</v>
      </c>
      <c r="F2530" t="s">
        <v>4106</v>
      </c>
      <c r="G2530">
        <v>0.19</v>
      </c>
      <c r="H2530" s="2">
        <v>25125</v>
      </c>
      <c r="I2530" s="2">
        <v>4773.75</v>
      </c>
    </row>
    <row r="2531" spans="1:9" x14ac:dyDescent="0.25">
      <c r="A2531" t="s">
        <v>1369</v>
      </c>
      <c r="B2531" t="s">
        <v>1370</v>
      </c>
      <c r="C2531" t="s">
        <v>42</v>
      </c>
      <c r="D2531" t="s">
        <v>4052</v>
      </c>
      <c r="E2531" t="s">
        <v>4053</v>
      </c>
      <c r="F2531" t="s">
        <v>4054</v>
      </c>
      <c r="G2531">
        <v>3.3</v>
      </c>
      <c r="H2531" s="2">
        <v>45672.71</v>
      </c>
      <c r="I2531" s="2">
        <v>1507.2</v>
      </c>
    </row>
    <row r="2532" spans="1:9" x14ac:dyDescent="0.25">
      <c r="A2532" t="s">
        <v>1372</v>
      </c>
      <c r="B2532" t="s">
        <v>1373</v>
      </c>
      <c r="C2532" t="s">
        <v>42</v>
      </c>
      <c r="D2532" t="s">
        <v>4062</v>
      </c>
      <c r="E2532" t="s">
        <v>671</v>
      </c>
      <c r="F2532" t="s">
        <v>21</v>
      </c>
      <c r="G2532">
        <v>0.75</v>
      </c>
      <c r="H2532" s="2">
        <v>14451</v>
      </c>
      <c r="I2532" s="2">
        <v>10838.25</v>
      </c>
    </row>
    <row r="2533" spans="1:9" x14ac:dyDescent="0.25">
      <c r="A2533" t="s">
        <v>1372</v>
      </c>
      <c r="B2533" t="s">
        <v>1373</v>
      </c>
      <c r="C2533" t="s">
        <v>42</v>
      </c>
      <c r="D2533" t="s">
        <v>4062</v>
      </c>
      <c r="E2533" t="s">
        <v>5369</v>
      </c>
      <c r="F2533" t="s">
        <v>42</v>
      </c>
      <c r="G2533">
        <v>0.75</v>
      </c>
      <c r="H2533" s="2">
        <v>20969</v>
      </c>
      <c r="I2533" s="2">
        <v>15726.75</v>
      </c>
    </row>
    <row r="2534" spans="1:9" x14ac:dyDescent="0.25">
      <c r="A2534" t="s">
        <v>1372</v>
      </c>
      <c r="B2534" t="s">
        <v>1373</v>
      </c>
      <c r="C2534" t="s">
        <v>42</v>
      </c>
      <c r="D2534" t="s">
        <v>4062</v>
      </c>
      <c r="E2534" t="s">
        <v>4065</v>
      </c>
      <c r="F2534" t="s">
        <v>4066</v>
      </c>
      <c r="G2534">
        <v>0.2</v>
      </c>
      <c r="H2534" s="2">
        <v>3433</v>
      </c>
      <c r="I2534" s="2">
        <v>686.6</v>
      </c>
    </row>
    <row r="2535" spans="1:9" x14ac:dyDescent="0.25">
      <c r="A2535" t="s">
        <v>1372</v>
      </c>
      <c r="B2535" t="s">
        <v>1373</v>
      </c>
      <c r="C2535" t="s">
        <v>42</v>
      </c>
      <c r="D2535" t="s">
        <v>4062</v>
      </c>
      <c r="E2535" t="s">
        <v>4322</v>
      </c>
      <c r="F2535" t="s">
        <v>42</v>
      </c>
      <c r="G2535">
        <v>1.5</v>
      </c>
      <c r="H2535" s="2">
        <v>5304</v>
      </c>
      <c r="I2535" s="2">
        <v>7956</v>
      </c>
    </row>
    <row r="2536" spans="1:9" x14ac:dyDescent="0.25">
      <c r="A2536" t="s">
        <v>1372</v>
      </c>
      <c r="B2536" t="s">
        <v>1373</v>
      </c>
      <c r="C2536" t="s">
        <v>42</v>
      </c>
      <c r="D2536" t="s">
        <v>4049</v>
      </c>
      <c r="E2536" t="s">
        <v>4487</v>
      </c>
      <c r="F2536" t="s">
        <v>4236</v>
      </c>
      <c r="G2536">
        <v>1</v>
      </c>
      <c r="H2536" s="2">
        <v>24555.22</v>
      </c>
      <c r="I2536" s="2">
        <v>24555.22</v>
      </c>
    </row>
    <row r="2537" spans="1:9" x14ac:dyDescent="0.25">
      <c r="A2537" t="s">
        <v>1372</v>
      </c>
      <c r="B2537" t="s">
        <v>1373</v>
      </c>
      <c r="C2537" t="s">
        <v>42</v>
      </c>
      <c r="D2537" t="s">
        <v>4052</v>
      </c>
      <c r="E2537" t="s">
        <v>4105</v>
      </c>
      <c r="F2537" t="s">
        <v>4106</v>
      </c>
      <c r="G2537">
        <v>0.13</v>
      </c>
      <c r="H2537" s="2">
        <v>25125</v>
      </c>
      <c r="I2537" s="2">
        <v>3140.63</v>
      </c>
    </row>
    <row r="2538" spans="1:9" x14ac:dyDescent="0.25">
      <c r="A2538" t="s">
        <v>1372</v>
      </c>
      <c r="B2538" t="s">
        <v>1373</v>
      </c>
      <c r="C2538" t="s">
        <v>42</v>
      </c>
      <c r="D2538" t="s">
        <v>4052</v>
      </c>
      <c r="E2538" t="s">
        <v>4053</v>
      </c>
      <c r="F2538" t="s">
        <v>4054</v>
      </c>
      <c r="G2538">
        <v>3.3</v>
      </c>
      <c r="H2538" s="2">
        <v>24555.22</v>
      </c>
      <c r="I2538" s="2">
        <v>810.32</v>
      </c>
    </row>
    <row r="2539" spans="1:9" x14ac:dyDescent="0.25">
      <c r="A2539" t="s">
        <v>1375</v>
      </c>
      <c r="B2539" t="s">
        <v>1376</v>
      </c>
      <c r="C2539" t="s">
        <v>42</v>
      </c>
      <c r="D2539" t="s">
        <v>4062</v>
      </c>
      <c r="E2539" t="s">
        <v>5372</v>
      </c>
      <c r="F2539" t="s">
        <v>231</v>
      </c>
      <c r="G2539">
        <v>1.5</v>
      </c>
      <c r="H2539" s="2">
        <v>11353</v>
      </c>
      <c r="I2539" s="2">
        <v>17029.5</v>
      </c>
    </row>
    <row r="2540" spans="1:9" x14ac:dyDescent="0.25">
      <c r="A2540" t="s">
        <v>1375</v>
      </c>
      <c r="B2540" t="s">
        <v>1376</v>
      </c>
      <c r="C2540" t="s">
        <v>42</v>
      </c>
      <c r="D2540" t="s">
        <v>4062</v>
      </c>
      <c r="E2540" t="s">
        <v>5373</v>
      </c>
      <c r="F2540" t="s">
        <v>42</v>
      </c>
      <c r="G2540">
        <v>0.75</v>
      </c>
      <c r="H2540" s="2">
        <v>65786.33</v>
      </c>
      <c r="I2540" s="2">
        <v>49339.75</v>
      </c>
    </row>
    <row r="2541" spans="1:9" x14ac:dyDescent="0.25">
      <c r="A2541" t="s">
        <v>1375</v>
      </c>
      <c r="B2541" t="s">
        <v>1376</v>
      </c>
      <c r="C2541" t="s">
        <v>42</v>
      </c>
      <c r="D2541" t="s">
        <v>4062</v>
      </c>
      <c r="E2541" t="s">
        <v>5374</v>
      </c>
      <c r="F2541" t="s">
        <v>231</v>
      </c>
      <c r="G2541">
        <v>0.3</v>
      </c>
      <c r="H2541" s="2">
        <v>11737.67</v>
      </c>
      <c r="I2541" s="2">
        <v>3521.3</v>
      </c>
    </row>
    <row r="2542" spans="1:9" x14ac:dyDescent="0.25">
      <c r="A2542" t="s">
        <v>1375</v>
      </c>
      <c r="B2542" t="s">
        <v>1376</v>
      </c>
      <c r="C2542" t="s">
        <v>42</v>
      </c>
      <c r="D2542" t="s">
        <v>4049</v>
      </c>
      <c r="E2542" t="s">
        <v>4105</v>
      </c>
      <c r="F2542" t="s">
        <v>4106</v>
      </c>
      <c r="G2542">
        <v>0.13</v>
      </c>
      <c r="H2542" s="2">
        <v>25125</v>
      </c>
      <c r="I2542" s="2">
        <v>3140.63</v>
      </c>
    </row>
    <row r="2543" spans="1:9" x14ac:dyDescent="0.25">
      <c r="A2543" t="s">
        <v>1375</v>
      </c>
      <c r="B2543" t="s">
        <v>1376</v>
      </c>
      <c r="C2543" t="s">
        <v>42</v>
      </c>
      <c r="D2543" t="s">
        <v>4049</v>
      </c>
      <c r="E2543" t="s">
        <v>4487</v>
      </c>
      <c r="F2543" t="s">
        <v>4236</v>
      </c>
      <c r="G2543">
        <v>1</v>
      </c>
      <c r="H2543" s="2">
        <v>24555.22</v>
      </c>
      <c r="I2543" s="2">
        <v>24555.22</v>
      </c>
    </row>
    <row r="2544" spans="1:9" x14ac:dyDescent="0.25">
      <c r="A2544" t="s">
        <v>1375</v>
      </c>
      <c r="B2544" t="s">
        <v>1376</v>
      </c>
      <c r="C2544" t="s">
        <v>42</v>
      </c>
      <c r="D2544" t="s">
        <v>4052</v>
      </c>
      <c r="E2544" t="s">
        <v>4053</v>
      </c>
      <c r="F2544" t="s">
        <v>4054</v>
      </c>
      <c r="G2544">
        <v>3.3</v>
      </c>
      <c r="H2544" s="2">
        <v>24555.22</v>
      </c>
      <c r="I2544" s="2">
        <v>810.32</v>
      </c>
    </row>
    <row r="2545" spans="1:9" x14ac:dyDescent="0.25">
      <c r="A2545" t="s">
        <v>1378</v>
      </c>
      <c r="B2545" t="s">
        <v>1379</v>
      </c>
      <c r="C2545" t="s">
        <v>42</v>
      </c>
      <c r="D2545" t="s">
        <v>4062</v>
      </c>
      <c r="E2545" t="s">
        <v>5377</v>
      </c>
      <c r="F2545" t="s">
        <v>4532</v>
      </c>
      <c r="G2545">
        <v>0.11</v>
      </c>
      <c r="H2545" s="2">
        <v>183533</v>
      </c>
      <c r="I2545" s="2">
        <v>20188.63</v>
      </c>
    </row>
    <row r="2546" spans="1:9" x14ac:dyDescent="0.25">
      <c r="A2546" t="s">
        <v>1378</v>
      </c>
      <c r="B2546" t="s">
        <v>1379</v>
      </c>
      <c r="C2546" t="s">
        <v>42</v>
      </c>
      <c r="D2546" t="s">
        <v>4062</v>
      </c>
      <c r="E2546" t="s">
        <v>3978</v>
      </c>
      <c r="F2546" t="s">
        <v>34</v>
      </c>
      <c r="G2546">
        <v>0.04</v>
      </c>
      <c r="H2546" s="2">
        <v>409741.65</v>
      </c>
      <c r="I2546" s="2">
        <v>16389.67</v>
      </c>
    </row>
    <row r="2547" spans="1:9" x14ac:dyDescent="0.25">
      <c r="A2547" t="s">
        <v>1378</v>
      </c>
      <c r="B2547" t="s">
        <v>1379</v>
      </c>
      <c r="C2547" t="s">
        <v>42</v>
      </c>
      <c r="D2547" t="s">
        <v>4062</v>
      </c>
      <c r="E2547" t="s">
        <v>4624</v>
      </c>
      <c r="F2547" t="s">
        <v>231</v>
      </c>
      <c r="G2547">
        <v>0.5</v>
      </c>
      <c r="H2547" s="2">
        <v>8600</v>
      </c>
      <c r="I2547" s="2">
        <v>4300</v>
      </c>
    </row>
    <row r="2548" spans="1:9" x14ac:dyDescent="0.25">
      <c r="A2548" t="s">
        <v>1378</v>
      </c>
      <c r="B2548" t="s">
        <v>1379</v>
      </c>
      <c r="C2548" t="s">
        <v>42</v>
      </c>
      <c r="D2548" t="s">
        <v>4049</v>
      </c>
      <c r="E2548" t="s">
        <v>4487</v>
      </c>
      <c r="F2548" t="s">
        <v>4236</v>
      </c>
      <c r="G2548">
        <v>0.75</v>
      </c>
      <c r="H2548" s="2">
        <v>24555.22</v>
      </c>
      <c r="I2548" s="2">
        <v>18416.42</v>
      </c>
    </row>
    <row r="2549" spans="1:9" x14ac:dyDescent="0.25">
      <c r="A2549" t="s">
        <v>1378</v>
      </c>
      <c r="B2549" t="s">
        <v>1379</v>
      </c>
      <c r="C2549" t="s">
        <v>42</v>
      </c>
      <c r="D2549" t="s">
        <v>4052</v>
      </c>
      <c r="E2549" t="s">
        <v>4105</v>
      </c>
      <c r="F2549" t="s">
        <v>4106</v>
      </c>
      <c r="G2549">
        <v>0.09</v>
      </c>
      <c r="H2549" s="2">
        <v>25125</v>
      </c>
      <c r="I2549" s="2">
        <v>2361.75</v>
      </c>
    </row>
    <row r="2550" spans="1:9" x14ac:dyDescent="0.25">
      <c r="A2550" t="s">
        <v>1378</v>
      </c>
      <c r="B2550" t="s">
        <v>1379</v>
      </c>
      <c r="C2550" t="s">
        <v>42</v>
      </c>
      <c r="D2550" t="s">
        <v>4052</v>
      </c>
      <c r="E2550" t="s">
        <v>4053</v>
      </c>
      <c r="F2550" t="s">
        <v>4054</v>
      </c>
      <c r="G2550">
        <v>3.3</v>
      </c>
      <c r="H2550" s="2">
        <v>18416.42</v>
      </c>
      <c r="I2550" s="2">
        <v>607.74</v>
      </c>
    </row>
    <row r="2551" spans="1:9" x14ac:dyDescent="0.25">
      <c r="A2551" t="s">
        <v>1382</v>
      </c>
      <c r="B2551" t="s">
        <v>1383</v>
      </c>
      <c r="C2551" t="s">
        <v>21</v>
      </c>
      <c r="D2551" t="s">
        <v>4062</v>
      </c>
      <c r="E2551" t="s">
        <v>5380</v>
      </c>
      <c r="F2551" t="s">
        <v>4532</v>
      </c>
      <c r="G2551">
        <v>2</v>
      </c>
      <c r="H2551" s="2">
        <v>106874.58</v>
      </c>
      <c r="I2551" s="2">
        <v>213749.16</v>
      </c>
    </row>
    <row r="2552" spans="1:9" x14ac:dyDescent="0.25">
      <c r="A2552" t="s">
        <v>1382</v>
      </c>
      <c r="B2552" t="s">
        <v>1383</v>
      </c>
      <c r="C2552" t="s">
        <v>21</v>
      </c>
      <c r="D2552" t="s">
        <v>4062</v>
      </c>
      <c r="E2552" t="s">
        <v>5381</v>
      </c>
      <c r="F2552" t="s">
        <v>4377</v>
      </c>
      <c r="G2552">
        <v>0.5</v>
      </c>
      <c r="H2552" s="2">
        <v>43286</v>
      </c>
      <c r="I2552" s="2">
        <v>21643</v>
      </c>
    </row>
    <row r="2553" spans="1:9" x14ac:dyDescent="0.25">
      <c r="A2553" t="s">
        <v>1382</v>
      </c>
      <c r="B2553" t="s">
        <v>1383</v>
      </c>
      <c r="C2553" t="s">
        <v>21</v>
      </c>
      <c r="D2553" t="s">
        <v>4062</v>
      </c>
      <c r="E2553" t="s">
        <v>4072</v>
      </c>
      <c r="F2553" t="s">
        <v>4066</v>
      </c>
      <c r="G2553">
        <v>0.3</v>
      </c>
      <c r="H2553" s="2">
        <v>3150</v>
      </c>
      <c r="I2553" s="2">
        <v>945</v>
      </c>
    </row>
    <row r="2554" spans="1:9" x14ac:dyDescent="0.25">
      <c r="A2554" t="s">
        <v>1382</v>
      </c>
      <c r="B2554" t="s">
        <v>1383</v>
      </c>
      <c r="C2554" t="s">
        <v>21</v>
      </c>
      <c r="D2554" t="s">
        <v>4062</v>
      </c>
      <c r="E2554" t="s">
        <v>5382</v>
      </c>
      <c r="F2554" t="s">
        <v>21</v>
      </c>
      <c r="G2554">
        <v>2.2</v>
      </c>
      <c r="H2554" s="2">
        <v>52766.66</v>
      </c>
      <c r="I2554" s="2">
        <v>116086.65</v>
      </c>
    </row>
    <row r="2555" spans="1:9" x14ac:dyDescent="0.25">
      <c r="A2555" t="s">
        <v>1382</v>
      </c>
      <c r="B2555" t="s">
        <v>1383</v>
      </c>
      <c r="C2555" t="s">
        <v>21</v>
      </c>
      <c r="D2555" t="s">
        <v>4049</v>
      </c>
      <c r="E2555" t="s">
        <v>4487</v>
      </c>
      <c r="F2555" t="s">
        <v>4236</v>
      </c>
      <c r="G2555">
        <v>0.82</v>
      </c>
      <c r="H2555" s="2">
        <v>24555.22</v>
      </c>
      <c r="I2555" s="2">
        <v>20135.28</v>
      </c>
    </row>
    <row r="2556" spans="1:9" x14ac:dyDescent="0.25">
      <c r="A2556" t="s">
        <v>1382</v>
      </c>
      <c r="B2556" t="s">
        <v>1383</v>
      </c>
      <c r="C2556" t="s">
        <v>21</v>
      </c>
      <c r="D2556" t="s">
        <v>4052</v>
      </c>
      <c r="E2556" t="s">
        <v>4105</v>
      </c>
      <c r="F2556" t="s">
        <v>4106</v>
      </c>
      <c r="G2556">
        <v>0.1</v>
      </c>
      <c r="H2556" s="2">
        <v>25125</v>
      </c>
      <c r="I2556" s="2">
        <v>2512.5</v>
      </c>
    </row>
    <row r="2557" spans="1:9" x14ac:dyDescent="0.25">
      <c r="A2557" t="s">
        <v>1382</v>
      </c>
      <c r="B2557" t="s">
        <v>1383</v>
      </c>
      <c r="C2557" t="s">
        <v>21</v>
      </c>
      <c r="D2557" t="s">
        <v>4052</v>
      </c>
      <c r="E2557" t="s">
        <v>4053</v>
      </c>
      <c r="F2557" t="s">
        <v>4054</v>
      </c>
      <c r="G2557">
        <v>3.3</v>
      </c>
      <c r="H2557" s="2">
        <v>20135.28</v>
      </c>
      <c r="I2557" s="2">
        <v>664.46</v>
      </c>
    </row>
    <row r="2558" spans="1:9" x14ac:dyDescent="0.25">
      <c r="A2558" t="s">
        <v>1385</v>
      </c>
      <c r="B2558" t="s">
        <v>1386</v>
      </c>
      <c r="C2558" t="s">
        <v>42</v>
      </c>
      <c r="D2558" t="s">
        <v>4062</v>
      </c>
      <c r="E2558" t="s">
        <v>4675</v>
      </c>
      <c r="F2558" t="s">
        <v>4171</v>
      </c>
      <c r="G2558">
        <v>1</v>
      </c>
      <c r="H2558" s="2">
        <v>1106.41</v>
      </c>
      <c r="I2558" s="2">
        <v>1106.41</v>
      </c>
    </row>
    <row r="2559" spans="1:9" x14ac:dyDescent="0.25">
      <c r="A2559" t="s">
        <v>1385</v>
      </c>
      <c r="B2559" t="s">
        <v>1386</v>
      </c>
      <c r="C2559" t="s">
        <v>42</v>
      </c>
      <c r="D2559" t="s">
        <v>4062</v>
      </c>
      <c r="E2559" t="s">
        <v>4679</v>
      </c>
      <c r="F2559" t="s">
        <v>63</v>
      </c>
      <c r="G2559">
        <v>1.05</v>
      </c>
      <c r="H2559" s="2">
        <v>41500</v>
      </c>
      <c r="I2559" s="2">
        <v>43575</v>
      </c>
    </row>
    <row r="2560" spans="1:9" x14ac:dyDescent="0.25">
      <c r="A2560" t="s">
        <v>1385</v>
      </c>
      <c r="B2560" t="s">
        <v>1386</v>
      </c>
      <c r="C2560" t="s">
        <v>42</v>
      </c>
      <c r="D2560" t="s">
        <v>4062</v>
      </c>
      <c r="E2560" t="s">
        <v>5385</v>
      </c>
      <c r="F2560" t="s">
        <v>63</v>
      </c>
      <c r="G2560">
        <v>0.1</v>
      </c>
      <c r="H2560" s="2">
        <v>10614.67</v>
      </c>
      <c r="I2560" s="2">
        <v>1061.47</v>
      </c>
    </row>
    <row r="2561" spans="1:9" x14ac:dyDescent="0.25">
      <c r="A2561" t="s">
        <v>1385</v>
      </c>
      <c r="B2561" t="s">
        <v>1386</v>
      </c>
      <c r="C2561" t="s">
        <v>42</v>
      </c>
      <c r="D2561" t="s">
        <v>4062</v>
      </c>
      <c r="E2561" t="s">
        <v>4676</v>
      </c>
      <c r="F2561" t="s">
        <v>63</v>
      </c>
      <c r="G2561">
        <v>0.05</v>
      </c>
      <c r="H2561" s="2">
        <v>14766.67</v>
      </c>
      <c r="I2561" s="2">
        <v>738.33</v>
      </c>
    </row>
    <row r="2562" spans="1:9" x14ac:dyDescent="0.25">
      <c r="A2562" t="s">
        <v>1385</v>
      </c>
      <c r="B2562" t="s">
        <v>1386</v>
      </c>
      <c r="C2562" t="s">
        <v>42</v>
      </c>
      <c r="D2562" t="s">
        <v>4049</v>
      </c>
      <c r="E2562" t="s">
        <v>4050</v>
      </c>
      <c r="F2562" t="s">
        <v>4051</v>
      </c>
      <c r="G2562">
        <v>0.3</v>
      </c>
      <c r="H2562" s="2">
        <v>9037.33</v>
      </c>
      <c r="I2562" s="2">
        <v>2711.2</v>
      </c>
    </row>
    <row r="2563" spans="1:9" x14ac:dyDescent="0.25">
      <c r="A2563" t="s">
        <v>1385</v>
      </c>
      <c r="B2563" t="s">
        <v>1386</v>
      </c>
      <c r="C2563" t="s">
        <v>42</v>
      </c>
      <c r="D2563" t="s">
        <v>4049</v>
      </c>
      <c r="E2563" t="s">
        <v>4073</v>
      </c>
      <c r="F2563" t="s">
        <v>4051</v>
      </c>
      <c r="G2563">
        <v>0.3</v>
      </c>
      <c r="H2563" s="2">
        <v>15517.89</v>
      </c>
      <c r="I2563" s="2">
        <v>4655.37</v>
      </c>
    </row>
    <row r="2564" spans="1:9" x14ac:dyDescent="0.25">
      <c r="A2564" t="s">
        <v>1385</v>
      </c>
      <c r="B2564" t="s">
        <v>1386</v>
      </c>
      <c r="C2564" t="s">
        <v>42</v>
      </c>
      <c r="D2564" t="s">
        <v>4052</v>
      </c>
      <c r="E2564" t="s">
        <v>4105</v>
      </c>
      <c r="F2564" t="s">
        <v>4106</v>
      </c>
      <c r="G2564">
        <v>0.03</v>
      </c>
      <c r="H2564" s="2">
        <v>25125</v>
      </c>
      <c r="I2564" s="2">
        <v>628.13</v>
      </c>
    </row>
    <row r="2565" spans="1:9" x14ac:dyDescent="0.25">
      <c r="A2565" t="s">
        <v>1385</v>
      </c>
      <c r="B2565" t="s">
        <v>1386</v>
      </c>
      <c r="C2565" t="s">
        <v>42</v>
      </c>
      <c r="D2565" t="s">
        <v>4052</v>
      </c>
      <c r="E2565" t="s">
        <v>4053</v>
      </c>
      <c r="F2565" t="s">
        <v>4054</v>
      </c>
      <c r="G2565">
        <v>3.3</v>
      </c>
      <c r="H2565" s="2">
        <v>7366.57</v>
      </c>
      <c r="I2565" s="2">
        <v>243.1</v>
      </c>
    </row>
    <row r="2566" spans="1:9" x14ac:dyDescent="0.25">
      <c r="A2566" t="s">
        <v>1388</v>
      </c>
      <c r="B2566" t="s">
        <v>1389</v>
      </c>
      <c r="C2566" t="s">
        <v>42</v>
      </c>
      <c r="D2566" t="s">
        <v>4062</v>
      </c>
      <c r="E2566" t="s">
        <v>5388</v>
      </c>
      <c r="F2566" t="s">
        <v>63</v>
      </c>
      <c r="G2566">
        <v>1</v>
      </c>
      <c r="H2566" s="2">
        <v>153</v>
      </c>
      <c r="I2566" s="2">
        <v>153</v>
      </c>
    </row>
    <row r="2567" spans="1:9" x14ac:dyDescent="0.25">
      <c r="A2567" t="s">
        <v>1388</v>
      </c>
      <c r="B2567" t="s">
        <v>1389</v>
      </c>
      <c r="C2567" t="s">
        <v>42</v>
      </c>
      <c r="D2567" t="s">
        <v>4062</v>
      </c>
      <c r="E2567" t="s">
        <v>5343</v>
      </c>
      <c r="F2567" t="s">
        <v>63</v>
      </c>
      <c r="G2567">
        <v>0.33</v>
      </c>
      <c r="H2567" s="2">
        <v>6800</v>
      </c>
      <c r="I2567" s="2">
        <v>2244</v>
      </c>
    </row>
    <row r="2568" spans="1:9" x14ac:dyDescent="0.25">
      <c r="A2568" t="s">
        <v>1388</v>
      </c>
      <c r="B2568" t="s">
        <v>1389</v>
      </c>
      <c r="C2568" t="s">
        <v>42</v>
      </c>
      <c r="D2568" t="s">
        <v>4062</v>
      </c>
      <c r="E2568" t="s">
        <v>5389</v>
      </c>
      <c r="F2568" t="s">
        <v>42</v>
      </c>
      <c r="G2568">
        <v>1.05</v>
      </c>
      <c r="H2568" s="2">
        <v>17560.22</v>
      </c>
      <c r="I2568" s="2">
        <v>18438.23</v>
      </c>
    </row>
    <row r="2569" spans="1:9" x14ac:dyDescent="0.25">
      <c r="A2569" t="s">
        <v>1388</v>
      </c>
      <c r="B2569" t="s">
        <v>1389</v>
      </c>
      <c r="C2569" t="s">
        <v>42</v>
      </c>
      <c r="D2569" t="s">
        <v>4062</v>
      </c>
      <c r="E2569" t="s">
        <v>5333</v>
      </c>
      <c r="F2569" t="s">
        <v>63</v>
      </c>
      <c r="G2569">
        <v>0.06</v>
      </c>
      <c r="H2569" s="2">
        <v>4866.67</v>
      </c>
      <c r="I2569" s="2">
        <v>292</v>
      </c>
    </row>
    <row r="2570" spans="1:9" x14ac:dyDescent="0.25">
      <c r="A2570" t="s">
        <v>1388</v>
      </c>
      <c r="B2570" t="s">
        <v>1389</v>
      </c>
      <c r="C2570" t="s">
        <v>42</v>
      </c>
      <c r="D2570" t="s">
        <v>4062</v>
      </c>
      <c r="E2570" t="s">
        <v>5334</v>
      </c>
      <c r="F2570" t="s">
        <v>63</v>
      </c>
      <c r="G2570">
        <v>3</v>
      </c>
      <c r="H2570" s="2">
        <v>2144.08</v>
      </c>
      <c r="I2570" s="2">
        <v>6432.24</v>
      </c>
    </row>
    <row r="2571" spans="1:9" x14ac:dyDescent="0.25">
      <c r="A2571" t="s">
        <v>1388</v>
      </c>
      <c r="B2571" t="s">
        <v>1389</v>
      </c>
      <c r="C2571" t="s">
        <v>42</v>
      </c>
      <c r="D2571" t="s">
        <v>4049</v>
      </c>
      <c r="E2571" t="s">
        <v>4105</v>
      </c>
      <c r="F2571" t="s">
        <v>4106</v>
      </c>
      <c r="G2571">
        <v>0.13</v>
      </c>
      <c r="H2571" s="2">
        <v>25125</v>
      </c>
      <c r="I2571" s="2">
        <v>3140.63</v>
      </c>
    </row>
    <row r="2572" spans="1:9" x14ac:dyDescent="0.25">
      <c r="A2572" t="s">
        <v>1388</v>
      </c>
      <c r="B2572" t="s">
        <v>1389</v>
      </c>
      <c r="C2572" t="s">
        <v>42</v>
      </c>
      <c r="D2572" t="s">
        <v>4049</v>
      </c>
      <c r="E2572" t="s">
        <v>4241</v>
      </c>
      <c r="F2572" t="s">
        <v>4051</v>
      </c>
      <c r="G2572">
        <v>1</v>
      </c>
      <c r="H2572" s="2">
        <v>9941.22</v>
      </c>
      <c r="I2572" s="2">
        <v>9941.22</v>
      </c>
    </row>
    <row r="2573" spans="1:9" x14ac:dyDescent="0.25">
      <c r="A2573" t="s">
        <v>1388</v>
      </c>
      <c r="B2573" t="s">
        <v>1389</v>
      </c>
      <c r="C2573" t="s">
        <v>42</v>
      </c>
      <c r="D2573" t="s">
        <v>4049</v>
      </c>
      <c r="E2573" t="s">
        <v>4242</v>
      </c>
      <c r="F2573" t="s">
        <v>4051</v>
      </c>
      <c r="G2573">
        <v>0.43</v>
      </c>
      <c r="H2573" s="2">
        <v>17069.53</v>
      </c>
      <c r="I2573" s="2">
        <v>7339.9</v>
      </c>
    </row>
    <row r="2574" spans="1:9" x14ac:dyDescent="0.25">
      <c r="A2574" t="s">
        <v>1388</v>
      </c>
      <c r="B2574" t="s">
        <v>1389</v>
      </c>
      <c r="C2574" t="s">
        <v>42</v>
      </c>
      <c r="D2574" t="s">
        <v>4052</v>
      </c>
      <c r="E2574" t="s">
        <v>4053</v>
      </c>
      <c r="F2574" t="s">
        <v>4054</v>
      </c>
      <c r="G2574">
        <v>3.3</v>
      </c>
      <c r="H2574" s="2">
        <v>17281.12</v>
      </c>
      <c r="I2574" s="2">
        <v>570.28</v>
      </c>
    </row>
    <row r="2575" spans="1:9" x14ac:dyDescent="0.25">
      <c r="A2575" t="s">
        <v>1391</v>
      </c>
      <c r="B2575" t="s">
        <v>1392</v>
      </c>
      <c r="C2575" t="s">
        <v>42</v>
      </c>
      <c r="D2575" t="s">
        <v>4062</v>
      </c>
      <c r="E2575" t="s">
        <v>5392</v>
      </c>
      <c r="F2575" t="s">
        <v>63</v>
      </c>
      <c r="G2575">
        <v>2</v>
      </c>
      <c r="H2575" s="2">
        <v>29633.33</v>
      </c>
      <c r="I2575" s="2">
        <v>59266.66</v>
      </c>
    </row>
    <row r="2576" spans="1:9" x14ac:dyDescent="0.25">
      <c r="A2576" t="s">
        <v>1391</v>
      </c>
      <c r="B2576" t="s">
        <v>1392</v>
      </c>
      <c r="C2576" t="s">
        <v>42</v>
      </c>
      <c r="D2576" t="s">
        <v>4062</v>
      </c>
      <c r="E2576" t="s">
        <v>5393</v>
      </c>
      <c r="F2576" t="s">
        <v>63</v>
      </c>
      <c r="G2576">
        <v>2</v>
      </c>
      <c r="H2576" s="2">
        <v>1111.83</v>
      </c>
      <c r="I2576" s="2">
        <v>2223.66</v>
      </c>
    </row>
    <row r="2577" spans="1:9" x14ac:dyDescent="0.25">
      <c r="A2577" t="s">
        <v>1391</v>
      </c>
      <c r="B2577" t="s">
        <v>1392</v>
      </c>
      <c r="C2577" t="s">
        <v>42</v>
      </c>
      <c r="D2577" t="s">
        <v>4062</v>
      </c>
      <c r="E2577" t="s">
        <v>5394</v>
      </c>
      <c r="F2577" t="s">
        <v>4377</v>
      </c>
      <c r="G2577">
        <v>0.1</v>
      </c>
      <c r="H2577" s="2">
        <v>15906.09</v>
      </c>
      <c r="I2577" s="2">
        <v>1590.61</v>
      </c>
    </row>
    <row r="2578" spans="1:9" x14ac:dyDescent="0.25">
      <c r="A2578" t="s">
        <v>1391</v>
      </c>
      <c r="B2578" t="s">
        <v>1392</v>
      </c>
      <c r="C2578" t="s">
        <v>42</v>
      </c>
      <c r="D2578" t="s">
        <v>4049</v>
      </c>
      <c r="E2578" t="s">
        <v>4050</v>
      </c>
      <c r="F2578" t="s">
        <v>4051</v>
      </c>
      <c r="G2578">
        <v>0.3</v>
      </c>
      <c r="H2578" s="2">
        <v>9037.33</v>
      </c>
      <c r="I2578" s="2">
        <v>2711.2</v>
      </c>
    </row>
    <row r="2579" spans="1:9" x14ac:dyDescent="0.25">
      <c r="A2579" t="s">
        <v>1391</v>
      </c>
      <c r="B2579" t="s">
        <v>1392</v>
      </c>
      <c r="C2579" t="s">
        <v>42</v>
      </c>
      <c r="D2579" t="s">
        <v>4049</v>
      </c>
      <c r="E2579" t="s">
        <v>4073</v>
      </c>
      <c r="F2579" t="s">
        <v>4051</v>
      </c>
      <c r="G2579">
        <v>0.3</v>
      </c>
      <c r="H2579" s="2">
        <v>15517.89</v>
      </c>
      <c r="I2579" s="2">
        <v>4655.37</v>
      </c>
    </row>
    <row r="2580" spans="1:9" x14ac:dyDescent="0.25">
      <c r="A2580" t="s">
        <v>1391</v>
      </c>
      <c r="B2580" t="s">
        <v>1392</v>
      </c>
      <c r="C2580" t="s">
        <v>42</v>
      </c>
      <c r="D2580" t="s">
        <v>4052</v>
      </c>
      <c r="E2580" t="s">
        <v>4105</v>
      </c>
      <c r="F2580" t="s">
        <v>4106</v>
      </c>
      <c r="G2580">
        <v>0.04</v>
      </c>
      <c r="H2580" s="2">
        <v>25125</v>
      </c>
      <c r="I2580" s="2">
        <v>942.19</v>
      </c>
    </row>
    <row r="2581" spans="1:9" x14ac:dyDescent="0.25">
      <c r="A2581" t="s">
        <v>1391</v>
      </c>
      <c r="B2581" t="s">
        <v>1392</v>
      </c>
      <c r="C2581" t="s">
        <v>42</v>
      </c>
      <c r="D2581" t="s">
        <v>4052</v>
      </c>
      <c r="E2581" t="s">
        <v>4053</v>
      </c>
      <c r="F2581" t="s">
        <v>4054</v>
      </c>
      <c r="G2581">
        <v>3.3</v>
      </c>
      <c r="H2581" s="2">
        <v>7366.57</v>
      </c>
      <c r="I2581" s="2">
        <v>243.1</v>
      </c>
    </row>
    <row r="2582" spans="1:9" x14ac:dyDescent="0.25">
      <c r="A2582" t="s">
        <v>1394</v>
      </c>
      <c r="B2582" t="s">
        <v>1395</v>
      </c>
      <c r="C2582" t="s">
        <v>42</v>
      </c>
      <c r="D2582" t="s">
        <v>4062</v>
      </c>
      <c r="E2582" t="s">
        <v>5397</v>
      </c>
      <c r="F2582" t="s">
        <v>63</v>
      </c>
      <c r="G2582">
        <v>1</v>
      </c>
      <c r="H2582" s="2">
        <v>31033.33</v>
      </c>
      <c r="I2582" s="2">
        <v>31033.33</v>
      </c>
    </row>
    <row r="2583" spans="1:9" x14ac:dyDescent="0.25">
      <c r="A2583" t="s">
        <v>1394</v>
      </c>
      <c r="B2583" t="s">
        <v>1395</v>
      </c>
      <c r="C2583" t="s">
        <v>42</v>
      </c>
      <c r="D2583" t="s">
        <v>4062</v>
      </c>
      <c r="E2583" t="s">
        <v>5398</v>
      </c>
      <c r="F2583" t="s">
        <v>63</v>
      </c>
      <c r="G2583">
        <v>5</v>
      </c>
      <c r="H2583" s="2">
        <v>349.5</v>
      </c>
      <c r="I2583" s="2">
        <v>1747.5</v>
      </c>
    </row>
    <row r="2584" spans="1:9" x14ac:dyDescent="0.25">
      <c r="A2584" t="s">
        <v>1394</v>
      </c>
      <c r="B2584" t="s">
        <v>1395</v>
      </c>
      <c r="C2584" t="s">
        <v>42</v>
      </c>
      <c r="D2584" t="s">
        <v>4049</v>
      </c>
      <c r="E2584" t="s">
        <v>4105</v>
      </c>
      <c r="F2584" t="s">
        <v>4106</v>
      </c>
      <c r="G2584">
        <v>0.07</v>
      </c>
      <c r="H2584" s="2">
        <v>25125</v>
      </c>
      <c r="I2584" s="2">
        <v>1708.5</v>
      </c>
    </row>
    <row r="2585" spans="1:9" x14ac:dyDescent="0.25">
      <c r="A2585" t="s">
        <v>1394</v>
      </c>
      <c r="B2585" t="s">
        <v>1395</v>
      </c>
      <c r="C2585" t="s">
        <v>42</v>
      </c>
      <c r="D2585" t="s">
        <v>4049</v>
      </c>
      <c r="E2585" t="s">
        <v>4050</v>
      </c>
      <c r="F2585" t="s">
        <v>4051</v>
      </c>
      <c r="G2585">
        <v>0.54</v>
      </c>
      <c r="H2585" s="2">
        <v>9037.33</v>
      </c>
      <c r="I2585" s="2">
        <v>4880.16</v>
      </c>
    </row>
    <row r="2586" spans="1:9" x14ac:dyDescent="0.25">
      <c r="A2586" t="s">
        <v>1394</v>
      </c>
      <c r="B2586" t="s">
        <v>1395</v>
      </c>
      <c r="C2586" t="s">
        <v>42</v>
      </c>
      <c r="D2586" t="s">
        <v>4049</v>
      </c>
      <c r="E2586" t="s">
        <v>4073</v>
      </c>
      <c r="F2586" t="s">
        <v>4051</v>
      </c>
      <c r="G2586">
        <v>0.54</v>
      </c>
      <c r="H2586" s="2">
        <v>15517.89</v>
      </c>
      <c r="I2586" s="2">
        <v>8379.66</v>
      </c>
    </row>
    <row r="2587" spans="1:9" x14ac:dyDescent="0.25">
      <c r="A2587" t="s">
        <v>1394</v>
      </c>
      <c r="B2587" t="s">
        <v>1395</v>
      </c>
      <c r="C2587" t="s">
        <v>42</v>
      </c>
      <c r="D2587" t="s">
        <v>4052</v>
      </c>
      <c r="E2587" t="s">
        <v>4053</v>
      </c>
      <c r="F2587" t="s">
        <v>4054</v>
      </c>
      <c r="G2587">
        <v>3.3</v>
      </c>
      <c r="H2587" s="2">
        <v>13259.82</v>
      </c>
      <c r="I2587" s="2">
        <v>437.57</v>
      </c>
    </row>
    <row r="2588" spans="1:9" x14ac:dyDescent="0.25">
      <c r="A2588" t="s">
        <v>1397</v>
      </c>
      <c r="B2588" t="s">
        <v>1398</v>
      </c>
      <c r="C2588" t="s">
        <v>42</v>
      </c>
      <c r="D2588" t="s">
        <v>4062</v>
      </c>
      <c r="E2588" t="s">
        <v>4675</v>
      </c>
      <c r="F2588" t="s">
        <v>4171</v>
      </c>
      <c r="G2588">
        <v>1</v>
      </c>
      <c r="H2588" s="2">
        <v>1106.41</v>
      </c>
      <c r="I2588" s="2">
        <v>1106.41</v>
      </c>
    </row>
    <row r="2589" spans="1:9" x14ac:dyDescent="0.25">
      <c r="A2589" t="s">
        <v>1397</v>
      </c>
      <c r="B2589" t="s">
        <v>1398</v>
      </c>
      <c r="C2589" t="s">
        <v>42</v>
      </c>
      <c r="D2589" t="s">
        <v>4062</v>
      </c>
      <c r="E2589" t="s">
        <v>4679</v>
      </c>
      <c r="F2589" t="s">
        <v>63</v>
      </c>
      <c r="G2589">
        <v>1</v>
      </c>
      <c r="H2589" s="2">
        <v>41500</v>
      </c>
      <c r="I2589" s="2">
        <v>41500</v>
      </c>
    </row>
    <row r="2590" spans="1:9" x14ac:dyDescent="0.25">
      <c r="A2590" t="s">
        <v>1397</v>
      </c>
      <c r="B2590" t="s">
        <v>1398</v>
      </c>
      <c r="C2590" t="s">
        <v>42</v>
      </c>
      <c r="D2590" t="s">
        <v>4062</v>
      </c>
      <c r="E2590" t="s">
        <v>5385</v>
      </c>
      <c r="F2590" t="s">
        <v>63</v>
      </c>
      <c r="G2590">
        <v>0.2</v>
      </c>
      <c r="H2590" s="2">
        <v>10614.67</v>
      </c>
      <c r="I2590" s="2">
        <v>2122.93</v>
      </c>
    </row>
    <row r="2591" spans="1:9" x14ac:dyDescent="0.25">
      <c r="A2591" t="s">
        <v>1397</v>
      </c>
      <c r="B2591" t="s">
        <v>1398</v>
      </c>
      <c r="C2591" t="s">
        <v>42</v>
      </c>
      <c r="D2591" t="s">
        <v>4062</v>
      </c>
      <c r="E2591" t="s">
        <v>4676</v>
      </c>
      <c r="F2591" t="s">
        <v>63</v>
      </c>
      <c r="G2591">
        <v>0.05</v>
      </c>
      <c r="H2591" s="2">
        <v>14766.67</v>
      </c>
      <c r="I2591" s="2">
        <v>738.33</v>
      </c>
    </row>
    <row r="2592" spans="1:9" x14ac:dyDescent="0.25">
      <c r="A2592" t="s">
        <v>1397</v>
      </c>
      <c r="B2592" t="s">
        <v>1398</v>
      </c>
      <c r="C2592" t="s">
        <v>42</v>
      </c>
      <c r="D2592" t="s">
        <v>4049</v>
      </c>
      <c r="E2592" t="s">
        <v>4050</v>
      </c>
      <c r="F2592" t="s">
        <v>4051</v>
      </c>
      <c r="G2592">
        <v>0.3</v>
      </c>
      <c r="H2592" s="2">
        <v>9037.33</v>
      </c>
      <c r="I2592" s="2">
        <v>2711.2</v>
      </c>
    </row>
    <row r="2593" spans="1:9" x14ac:dyDescent="0.25">
      <c r="A2593" t="s">
        <v>1397</v>
      </c>
      <c r="B2593" t="s">
        <v>1398</v>
      </c>
      <c r="C2593" t="s">
        <v>42</v>
      </c>
      <c r="D2593" t="s">
        <v>4049</v>
      </c>
      <c r="E2593" t="s">
        <v>4073</v>
      </c>
      <c r="F2593" t="s">
        <v>4051</v>
      </c>
      <c r="G2593">
        <v>0.3</v>
      </c>
      <c r="H2593" s="2">
        <v>15517.89</v>
      </c>
      <c r="I2593" s="2">
        <v>4655.37</v>
      </c>
    </row>
    <row r="2594" spans="1:9" x14ac:dyDescent="0.25">
      <c r="A2594" t="s">
        <v>1397</v>
      </c>
      <c r="B2594" t="s">
        <v>1398</v>
      </c>
      <c r="C2594" t="s">
        <v>42</v>
      </c>
      <c r="D2594" t="s">
        <v>4052</v>
      </c>
      <c r="E2594" t="s">
        <v>4105</v>
      </c>
      <c r="F2594" t="s">
        <v>4106</v>
      </c>
      <c r="G2594">
        <v>0.04</v>
      </c>
      <c r="H2594" s="2">
        <v>25125</v>
      </c>
      <c r="I2594" s="2">
        <v>942.19</v>
      </c>
    </row>
    <row r="2595" spans="1:9" x14ac:dyDescent="0.25">
      <c r="A2595" t="s">
        <v>1397</v>
      </c>
      <c r="B2595" t="s">
        <v>1398</v>
      </c>
      <c r="C2595" t="s">
        <v>42</v>
      </c>
      <c r="D2595" t="s">
        <v>4052</v>
      </c>
      <c r="E2595" t="s">
        <v>4053</v>
      </c>
      <c r="F2595" t="s">
        <v>4054</v>
      </c>
      <c r="G2595">
        <v>3.3</v>
      </c>
      <c r="H2595" s="2">
        <v>7366.57</v>
      </c>
      <c r="I2595" s="2">
        <v>243.1</v>
      </c>
    </row>
    <row r="2596" spans="1:9" x14ac:dyDescent="0.25">
      <c r="A2596" t="s">
        <v>1400</v>
      </c>
      <c r="B2596" t="s">
        <v>1401</v>
      </c>
      <c r="C2596" t="s">
        <v>42</v>
      </c>
      <c r="D2596" t="s">
        <v>4062</v>
      </c>
      <c r="E2596" t="s">
        <v>5403</v>
      </c>
      <c r="F2596" t="s">
        <v>63</v>
      </c>
      <c r="G2596">
        <v>0.33</v>
      </c>
      <c r="H2596" s="2">
        <v>5800</v>
      </c>
      <c r="I2596" s="2">
        <v>1914</v>
      </c>
    </row>
    <row r="2597" spans="1:9" x14ac:dyDescent="0.25">
      <c r="A2597" t="s">
        <v>1400</v>
      </c>
      <c r="B2597" t="s">
        <v>1401</v>
      </c>
      <c r="C2597" t="s">
        <v>42</v>
      </c>
      <c r="D2597" t="s">
        <v>4062</v>
      </c>
      <c r="E2597" t="s">
        <v>5343</v>
      </c>
      <c r="F2597" t="s">
        <v>63</v>
      </c>
      <c r="G2597">
        <v>0.33</v>
      </c>
      <c r="H2597" s="2">
        <v>6800</v>
      </c>
      <c r="I2597" s="2">
        <v>2244</v>
      </c>
    </row>
    <row r="2598" spans="1:9" x14ac:dyDescent="0.25">
      <c r="A2598" t="s">
        <v>1400</v>
      </c>
      <c r="B2598" t="s">
        <v>1401</v>
      </c>
      <c r="C2598" t="s">
        <v>42</v>
      </c>
      <c r="D2598" t="s">
        <v>4062</v>
      </c>
      <c r="E2598" t="s">
        <v>5404</v>
      </c>
      <c r="F2598" t="s">
        <v>42</v>
      </c>
      <c r="G2598">
        <v>1.03</v>
      </c>
      <c r="H2598" s="2">
        <v>15385</v>
      </c>
      <c r="I2598" s="2">
        <v>15846.55</v>
      </c>
    </row>
    <row r="2599" spans="1:9" x14ac:dyDescent="0.25">
      <c r="A2599" t="s">
        <v>1400</v>
      </c>
      <c r="B2599" t="s">
        <v>1401</v>
      </c>
      <c r="C2599" t="s">
        <v>42</v>
      </c>
      <c r="D2599" t="s">
        <v>4062</v>
      </c>
      <c r="E2599" t="s">
        <v>5405</v>
      </c>
      <c r="F2599" t="s">
        <v>63</v>
      </c>
      <c r="G2599">
        <v>3</v>
      </c>
      <c r="H2599" s="2">
        <v>2900</v>
      </c>
      <c r="I2599" s="2">
        <v>8700</v>
      </c>
    </row>
    <row r="2600" spans="1:9" x14ac:dyDescent="0.25">
      <c r="A2600" t="s">
        <v>1400</v>
      </c>
      <c r="B2600" t="s">
        <v>1401</v>
      </c>
      <c r="C2600" t="s">
        <v>42</v>
      </c>
      <c r="D2600" t="s">
        <v>4049</v>
      </c>
      <c r="E2600" t="s">
        <v>4241</v>
      </c>
      <c r="F2600" t="s">
        <v>4051</v>
      </c>
      <c r="G2600">
        <v>1.6</v>
      </c>
      <c r="H2600" s="2">
        <v>9941.22</v>
      </c>
      <c r="I2600" s="2">
        <v>15905.95</v>
      </c>
    </row>
    <row r="2601" spans="1:9" x14ac:dyDescent="0.25">
      <c r="A2601" t="s">
        <v>1400</v>
      </c>
      <c r="B2601" t="s">
        <v>1401</v>
      </c>
      <c r="C2601" t="s">
        <v>42</v>
      </c>
      <c r="D2601" t="s">
        <v>4049</v>
      </c>
      <c r="E2601" t="s">
        <v>4242</v>
      </c>
      <c r="F2601" t="s">
        <v>4051</v>
      </c>
      <c r="G2601">
        <v>0.72</v>
      </c>
      <c r="H2601" s="2">
        <v>17069.53</v>
      </c>
      <c r="I2601" s="2">
        <v>12290.06</v>
      </c>
    </row>
    <row r="2602" spans="1:9" x14ac:dyDescent="0.25">
      <c r="A2602" t="s">
        <v>1400</v>
      </c>
      <c r="B2602" t="s">
        <v>1401</v>
      </c>
      <c r="C2602" t="s">
        <v>42</v>
      </c>
      <c r="D2602" t="s">
        <v>4052</v>
      </c>
      <c r="E2602" t="s">
        <v>4105</v>
      </c>
      <c r="F2602" t="s">
        <v>4106</v>
      </c>
      <c r="G2602">
        <v>0.2</v>
      </c>
      <c r="H2602" s="2">
        <v>25125</v>
      </c>
      <c r="I2602" s="2">
        <v>5025</v>
      </c>
    </row>
    <row r="2603" spans="1:9" x14ac:dyDescent="0.25">
      <c r="A2603" t="s">
        <v>1400</v>
      </c>
      <c r="B2603" t="s">
        <v>1401</v>
      </c>
      <c r="C2603" t="s">
        <v>42</v>
      </c>
      <c r="D2603" t="s">
        <v>4052</v>
      </c>
      <c r="E2603" t="s">
        <v>4053</v>
      </c>
      <c r="F2603" t="s">
        <v>4054</v>
      </c>
      <c r="G2603">
        <v>3.3</v>
      </c>
      <c r="H2603" s="2">
        <v>28196.01</v>
      </c>
      <c r="I2603" s="2">
        <v>930.47</v>
      </c>
    </row>
    <row r="2604" spans="1:9" x14ac:dyDescent="0.25">
      <c r="A2604" t="s">
        <v>1403</v>
      </c>
      <c r="B2604" t="s">
        <v>1404</v>
      </c>
      <c r="C2604" t="s">
        <v>21</v>
      </c>
      <c r="D2604" t="s">
        <v>4062</v>
      </c>
      <c r="E2604" t="s">
        <v>5354</v>
      </c>
      <c r="F2604" t="s">
        <v>63</v>
      </c>
      <c r="G2604">
        <v>0.47</v>
      </c>
      <c r="H2604" s="2">
        <v>39100</v>
      </c>
      <c r="I2604" s="2">
        <v>18377</v>
      </c>
    </row>
    <row r="2605" spans="1:9" x14ac:dyDescent="0.25">
      <c r="A2605" t="s">
        <v>1403</v>
      </c>
      <c r="B2605" t="s">
        <v>1404</v>
      </c>
      <c r="C2605" t="s">
        <v>21</v>
      </c>
      <c r="D2605" t="s">
        <v>4062</v>
      </c>
      <c r="E2605" t="s">
        <v>5398</v>
      </c>
      <c r="F2605" t="s">
        <v>63</v>
      </c>
      <c r="G2605">
        <v>2</v>
      </c>
      <c r="H2605" s="2">
        <v>349.5</v>
      </c>
      <c r="I2605" s="2">
        <v>699</v>
      </c>
    </row>
    <row r="2606" spans="1:9" x14ac:dyDescent="0.25">
      <c r="A2606" t="s">
        <v>1403</v>
      </c>
      <c r="B2606" t="s">
        <v>1404</v>
      </c>
      <c r="C2606" t="s">
        <v>21</v>
      </c>
      <c r="D2606" t="s">
        <v>4049</v>
      </c>
      <c r="E2606" t="s">
        <v>4105</v>
      </c>
      <c r="F2606" t="s">
        <v>4106</v>
      </c>
      <c r="G2606">
        <v>0.17</v>
      </c>
      <c r="H2606" s="2">
        <v>25125</v>
      </c>
      <c r="I2606" s="2">
        <v>4271.25</v>
      </c>
    </row>
    <row r="2607" spans="1:9" x14ac:dyDescent="0.25">
      <c r="A2607" t="s">
        <v>1403</v>
      </c>
      <c r="B2607" t="s">
        <v>1404</v>
      </c>
      <c r="C2607" t="s">
        <v>21</v>
      </c>
      <c r="D2607" t="s">
        <v>4049</v>
      </c>
      <c r="E2607" t="s">
        <v>4050</v>
      </c>
      <c r="F2607" t="s">
        <v>4051</v>
      </c>
      <c r="G2607">
        <v>1.4</v>
      </c>
      <c r="H2607" s="2">
        <v>9037.33</v>
      </c>
      <c r="I2607" s="2">
        <v>12652.26</v>
      </c>
    </row>
    <row r="2608" spans="1:9" x14ac:dyDescent="0.25">
      <c r="A2608" t="s">
        <v>1403</v>
      </c>
      <c r="B2608" t="s">
        <v>1404</v>
      </c>
      <c r="C2608" t="s">
        <v>21</v>
      </c>
      <c r="D2608" t="s">
        <v>4049</v>
      </c>
      <c r="E2608" t="s">
        <v>4073</v>
      </c>
      <c r="F2608" t="s">
        <v>4051</v>
      </c>
      <c r="G2608">
        <v>0.7</v>
      </c>
      <c r="H2608" s="2">
        <v>15517.89</v>
      </c>
      <c r="I2608" s="2">
        <v>10862.52</v>
      </c>
    </row>
    <row r="2609" spans="1:9" x14ac:dyDescent="0.25">
      <c r="A2609" t="s">
        <v>1403</v>
      </c>
      <c r="B2609" t="s">
        <v>1404</v>
      </c>
      <c r="C2609" t="s">
        <v>21</v>
      </c>
      <c r="D2609" t="s">
        <v>4052</v>
      </c>
      <c r="E2609" t="s">
        <v>4053</v>
      </c>
      <c r="F2609" t="s">
        <v>4054</v>
      </c>
      <c r="G2609">
        <v>3.3</v>
      </c>
      <c r="H2609" s="2">
        <v>23514.78</v>
      </c>
      <c r="I2609" s="2">
        <v>775.99</v>
      </c>
    </row>
    <row r="2610" spans="1:9" x14ac:dyDescent="0.25">
      <c r="A2610" t="s">
        <v>1406</v>
      </c>
      <c r="B2610" t="s">
        <v>1407</v>
      </c>
      <c r="C2610" t="s">
        <v>21</v>
      </c>
      <c r="D2610" t="s">
        <v>4062</v>
      </c>
      <c r="E2610" t="s">
        <v>5410</v>
      </c>
      <c r="F2610" t="s">
        <v>63</v>
      </c>
      <c r="G2610">
        <v>0.47</v>
      </c>
      <c r="H2610" s="2">
        <v>44333</v>
      </c>
      <c r="I2610" s="2">
        <v>20836.51</v>
      </c>
    </row>
    <row r="2611" spans="1:9" x14ac:dyDescent="0.25">
      <c r="A2611" t="s">
        <v>1406</v>
      </c>
      <c r="B2611" t="s">
        <v>1407</v>
      </c>
      <c r="C2611" t="s">
        <v>21</v>
      </c>
      <c r="D2611" t="s">
        <v>4062</v>
      </c>
      <c r="E2611" t="s">
        <v>5398</v>
      </c>
      <c r="F2611" t="s">
        <v>63</v>
      </c>
      <c r="G2611">
        <v>2</v>
      </c>
      <c r="H2611" s="2">
        <v>349.5</v>
      </c>
      <c r="I2611" s="2">
        <v>699</v>
      </c>
    </row>
    <row r="2612" spans="1:9" x14ac:dyDescent="0.25">
      <c r="A2612" t="s">
        <v>1406</v>
      </c>
      <c r="B2612" t="s">
        <v>1407</v>
      </c>
      <c r="C2612" t="s">
        <v>21</v>
      </c>
      <c r="D2612" t="s">
        <v>4049</v>
      </c>
      <c r="E2612" t="s">
        <v>4050</v>
      </c>
      <c r="F2612" t="s">
        <v>4051</v>
      </c>
      <c r="G2612">
        <v>1.5</v>
      </c>
      <c r="H2612" s="2">
        <v>9037.33</v>
      </c>
      <c r="I2612" s="2">
        <v>13555.99</v>
      </c>
    </row>
    <row r="2613" spans="1:9" x14ac:dyDescent="0.25">
      <c r="A2613" t="s">
        <v>1406</v>
      </c>
      <c r="B2613" t="s">
        <v>1407</v>
      </c>
      <c r="C2613" t="s">
        <v>21</v>
      </c>
      <c r="D2613" t="s">
        <v>4049</v>
      </c>
      <c r="E2613" t="s">
        <v>4073</v>
      </c>
      <c r="F2613" t="s">
        <v>4051</v>
      </c>
      <c r="G2613">
        <v>0.75</v>
      </c>
      <c r="H2613" s="2">
        <v>15517.89</v>
      </c>
      <c r="I2613" s="2">
        <v>11638.42</v>
      </c>
    </row>
    <row r="2614" spans="1:9" x14ac:dyDescent="0.25">
      <c r="A2614" t="s">
        <v>1406</v>
      </c>
      <c r="B2614" t="s">
        <v>1407</v>
      </c>
      <c r="C2614" t="s">
        <v>21</v>
      </c>
      <c r="D2614" t="s">
        <v>4052</v>
      </c>
      <c r="E2614" t="s">
        <v>4105</v>
      </c>
      <c r="F2614" t="s">
        <v>4106</v>
      </c>
      <c r="G2614">
        <v>0.19</v>
      </c>
      <c r="H2614" s="2">
        <v>25125</v>
      </c>
      <c r="I2614" s="2">
        <v>4648.13</v>
      </c>
    </row>
    <row r="2615" spans="1:9" x14ac:dyDescent="0.25">
      <c r="A2615" t="s">
        <v>1406</v>
      </c>
      <c r="B2615" t="s">
        <v>1407</v>
      </c>
      <c r="C2615" t="s">
        <v>21</v>
      </c>
      <c r="D2615" t="s">
        <v>4052</v>
      </c>
      <c r="E2615" t="s">
        <v>4053</v>
      </c>
      <c r="F2615" t="s">
        <v>4054</v>
      </c>
      <c r="G2615">
        <v>3.3</v>
      </c>
      <c r="H2615" s="2">
        <v>25194.41</v>
      </c>
      <c r="I2615" s="2">
        <v>831.42</v>
      </c>
    </row>
    <row r="2616" spans="1:9" x14ac:dyDescent="0.25">
      <c r="A2616" t="s">
        <v>1409</v>
      </c>
      <c r="B2616" t="s">
        <v>1410</v>
      </c>
      <c r="C2616" t="s">
        <v>21</v>
      </c>
      <c r="D2616" t="s">
        <v>4062</v>
      </c>
      <c r="E2616" t="s">
        <v>5413</v>
      </c>
      <c r="F2616" t="s">
        <v>63</v>
      </c>
      <c r="G2616">
        <v>1.03</v>
      </c>
      <c r="H2616" s="2">
        <v>17733.33</v>
      </c>
      <c r="I2616" s="2">
        <v>18265.33</v>
      </c>
    </row>
    <row r="2617" spans="1:9" x14ac:dyDescent="0.25">
      <c r="A2617" t="s">
        <v>1409</v>
      </c>
      <c r="B2617" t="s">
        <v>1410</v>
      </c>
      <c r="C2617" t="s">
        <v>21</v>
      </c>
      <c r="D2617" t="s">
        <v>4062</v>
      </c>
      <c r="E2617" t="s">
        <v>5414</v>
      </c>
      <c r="F2617" t="s">
        <v>63</v>
      </c>
      <c r="G2617">
        <v>1</v>
      </c>
      <c r="H2617" s="2">
        <v>353.66</v>
      </c>
      <c r="I2617" s="2">
        <v>353.66</v>
      </c>
    </row>
    <row r="2618" spans="1:9" x14ac:dyDescent="0.25">
      <c r="A2618" t="s">
        <v>1409</v>
      </c>
      <c r="B2618" t="s">
        <v>1410</v>
      </c>
      <c r="C2618" t="s">
        <v>21</v>
      </c>
      <c r="D2618" t="s">
        <v>4049</v>
      </c>
      <c r="E2618" t="s">
        <v>4050</v>
      </c>
      <c r="F2618" t="s">
        <v>4051</v>
      </c>
      <c r="G2618">
        <v>0.8</v>
      </c>
      <c r="H2618" s="2">
        <v>9037.33</v>
      </c>
      <c r="I2618" s="2">
        <v>7229.86</v>
      </c>
    </row>
    <row r="2619" spans="1:9" x14ac:dyDescent="0.25">
      <c r="A2619" t="s">
        <v>1409</v>
      </c>
      <c r="B2619" t="s">
        <v>1410</v>
      </c>
      <c r="C2619" t="s">
        <v>21</v>
      </c>
      <c r="D2619" t="s">
        <v>4049</v>
      </c>
      <c r="E2619" t="s">
        <v>4073</v>
      </c>
      <c r="F2619" t="s">
        <v>4051</v>
      </c>
      <c r="G2619">
        <v>0.4</v>
      </c>
      <c r="H2619" s="2">
        <v>15517.89</v>
      </c>
      <c r="I2619" s="2">
        <v>6207.16</v>
      </c>
    </row>
    <row r="2620" spans="1:9" x14ac:dyDescent="0.25">
      <c r="A2620" t="s">
        <v>1409</v>
      </c>
      <c r="B2620" t="s">
        <v>1410</v>
      </c>
      <c r="C2620" t="s">
        <v>21</v>
      </c>
      <c r="D2620" t="s">
        <v>4052</v>
      </c>
      <c r="E2620" t="s">
        <v>4105</v>
      </c>
      <c r="F2620" t="s">
        <v>4106</v>
      </c>
      <c r="G2620">
        <v>0.1</v>
      </c>
      <c r="H2620" s="2">
        <v>25125</v>
      </c>
      <c r="I2620" s="2">
        <v>2512.5</v>
      </c>
    </row>
    <row r="2621" spans="1:9" x14ac:dyDescent="0.25">
      <c r="A2621" t="s">
        <v>1409</v>
      </c>
      <c r="B2621" t="s">
        <v>1410</v>
      </c>
      <c r="C2621" t="s">
        <v>21</v>
      </c>
      <c r="D2621" t="s">
        <v>4052</v>
      </c>
      <c r="E2621" t="s">
        <v>4053</v>
      </c>
      <c r="F2621" t="s">
        <v>4054</v>
      </c>
      <c r="G2621">
        <v>3.3</v>
      </c>
      <c r="H2621" s="2">
        <v>13437.02</v>
      </c>
      <c r="I2621" s="2">
        <v>443.42</v>
      </c>
    </row>
    <row r="2622" spans="1:9" x14ac:dyDescent="0.25">
      <c r="A2622" t="s">
        <v>1412</v>
      </c>
      <c r="B2622" t="s">
        <v>1413</v>
      </c>
      <c r="C2622" t="s">
        <v>21</v>
      </c>
      <c r="D2622" t="s">
        <v>4062</v>
      </c>
      <c r="E2622" t="s">
        <v>5417</v>
      </c>
      <c r="F2622" t="s">
        <v>63</v>
      </c>
      <c r="G2622">
        <v>0.63</v>
      </c>
      <c r="H2622" s="2">
        <v>26600</v>
      </c>
      <c r="I2622" s="2">
        <v>16758</v>
      </c>
    </row>
    <row r="2623" spans="1:9" x14ac:dyDescent="0.25">
      <c r="A2623" t="s">
        <v>1412</v>
      </c>
      <c r="B2623" t="s">
        <v>1413</v>
      </c>
      <c r="C2623" t="s">
        <v>21</v>
      </c>
      <c r="D2623" t="s">
        <v>4062</v>
      </c>
      <c r="E2623" t="s">
        <v>5398</v>
      </c>
      <c r="F2623" t="s">
        <v>63</v>
      </c>
      <c r="G2623">
        <v>1.3</v>
      </c>
      <c r="H2623" s="2">
        <v>349.5</v>
      </c>
      <c r="I2623" s="2">
        <v>454.35</v>
      </c>
    </row>
    <row r="2624" spans="1:9" x14ac:dyDescent="0.25">
      <c r="A2624" t="s">
        <v>1412</v>
      </c>
      <c r="B2624" t="s">
        <v>1413</v>
      </c>
      <c r="C2624" t="s">
        <v>21</v>
      </c>
      <c r="D2624" t="s">
        <v>4049</v>
      </c>
      <c r="E2624" t="s">
        <v>4105</v>
      </c>
      <c r="F2624" t="s">
        <v>4106</v>
      </c>
      <c r="G2624">
        <v>0.15</v>
      </c>
      <c r="H2624" s="2">
        <v>25125</v>
      </c>
      <c r="I2624" s="2">
        <v>3768.75</v>
      </c>
    </row>
    <row r="2625" spans="1:9" x14ac:dyDescent="0.25">
      <c r="A2625" t="s">
        <v>1412</v>
      </c>
      <c r="B2625" t="s">
        <v>1413</v>
      </c>
      <c r="C2625" t="s">
        <v>21</v>
      </c>
      <c r="D2625" t="s">
        <v>4049</v>
      </c>
      <c r="E2625" t="s">
        <v>4050</v>
      </c>
      <c r="F2625" t="s">
        <v>4051</v>
      </c>
      <c r="G2625">
        <v>1.2</v>
      </c>
      <c r="H2625" s="2">
        <v>9037.33</v>
      </c>
      <c r="I2625" s="2">
        <v>10844.8</v>
      </c>
    </row>
    <row r="2626" spans="1:9" x14ac:dyDescent="0.25">
      <c r="A2626" t="s">
        <v>1412</v>
      </c>
      <c r="B2626" t="s">
        <v>1413</v>
      </c>
      <c r="C2626" t="s">
        <v>21</v>
      </c>
      <c r="D2626" t="s">
        <v>4049</v>
      </c>
      <c r="E2626" t="s">
        <v>4073</v>
      </c>
      <c r="F2626" t="s">
        <v>4051</v>
      </c>
      <c r="G2626">
        <v>0.6</v>
      </c>
      <c r="H2626" s="2">
        <v>15517.89</v>
      </c>
      <c r="I2626" s="2">
        <v>9310.73</v>
      </c>
    </row>
    <row r="2627" spans="1:9" x14ac:dyDescent="0.25">
      <c r="A2627" t="s">
        <v>1412</v>
      </c>
      <c r="B2627" t="s">
        <v>1413</v>
      </c>
      <c r="C2627" t="s">
        <v>21</v>
      </c>
      <c r="D2627" t="s">
        <v>4052</v>
      </c>
      <c r="E2627" t="s">
        <v>4053</v>
      </c>
      <c r="F2627" t="s">
        <v>4054</v>
      </c>
      <c r="G2627">
        <v>3.3</v>
      </c>
      <c r="H2627" s="2">
        <v>20155.53</v>
      </c>
      <c r="I2627" s="2">
        <v>665.13</v>
      </c>
    </row>
    <row r="2628" spans="1:9" x14ac:dyDescent="0.25">
      <c r="A2628" t="s">
        <v>1415</v>
      </c>
      <c r="B2628" t="s">
        <v>1416</v>
      </c>
      <c r="C2628" t="s">
        <v>21</v>
      </c>
      <c r="D2628" t="s">
        <v>4062</v>
      </c>
      <c r="E2628" t="s">
        <v>5420</v>
      </c>
      <c r="F2628" t="s">
        <v>63</v>
      </c>
      <c r="G2628">
        <v>0.45</v>
      </c>
      <c r="H2628" s="2">
        <v>35466.67</v>
      </c>
      <c r="I2628" s="2">
        <v>15782.67</v>
      </c>
    </row>
    <row r="2629" spans="1:9" x14ac:dyDescent="0.25">
      <c r="A2629" t="s">
        <v>1415</v>
      </c>
      <c r="B2629" t="s">
        <v>1416</v>
      </c>
      <c r="C2629" t="s">
        <v>21</v>
      </c>
      <c r="D2629" t="s">
        <v>4062</v>
      </c>
      <c r="E2629" t="s">
        <v>5398</v>
      </c>
      <c r="F2629" t="s">
        <v>63</v>
      </c>
      <c r="G2629">
        <v>1.3</v>
      </c>
      <c r="H2629" s="2">
        <v>349.5</v>
      </c>
      <c r="I2629" s="2">
        <v>454.35</v>
      </c>
    </row>
    <row r="2630" spans="1:9" x14ac:dyDescent="0.25">
      <c r="A2630" t="s">
        <v>1415</v>
      </c>
      <c r="B2630" t="s">
        <v>1416</v>
      </c>
      <c r="C2630" t="s">
        <v>21</v>
      </c>
      <c r="D2630" t="s">
        <v>4049</v>
      </c>
      <c r="E2630" t="s">
        <v>4105</v>
      </c>
      <c r="F2630" t="s">
        <v>4106</v>
      </c>
      <c r="G2630">
        <v>0.18</v>
      </c>
      <c r="H2630" s="2">
        <v>25125</v>
      </c>
      <c r="I2630" s="2">
        <v>4396.88</v>
      </c>
    </row>
    <row r="2631" spans="1:9" x14ac:dyDescent="0.25">
      <c r="A2631" t="s">
        <v>1415</v>
      </c>
      <c r="B2631" t="s">
        <v>1416</v>
      </c>
      <c r="C2631" t="s">
        <v>21</v>
      </c>
      <c r="D2631" t="s">
        <v>4049</v>
      </c>
      <c r="E2631" t="s">
        <v>4050</v>
      </c>
      <c r="F2631" t="s">
        <v>4051</v>
      </c>
      <c r="G2631">
        <v>1.4</v>
      </c>
      <c r="H2631" s="2">
        <v>9037.33</v>
      </c>
      <c r="I2631" s="2">
        <v>12652.26</v>
      </c>
    </row>
    <row r="2632" spans="1:9" x14ac:dyDescent="0.25">
      <c r="A2632" t="s">
        <v>1415</v>
      </c>
      <c r="B2632" t="s">
        <v>1416</v>
      </c>
      <c r="C2632" t="s">
        <v>21</v>
      </c>
      <c r="D2632" t="s">
        <v>4049</v>
      </c>
      <c r="E2632" t="s">
        <v>4073</v>
      </c>
      <c r="F2632" t="s">
        <v>4051</v>
      </c>
      <c r="G2632">
        <v>0.7</v>
      </c>
      <c r="H2632" s="2">
        <v>15517.89</v>
      </c>
      <c r="I2632" s="2">
        <v>10862.52</v>
      </c>
    </row>
    <row r="2633" spans="1:9" x14ac:dyDescent="0.25">
      <c r="A2633" t="s">
        <v>1415</v>
      </c>
      <c r="B2633" t="s">
        <v>1416</v>
      </c>
      <c r="C2633" t="s">
        <v>21</v>
      </c>
      <c r="D2633" t="s">
        <v>4052</v>
      </c>
      <c r="E2633" t="s">
        <v>4053</v>
      </c>
      <c r="F2633" t="s">
        <v>4054</v>
      </c>
      <c r="G2633">
        <v>3.3</v>
      </c>
      <c r="H2633" s="2">
        <v>23514.78</v>
      </c>
      <c r="I2633" s="2">
        <v>775.99</v>
      </c>
    </row>
    <row r="2634" spans="1:9" x14ac:dyDescent="0.25">
      <c r="A2634" t="s">
        <v>1418</v>
      </c>
      <c r="B2634" t="s">
        <v>1419</v>
      </c>
      <c r="C2634" t="s">
        <v>21</v>
      </c>
      <c r="D2634" t="s">
        <v>4062</v>
      </c>
      <c r="E2634" t="s">
        <v>5423</v>
      </c>
      <c r="F2634" t="s">
        <v>63</v>
      </c>
      <c r="G2634">
        <v>0.63</v>
      </c>
      <c r="H2634" s="2">
        <v>51099.61</v>
      </c>
      <c r="I2634" s="2">
        <v>32192.75</v>
      </c>
    </row>
    <row r="2635" spans="1:9" x14ac:dyDescent="0.25">
      <c r="A2635" t="s">
        <v>1418</v>
      </c>
      <c r="B2635" t="s">
        <v>1419</v>
      </c>
      <c r="C2635" t="s">
        <v>21</v>
      </c>
      <c r="D2635" t="s">
        <v>4062</v>
      </c>
      <c r="E2635" t="s">
        <v>5398</v>
      </c>
      <c r="F2635" t="s">
        <v>63</v>
      </c>
      <c r="G2635">
        <v>2</v>
      </c>
      <c r="H2635" s="2">
        <v>349.5</v>
      </c>
      <c r="I2635" s="2">
        <v>699</v>
      </c>
    </row>
    <row r="2636" spans="1:9" x14ac:dyDescent="0.25">
      <c r="A2636" t="s">
        <v>1418</v>
      </c>
      <c r="B2636" t="s">
        <v>1419</v>
      </c>
      <c r="C2636" t="s">
        <v>21</v>
      </c>
      <c r="D2636" t="s">
        <v>4049</v>
      </c>
      <c r="E2636" t="s">
        <v>4050</v>
      </c>
      <c r="F2636" t="s">
        <v>4051</v>
      </c>
      <c r="G2636">
        <v>1.2</v>
      </c>
      <c r="H2636" s="2">
        <v>9037.33</v>
      </c>
      <c r="I2636" s="2">
        <v>10844.8</v>
      </c>
    </row>
    <row r="2637" spans="1:9" x14ac:dyDescent="0.25">
      <c r="A2637" t="s">
        <v>1418</v>
      </c>
      <c r="B2637" t="s">
        <v>1419</v>
      </c>
      <c r="C2637" t="s">
        <v>21</v>
      </c>
      <c r="D2637" t="s">
        <v>4049</v>
      </c>
      <c r="E2637" t="s">
        <v>4073</v>
      </c>
      <c r="F2637" t="s">
        <v>4051</v>
      </c>
      <c r="G2637">
        <v>0.6</v>
      </c>
      <c r="H2637" s="2">
        <v>15517.89</v>
      </c>
      <c r="I2637" s="2">
        <v>9310.73</v>
      </c>
    </row>
    <row r="2638" spans="1:9" x14ac:dyDescent="0.25">
      <c r="A2638" t="s">
        <v>1418</v>
      </c>
      <c r="B2638" t="s">
        <v>1419</v>
      </c>
      <c r="C2638" t="s">
        <v>21</v>
      </c>
      <c r="D2638" t="s">
        <v>4052</v>
      </c>
      <c r="E2638" t="s">
        <v>4105</v>
      </c>
      <c r="F2638" t="s">
        <v>4106</v>
      </c>
      <c r="G2638">
        <v>0.15</v>
      </c>
      <c r="H2638" s="2">
        <v>25125</v>
      </c>
      <c r="I2638" s="2">
        <v>3768.75</v>
      </c>
    </row>
    <row r="2639" spans="1:9" x14ac:dyDescent="0.25">
      <c r="A2639" t="s">
        <v>1418</v>
      </c>
      <c r="B2639" t="s">
        <v>1419</v>
      </c>
      <c r="C2639" t="s">
        <v>21</v>
      </c>
      <c r="D2639" t="s">
        <v>4052</v>
      </c>
      <c r="E2639" t="s">
        <v>4053</v>
      </c>
      <c r="F2639" t="s">
        <v>4054</v>
      </c>
      <c r="G2639">
        <v>3.3</v>
      </c>
      <c r="H2639" s="2">
        <v>20155.53</v>
      </c>
      <c r="I2639" s="2">
        <v>665.13</v>
      </c>
    </row>
    <row r="2640" spans="1:9" x14ac:dyDescent="0.25">
      <c r="A2640" t="s">
        <v>1421</v>
      </c>
      <c r="B2640" t="s">
        <v>1422</v>
      </c>
      <c r="C2640" t="s">
        <v>21</v>
      </c>
      <c r="D2640" t="s">
        <v>4062</v>
      </c>
      <c r="E2640" t="s">
        <v>5426</v>
      </c>
      <c r="F2640" t="s">
        <v>21</v>
      </c>
      <c r="G2640">
        <v>1</v>
      </c>
      <c r="H2640" s="2">
        <v>148003.78</v>
      </c>
      <c r="I2640" s="2">
        <v>148003.78</v>
      </c>
    </row>
    <row r="2641" spans="1:9" x14ac:dyDescent="0.25">
      <c r="A2641" t="s">
        <v>1421</v>
      </c>
      <c r="B2641" t="s">
        <v>1422</v>
      </c>
      <c r="C2641" t="s">
        <v>21</v>
      </c>
      <c r="D2641" t="s">
        <v>4049</v>
      </c>
      <c r="E2641" t="s">
        <v>4105</v>
      </c>
      <c r="F2641" t="s">
        <v>4106</v>
      </c>
      <c r="G2641">
        <v>0.18</v>
      </c>
      <c r="H2641" s="2">
        <v>25125</v>
      </c>
      <c r="I2641" s="2">
        <v>4396.88</v>
      </c>
    </row>
    <row r="2642" spans="1:9" x14ac:dyDescent="0.25">
      <c r="A2642" t="s">
        <v>1421</v>
      </c>
      <c r="B2642" t="s">
        <v>1422</v>
      </c>
      <c r="C2642" t="s">
        <v>21</v>
      </c>
      <c r="D2642" t="s">
        <v>4049</v>
      </c>
      <c r="E2642" t="s">
        <v>4050</v>
      </c>
      <c r="F2642" t="s">
        <v>4051</v>
      </c>
      <c r="G2642">
        <v>1.4</v>
      </c>
      <c r="H2642" s="2">
        <v>9037.33</v>
      </c>
      <c r="I2642" s="2">
        <v>12652.26</v>
      </c>
    </row>
    <row r="2643" spans="1:9" x14ac:dyDescent="0.25">
      <c r="A2643" t="s">
        <v>1421</v>
      </c>
      <c r="B2643" t="s">
        <v>1422</v>
      </c>
      <c r="C2643" t="s">
        <v>21</v>
      </c>
      <c r="D2643" t="s">
        <v>4049</v>
      </c>
      <c r="E2643" t="s">
        <v>4073</v>
      </c>
      <c r="F2643" t="s">
        <v>4051</v>
      </c>
      <c r="G2643">
        <v>0.7</v>
      </c>
      <c r="H2643" s="2">
        <v>15517.89</v>
      </c>
      <c r="I2643" s="2">
        <v>10862.52</v>
      </c>
    </row>
    <row r="2644" spans="1:9" x14ac:dyDescent="0.25">
      <c r="A2644" t="s">
        <v>1421</v>
      </c>
      <c r="B2644" t="s">
        <v>1422</v>
      </c>
      <c r="C2644" t="s">
        <v>21</v>
      </c>
      <c r="D2644" t="s">
        <v>4052</v>
      </c>
      <c r="E2644" t="s">
        <v>4053</v>
      </c>
      <c r="F2644" t="s">
        <v>4054</v>
      </c>
      <c r="G2644">
        <v>3.3</v>
      </c>
      <c r="H2644" s="2">
        <v>23514.78</v>
      </c>
      <c r="I2644" s="2">
        <v>775.99</v>
      </c>
    </row>
    <row r="2645" spans="1:9" x14ac:dyDescent="0.25">
      <c r="A2645" t="s">
        <v>1425</v>
      </c>
      <c r="B2645" t="s">
        <v>1426</v>
      </c>
      <c r="C2645" t="s">
        <v>21</v>
      </c>
      <c r="D2645" t="s">
        <v>4062</v>
      </c>
      <c r="E2645" t="s">
        <v>5429</v>
      </c>
      <c r="F2645" t="s">
        <v>63</v>
      </c>
      <c r="G2645">
        <v>0.53</v>
      </c>
      <c r="H2645" s="2">
        <v>45304.33</v>
      </c>
      <c r="I2645" s="2">
        <v>24011.29</v>
      </c>
    </row>
    <row r="2646" spans="1:9" x14ac:dyDescent="0.25">
      <c r="A2646" t="s">
        <v>1425</v>
      </c>
      <c r="B2646" t="s">
        <v>1426</v>
      </c>
      <c r="C2646" t="s">
        <v>21</v>
      </c>
      <c r="D2646" t="s">
        <v>4062</v>
      </c>
      <c r="E2646" t="s">
        <v>5430</v>
      </c>
      <c r="F2646" t="s">
        <v>63</v>
      </c>
      <c r="G2646">
        <v>4</v>
      </c>
      <c r="H2646" s="2">
        <v>345.66</v>
      </c>
      <c r="I2646" s="2">
        <v>1382.64</v>
      </c>
    </row>
    <row r="2647" spans="1:9" x14ac:dyDescent="0.25">
      <c r="A2647" t="s">
        <v>1425</v>
      </c>
      <c r="B2647" t="s">
        <v>1426</v>
      </c>
      <c r="C2647" t="s">
        <v>21</v>
      </c>
      <c r="D2647" t="s">
        <v>4049</v>
      </c>
      <c r="E2647" t="s">
        <v>4050</v>
      </c>
      <c r="F2647" t="s">
        <v>4051</v>
      </c>
      <c r="G2647">
        <v>11</v>
      </c>
      <c r="H2647" s="2">
        <v>9037.33</v>
      </c>
      <c r="I2647" s="2">
        <v>99410.63</v>
      </c>
    </row>
    <row r="2648" spans="1:9" x14ac:dyDescent="0.25">
      <c r="A2648" t="s">
        <v>1425</v>
      </c>
      <c r="B2648" t="s">
        <v>1426</v>
      </c>
      <c r="C2648" t="s">
        <v>21</v>
      </c>
      <c r="D2648" t="s">
        <v>4049</v>
      </c>
      <c r="E2648" t="s">
        <v>4073</v>
      </c>
      <c r="F2648" t="s">
        <v>4051</v>
      </c>
      <c r="G2648">
        <v>5.5</v>
      </c>
      <c r="H2648" s="2">
        <v>15517.89</v>
      </c>
      <c r="I2648" s="2">
        <v>85348.39</v>
      </c>
    </row>
    <row r="2649" spans="1:9" x14ac:dyDescent="0.25">
      <c r="A2649" t="s">
        <v>1425</v>
      </c>
      <c r="B2649" t="s">
        <v>1426</v>
      </c>
      <c r="C2649" t="s">
        <v>21</v>
      </c>
      <c r="D2649" t="s">
        <v>4052</v>
      </c>
      <c r="E2649" t="s">
        <v>4105</v>
      </c>
      <c r="F2649" t="s">
        <v>4106</v>
      </c>
      <c r="G2649">
        <v>0.18</v>
      </c>
      <c r="H2649" s="2">
        <v>25125</v>
      </c>
      <c r="I2649" s="2">
        <v>4396.88</v>
      </c>
    </row>
    <row r="2650" spans="1:9" x14ac:dyDescent="0.25">
      <c r="A2650" t="s">
        <v>1425</v>
      </c>
      <c r="B2650" t="s">
        <v>1426</v>
      </c>
      <c r="C2650" t="s">
        <v>21</v>
      </c>
      <c r="D2650" t="s">
        <v>4052</v>
      </c>
      <c r="E2650" t="s">
        <v>4053</v>
      </c>
      <c r="F2650" t="s">
        <v>4054</v>
      </c>
      <c r="G2650">
        <v>3.3</v>
      </c>
      <c r="H2650" s="2">
        <v>184759.02</v>
      </c>
      <c r="I2650" s="2">
        <v>6097.05</v>
      </c>
    </row>
    <row r="2651" spans="1:9" x14ac:dyDescent="0.25">
      <c r="A2651" t="s">
        <v>1428</v>
      </c>
      <c r="B2651" t="s">
        <v>1429</v>
      </c>
      <c r="C2651" t="s">
        <v>21</v>
      </c>
      <c r="D2651" t="s">
        <v>4062</v>
      </c>
      <c r="E2651" t="s">
        <v>5433</v>
      </c>
      <c r="F2651" t="s">
        <v>63</v>
      </c>
      <c r="G2651">
        <v>0.63</v>
      </c>
      <c r="H2651" s="2">
        <v>41890.67</v>
      </c>
      <c r="I2651" s="2">
        <v>26391.12</v>
      </c>
    </row>
    <row r="2652" spans="1:9" x14ac:dyDescent="0.25">
      <c r="A2652" t="s">
        <v>1428</v>
      </c>
      <c r="B2652" t="s">
        <v>1429</v>
      </c>
      <c r="C2652" t="s">
        <v>21</v>
      </c>
      <c r="D2652" t="s">
        <v>4062</v>
      </c>
      <c r="E2652" t="s">
        <v>4072</v>
      </c>
      <c r="F2652" t="s">
        <v>4066</v>
      </c>
      <c r="G2652">
        <v>1.3</v>
      </c>
      <c r="H2652" s="2">
        <v>3150</v>
      </c>
      <c r="I2652" s="2">
        <v>4095</v>
      </c>
    </row>
    <row r="2653" spans="1:9" x14ac:dyDescent="0.25">
      <c r="A2653" t="s">
        <v>1428</v>
      </c>
      <c r="B2653" t="s">
        <v>1429</v>
      </c>
      <c r="C2653" t="s">
        <v>21</v>
      </c>
      <c r="D2653" t="s">
        <v>4049</v>
      </c>
      <c r="E2653" t="s">
        <v>4050</v>
      </c>
      <c r="F2653" t="s">
        <v>4051</v>
      </c>
      <c r="G2653">
        <v>0.55</v>
      </c>
      <c r="H2653" s="2">
        <v>9037.33</v>
      </c>
      <c r="I2653" s="2">
        <v>4970.53</v>
      </c>
    </row>
    <row r="2654" spans="1:9" x14ac:dyDescent="0.25">
      <c r="A2654" t="s">
        <v>1428</v>
      </c>
      <c r="B2654" t="s">
        <v>1429</v>
      </c>
      <c r="C2654" t="s">
        <v>21</v>
      </c>
      <c r="D2654" t="s">
        <v>4049</v>
      </c>
      <c r="E2654" t="s">
        <v>4073</v>
      </c>
      <c r="F2654" t="s">
        <v>4051</v>
      </c>
      <c r="G2654">
        <v>0.55</v>
      </c>
      <c r="H2654" s="2">
        <v>15517.89</v>
      </c>
      <c r="I2654" s="2">
        <v>8534.84</v>
      </c>
    </row>
    <row r="2655" spans="1:9" x14ac:dyDescent="0.25">
      <c r="A2655" t="s">
        <v>1428</v>
      </c>
      <c r="B2655" t="s">
        <v>1429</v>
      </c>
      <c r="C2655" t="s">
        <v>21</v>
      </c>
      <c r="D2655" t="s">
        <v>4052</v>
      </c>
      <c r="E2655" t="s">
        <v>4105</v>
      </c>
      <c r="F2655" t="s">
        <v>4106</v>
      </c>
      <c r="G2655">
        <v>0.07</v>
      </c>
      <c r="H2655" s="2">
        <v>25125</v>
      </c>
      <c r="I2655" s="2">
        <v>1733.63</v>
      </c>
    </row>
    <row r="2656" spans="1:9" x14ac:dyDescent="0.25">
      <c r="A2656" t="s">
        <v>1428</v>
      </c>
      <c r="B2656" t="s">
        <v>1429</v>
      </c>
      <c r="C2656" t="s">
        <v>21</v>
      </c>
      <c r="D2656" t="s">
        <v>4052</v>
      </c>
      <c r="E2656" t="s">
        <v>4053</v>
      </c>
      <c r="F2656" t="s">
        <v>4054</v>
      </c>
      <c r="G2656">
        <v>3.3</v>
      </c>
      <c r="H2656" s="2">
        <v>13505.37</v>
      </c>
      <c r="I2656" s="2">
        <v>445.68</v>
      </c>
    </row>
    <row r="2657" spans="1:9" x14ac:dyDescent="0.25">
      <c r="A2657" t="s">
        <v>1431</v>
      </c>
      <c r="B2657" t="s">
        <v>1432</v>
      </c>
      <c r="C2657" t="s">
        <v>21</v>
      </c>
      <c r="D2657" t="s">
        <v>4062</v>
      </c>
      <c r="E2657" t="s">
        <v>5436</v>
      </c>
      <c r="F2657" t="s">
        <v>63</v>
      </c>
      <c r="G2657">
        <v>3</v>
      </c>
      <c r="H2657" s="2">
        <v>54</v>
      </c>
      <c r="I2657" s="2">
        <v>162</v>
      </c>
    </row>
    <row r="2658" spans="1:9" x14ac:dyDescent="0.25">
      <c r="A2658" t="s">
        <v>1431</v>
      </c>
      <c r="B2658" t="s">
        <v>1432</v>
      </c>
      <c r="C2658" t="s">
        <v>21</v>
      </c>
      <c r="D2658" t="s">
        <v>4062</v>
      </c>
      <c r="E2658" t="s">
        <v>5437</v>
      </c>
      <c r="F2658" t="s">
        <v>63</v>
      </c>
      <c r="G2658">
        <v>0.12</v>
      </c>
      <c r="H2658" s="2">
        <v>736666.48</v>
      </c>
      <c r="I2658" s="2">
        <v>88399.98</v>
      </c>
    </row>
    <row r="2659" spans="1:9" x14ac:dyDescent="0.25">
      <c r="A2659" t="s">
        <v>1431</v>
      </c>
      <c r="B2659" t="s">
        <v>1432</v>
      </c>
      <c r="C2659" t="s">
        <v>21</v>
      </c>
      <c r="D2659" t="s">
        <v>4049</v>
      </c>
      <c r="E2659" t="s">
        <v>4050</v>
      </c>
      <c r="F2659" t="s">
        <v>4051</v>
      </c>
      <c r="G2659">
        <v>0.6</v>
      </c>
      <c r="H2659" s="2">
        <v>9037.33</v>
      </c>
      <c r="I2659" s="2">
        <v>5422.4</v>
      </c>
    </row>
    <row r="2660" spans="1:9" x14ac:dyDescent="0.25">
      <c r="A2660" t="s">
        <v>1431</v>
      </c>
      <c r="B2660" t="s">
        <v>1432</v>
      </c>
      <c r="C2660" t="s">
        <v>21</v>
      </c>
      <c r="D2660" t="s">
        <v>4049</v>
      </c>
      <c r="E2660" t="s">
        <v>4073</v>
      </c>
      <c r="F2660" t="s">
        <v>4051</v>
      </c>
      <c r="G2660">
        <v>0.6</v>
      </c>
      <c r="H2660" s="2">
        <v>15517.89</v>
      </c>
      <c r="I2660" s="2">
        <v>9310.73</v>
      </c>
    </row>
    <row r="2661" spans="1:9" x14ac:dyDescent="0.25">
      <c r="A2661" t="s">
        <v>1431</v>
      </c>
      <c r="B2661" t="s">
        <v>1432</v>
      </c>
      <c r="C2661" t="s">
        <v>21</v>
      </c>
      <c r="D2661" t="s">
        <v>4052</v>
      </c>
      <c r="E2661" t="s">
        <v>4105</v>
      </c>
      <c r="F2661" t="s">
        <v>4106</v>
      </c>
      <c r="G2661">
        <v>0.08</v>
      </c>
      <c r="H2661" s="2">
        <v>25125</v>
      </c>
      <c r="I2661" s="2">
        <v>1884.38</v>
      </c>
    </row>
    <row r="2662" spans="1:9" x14ac:dyDescent="0.25">
      <c r="A2662" t="s">
        <v>1431</v>
      </c>
      <c r="B2662" t="s">
        <v>1432</v>
      </c>
      <c r="C2662" t="s">
        <v>21</v>
      </c>
      <c r="D2662" t="s">
        <v>4052</v>
      </c>
      <c r="E2662" t="s">
        <v>4053</v>
      </c>
      <c r="F2662" t="s">
        <v>4054</v>
      </c>
      <c r="G2662">
        <v>3.3</v>
      </c>
      <c r="H2662" s="2">
        <v>14733.13</v>
      </c>
      <c r="I2662" s="2">
        <v>486.19</v>
      </c>
    </row>
    <row r="2663" spans="1:9" x14ac:dyDescent="0.25">
      <c r="A2663" t="s">
        <v>1434</v>
      </c>
      <c r="B2663" t="s">
        <v>1435</v>
      </c>
      <c r="C2663" t="s">
        <v>21</v>
      </c>
      <c r="D2663" t="s">
        <v>4062</v>
      </c>
      <c r="E2663" t="s">
        <v>5440</v>
      </c>
      <c r="F2663" t="s">
        <v>63</v>
      </c>
      <c r="G2663">
        <v>0.1</v>
      </c>
      <c r="H2663" s="2">
        <v>417366</v>
      </c>
      <c r="I2663" s="2">
        <v>41736.6</v>
      </c>
    </row>
    <row r="2664" spans="1:9" x14ac:dyDescent="0.25">
      <c r="A2664" t="s">
        <v>1434</v>
      </c>
      <c r="B2664" t="s">
        <v>1435</v>
      </c>
      <c r="C2664" t="s">
        <v>21</v>
      </c>
      <c r="D2664" t="s">
        <v>4062</v>
      </c>
      <c r="E2664" t="s">
        <v>5441</v>
      </c>
      <c r="F2664" t="s">
        <v>63</v>
      </c>
      <c r="G2664">
        <v>4</v>
      </c>
      <c r="H2664" s="2">
        <v>349.5</v>
      </c>
      <c r="I2664" s="2">
        <v>1398</v>
      </c>
    </row>
    <row r="2665" spans="1:9" x14ac:dyDescent="0.25">
      <c r="A2665" t="s">
        <v>1434</v>
      </c>
      <c r="B2665" t="s">
        <v>1435</v>
      </c>
      <c r="C2665" t="s">
        <v>21</v>
      </c>
      <c r="D2665" t="s">
        <v>4049</v>
      </c>
      <c r="E2665" t="s">
        <v>4050</v>
      </c>
      <c r="F2665" t="s">
        <v>4051</v>
      </c>
      <c r="G2665">
        <v>1</v>
      </c>
      <c r="H2665" s="2">
        <v>9037.33</v>
      </c>
      <c r="I2665" s="2">
        <v>9037.33</v>
      </c>
    </row>
    <row r="2666" spans="1:9" x14ac:dyDescent="0.25">
      <c r="A2666" t="s">
        <v>1434</v>
      </c>
      <c r="B2666" t="s">
        <v>1435</v>
      </c>
      <c r="C2666" t="s">
        <v>21</v>
      </c>
      <c r="D2666" t="s">
        <v>4049</v>
      </c>
      <c r="E2666" t="s">
        <v>4073</v>
      </c>
      <c r="F2666" t="s">
        <v>4051</v>
      </c>
      <c r="G2666">
        <v>0.5</v>
      </c>
      <c r="H2666" s="2">
        <v>15517.89</v>
      </c>
      <c r="I2666" s="2">
        <v>7758.94</v>
      </c>
    </row>
    <row r="2667" spans="1:9" x14ac:dyDescent="0.25">
      <c r="A2667" t="s">
        <v>1434</v>
      </c>
      <c r="B2667" t="s">
        <v>1435</v>
      </c>
      <c r="C2667" t="s">
        <v>21</v>
      </c>
      <c r="D2667" t="s">
        <v>4052</v>
      </c>
      <c r="E2667" t="s">
        <v>4105</v>
      </c>
      <c r="F2667" t="s">
        <v>4106</v>
      </c>
      <c r="G2667">
        <v>0.14</v>
      </c>
      <c r="H2667" s="2">
        <v>25125</v>
      </c>
      <c r="I2667" s="2">
        <v>3517.5</v>
      </c>
    </row>
    <row r="2668" spans="1:9" x14ac:dyDescent="0.25">
      <c r="A2668" t="s">
        <v>1434</v>
      </c>
      <c r="B2668" t="s">
        <v>1435</v>
      </c>
      <c r="C2668" t="s">
        <v>21</v>
      </c>
      <c r="D2668" t="s">
        <v>4052</v>
      </c>
      <c r="E2668" t="s">
        <v>4053</v>
      </c>
      <c r="F2668" t="s">
        <v>4054</v>
      </c>
      <c r="G2668">
        <v>3.3</v>
      </c>
      <c r="H2668" s="2">
        <v>16796.27</v>
      </c>
      <c r="I2668" s="2">
        <v>554.28</v>
      </c>
    </row>
    <row r="2669" spans="1:9" x14ac:dyDescent="0.25">
      <c r="A2669" t="s">
        <v>1437</v>
      </c>
      <c r="B2669" t="s">
        <v>1438</v>
      </c>
      <c r="C2669" t="s">
        <v>21</v>
      </c>
      <c r="D2669" t="s">
        <v>4062</v>
      </c>
      <c r="E2669" t="s">
        <v>5444</v>
      </c>
      <c r="F2669" t="s">
        <v>63</v>
      </c>
      <c r="G2669">
        <v>0.1</v>
      </c>
      <c r="H2669" s="2">
        <v>455056.67</v>
      </c>
      <c r="I2669" s="2">
        <v>45505.67</v>
      </c>
    </row>
    <row r="2670" spans="1:9" x14ac:dyDescent="0.25">
      <c r="A2670" t="s">
        <v>1437</v>
      </c>
      <c r="B2670" t="s">
        <v>1438</v>
      </c>
      <c r="C2670" t="s">
        <v>21</v>
      </c>
      <c r="D2670" t="s">
        <v>4062</v>
      </c>
      <c r="E2670" t="s">
        <v>5441</v>
      </c>
      <c r="F2670" t="s">
        <v>63</v>
      </c>
      <c r="G2670">
        <v>4</v>
      </c>
      <c r="H2670" s="2">
        <v>349.5</v>
      </c>
      <c r="I2670" s="2">
        <v>1398</v>
      </c>
    </row>
    <row r="2671" spans="1:9" x14ac:dyDescent="0.25">
      <c r="A2671" t="s">
        <v>1437</v>
      </c>
      <c r="B2671" t="s">
        <v>1438</v>
      </c>
      <c r="C2671" t="s">
        <v>21</v>
      </c>
      <c r="D2671" t="s">
        <v>4049</v>
      </c>
      <c r="E2671" t="s">
        <v>4050</v>
      </c>
      <c r="F2671" t="s">
        <v>4051</v>
      </c>
      <c r="G2671">
        <v>0.65</v>
      </c>
      <c r="H2671" s="2">
        <v>9037.33</v>
      </c>
      <c r="I2671" s="2">
        <v>5874.26</v>
      </c>
    </row>
    <row r="2672" spans="1:9" x14ac:dyDescent="0.25">
      <c r="A2672" t="s">
        <v>1437</v>
      </c>
      <c r="B2672" t="s">
        <v>1438</v>
      </c>
      <c r="C2672" t="s">
        <v>21</v>
      </c>
      <c r="D2672" t="s">
        <v>4049</v>
      </c>
      <c r="E2672" t="s">
        <v>4073</v>
      </c>
      <c r="F2672" t="s">
        <v>4051</v>
      </c>
      <c r="G2672">
        <v>0.65</v>
      </c>
      <c r="H2672" s="2">
        <v>15517.89</v>
      </c>
      <c r="I2672" s="2">
        <v>10086.63</v>
      </c>
    </row>
    <row r="2673" spans="1:9" x14ac:dyDescent="0.25">
      <c r="A2673" t="s">
        <v>1437</v>
      </c>
      <c r="B2673" t="s">
        <v>1438</v>
      </c>
      <c r="C2673" t="s">
        <v>21</v>
      </c>
      <c r="D2673" t="s">
        <v>4052</v>
      </c>
      <c r="E2673" t="s">
        <v>4105</v>
      </c>
      <c r="F2673" t="s">
        <v>4106</v>
      </c>
      <c r="G2673">
        <v>0.08</v>
      </c>
      <c r="H2673" s="2">
        <v>25125</v>
      </c>
      <c r="I2673" s="2">
        <v>2060.25</v>
      </c>
    </row>
    <row r="2674" spans="1:9" x14ac:dyDescent="0.25">
      <c r="A2674" t="s">
        <v>1437</v>
      </c>
      <c r="B2674" t="s">
        <v>1438</v>
      </c>
      <c r="C2674" t="s">
        <v>21</v>
      </c>
      <c r="D2674" t="s">
        <v>4052</v>
      </c>
      <c r="E2674" t="s">
        <v>4053</v>
      </c>
      <c r="F2674" t="s">
        <v>4054</v>
      </c>
      <c r="G2674">
        <v>3.3</v>
      </c>
      <c r="H2674" s="2">
        <v>15960.89</v>
      </c>
      <c r="I2674" s="2">
        <v>526.71</v>
      </c>
    </row>
    <row r="2675" spans="1:9" x14ac:dyDescent="0.25">
      <c r="A2675" t="s">
        <v>1440</v>
      </c>
      <c r="B2675" t="s">
        <v>1441</v>
      </c>
      <c r="C2675" t="s">
        <v>21</v>
      </c>
      <c r="D2675" t="s">
        <v>4062</v>
      </c>
      <c r="E2675" t="s">
        <v>5447</v>
      </c>
      <c r="F2675" t="s">
        <v>42</v>
      </c>
      <c r="G2675">
        <v>2.62</v>
      </c>
      <c r="H2675" s="2">
        <v>5649.5</v>
      </c>
      <c r="I2675" s="2">
        <v>14801.69</v>
      </c>
    </row>
    <row r="2676" spans="1:9" x14ac:dyDescent="0.25">
      <c r="A2676" t="s">
        <v>1440</v>
      </c>
      <c r="B2676" t="s">
        <v>1441</v>
      </c>
      <c r="C2676" t="s">
        <v>21</v>
      </c>
      <c r="D2676" t="s">
        <v>4062</v>
      </c>
      <c r="E2676" t="s">
        <v>4400</v>
      </c>
      <c r="F2676" t="s">
        <v>42</v>
      </c>
      <c r="G2676">
        <v>0.51</v>
      </c>
      <c r="H2676" s="2">
        <v>5286.26</v>
      </c>
      <c r="I2676" s="2">
        <v>2695.99</v>
      </c>
    </row>
    <row r="2677" spans="1:9" x14ac:dyDescent="0.25">
      <c r="A2677" t="s">
        <v>1440</v>
      </c>
      <c r="B2677" t="s">
        <v>1441</v>
      </c>
      <c r="C2677" t="s">
        <v>21</v>
      </c>
      <c r="D2677" t="s">
        <v>4062</v>
      </c>
      <c r="E2677" t="s">
        <v>4065</v>
      </c>
      <c r="F2677" t="s">
        <v>4066</v>
      </c>
      <c r="G2677">
        <v>0.2</v>
      </c>
      <c r="H2677" s="2">
        <v>3433</v>
      </c>
      <c r="I2677" s="2">
        <v>686.6</v>
      </c>
    </row>
    <row r="2678" spans="1:9" x14ac:dyDescent="0.25">
      <c r="A2678" t="s">
        <v>1440</v>
      </c>
      <c r="B2678" t="s">
        <v>1441</v>
      </c>
      <c r="C2678" t="s">
        <v>21</v>
      </c>
      <c r="D2678" t="s">
        <v>4049</v>
      </c>
      <c r="E2678" t="s">
        <v>4050</v>
      </c>
      <c r="F2678" t="s">
        <v>4051</v>
      </c>
      <c r="G2678">
        <v>1</v>
      </c>
      <c r="H2678" s="2">
        <v>9037.33</v>
      </c>
      <c r="I2678" s="2">
        <v>9037.33</v>
      </c>
    </row>
    <row r="2679" spans="1:9" x14ac:dyDescent="0.25">
      <c r="A2679" t="s">
        <v>1440</v>
      </c>
      <c r="B2679" t="s">
        <v>1441</v>
      </c>
      <c r="C2679" t="s">
        <v>21</v>
      </c>
      <c r="D2679" t="s">
        <v>4049</v>
      </c>
      <c r="E2679" t="s">
        <v>4073</v>
      </c>
      <c r="F2679" t="s">
        <v>4051</v>
      </c>
      <c r="G2679">
        <v>1</v>
      </c>
      <c r="H2679" s="2">
        <v>15517.89</v>
      </c>
      <c r="I2679" s="2">
        <v>15517.89</v>
      </c>
    </row>
    <row r="2680" spans="1:9" x14ac:dyDescent="0.25">
      <c r="A2680" t="s">
        <v>1440</v>
      </c>
      <c r="B2680" t="s">
        <v>1441</v>
      </c>
      <c r="C2680" t="s">
        <v>21</v>
      </c>
      <c r="D2680" t="s">
        <v>4052</v>
      </c>
      <c r="E2680" t="s">
        <v>4105</v>
      </c>
      <c r="F2680" t="s">
        <v>4106</v>
      </c>
      <c r="G2680">
        <v>0.13</v>
      </c>
      <c r="H2680" s="2">
        <v>25125</v>
      </c>
      <c r="I2680" s="2">
        <v>3140.63</v>
      </c>
    </row>
    <row r="2681" spans="1:9" x14ac:dyDescent="0.25">
      <c r="A2681" t="s">
        <v>1440</v>
      </c>
      <c r="B2681" t="s">
        <v>1441</v>
      </c>
      <c r="C2681" t="s">
        <v>21</v>
      </c>
      <c r="D2681" t="s">
        <v>4052</v>
      </c>
      <c r="E2681" t="s">
        <v>4053</v>
      </c>
      <c r="F2681" t="s">
        <v>4054</v>
      </c>
      <c r="G2681">
        <v>3.3</v>
      </c>
      <c r="H2681" s="2">
        <v>24555.22</v>
      </c>
      <c r="I2681" s="2">
        <v>810.32</v>
      </c>
    </row>
    <row r="2682" spans="1:9" x14ac:dyDescent="0.25">
      <c r="A2682" t="s">
        <v>1443</v>
      </c>
      <c r="B2682" t="s">
        <v>1444</v>
      </c>
      <c r="C2682" t="s">
        <v>21</v>
      </c>
      <c r="D2682" t="s">
        <v>4062</v>
      </c>
      <c r="E2682" t="s">
        <v>5447</v>
      </c>
      <c r="F2682" t="s">
        <v>42</v>
      </c>
      <c r="G2682">
        <v>2.62</v>
      </c>
      <c r="H2682" s="2">
        <v>5649.5</v>
      </c>
      <c r="I2682" s="2">
        <v>14801.69</v>
      </c>
    </row>
    <row r="2683" spans="1:9" x14ac:dyDescent="0.25">
      <c r="A2683" t="s">
        <v>1443</v>
      </c>
      <c r="B2683" t="s">
        <v>1444</v>
      </c>
      <c r="C2683" t="s">
        <v>21</v>
      </c>
      <c r="D2683" t="s">
        <v>4062</v>
      </c>
      <c r="E2683" t="s">
        <v>4400</v>
      </c>
      <c r="F2683" t="s">
        <v>42</v>
      </c>
      <c r="G2683">
        <v>0.51</v>
      </c>
      <c r="H2683" s="2">
        <v>5286.26</v>
      </c>
      <c r="I2683" s="2">
        <v>2695.99</v>
      </c>
    </row>
    <row r="2684" spans="1:9" x14ac:dyDescent="0.25">
      <c r="A2684" t="s">
        <v>1443</v>
      </c>
      <c r="B2684" t="s">
        <v>1444</v>
      </c>
      <c r="C2684" t="s">
        <v>21</v>
      </c>
      <c r="D2684" t="s">
        <v>4062</v>
      </c>
      <c r="E2684" t="s">
        <v>4065</v>
      </c>
      <c r="F2684" t="s">
        <v>4066</v>
      </c>
      <c r="G2684">
        <v>0.2</v>
      </c>
      <c r="H2684" s="2">
        <v>3433</v>
      </c>
      <c r="I2684" s="2">
        <v>686.6</v>
      </c>
    </row>
    <row r="2685" spans="1:9" x14ac:dyDescent="0.25">
      <c r="A2685" t="s">
        <v>1443</v>
      </c>
      <c r="B2685" t="s">
        <v>1444</v>
      </c>
      <c r="C2685" t="s">
        <v>21</v>
      </c>
      <c r="D2685" t="s">
        <v>4049</v>
      </c>
      <c r="E2685" t="s">
        <v>4050</v>
      </c>
      <c r="F2685" t="s">
        <v>4051</v>
      </c>
      <c r="G2685">
        <v>1</v>
      </c>
      <c r="H2685" s="2">
        <v>9037.33</v>
      </c>
      <c r="I2685" s="2">
        <v>9037.33</v>
      </c>
    </row>
    <row r="2686" spans="1:9" x14ac:dyDescent="0.25">
      <c r="A2686" t="s">
        <v>1443</v>
      </c>
      <c r="B2686" t="s">
        <v>1444</v>
      </c>
      <c r="C2686" t="s">
        <v>21</v>
      </c>
      <c r="D2686" t="s">
        <v>4049</v>
      </c>
      <c r="E2686" t="s">
        <v>4073</v>
      </c>
      <c r="F2686" t="s">
        <v>4051</v>
      </c>
      <c r="G2686">
        <v>1</v>
      </c>
      <c r="H2686" s="2">
        <v>15517.89</v>
      </c>
      <c r="I2686" s="2">
        <v>15517.89</v>
      </c>
    </row>
    <row r="2687" spans="1:9" x14ac:dyDescent="0.25">
      <c r="A2687" t="s">
        <v>1443</v>
      </c>
      <c r="B2687" t="s">
        <v>1444</v>
      </c>
      <c r="C2687" t="s">
        <v>21</v>
      </c>
      <c r="D2687" t="s">
        <v>4052</v>
      </c>
      <c r="E2687" t="s">
        <v>4105</v>
      </c>
      <c r="F2687" t="s">
        <v>4106</v>
      </c>
      <c r="G2687">
        <v>0.13</v>
      </c>
      <c r="H2687" s="2">
        <v>25125</v>
      </c>
      <c r="I2687" s="2">
        <v>3140.63</v>
      </c>
    </row>
    <row r="2688" spans="1:9" x14ac:dyDescent="0.25">
      <c r="A2688" t="s">
        <v>1443</v>
      </c>
      <c r="B2688" t="s">
        <v>1444</v>
      </c>
      <c r="C2688" t="s">
        <v>21</v>
      </c>
      <c r="D2688" t="s">
        <v>4052</v>
      </c>
      <c r="E2688" t="s">
        <v>4053</v>
      </c>
      <c r="F2688" t="s">
        <v>4054</v>
      </c>
      <c r="G2688">
        <v>3.3</v>
      </c>
      <c r="H2688" s="2">
        <v>24555.22</v>
      </c>
      <c r="I2688" s="2">
        <v>810.32</v>
      </c>
    </row>
    <row r="2689" spans="1:9" x14ac:dyDescent="0.25">
      <c r="A2689" t="s">
        <v>1445</v>
      </c>
      <c r="B2689" t="s">
        <v>1446</v>
      </c>
      <c r="C2689" t="s">
        <v>21</v>
      </c>
      <c r="D2689" t="s">
        <v>4062</v>
      </c>
      <c r="E2689" t="s">
        <v>5451</v>
      </c>
      <c r="F2689" t="s">
        <v>42</v>
      </c>
      <c r="G2689">
        <v>2.62</v>
      </c>
      <c r="H2689" s="2">
        <v>5898.71</v>
      </c>
      <c r="I2689" s="2">
        <v>15454.62</v>
      </c>
    </row>
    <row r="2690" spans="1:9" x14ac:dyDescent="0.25">
      <c r="A2690" t="s">
        <v>1445</v>
      </c>
      <c r="B2690" t="s">
        <v>1446</v>
      </c>
      <c r="C2690" t="s">
        <v>21</v>
      </c>
      <c r="D2690" t="s">
        <v>4062</v>
      </c>
      <c r="E2690" t="s">
        <v>4400</v>
      </c>
      <c r="F2690" t="s">
        <v>42</v>
      </c>
      <c r="G2690">
        <v>1.03</v>
      </c>
      <c r="H2690" s="2">
        <v>5286.26</v>
      </c>
      <c r="I2690" s="2">
        <v>5444.85</v>
      </c>
    </row>
    <row r="2691" spans="1:9" x14ac:dyDescent="0.25">
      <c r="A2691" t="s">
        <v>1445</v>
      </c>
      <c r="B2691" t="s">
        <v>1446</v>
      </c>
      <c r="C2691" t="s">
        <v>21</v>
      </c>
      <c r="D2691" t="s">
        <v>4062</v>
      </c>
      <c r="E2691" t="s">
        <v>4065</v>
      </c>
      <c r="F2691" t="s">
        <v>4066</v>
      </c>
      <c r="G2691">
        <v>0.3</v>
      </c>
      <c r="H2691" s="2">
        <v>3433</v>
      </c>
      <c r="I2691" s="2">
        <v>1029.9</v>
      </c>
    </row>
    <row r="2692" spans="1:9" x14ac:dyDescent="0.25">
      <c r="A2692" t="s">
        <v>1445</v>
      </c>
      <c r="B2692" t="s">
        <v>1446</v>
      </c>
      <c r="C2692" t="s">
        <v>21</v>
      </c>
      <c r="D2692" t="s">
        <v>4049</v>
      </c>
      <c r="E2692" t="s">
        <v>4050</v>
      </c>
      <c r="F2692" t="s">
        <v>4051</v>
      </c>
      <c r="G2692">
        <v>1.85</v>
      </c>
      <c r="H2692" s="2">
        <v>9037.33</v>
      </c>
      <c r="I2692" s="2">
        <v>16719.06</v>
      </c>
    </row>
    <row r="2693" spans="1:9" x14ac:dyDescent="0.25">
      <c r="A2693" t="s">
        <v>1445</v>
      </c>
      <c r="B2693" t="s">
        <v>1446</v>
      </c>
      <c r="C2693" t="s">
        <v>21</v>
      </c>
      <c r="D2693" t="s">
        <v>4049</v>
      </c>
      <c r="E2693" t="s">
        <v>4073</v>
      </c>
      <c r="F2693" t="s">
        <v>4051</v>
      </c>
      <c r="G2693">
        <v>1.85</v>
      </c>
      <c r="H2693" s="2">
        <v>15517.89</v>
      </c>
      <c r="I2693" s="2">
        <v>28708.1</v>
      </c>
    </row>
    <row r="2694" spans="1:9" x14ac:dyDescent="0.25">
      <c r="A2694" t="s">
        <v>1445</v>
      </c>
      <c r="B2694" t="s">
        <v>1446</v>
      </c>
      <c r="C2694" t="s">
        <v>21</v>
      </c>
      <c r="D2694" t="s">
        <v>4052</v>
      </c>
      <c r="E2694" t="s">
        <v>4105</v>
      </c>
      <c r="F2694" t="s">
        <v>4106</v>
      </c>
      <c r="G2694">
        <v>0.23</v>
      </c>
      <c r="H2694" s="2">
        <v>25125</v>
      </c>
      <c r="I2694" s="2">
        <v>5778.75</v>
      </c>
    </row>
    <row r="2695" spans="1:9" x14ac:dyDescent="0.25">
      <c r="A2695" t="s">
        <v>1445</v>
      </c>
      <c r="B2695" t="s">
        <v>1446</v>
      </c>
      <c r="C2695" t="s">
        <v>21</v>
      </c>
      <c r="D2695" t="s">
        <v>4052</v>
      </c>
      <c r="E2695" t="s">
        <v>4053</v>
      </c>
      <c r="F2695" t="s">
        <v>4054</v>
      </c>
      <c r="G2695">
        <v>3.3</v>
      </c>
      <c r="H2695" s="2">
        <v>45427.16</v>
      </c>
      <c r="I2695" s="2">
        <v>1499.1</v>
      </c>
    </row>
    <row r="2696" spans="1:9" x14ac:dyDescent="0.25">
      <c r="A2696" t="s">
        <v>1448</v>
      </c>
      <c r="B2696" t="s">
        <v>1449</v>
      </c>
      <c r="C2696" t="s">
        <v>42</v>
      </c>
      <c r="D2696" t="s">
        <v>4062</v>
      </c>
      <c r="E2696" t="s">
        <v>4679</v>
      </c>
      <c r="F2696" t="s">
        <v>63</v>
      </c>
      <c r="G2696">
        <v>0.2</v>
      </c>
      <c r="H2696" s="2">
        <v>41500</v>
      </c>
      <c r="I2696" s="2">
        <v>8300</v>
      </c>
    </row>
    <row r="2697" spans="1:9" x14ac:dyDescent="0.25">
      <c r="A2697" t="s">
        <v>1448</v>
      </c>
      <c r="B2697" t="s">
        <v>1449</v>
      </c>
      <c r="C2697" t="s">
        <v>42</v>
      </c>
      <c r="D2697" t="s">
        <v>4062</v>
      </c>
      <c r="E2697" t="s">
        <v>5454</v>
      </c>
      <c r="F2697" t="s">
        <v>63</v>
      </c>
      <c r="G2697">
        <v>0.2</v>
      </c>
      <c r="H2697" s="2">
        <v>38550.36</v>
      </c>
      <c r="I2697" s="2">
        <v>7710.07</v>
      </c>
    </row>
    <row r="2698" spans="1:9" x14ac:dyDescent="0.25">
      <c r="A2698" t="s">
        <v>1448</v>
      </c>
      <c r="B2698" t="s">
        <v>1449</v>
      </c>
      <c r="C2698" t="s">
        <v>42</v>
      </c>
      <c r="D2698" t="s">
        <v>4049</v>
      </c>
      <c r="E2698" t="s">
        <v>4105</v>
      </c>
      <c r="F2698" t="s">
        <v>4106</v>
      </c>
      <c r="G2698">
        <v>0.09</v>
      </c>
      <c r="H2698" s="2">
        <v>25125</v>
      </c>
      <c r="I2698" s="2">
        <v>2185.88</v>
      </c>
    </row>
    <row r="2699" spans="1:9" x14ac:dyDescent="0.25">
      <c r="A2699" t="s">
        <v>1448</v>
      </c>
      <c r="B2699" t="s">
        <v>1449</v>
      </c>
      <c r="C2699" t="s">
        <v>42</v>
      </c>
      <c r="D2699" t="s">
        <v>4049</v>
      </c>
      <c r="E2699" t="s">
        <v>4050</v>
      </c>
      <c r="F2699" t="s">
        <v>4051</v>
      </c>
      <c r="G2699">
        <v>0.7</v>
      </c>
      <c r="H2699" s="2">
        <v>9037.33</v>
      </c>
      <c r="I2699" s="2">
        <v>6326.13</v>
      </c>
    </row>
    <row r="2700" spans="1:9" x14ac:dyDescent="0.25">
      <c r="A2700" t="s">
        <v>1448</v>
      </c>
      <c r="B2700" t="s">
        <v>1449</v>
      </c>
      <c r="C2700" t="s">
        <v>42</v>
      </c>
      <c r="D2700" t="s">
        <v>4049</v>
      </c>
      <c r="E2700" t="s">
        <v>4073</v>
      </c>
      <c r="F2700" t="s">
        <v>4051</v>
      </c>
      <c r="G2700">
        <v>0.7</v>
      </c>
      <c r="H2700" s="2">
        <v>15517.89</v>
      </c>
      <c r="I2700" s="2">
        <v>10862.52</v>
      </c>
    </row>
    <row r="2701" spans="1:9" x14ac:dyDescent="0.25">
      <c r="A2701" t="s">
        <v>1448</v>
      </c>
      <c r="B2701" t="s">
        <v>1449</v>
      </c>
      <c r="C2701" t="s">
        <v>42</v>
      </c>
      <c r="D2701" t="s">
        <v>4052</v>
      </c>
      <c r="E2701" t="s">
        <v>4053</v>
      </c>
      <c r="F2701" t="s">
        <v>4054</v>
      </c>
      <c r="G2701">
        <v>3.3</v>
      </c>
      <c r="H2701" s="2">
        <v>17188.65</v>
      </c>
      <c r="I2701" s="2">
        <v>567.23</v>
      </c>
    </row>
    <row r="2702" spans="1:9" x14ac:dyDescent="0.25">
      <c r="A2702" t="s">
        <v>1451</v>
      </c>
      <c r="B2702" t="s">
        <v>1452</v>
      </c>
      <c r="C2702" t="s">
        <v>42</v>
      </c>
      <c r="D2702" t="s">
        <v>4062</v>
      </c>
      <c r="E2702" t="s">
        <v>4262</v>
      </c>
      <c r="F2702" t="s">
        <v>63</v>
      </c>
      <c r="G2702">
        <v>13</v>
      </c>
      <c r="H2702" s="2">
        <v>415</v>
      </c>
      <c r="I2702" s="2">
        <v>5395</v>
      </c>
    </row>
    <row r="2703" spans="1:9" x14ac:dyDescent="0.25">
      <c r="A2703" t="s">
        <v>1451</v>
      </c>
      <c r="B2703" t="s">
        <v>1452</v>
      </c>
      <c r="C2703" t="s">
        <v>42</v>
      </c>
      <c r="D2703" t="s">
        <v>4062</v>
      </c>
      <c r="E2703" t="s">
        <v>3978</v>
      </c>
      <c r="F2703" t="s">
        <v>34</v>
      </c>
      <c r="G2703">
        <v>0.02</v>
      </c>
      <c r="H2703" s="2">
        <v>409741.65</v>
      </c>
      <c r="I2703" s="2">
        <v>8194.83</v>
      </c>
    </row>
    <row r="2704" spans="1:9" x14ac:dyDescent="0.25">
      <c r="A2704" t="s">
        <v>1451</v>
      </c>
      <c r="B2704" t="s">
        <v>1452</v>
      </c>
      <c r="C2704" t="s">
        <v>42</v>
      </c>
      <c r="D2704" t="s">
        <v>4049</v>
      </c>
      <c r="E2704" t="s">
        <v>4050</v>
      </c>
      <c r="F2704" t="s">
        <v>4051</v>
      </c>
      <c r="G2704">
        <v>0.85</v>
      </c>
      <c r="H2704" s="2">
        <v>9037.33</v>
      </c>
      <c r="I2704" s="2">
        <v>7681.73</v>
      </c>
    </row>
    <row r="2705" spans="1:9" x14ac:dyDescent="0.25">
      <c r="A2705" t="s">
        <v>1451</v>
      </c>
      <c r="B2705" t="s">
        <v>1452</v>
      </c>
      <c r="C2705" t="s">
        <v>42</v>
      </c>
      <c r="D2705" t="s">
        <v>4049</v>
      </c>
      <c r="E2705" t="s">
        <v>4073</v>
      </c>
      <c r="F2705" t="s">
        <v>4051</v>
      </c>
      <c r="G2705">
        <v>0.85</v>
      </c>
      <c r="H2705" s="2">
        <v>15517.89</v>
      </c>
      <c r="I2705" s="2">
        <v>13190.21</v>
      </c>
    </row>
    <row r="2706" spans="1:9" x14ac:dyDescent="0.25">
      <c r="A2706" t="s">
        <v>1451</v>
      </c>
      <c r="B2706" t="s">
        <v>1452</v>
      </c>
      <c r="C2706" t="s">
        <v>42</v>
      </c>
      <c r="D2706" t="s">
        <v>4052</v>
      </c>
      <c r="E2706" t="s">
        <v>4053</v>
      </c>
      <c r="F2706" t="s">
        <v>4054</v>
      </c>
      <c r="G2706">
        <v>3.3</v>
      </c>
      <c r="H2706" s="2">
        <v>20871.94</v>
      </c>
      <c r="I2706" s="2">
        <v>688.77</v>
      </c>
    </row>
    <row r="2707" spans="1:9" x14ac:dyDescent="0.25">
      <c r="A2707" t="s">
        <v>1454</v>
      </c>
      <c r="B2707" t="s">
        <v>1455</v>
      </c>
      <c r="C2707" t="s">
        <v>42</v>
      </c>
      <c r="D2707" t="s">
        <v>4062</v>
      </c>
      <c r="E2707" t="s">
        <v>3975</v>
      </c>
      <c r="F2707" t="s">
        <v>34</v>
      </c>
      <c r="G2707">
        <v>0.04</v>
      </c>
      <c r="H2707" s="2">
        <v>586929.15</v>
      </c>
      <c r="I2707" s="2">
        <v>23477.17</v>
      </c>
    </row>
    <row r="2708" spans="1:9" x14ac:dyDescent="0.25">
      <c r="A2708" t="s">
        <v>1454</v>
      </c>
      <c r="B2708" t="s">
        <v>1455</v>
      </c>
      <c r="C2708" t="s">
        <v>42</v>
      </c>
      <c r="D2708" t="s">
        <v>4062</v>
      </c>
      <c r="E2708" t="s">
        <v>5459</v>
      </c>
      <c r="F2708" t="s">
        <v>4532</v>
      </c>
      <c r="G2708">
        <v>0.09</v>
      </c>
      <c r="H2708" s="2">
        <v>111604.33</v>
      </c>
      <c r="I2708" s="2">
        <v>10044.39</v>
      </c>
    </row>
    <row r="2709" spans="1:9" x14ac:dyDescent="0.25">
      <c r="A2709" t="s">
        <v>1454</v>
      </c>
      <c r="B2709" t="s">
        <v>1455</v>
      </c>
      <c r="C2709" t="s">
        <v>42</v>
      </c>
      <c r="D2709" t="s">
        <v>4049</v>
      </c>
      <c r="E2709" t="s">
        <v>4050</v>
      </c>
      <c r="F2709" t="s">
        <v>4051</v>
      </c>
      <c r="G2709">
        <v>1.5</v>
      </c>
      <c r="H2709" s="2">
        <v>9037.33</v>
      </c>
      <c r="I2709" s="2">
        <v>13555.99</v>
      </c>
    </row>
    <row r="2710" spans="1:9" x14ac:dyDescent="0.25">
      <c r="A2710" t="s">
        <v>1454</v>
      </c>
      <c r="B2710" t="s">
        <v>1455</v>
      </c>
      <c r="C2710" t="s">
        <v>42</v>
      </c>
      <c r="D2710" t="s">
        <v>4049</v>
      </c>
      <c r="E2710" t="s">
        <v>4073</v>
      </c>
      <c r="F2710" t="s">
        <v>4051</v>
      </c>
      <c r="G2710">
        <v>0.75</v>
      </c>
      <c r="H2710" s="2">
        <v>15517.89</v>
      </c>
      <c r="I2710" s="2">
        <v>11638.42</v>
      </c>
    </row>
    <row r="2711" spans="1:9" x14ac:dyDescent="0.25">
      <c r="A2711" t="s">
        <v>1454</v>
      </c>
      <c r="B2711" t="s">
        <v>1455</v>
      </c>
      <c r="C2711" t="s">
        <v>42</v>
      </c>
      <c r="D2711" t="s">
        <v>4052</v>
      </c>
      <c r="E2711" t="s">
        <v>4053</v>
      </c>
      <c r="F2711" t="s">
        <v>4054</v>
      </c>
      <c r="G2711">
        <v>3.3</v>
      </c>
      <c r="H2711" s="2">
        <v>25194.41</v>
      </c>
      <c r="I2711" s="2">
        <v>831.42</v>
      </c>
    </row>
    <row r="2712" spans="1:9" x14ac:dyDescent="0.25">
      <c r="A2712" t="s">
        <v>1458</v>
      </c>
      <c r="B2712" t="s">
        <v>1459</v>
      </c>
      <c r="C2712" t="s">
        <v>21</v>
      </c>
      <c r="D2712" t="s">
        <v>4062</v>
      </c>
      <c r="E2712" t="s">
        <v>5462</v>
      </c>
      <c r="F2712" t="s">
        <v>63</v>
      </c>
      <c r="G2712">
        <v>9</v>
      </c>
      <c r="H2712" s="2">
        <v>779.89</v>
      </c>
      <c r="I2712" s="2">
        <v>7019.01</v>
      </c>
    </row>
    <row r="2713" spans="1:9" x14ac:dyDescent="0.25">
      <c r="A2713" t="s">
        <v>1458</v>
      </c>
      <c r="B2713" t="s">
        <v>1459</v>
      </c>
      <c r="C2713" t="s">
        <v>21</v>
      </c>
      <c r="D2713" t="s">
        <v>4062</v>
      </c>
      <c r="E2713" t="s">
        <v>5463</v>
      </c>
      <c r="F2713" t="s">
        <v>21</v>
      </c>
      <c r="G2713">
        <v>1.05</v>
      </c>
      <c r="H2713" s="2">
        <v>26539.9</v>
      </c>
      <c r="I2713" s="2">
        <v>27866.9</v>
      </c>
    </row>
    <row r="2714" spans="1:9" x14ac:dyDescent="0.25">
      <c r="A2714" t="s">
        <v>1458</v>
      </c>
      <c r="B2714" t="s">
        <v>1459</v>
      </c>
      <c r="C2714" t="s">
        <v>21</v>
      </c>
      <c r="D2714" t="s">
        <v>4049</v>
      </c>
      <c r="E2714" t="s">
        <v>4105</v>
      </c>
      <c r="F2714" t="s">
        <v>4106</v>
      </c>
      <c r="G2714">
        <v>0.08</v>
      </c>
      <c r="H2714" s="2">
        <v>25125</v>
      </c>
      <c r="I2714" s="2">
        <v>1884.38</v>
      </c>
    </row>
    <row r="2715" spans="1:9" x14ac:dyDescent="0.25">
      <c r="A2715" t="s">
        <v>1458</v>
      </c>
      <c r="B2715" t="s">
        <v>1459</v>
      </c>
      <c r="C2715" t="s">
        <v>21</v>
      </c>
      <c r="D2715" t="s">
        <v>4049</v>
      </c>
      <c r="E2715" t="s">
        <v>4050</v>
      </c>
      <c r="F2715" t="s">
        <v>4051</v>
      </c>
      <c r="G2715">
        <v>0.6</v>
      </c>
      <c r="H2715" s="2">
        <v>9037.33</v>
      </c>
      <c r="I2715" s="2">
        <v>5422.4</v>
      </c>
    </row>
    <row r="2716" spans="1:9" x14ac:dyDescent="0.25">
      <c r="A2716" t="s">
        <v>1458</v>
      </c>
      <c r="B2716" t="s">
        <v>1459</v>
      </c>
      <c r="C2716" t="s">
        <v>21</v>
      </c>
      <c r="D2716" t="s">
        <v>4049</v>
      </c>
      <c r="E2716" t="s">
        <v>4073</v>
      </c>
      <c r="F2716" t="s">
        <v>4051</v>
      </c>
      <c r="G2716">
        <v>0.6</v>
      </c>
      <c r="H2716" s="2">
        <v>15517.89</v>
      </c>
      <c r="I2716" s="2">
        <v>9310.73</v>
      </c>
    </row>
    <row r="2717" spans="1:9" x14ac:dyDescent="0.25">
      <c r="A2717" t="s">
        <v>1458</v>
      </c>
      <c r="B2717" t="s">
        <v>1459</v>
      </c>
      <c r="C2717" t="s">
        <v>21</v>
      </c>
      <c r="D2717" t="s">
        <v>4052</v>
      </c>
      <c r="E2717" t="s">
        <v>4053</v>
      </c>
      <c r="F2717" t="s">
        <v>4054</v>
      </c>
      <c r="G2717">
        <v>3.3</v>
      </c>
      <c r="H2717" s="2">
        <v>14733.13</v>
      </c>
      <c r="I2717" s="2">
        <v>486.19</v>
      </c>
    </row>
    <row r="2718" spans="1:9" x14ac:dyDescent="0.25">
      <c r="A2718" t="s">
        <v>1462</v>
      </c>
      <c r="B2718" t="s">
        <v>1463</v>
      </c>
      <c r="C2718" t="s">
        <v>21</v>
      </c>
      <c r="D2718" t="s">
        <v>4062</v>
      </c>
      <c r="E2718" t="s">
        <v>4675</v>
      </c>
      <c r="F2718" t="s">
        <v>4171</v>
      </c>
      <c r="G2718">
        <v>1</v>
      </c>
      <c r="H2718" s="2">
        <v>1106.41</v>
      </c>
      <c r="I2718" s="2">
        <v>1106.41</v>
      </c>
    </row>
    <row r="2719" spans="1:9" x14ac:dyDescent="0.25">
      <c r="A2719" t="s">
        <v>1462</v>
      </c>
      <c r="B2719" t="s">
        <v>1463</v>
      </c>
      <c r="C2719" t="s">
        <v>21</v>
      </c>
      <c r="D2719" t="s">
        <v>4062</v>
      </c>
      <c r="E2719" t="s">
        <v>5466</v>
      </c>
      <c r="F2719" t="s">
        <v>21</v>
      </c>
      <c r="G2719">
        <v>1.05</v>
      </c>
      <c r="H2719" s="2">
        <v>29667</v>
      </c>
      <c r="I2719" s="2">
        <v>31150.35</v>
      </c>
    </row>
    <row r="2720" spans="1:9" x14ac:dyDescent="0.25">
      <c r="A2720" t="s">
        <v>1462</v>
      </c>
      <c r="B2720" t="s">
        <v>1463</v>
      </c>
      <c r="C2720" t="s">
        <v>21</v>
      </c>
      <c r="D2720" t="s">
        <v>4049</v>
      </c>
      <c r="E2720" t="s">
        <v>4105</v>
      </c>
      <c r="F2720" t="s">
        <v>4106</v>
      </c>
      <c r="G2720">
        <v>0.08</v>
      </c>
      <c r="H2720" s="2">
        <v>25125</v>
      </c>
      <c r="I2720" s="2">
        <v>1884.38</v>
      </c>
    </row>
    <row r="2721" spans="1:9" x14ac:dyDescent="0.25">
      <c r="A2721" t="s">
        <v>1462</v>
      </c>
      <c r="B2721" t="s">
        <v>1463</v>
      </c>
      <c r="C2721" t="s">
        <v>21</v>
      </c>
      <c r="D2721" t="s">
        <v>4049</v>
      </c>
      <c r="E2721" t="s">
        <v>4050</v>
      </c>
      <c r="F2721" t="s">
        <v>4051</v>
      </c>
      <c r="G2721">
        <v>0.6</v>
      </c>
      <c r="H2721" s="2">
        <v>9037.33</v>
      </c>
      <c r="I2721" s="2">
        <v>5422.4</v>
      </c>
    </row>
    <row r="2722" spans="1:9" x14ac:dyDescent="0.25">
      <c r="A2722" t="s">
        <v>1462</v>
      </c>
      <c r="B2722" t="s">
        <v>1463</v>
      </c>
      <c r="C2722" t="s">
        <v>21</v>
      </c>
      <c r="D2722" t="s">
        <v>4049</v>
      </c>
      <c r="E2722" t="s">
        <v>4073</v>
      </c>
      <c r="F2722" t="s">
        <v>4051</v>
      </c>
      <c r="G2722">
        <v>0.6</v>
      </c>
      <c r="H2722" s="2">
        <v>15517.89</v>
      </c>
      <c r="I2722" s="2">
        <v>9310.73</v>
      </c>
    </row>
    <row r="2723" spans="1:9" x14ac:dyDescent="0.25">
      <c r="A2723" t="s">
        <v>1462</v>
      </c>
      <c r="B2723" t="s">
        <v>1463</v>
      </c>
      <c r="C2723" t="s">
        <v>21</v>
      </c>
      <c r="D2723" t="s">
        <v>4052</v>
      </c>
      <c r="E2723" t="s">
        <v>4053</v>
      </c>
      <c r="F2723" t="s">
        <v>4054</v>
      </c>
      <c r="G2723">
        <v>3.3</v>
      </c>
      <c r="H2723" s="2">
        <v>14733.13</v>
      </c>
      <c r="I2723" s="2">
        <v>486.19</v>
      </c>
    </row>
    <row r="2724" spans="1:9" x14ac:dyDescent="0.25">
      <c r="A2724" t="s">
        <v>1465</v>
      </c>
      <c r="B2724" t="s">
        <v>1466</v>
      </c>
      <c r="C2724" t="s">
        <v>21</v>
      </c>
      <c r="D2724" t="s">
        <v>4062</v>
      </c>
      <c r="E2724" t="s">
        <v>3975</v>
      </c>
      <c r="F2724" t="s">
        <v>34</v>
      </c>
      <c r="G2724">
        <v>0.05</v>
      </c>
      <c r="H2724" s="2">
        <v>586929.15</v>
      </c>
      <c r="I2724" s="2">
        <v>29346.46</v>
      </c>
    </row>
    <row r="2725" spans="1:9" x14ac:dyDescent="0.25">
      <c r="A2725" t="s">
        <v>1465</v>
      </c>
      <c r="B2725" t="s">
        <v>1466</v>
      </c>
      <c r="C2725" t="s">
        <v>21</v>
      </c>
      <c r="D2725" t="s">
        <v>4062</v>
      </c>
      <c r="E2725" t="s">
        <v>5459</v>
      </c>
      <c r="F2725" t="s">
        <v>4532</v>
      </c>
      <c r="G2725">
        <v>0.09</v>
      </c>
      <c r="H2725" s="2">
        <v>111604.33</v>
      </c>
      <c r="I2725" s="2">
        <v>10044.39</v>
      </c>
    </row>
    <row r="2726" spans="1:9" x14ac:dyDescent="0.25">
      <c r="A2726" t="s">
        <v>1465</v>
      </c>
      <c r="B2726" t="s">
        <v>1466</v>
      </c>
      <c r="C2726" t="s">
        <v>21</v>
      </c>
      <c r="D2726" t="s">
        <v>4049</v>
      </c>
      <c r="E2726" t="s">
        <v>4050</v>
      </c>
      <c r="F2726" t="s">
        <v>4051</v>
      </c>
      <c r="G2726">
        <v>1.2</v>
      </c>
      <c r="H2726" s="2">
        <v>9037.33</v>
      </c>
      <c r="I2726" s="2">
        <v>10844.8</v>
      </c>
    </row>
    <row r="2727" spans="1:9" x14ac:dyDescent="0.25">
      <c r="A2727" t="s">
        <v>1465</v>
      </c>
      <c r="B2727" t="s">
        <v>1466</v>
      </c>
      <c r="C2727" t="s">
        <v>21</v>
      </c>
      <c r="D2727" t="s">
        <v>4049</v>
      </c>
      <c r="E2727" t="s">
        <v>4073</v>
      </c>
      <c r="F2727" t="s">
        <v>4051</v>
      </c>
      <c r="G2727">
        <v>0.6</v>
      </c>
      <c r="H2727" s="2">
        <v>15517.89</v>
      </c>
      <c r="I2727" s="2">
        <v>9310.73</v>
      </c>
    </row>
    <row r="2728" spans="1:9" x14ac:dyDescent="0.25">
      <c r="A2728" t="s">
        <v>1465</v>
      </c>
      <c r="B2728" t="s">
        <v>1466</v>
      </c>
      <c r="C2728" t="s">
        <v>21</v>
      </c>
      <c r="D2728" t="s">
        <v>4052</v>
      </c>
      <c r="E2728" t="s">
        <v>4053</v>
      </c>
      <c r="F2728" t="s">
        <v>4054</v>
      </c>
      <c r="G2728">
        <v>3.3</v>
      </c>
      <c r="H2728" s="2">
        <v>20155.53</v>
      </c>
      <c r="I2728" s="2">
        <v>665.13</v>
      </c>
    </row>
    <row r="2729" spans="1:9" x14ac:dyDescent="0.25">
      <c r="A2729" t="s">
        <v>1468</v>
      </c>
      <c r="B2729" t="s">
        <v>1469</v>
      </c>
      <c r="C2729" t="s">
        <v>231</v>
      </c>
      <c r="D2729" t="s">
        <v>4062</v>
      </c>
      <c r="E2729" t="s">
        <v>5471</v>
      </c>
      <c r="F2729" t="s">
        <v>4377</v>
      </c>
      <c r="G2729">
        <v>0</v>
      </c>
      <c r="H2729" s="2">
        <v>37000</v>
      </c>
      <c r="I2729" s="2">
        <v>37</v>
      </c>
    </row>
    <row r="2730" spans="1:9" x14ac:dyDescent="0.25">
      <c r="A2730" t="s">
        <v>1468</v>
      </c>
      <c r="B2730" t="s">
        <v>1469</v>
      </c>
      <c r="C2730" t="s">
        <v>231</v>
      </c>
      <c r="D2730" t="s">
        <v>4062</v>
      </c>
      <c r="E2730" t="s">
        <v>4261</v>
      </c>
      <c r="F2730" t="s">
        <v>231</v>
      </c>
      <c r="G2730">
        <v>0.13</v>
      </c>
      <c r="H2730" s="2">
        <v>2982</v>
      </c>
      <c r="I2730" s="2">
        <v>399.59</v>
      </c>
    </row>
    <row r="2731" spans="1:9" x14ac:dyDescent="0.25">
      <c r="A2731" t="s">
        <v>1468</v>
      </c>
      <c r="B2731" t="s">
        <v>1469</v>
      </c>
      <c r="C2731" t="s">
        <v>231</v>
      </c>
      <c r="D2731" t="s">
        <v>4062</v>
      </c>
      <c r="E2731" t="s">
        <v>5472</v>
      </c>
      <c r="F2731" t="s">
        <v>231</v>
      </c>
      <c r="G2731">
        <v>1</v>
      </c>
      <c r="H2731" s="2">
        <v>3895</v>
      </c>
      <c r="I2731" s="2">
        <v>3895</v>
      </c>
    </row>
    <row r="2732" spans="1:9" x14ac:dyDescent="0.25">
      <c r="A2732" t="s">
        <v>1468</v>
      </c>
      <c r="B2732" t="s">
        <v>1469</v>
      </c>
      <c r="C2732" t="s">
        <v>231</v>
      </c>
      <c r="D2732" t="s">
        <v>4062</v>
      </c>
      <c r="E2732" t="s">
        <v>5473</v>
      </c>
      <c r="F2732" t="s">
        <v>231</v>
      </c>
      <c r="G2732">
        <v>0.05</v>
      </c>
      <c r="H2732" s="2">
        <v>10292</v>
      </c>
      <c r="I2732" s="2">
        <v>514.6</v>
      </c>
    </row>
    <row r="2733" spans="1:9" x14ac:dyDescent="0.25">
      <c r="A2733" t="s">
        <v>1468</v>
      </c>
      <c r="B2733" t="s">
        <v>1469</v>
      </c>
      <c r="C2733" t="s">
        <v>231</v>
      </c>
      <c r="D2733" t="s">
        <v>4049</v>
      </c>
      <c r="E2733" t="s">
        <v>4050</v>
      </c>
      <c r="F2733" t="s">
        <v>4051</v>
      </c>
      <c r="G2733">
        <v>0.06</v>
      </c>
      <c r="H2733" s="2">
        <v>9037.33</v>
      </c>
      <c r="I2733" s="2">
        <v>542.24</v>
      </c>
    </row>
    <row r="2734" spans="1:9" x14ac:dyDescent="0.25">
      <c r="A2734" t="s">
        <v>1468</v>
      </c>
      <c r="B2734" t="s">
        <v>1469</v>
      </c>
      <c r="C2734" t="s">
        <v>231</v>
      </c>
      <c r="D2734" t="s">
        <v>4049</v>
      </c>
      <c r="E2734" t="s">
        <v>4182</v>
      </c>
      <c r="F2734" t="s">
        <v>4051</v>
      </c>
      <c r="G2734">
        <v>0.06</v>
      </c>
      <c r="H2734" s="2">
        <v>10845.1</v>
      </c>
      <c r="I2734" s="2">
        <v>661.55</v>
      </c>
    </row>
    <row r="2735" spans="1:9" x14ac:dyDescent="0.25">
      <c r="A2735" t="s">
        <v>1468</v>
      </c>
      <c r="B2735" t="s">
        <v>1469</v>
      </c>
      <c r="C2735" t="s">
        <v>231</v>
      </c>
      <c r="D2735" t="s">
        <v>4049</v>
      </c>
      <c r="E2735" t="s">
        <v>5067</v>
      </c>
      <c r="F2735" t="s">
        <v>4051</v>
      </c>
      <c r="G2735">
        <v>0.01</v>
      </c>
      <c r="H2735" s="2">
        <v>10392.41</v>
      </c>
      <c r="I2735" s="2">
        <v>103.92</v>
      </c>
    </row>
    <row r="2736" spans="1:9" x14ac:dyDescent="0.25">
      <c r="A2736" t="s">
        <v>1468</v>
      </c>
      <c r="B2736" t="s">
        <v>1469</v>
      </c>
      <c r="C2736" t="s">
        <v>231</v>
      </c>
      <c r="D2736" t="s">
        <v>4049</v>
      </c>
      <c r="E2736" t="s">
        <v>4183</v>
      </c>
      <c r="F2736" t="s">
        <v>4051</v>
      </c>
      <c r="G2736">
        <v>0.06</v>
      </c>
      <c r="H2736" s="2">
        <v>18621.17</v>
      </c>
      <c r="I2736" s="2">
        <v>1135.89</v>
      </c>
    </row>
    <row r="2737" spans="1:9" x14ac:dyDescent="0.25">
      <c r="A2737" t="s">
        <v>1468</v>
      </c>
      <c r="B2737" t="s">
        <v>1469</v>
      </c>
      <c r="C2737" t="s">
        <v>231</v>
      </c>
      <c r="D2737" t="s">
        <v>4049</v>
      </c>
      <c r="E2737" t="s">
        <v>5068</v>
      </c>
      <c r="F2737" t="s">
        <v>4051</v>
      </c>
      <c r="G2737">
        <v>0.01</v>
      </c>
      <c r="H2737" s="2">
        <v>17845.35</v>
      </c>
      <c r="I2737" s="2">
        <v>178.45</v>
      </c>
    </row>
    <row r="2738" spans="1:9" x14ac:dyDescent="0.25">
      <c r="A2738" t="s">
        <v>1468</v>
      </c>
      <c r="B2738" t="s">
        <v>1469</v>
      </c>
      <c r="C2738" t="s">
        <v>231</v>
      </c>
      <c r="D2738" t="s">
        <v>4049</v>
      </c>
      <c r="E2738" t="s">
        <v>5474</v>
      </c>
      <c r="F2738" t="s">
        <v>4177</v>
      </c>
      <c r="G2738">
        <v>0.01</v>
      </c>
      <c r="H2738" s="2">
        <v>148967.85</v>
      </c>
      <c r="I2738" s="2">
        <v>1787.61</v>
      </c>
    </row>
    <row r="2739" spans="1:9" x14ac:dyDescent="0.25">
      <c r="A2739" t="s">
        <v>1468</v>
      </c>
      <c r="B2739" t="s">
        <v>1469</v>
      </c>
      <c r="C2739" t="s">
        <v>231</v>
      </c>
      <c r="D2739" t="s">
        <v>4052</v>
      </c>
      <c r="E2739" t="s">
        <v>4206</v>
      </c>
      <c r="F2739" t="s">
        <v>4106</v>
      </c>
      <c r="G2739">
        <v>0.01</v>
      </c>
      <c r="H2739" s="2">
        <v>34243</v>
      </c>
      <c r="I2739" s="2">
        <v>171.22</v>
      </c>
    </row>
    <row r="2740" spans="1:9" x14ac:dyDescent="0.25">
      <c r="A2740" t="s">
        <v>1468</v>
      </c>
      <c r="B2740" t="s">
        <v>1469</v>
      </c>
      <c r="C2740" t="s">
        <v>231</v>
      </c>
      <c r="D2740" t="s">
        <v>4052</v>
      </c>
      <c r="E2740" t="s">
        <v>4105</v>
      </c>
      <c r="F2740" t="s">
        <v>4106</v>
      </c>
      <c r="G2740">
        <v>0.05</v>
      </c>
      <c r="H2740" s="2">
        <v>25125</v>
      </c>
      <c r="I2740" s="2">
        <v>1256.25</v>
      </c>
    </row>
    <row r="2741" spans="1:9" x14ac:dyDescent="0.25">
      <c r="A2741" t="s">
        <v>1468</v>
      </c>
      <c r="B2741" t="s">
        <v>1469</v>
      </c>
      <c r="C2741" t="s">
        <v>231</v>
      </c>
      <c r="D2741" t="s">
        <v>4052</v>
      </c>
      <c r="E2741" t="s">
        <v>4053</v>
      </c>
      <c r="F2741" t="s">
        <v>4054</v>
      </c>
      <c r="G2741">
        <v>3.3</v>
      </c>
      <c r="H2741" s="2">
        <v>4409.66</v>
      </c>
      <c r="I2741" s="2">
        <v>145.52</v>
      </c>
    </row>
    <row r="2742" spans="1:9" x14ac:dyDescent="0.25">
      <c r="A2742" t="s">
        <v>1471</v>
      </c>
      <c r="B2742" t="s">
        <v>1472</v>
      </c>
      <c r="C2742" t="s">
        <v>21</v>
      </c>
      <c r="D2742" t="s">
        <v>4062</v>
      </c>
      <c r="E2742" t="s">
        <v>5477</v>
      </c>
      <c r="F2742" t="s">
        <v>21</v>
      </c>
      <c r="G2742">
        <v>1</v>
      </c>
      <c r="H2742" s="2">
        <v>60283</v>
      </c>
      <c r="I2742" s="2">
        <v>60283</v>
      </c>
    </row>
    <row r="2743" spans="1:9" x14ac:dyDescent="0.25">
      <c r="A2743" t="s">
        <v>1471</v>
      </c>
      <c r="B2743" t="s">
        <v>1472</v>
      </c>
      <c r="C2743" t="s">
        <v>21</v>
      </c>
      <c r="D2743" t="s">
        <v>4062</v>
      </c>
      <c r="E2743" t="s">
        <v>5398</v>
      </c>
      <c r="F2743" t="s">
        <v>63</v>
      </c>
      <c r="G2743">
        <v>4</v>
      </c>
      <c r="H2743" s="2">
        <v>349.5</v>
      </c>
      <c r="I2743" s="2">
        <v>1398</v>
      </c>
    </row>
    <row r="2744" spans="1:9" x14ac:dyDescent="0.25">
      <c r="A2744" t="s">
        <v>1471</v>
      </c>
      <c r="B2744" t="s">
        <v>1472</v>
      </c>
      <c r="C2744" t="s">
        <v>21</v>
      </c>
      <c r="D2744" t="s">
        <v>4049</v>
      </c>
      <c r="E2744" t="s">
        <v>4105</v>
      </c>
      <c r="F2744" t="s">
        <v>4106</v>
      </c>
      <c r="G2744">
        <v>0.06</v>
      </c>
      <c r="H2744" s="2">
        <v>25125</v>
      </c>
      <c r="I2744" s="2">
        <v>1407</v>
      </c>
    </row>
    <row r="2745" spans="1:9" x14ac:dyDescent="0.25">
      <c r="A2745" t="s">
        <v>1471</v>
      </c>
      <c r="B2745" t="s">
        <v>1472</v>
      </c>
      <c r="C2745" t="s">
        <v>21</v>
      </c>
      <c r="D2745" t="s">
        <v>4049</v>
      </c>
      <c r="E2745" t="s">
        <v>4050</v>
      </c>
      <c r="F2745" t="s">
        <v>4051</v>
      </c>
      <c r="G2745">
        <v>0.45</v>
      </c>
      <c r="H2745" s="2">
        <v>9037.33</v>
      </c>
      <c r="I2745" s="2">
        <v>4066.8</v>
      </c>
    </row>
    <row r="2746" spans="1:9" x14ac:dyDescent="0.25">
      <c r="A2746" t="s">
        <v>1471</v>
      </c>
      <c r="B2746" t="s">
        <v>1472</v>
      </c>
      <c r="C2746" t="s">
        <v>21</v>
      </c>
      <c r="D2746" t="s">
        <v>4049</v>
      </c>
      <c r="E2746" t="s">
        <v>4073</v>
      </c>
      <c r="F2746" t="s">
        <v>4051</v>
      </c>
      <c r="G2746">
        <v>0.45</v>
      </c>
      <c r="H2746" s="2">
        <v>15517.89</v>
      </c>
      <c r="I2746" s="2">
        <v>6983.05</v>
      </c>
    </row>
    <row r="2747" spans="1:9" x14ac:dyDescent="0.25">
      <c r="A2747" t="s">
        <v>1471</v>
      </c>
      <c r="B2747" t="s">
        <v>1472</v>
      </c>
      <c r="C2747" t="s">
        <v>21</v>
      </c>
      <c r="D2747" t="s">
        <v>4052</v>
      </c>
      <c r="E2747" t="s">
        <v>4053</v>
      </c>
      <c r="F2747" t="s">
        <v>4054</v>
      </c>
      <c r="G2747">
        <v>3.3</v>
      </c>
      <c r="H2747" s="2">
        <v>11049.85</v>
      </c>
      <c r="I2747" s="2">
        <v>364.65</v>
      </c>
    </row>
    <row r="2748" spans="1:9" x14ac:dyDescent="0.25">
      <c r="A2748" t="s">
        <v>1474</v>
      </c>
      <c r="B2748" t="s">
        <v>1475</v>
      </c>
      <c r="C2748" t="s">
        <v>21</v>
      </c>
      <c r="D2748" t="s">
        <v>4062</v>
      </c>
      <c r="E2748" t="s">
        <v>5480</v>
      </c>
      <c r="F2748" t="s">
        <v>63</v>
      </c>
      <c r="G2748">
        <v>24</v>
      </c>
      <c r="H2748" s="2">
        <v>796.67</v>
      </c>
      <c r="I2748" s="2">
        <v>19120.08</v>
      </c>
    </row>
    <row r="2749" spans="1:9" x14ac:dyDescent="0.25">
      <c r="A2749" t="s">
        <v>1474</v>
      </c>
      <c r="B2749" t="s">
        <v>1475</v>
      </c>
      <c r="C2749" t="s">
        <v>21</v>
      </c>
      <c r="D2749" t="s">
        <v>4062</v>
      </c>
      <c r="E2749" t="s">
        <v>3975</v>
      </c>
      <c r="F2749" t="s">
        <v>34</v>
      </c>
      <c r="G2749">
        <v>0.04</v>
      </c>
      <c r="H2749" s="2">
        <v>586929.15</v>
      </c>
      <c r="I2749" s="2">
        <v>23477.17</v>
      </c>
    </row>
    <row r="2750" spans="1:9" x14ac:dyDescent="0.25">
      <c r="A2750" t="s">
        <v>1474</v>
      </c>
      <c r="B2750" t="s">
        <v>1475</v>
      </c>
      <c r="C2750" t="s">
        <v>21</v>
      </c>
      <c r="D2750" t="s">
        <v>4049</v>
      </c>
      <c r="E2750" t="s">
        <v>4050</v>
      </c>
      <c r="F2750" t="s">
        <v>4051</v>
      </c>
      <c r="G2750">
        <v>0.7</v>
      </c>
      <c r="H2750" s="2">
        <v>9037.33</v>
      </c>
      <c r="I2750" s="2">
        <v>6326.13</v>
      </c>
    </row>
    <row r="2751" spans="1:9" x14ac:dyDescent="0.25">
      <c r="A2751" t="s">
        <v>1474</v>
      </c>
      <c r="B2751" t="s">
        <v>1475</v>
      </c>
      <c r="C2751" t="s">
        <v>21</v>
      </c>
      <c r="D2751" t="s">
        <v>4049</v>
      </c>
      <c r="E2751" t="s">
        <v>4073</v>
      </c>
      <c r="F2751" t="s">
        <v>4051</v>
      </c>
      <c r="G2751">
        <v>0.7</v>
      </c>
      <c r="H2751" s="2">
        <v>15517.89</v>
      </c>
      <c r="I2751" s="2">
        <v>10862.52</v>
      </c>
    </row>
    <row r="2752" spans="1:9" x14ac:dyDescent="0.25">
      <c r="A2752" t="s">
        <v>1474</v>
      </c>
      <c r="B2752" t="s">
        <v>1475</v>
      </c>
      <c r="C2752" t="s">
        <v>21</v>
      </c>
      <c r="D2752" t="s">
        <v>4052</v>
      </c>
      <c r="E2752" t="s">
        <v>4105</v>
      </c>
      <c r="F2752" t="s">
        <v>4106</v>
      </c>
      <c r="G2752">
        <v>0.08</v>
      </c>
      <c r="H2752" s="2">
        <v>25125</v>
      </c>
      <c r="I2752" s="2">
        <v>2010</v>
      </c>
    </row>
    <row r="2753" spans="1:9" x14ac:dyDescent="0.25">
      <c r="A2753" t="s">
        <v>1474</v>
      </c>
      <c r="B2753" t="s">
        <v>1475</v>
      </c>
      <c r="C2753" t="s">
        <v>21</v>
      </c>
      <c r="D2753" t="s">
        <v>4052</v>
      </c>
      <c r="E2753" t="s">
        <v>4053</v>
      </c>
      <c r="F2753" t="s">
        <v>4054</v>
      </c>
      <c r="G2753">
        <v>3.3</v>
      </c>
      <c r="H2753" s="2">
        <v>17188.65</v>
      </c>
      <c r="I2753" s="2">
        <v>567.23</v>
      </c>
    </row>
    <row r="2754" spans="1:9" x14ac:dyDescent="0.25">
      <c r="A2754" t="s">
        <v>1477</v>
      </c>
      <c r="B2754" t="s">
        <v>1478</v>
      </c>
      <c r="C2754" t="s">
        <v>21</v>
      </c>
      <c r="D2754" t="s">
        <v>4062</v>
      </c>
      <c r="E2754" t="s">
        <v>5483</v>
      </c>
      <c r="F2754" t="s">
        <v>63</v>
      </c>
      <c r="G2754">
        <v>48</v>
      </c>
      <c r="H2754" s="2">
        <v>796.67</v>
      </c>
      <c r="I2754" s="2">
        <v>38240.16</v>
      </c>
    </row>
    <row r="2755" spans="1:9" x14ac:dyDescent="0.25">
      <c r="A2755" t="s">
        <v>1477</v>
      </c>
      <c r="B2755" t="s">
        <v>1478</v>
      </c>
      <c r="C2755" t="s">
        <v>21</v>
      </c>
      <c r="D2755" t="s">
        <v>4062</v>
      </c>
      <c r="E2755" t="s">
        <v>3975</v>
      </c>
      <c r="F2755" t="s">
        <v>34</v>
      </c>
      <c r="G2755">
        <v>0.05</v>
      </c>
      <c r="H2755" s="2">
        <v>586929.15</v>
      </c>
      <c r="I2755" s="2">
        <v>29346.46</v>
      </c>
    </row>
    <row r="2756" spans="1:9" x14ac:dyDescent="0.25">
      <c r="A2756" t="s">
        <v>1477</v>
      </c>
      <c r="B2756" t="s">
        <v>1478</v>
      </c>
      <c r="C2756" t="s">
        <v>21</v>
      </c>
      <c r="D2756" t="s">
        <v>4049</v>
      </c>
      <c r="E2756" t="s">
        <v>4105</v>
      </c>
      <c r="F2756" t="s">
        <v>4106</v>
      </c>
      <c r="G2756">
        <v>0.18</v>
      </c>
      <c r="H2756" s="2">
        <v>25125</v>
      </c>
      <c r="I2756" s="2">
        <v>4396.88</v>
      </c>
    </row>
    <row r="2757" spans="1:9" x14ac:dyDescent="0.25">
      <c r="A2757" t="s">
        <v>1477</v>
      </c>
      <c r="B2757" t="s">
        <v>1478</v>
      </c>
      <c r="C2757" t="s">
        <v>21</v>
      </c>
      <c r="D2757" t="s">
        <v>4049</v>
      </c>
      <c r="E2757" t="s">
        <v>4050</v>
      </c>
      <c r="F2757" t="s">
        <v>4051</v>
      </c>
      <c r="G2757">
        <v>1.4</v>
      </c>
      <c r="H2757" s="2">
        <v>9037.33</v>
      </c>
      <c r="I2757" s="2">
        <v>12652.26</v>
      </c>
    </row>
    <row r="2758" spans="1:9" x14ac:dyDescent="0.25">
      <c r="A2758" t="s">
        <v>1477</v>
      </c>
      <c r="B2758" t="s">
        <v>1478</v>
      </c>
      <c r="C2758" t="s">
        <v>21</v>
      </c>
      <c r="D2758" t="s">
        <v>4049</v>
      </c>
      <c r="E2758" t="s">
        <v>4073</v>
      </c>
      <c r="F2758" t="s">
        <v>4051</v>
      </c>
      <c r="G2758">
        <v>1.4</v>
      </c>
      <c r="H2758" s="2">
        <v>15517.89</v>
      </c>
      <c r="I2758" s="2">
        <v>21725.05</v>
      </c>
    </row>
    <row r="2759" spans="1:9" x14ac:dyDescent="0.25">
      <c r="A2759" t="s">
        <v>1477</v>
      </c>
      <c r="B2759" t="s">
        <v>1478</v>
      </c>
      <c r="C2759" t="s">
        <v>21</v>
      </c>
      <c r="D2759" t="s">
        <v>4052</v>
      </c>
      <c r="E2759" t="s">
        <v>4053</v>
      </c>
      <c r="F2759" t="s">
        <v>4054</v>
      </c>
      <c r="G2759">
        <v>3.3</v>
      </c>
      <c r="H2759" s="2">
        <v>34377.31</v>
      </c>
      <c r="I2759" s="2">
        <v>1134.45</v>
      </c>
    </row>
    <row r="2760" spans="1:9" x14ac:dyDescent="0.25">
      <c r="A2760" t="s">
        <v>1480</v>
      </c>
      <c r="B2760" t="s">
        <v>1481</v>
      </c>
      <c r="C2760" t="s">
        <v>21</v>
      </c>
      <c r="D2760" t="s">
        <v>4062</v>
      </c>
      <c r="E2760" t="s">
        <v>5486</v>
      </c>
      <c r="F2760" t="s">
        <v>42</v>
      </c>
      <c r="G2760">
        <v>1.05</v>
      </c>
      <c r="H2760" s="2">
        <v>34434.28</v>
      </c>
      <c r="I2760" s="2">
        <v>36155.99</v>
      </c>
    </row>
    <row r="2761" spans="1:9" x14ac:dyDescent="0.25">
      <c r="A2761" t="s">
        <v>1480</v>
      </c>
      <c r="B2761" t="s">
        <v>1481</v>
      </c>
      <c r="C2761" t="s">
        <v>21</v>
      </c>
      <c r="D2761" t="s">
        <v>4062</v>
      </c>
      <c r="E2761" t="s">
        <v>5441</v>
      </c>
      <c r="F2761" t="s">
        <v>63</v>
      </c>
      <c r="G2761">
        <v>4</v>
      </c>
      <c r="H2761" s="2">
        <v>349.5</v>
      </c>
      <c r="I2761" s="2">
        <v>1398</v>
      </c>
    </row>
    <row r="2762" spans="1:9" x14ac:dyDescent="0.25">
      <c r="A2762" t="s">
        <v>1480</v>
      </c>
      <c r="B2762" t="s">
        <v>1481</v>
      </c>
      <c r="C2762" t="s">
        <v>21</v>
      </c>
      <c r="D2762" t="s">
        <v>4049</v>
      </c>
      <c r="E2762" t="s">
        <v>4105</v>
      </c>
      <c r="F2762" t="s">
        <v>4106</v>
      </c>
      <c r="G2762">
        <v>0.07</v>
      </c>
      <c r="H2762" s="2">
        <v>25125</v>
      </c>
      <c r="I2762" s="2">
        <v>1733.63</v>
      </c>
    </row>
    <row r="2763" spans="1:9" x14ac:dyDescent="0.25">
      <c r="A2763" t="s">
        <v>1480</v>
      </c>
      <c r="B2763" t="s">
        <v>1481</v>
      </c>
      <c r="C2763" t="s">
        <v>21</v>
      </c>
      <c r="D2763" t="s">
        <v>4049</v>
      </c>
      <c r="E2763" t="s">
        <v>4050</v>
      </c>
      <c r="F2763" t="s">
        <v>4051</v>
      </c>
      <c r="G2763">
        <v>0.55</v>
      </c>
      <c r="H2763" s="2">
        <v>9037.33</v>
      </c>
      <c r="I2763" s="2">
        <v>4970.53</v>
      </c>
    </row>
    <row r="2764" spans="1:9" x14ac:dyDescent="0.25">
      <c r="A2764" t="s">
        <v>1480</v>
      </c>
      <c r="B2764" t="s">
        <v>1481</v>
      </c>
      <c r="C2764" t="s">
        <v>21</v>
      </c>
      <c r="D2764" t="s">
        <v>4049</v>
      </c>
      <c r="E2764" t="s">
        <v>4073</v>
      </c>
      <c r="F2764" t="s">
        <v>4051</v>
      </c>
      <c r="G2764">
        <v>0.55</v>
      </c>
      <c r="H2764" s="2">
        <v>15517.89</v>
      </c>
      <c r="I2764" s="2">
        <v>8534.84</v>
      </c>
    </row>
    <row r="2765" spans="1:9" x14ac:dyDescent="0.25">
      <c r="A2765" t="s">
        <v>1480</v>
      </c>
      <c r="B2765" t="s">
        <v>1481</v>
      </c>
      <c r="C2765" t="s">
        <v>21</v>
      </c>
      <c r="D2765" t="s">
        <v>4052</v>
      </c>
      <c r="E2765" t="s">
        <v>4053</v>
      </c>
      <c r="F2765" t="s">
        <v>4054</v>
      </c>
      <c r="G2765">
        <v>3.3</v>
      </c>
      <c r="H2765" s="2">
        <v>13505.37</v>
      </c>
      <c r="I2765" s="2">
        <v>445.68</v>
      </c>
    </row>
    <row r="2766" spans="1:9" x14ac:dyDescent="0.25">
      <c r="A2766" t="s">
        <v>1483</v>
      </c>
      <c r="B2766" t="s">
        <v>1484</v>
      </c>
      <c r="C2766" t="s">
        <v>21</v>
      </c>
      <c r="D2766" t="s">
        <v>4062</v>
      </c>
      <c r="E2766" t="s">
        <v>5489</v>
      </c>
      <c r="F2766" t="s">
        <v>63</v>
      </c>
      <c r="G2766">
        <v>0.46</v>
      </c>
      <c r="H2766" s="2">
        <v>60466.67</v>
      </c>
      <c r="I2766" s="2">
        <v>27814.67</v>
      </c>
    </row>
    <row r="2767" spans="1:9" x14ac:dyDescent="0.25">
      <c r="A2767" t="s">
        <v>1483</v>
      </c>
      <c r="B2767" t="s">
        <v>1484</v>
      </c>
      <c r="C2767" t="s">
        <v>21</v>
      </c>
      <c r="D2767" t="s">
        <v>4062</v>
      </c>
      <c r="E2767" t="s">
        <v>5441</v>
      </c>
      <c r="F2767" t="s">
        <v>63</v>
      </c>
      <c r="G2767">
        <v>2.5</v>
      </c>
      <c r="H2767" s="2">
        <v>349.5</v>
      </c>
      <c r="I2767" s="2">
        <v>873.75</v>
      </c>
    </row>
    <row r="2768" spans="1:9" x14ac:dyDescent="0.25">
      <c r="A2768" t="s">
        <v>1483</v>
      </c>
      <c r="B2768" t="s">
        <v>1484</v>
      </c>
      <c r="C2768" t="s">
        <v>21</v>
      </c>
      <c r="D2768" t="s">
        <v>4049</v>
      </c>
      <c r="E2768" t="s">
        <v>4050</v>
      </c>
      <c r="F2768" t="s">
        <v>4051</v>
      </c>
      <c r="G2768">
        <v>0.3</v>
      </c>
      <c r="H2768" s="2">
        <v>9037.33</v>
      </c>
      <c r="I2768" s="2">
        <v>2711.2</v>
      </c>
    </row>
    <row r="2769" spans="1:9" x14ac:dyDescent="0.25">
      <c r="A2769" t="s">
        <v>1483</v>
      </c>
      <c r="B2769" t="s">
        <v>1484</v>
      </c>
      <c r="C2769" t="s">
        <v>21</v>
      </c>
      <c r="D2769" t="s">
        <v>4049</v>
      </c>
      <c r="E2769" t="s">
        <v>4073</v>
      </c>
      <c r="F2769" t="s">
        <v>4051</v>
      </c>
      <c r="G2769">
        <v>0.2</v>
      </c>
      <c r="H2769" s="2">
        <v>15517.89</v>
      </c>
      <c r="I2769" s="2">
        <v>3103.58</v>
      </c>
    </row>
    <row r="2770" spans="1:9" x14ac:dyDescent="0.25">
      <c r="A2770" t="s">
        <v>1483</v>
      </c>
      <c r="B2770" t="s">
        <v>1484</v>
      </c>
      <c r="C2770" t="s">
        <v>21</v>
      </c>
      <c r="D2770" t="s">
        <v>4052</v>
      </c>
      <c r="E2770" t="s">
        <v>4053</v>
      </c>
      <c r="F2770" t="s">
        <v>4054</v>
      </c>
      <c r="G2770">
        <v>3.3</v>
      </c>
      <c r="H2770" s="2">
        <v>5814.78</v>
      </c>
      <c r="I2770" s="2">
        <v>191.89</v>
      </c>
    </row>
    <row r="2771" spans="1:9" x14ac:dyDescent="0.25">
      <c r="A2771" t="s">
        <v>1487</v>
      </c>
      <c r="B2771" t="s">
        <v>1488</v>
      </c>
      <c r="C2771" t="s">
        <v>63</v>
      </c>
      <c r="D2771" t="s">
        <v>4062</v>
      </c>
      <c r="E2771" t="s">
        <v>3975</v>
      </c>
      <c r="F2771" t="s">
        <v>34</v>
      </c>
      <c r="G2771">
        <v>0</v>
      </c>
      <c r="H2771" s="2">
        <v>586929.15</v>
      </c>
      <c r="I2771" s="2">
        <v>586.93</v>
      </c>
    </row>
    <row r="2772" spans="1:9" x14ac:dyDescent="0.25">
      <c r="A2772" t="s">
        <v>1487</v>
      </c>
      <c r="B2772" t="s">
        <v>1488</v>
      </c>
      <c r="C2772" t="s">
        <v>63</v>
      </c>
      <c r="D2772" t="s">
        <v>4062</v>
      </c>
      <c r="E2772" t="s">
        <v>5492</v>
      </c>
      <c r="F2772" t="s">
        <v>63</v>
      </c>
      <c r="G2772">
        <v>1</v>
      </c>
      <c r="H2772" s="2">
        <v>17388</v>
      </c>
      <c r="I2772" s="2">
        <v>17388</v>
      </c>
    </row>
    <row r="2773" spans="1:9" x14ac:dyDescent="0.25">
      <c r="A2773" t="s">
        <v>1487</v>
      </c>
      <c r="B2773" t="s">
        <v>1488</v>
      </c>
      <c r="C2773" t="s">
        <v>63</v>
      </c>
      <c r="D2773" t="s">
        <v>4049</v>
      </c>
      <c r="E2773" t="s">
        <v>4487</v>
      </c>
      <c r="F2773" t="s">
        <v>4236</v>
      </c>
      <c r="G2773">
        <v>0.4</v>
      </c>
      <c r="H2773" s="2">
        <v>24555.22</v>
      </c>
      <c r="I2773" s="2">
        <v>9822.09</v>
      </c>
    </row>
    <row r="2774" spans="1:9" x14ac:dyDescent="0.25">
      <c r="A2774" t="s">
        <v>1487</v>
      </c>
      <c r="B2774" t="s">
        <v>1488</v>
      </c>
      <c r="C2774" t="s">
        <v>63</v>
      </c>
      <c r="D2774" t="s">
        <v>4052</v>
      </c>
      <c r="E2774" t="s">
        <v>4053</v>
      </c>
      <c r="F2774" t="s">
        <v>4054</v>
      </c>
      <c r="G2774">
        <v>3.3</v>
      </c>
      <c r="H2774" s="2">
        <v>9822.09</v>
      </c>
      <c r="I2774" s="2">
        <v>324.13</v>
      </c>
    </row>
    <row r="2775" spans="1:9" x14ac:dyDescent="0.25">
      <c r="A2775" t="s">
        <v>1490</v>
      </c>
      <c r="B2775" t="s">
        <v>1492</v>
      </c>
      <c r="C2775" t="s">
        <v>63</v>
      </c>
      <c r="D2775" t="s">
        <v>4062</v>
      </c>
      <c r="E2775" t="s">
        <v>5496</v>
      </c>
      <c r="F2775" t="s">
        <v>63</v>
      </c>
      <c r="G2775">
        <v>1</v>
      </c>
      <c r="H2775" s="2">
        <v>58300</v>
      </c>
      <c r="I2775" s="2">
        <v>58300</v>
      </c>
    </row>
    <row r="2776" spans="1:9" x14ac:dyDescent="0.25">
      <c r="A2776" t="s">
        <v>1490</v>
      </c>
      <c r="B2776" t="s">
        <v>1492</v>
      </c>
      <c r="C2776" t="s">
        <v>63</v>
      </c>
      <c r="D2776" t="s">
        <v>4049</v>
      </c>
      <c r="E2776" t="s">
        <v>4050</v>
      </c>
      <c r="F2776" t="s">
        <v>4051</v>
      </c>
      <c r="G2776">
        <v>0.5</v>
      </c>
      <c r="H2776" s="2">
        <v>9037.33</v>
      </c>
      <c r="I2776" s="2">
        <v>4518.66</v>
      </c>
    </row>
    <row r="2777" spans="1:9" x14ac:dyDescent="0.25">
      <c r="A2777" t="s">
        <v>1490</v>
      </c>
      <c r="B2777" t="s">
        <v>1492</v>
      </c>
      <c r="C2777" t="s">
        <v>63</v>
      </c>
      <c r="D2777" t="s">
        <v>4049</v>
      </c>
      <c r="E2777" t="s">
        <v>4073</v>
      </c>
      <c r="F2777" t="s">
        <v>4051</v>
      </c>
      <c r="G2777">
        <v>0.5</v>
      </c>
      <c r="H2777" s="2">
        <v>15517.89</v>
      </c>
      <c r="I2777" s="2">
        <v>7758.94</v>
      </c>
    </row>
    <row r="2778" spans="1:9" x14ac:dyDescent="0.25">
      <c r="A2778" t="s">
        <v>1490</v>
      </c>
      <c r="B2778" t="s">
        <v>1492</v>
      </c>
      <c r="C2778" t="s">
        <v>63</v>
      </c>
      <c r="D2778" t="s">
        <v>4052</v>
      </c>
      <c r="E2778" t="s">
        <v>4053</v>
      </c>
      <c r="F2778" t="s">
        <v>4054</v>
      </c>
      <c r="G2778">
        <v>3.3</v>
      </c>
      <c r="H2778" s="2">
        <v>12277.6</v>
      </c>
      <c r="I2778" s="2">
        <v>405.16</v>
      </c>
    </row>
    <row r="2779" spans="1:9" x14ac:dyDescent="0.25">
      <c r="A2779" t="s">
        <v>1495</v>
      </c>
      <c r="B2779" t="s">
        <v>1496</v>
      </c>
      <c r="C2779" t="s">
        <v>21</v>
      </c>
      <c r="D2779" t="s">
        <v>4062</v>
      </c>
      <c r="E2779" t="s">
        <v>4617</v>
      </c>
      <c r="F2779" t="s">
        <v>63</v>
      </c>
      <c r="G2779">
        <v>0.9</v>
      </c>
      <c r="H2779" s="2">
        <v>4964</v>
      </c>
      <c r="I2779" s="2">
        <v>4467.6</v>
      </c>
    </row>
    <row r="2780" spans="1:9" x14ac:dyDescent="0.25">
      <c r="A2780" t="s">
        <v>1495</v>
      </c>
      <c r="B2780" t="s">
        <v>1496</v>
      </c>
      <c r="C2780" t="s">
        <v>21</v>
      </c>
      <c r="D2780" t="s">
        <v>4062</v>
      </c>
      <c r="E2780" t="s">
        <v>4065</v>
      </c>
      <c r="F2780" t="s">
        <v>4066</v>
      </c>
      <c r="G2780">
        <v>0.04</v>
      </c>
      <c r="H2780" s="2">
        <v>3433</v>
      </c>
      <c r="I2780" s="2">
        <v>137.32</v>
      </c>
    </row>
    <row r="2781" spans="1:9" x14ac:dyDescent="0.25">
      <c r="A2781" t="s">
        <v>1495</v>
      </c>
      <c r="B2781" t="s">
        <v>1496</v>
      </c>
      <c r="C2781" t="s">
        <v>21</v>
      </c>
      <c r="D2781" t="s">
        <v>4062</v>
      </c>
      <c r="E2781" t="s">
        <v>4322</v>
      </c>
      <c r="F2781" t="s">
        <v>42</v>
      </c>
      <c r="G2781">
        <v>0.74</v>
      </c>
      <c r="H2781" s="2">
        <v>5304</v>
      </c>
      <c r="I2781" s="2">
        <v>3924.96</v>
      </c>
    </row>
    <row r="2782" spans="1:9" x14ac:dyDescent="0.25">
      <c r="A2782" t="s">
        <v>1495</v>
      </c>
      <c r="B2782" t="s">
        <v>1496</v>
      </c>
      <c r="C2782" t="s">
        <v>21</v>
      </c>
      <c r="D2782" t="s">
        <v>4049</v>
      </c>
      <c r="E2782" t="s">
        <v>4487</v>
      </c>
      <c r="F2782" t="s">
        <v>4236</v>
      </c>
      <c r="G2782">
        <v>1.1</v>
      </c>
      <c r="H2782" s="2">
        <v>24555.22</v>
      </c>
      <c r="I2782" s="2">
        <v>27010.74</v>
      </c>
    </row>
    <row r="2783" spans="1:9" x14ac:dyDescent="0.25">
      <c r="A2783" t="s">
        <v>1495</v>
      </c>
      <c r="B2783" t="s">
        <v>1496</v>
      </c>
      <c r="C2783" t="s">
        <v>21</v>
      </c>
      <c r="D2783" t="s">
        <v>4052</v>
      </c>
      <c r="E2783" t="s">
        <v>4105</v>
      </c>
      <c r="F2783" t="s">
        <v>4106</v>
      </c>
      <c r="G2783">
        <v>0.1</v>
      </c>
      <c r="H2783" s="2">
        <v>25125</v>
      </c>
      <c r="I2783" s="2">
        <v>2512.5</v>
      </c>
    </row>
    <row r="2784" spans="1:9" x14ac:dyDescent="0.25">
      <c r="A2784" t="s">
        <v>1495</v>
      </c>
      <c r="B2784" t="s">
        <v>1496</v>
      </c>
      <c r="C2784" t="s">
        <v>21</v>
      </c>
      <c r="D2784" t="s">
        <v>4052</v>
      </c>
      <c r="E2784" t="s">
        <v>4053</v>
      </c>
      <c r="F2784" t="s">
        <v>4054</v>
      </c>
      <c r="G2784">
        <v>3.3</v>
      </c>
      <c r="H2784" s="2">
        <v>27010.74</v>
      </c>
      <c r="I2784" s="2">
        <v>891.35</v>
      </c>
    </row>
    <row r="2785" spans="1:9" x14ac:dyDescent="0.25">
      <c r="A2785" t="s">
        <v>1501</v>
      </c>
      <c r="B2785" t="s">
        <v>1502</v>
      </c>
      <c r="C2785" t="s">
        <v>21</v>
      </c>
      <c r="D2785" t="s">
        <v>4062</v>
      </c>
      <c r="E2785" t="s">
        <v>4400</v>
      </c>
      <c r="F2785" t="s">
        <v>42</v>
      </c>
      <c r="G2785">
        <v>2.16</v>
      </c>
      <c r="H2785" s="2">
        <v>5286.26</v>
      </c>
      <c r="I2785" s="2">
        <v>11418.32</v>
      </c>
    </row>
    <row r="2786" spans="1:9" x14ac:dyDescent="0.25">
      <c r="A2786" t="s">
        <v>1501</v>
      </c>
      <c r="B2786" t="s">
        <v>1502</v>
      </c>
      <c r="C2786" t="s">
        <v>21</v>
      </c>
      <c r="D2786" t="s">
        <v>4062</v>
      </c>
      <c r="E2786" t="s">
        <v>4617</v>
      </c>
      <c r="F2786" t="s">
        <v>63</v>
      </c>
      <c r="G2786">
        <v>0.73</v>
      </c>
      <c r="H2786" s="2">
        <v>4964</v>
      </c>
      <c r="I2786" s="2">
        <v>3623.72</v>
      </c>
    </row>
    <row r="2787" spans="1:9" x14ac:dyDescent="0.25">
      <c r="A2787" t="s">
        <v>1501</v>
      </c>
      <c r="B2787" t="s">
        <v>1502</v>
      </c>
      <c r="C2787" t="s">
        <v>21</v>
      </c>
      <c r="D2787" t="s">
        <v>4062</v>
      </c>
      <c r="E2787" t="s">
        <v>4065</v>
      </c>
      <c r="F2787" t="s">
        <v>4066</v>
      </c>
      <c r="G2787">
        <v>0.04</v>
      </c>
      <c r="H2787" s="2">
        <v>3433</v>
      </c>
      <c r="I2787" s="2">
        <v>137.32</v>
      </c>
    </row>
    <row r="2788" spans="1:9" x14ac:dyDescent="0.25">
      <c r="A2788" t="s">
        <v>1501</v>
      </c>
      <c r="B2788" t="s">
        <v>1502</v>
      </c>
      <c r="C2788" t="s">
        <v>21</v>
      </c>
      <c r="D2788" t="s">
        <v>4049</v>
      </c>
      <c r="E2788" t="s">
        <v>4105</v>
      </c>
      <c r="F2788" t="s">
        <v>4106</v>
      </c>
      <c r="G2788">
        <v>0.15</v>
      </c>
      <c r="H2788" s="2">
        <v>25125</v>
      </c>
      <c r="I2788" s="2">
        <v>3768.75</v>
      </c>
    </row>
    <row r="2789" spans="1:9" x14ac:dyDescent="0.25">
      <c r="A2789" t="s">
        <v>1501</v>
      </c>
      <c r="B2789" t="s">
        <v>1502</v>
      </c>
      <c r="C2789" t="s">
        <v>21</v>
      </c>
      <c r="D2789" t="s">
        <v>4049</v>
      </c>
      <c r="E2789" t="s">
        <v>4050</v>
      </c>
      <c r="F2789" t="s">
        <v>4051</v>
      </c>
      <c r="G2789">
        <v>1</v>
      </c>
      <c r="H2789" s="2">
        <v>9037.33</v>
      </c>
      <c r="I2789" s="2">
        <v>9037.33</v>
      </c>
    </row>
    <row r="2790" spans="1:9" x14ac:dyDescent="0.25">
      <c r="A2790" t="s">
        <v>1501</v>
      </c>
      <c r="B2790" t="s">
        <v>1502</v>
      </c>
      <c r="C2790" t="s">
        <v>21</v>
      </c>
      <c r="D2790" t="s">
        <v>4049</v>
      </c>
      <c r="E2790" t="s">
        <v>4073</v>
      </c>
      <c r="F2790" t="s">
        <v>4051</v>
      </c>
      <c r="G2790">
        <v>1</v>
      </c>
      <c r="H2790" s="2">
        <v>15517.89</v>
      </c>
      <c r="I2790" s="2">
        <v>15517.89</v>
      </c>
    </row>
    <row r="2791" spans="1:9" x14ac:dyDescent="0.25">
      <c r="A2791" t="s">
        <v>1501</v>
      </c>
      <c r="B2791" t="s">
        <v>1502</v>
      </c>
      <c r="C2791" t="s">
        <v>21</v>
      </c>
      <c r="D2791" t="s">
        <v>4052</v>
      </c>
      <c r="E2791" t="s">
        <v>4053</v>
      </c>
      <c r="F2791" t="s">
        <v>4054</v>
      </c>
      <c r="G2791">
        <v>2</v>
      </c>
      <c r="H2791" s="2">
        <v>24555.22</v>
      </c>
      <c r="I2791" s="2">
        <v>491.1</v>
      </c>
    </row>
    <row r="2792" spans="1:9" x14ac:dyDescent="0.25">
      <c r="A2792" t="s">
        <v>1504</v>
      </c>
      <c r="B2792" t="s">
        <v>1505</v>
      </c>
      <c r="C2792" t="s">
        <v>21</v>
      </c>
      <c r="D2792" t="s">
        <v>4062</v>
      </c>
      <c r="E2792" t="s">
        <v>5503</v>
      </c>
      <c r="F2792" t="s">
        <v>4377</v>
      </c>
      <c r="G2792">
        <v>0.05</v>
      </c>
      <c r="H2792" s="2">
        <v>29887</v>
      </c>
      <c r="I2792" s="2">
        <v>1494.35</v>
      </c>
    </row>
    <row r="2793" spans="1:9" x14ac:dyDescent="0.25">
      <c r="A2793" t="s">
        <v>1504</v>
      </c>
      <c r="B2793" t="s">
        <v>1505</v>
      </c>
      <c r="C2793" t="s">
        <v>21</v>
      </c>
      <c r="D2793" t="s">
        <v>4062</v>
      </c>
      <c r="E2793" t="s">
        <v>5504</v>
      </c>
      <c r="F2793" t="s">
        <v>21</v>
      </c>
      <c r="G2793">
        <v>1.05</v>
      </c>
      <c r="H2793" s="2">
        <v>22959.67</v>
      </c>
      <c r="I2793" s="2">
        <v>24107.65</v>
      </c>
    </row>
    <row r="2794" spans="1:9" x14ac:dyDescent="0.25">
      <c r="A2794" t="s">
        <v>1504</v>
      </c>
      <c r="B2794" t="s">
        <v>1505</v>
      </c>
      <c r="C2794" t="s">
        <v>21</v>
      </c>
      <c r="D2794" t="s">
        <v>4049</v>
      </c>
      <c r="E2794" t="s">
        <v>5505</v>
      </c>
      <c r="F2794" t="s">
        <v>4236</v>
      </c>
      <c r="G2794">
        <v>1.4</v>
      </c>
      <c r="H2794" s="2">
        <v>29466.27</v>
      </c>
      <c r="I2794" s="2">
        <v>41252.78</v>
      </c>
    </row>
    <row r="2795" spans="1:9" x14ac:dyDescent="0.25">
      <c r="A2795" t="s">
        <v>1504</v>
      </c>
      <c r="B2795" t="s">
        <v>1505</v>
      </c>
      <c r="C2795" t="s">
        <v>21</v>
      </c>
      <c r="D2795" t="s">
        <v>4052</v>
      </c>
      <c r="E2795" t="s">
        <v>4053</v>
      </c>
      <c r="F2795" t="s">
        <v>4054</v>
      </c>
      <c r="G2795">
        <v>5</v>
      </c>
      <c r="H2795" s="2">
        <v>41252.78</v>
      </c>
      <c r="I2795" s="2">
        <v>2062.64</v>
      </c>
    </row>
    <row r="2796" spans="1:9" x14ac:dyDescent="0.25">
      <c r="A2796" t="s">
        <v>1507</v>
      </c>
      <c r="B2796" t="s">
        <v>1508</v>
      </c>
      <c r="C2796" t="s">
        <v>21</v>
      </c>
      <c r="D2796" t="s">
        <v>4062</v>
      </c>
      <c r="E2796" t="s">
        <v>5508</v>
      </c>
      <c r="F2796" t="s">
        <v>63</v>
      </c>
      <c r="G2796">
        <v>0.5</v>
      </c>
      <c r="H2796" s="2">
        <v>16300</v>
      </c>
      <c r="I2796" s="2">
        <v>8150</v>
      </c>
    </row>
    <row r="2797" spans="1:9" x14ac:dyDescent="0.25">
      <c r="A2797" t="s">
        <v>1507</v>
      </c>
      <c r="B2797" t="s">
        <v>1508</v>
      </c>
      <c r="C2797" t="s">
        <v>21</v>
      </c>
      <c r="D2797" t="s">
        <v>4062</v>
      </c>
      <c r="E2797" t="s">
        <v>5509</v>
      </c>
      <c r="F2797" t="s">
        <v>42</v>
      </c>
      <c r="G2797">
        <v>0.8</v>
      </c>
      <c r="H2797" s="2">
        <v>1563</v>
      </c>
      <c r="I2797" s="2">
        <v>1250.4</v>
      </c>
    </row>
    <row r="2798" spans="1:9" x14ac:dyDescent="0.25">
      <c r="A2798" t="s">
        <v>1507</v>
      </c>
      <c r="B2798" t="s">
        <v>1508</v>
      </c>
      <c r="C2798" t="s">
        <v>21</v>
      </c>
      <c r="D2798" t="s">
        <v>4062</v>
      </c>
      <c r="E2798" t="s">
        <v>5510</v>
      </c>
      <c r="F2798" t="s">
        <v>5511</v>
      </c>
      <c r="G2798">
        <v>1</v>
      </c>
      <c r="H2798" s="2">
        <v>26220.06</v>
      </c>
      <c r="I2798" s="2">
        <v>26220.06</v>
      </c>
    </row>
    <row r="2799" spans="1:9" x14ac:dyDescent="0.25">
      <c r="A2799" t="s">
        <v>1507</v>
      </c>
      <c r="B2799" t="s">
        <v>1508</v>
      </c>
      <c r="C2799" t="s">
        <v>21</v>
      </c>
      <c r="D2799" t="s">
        <v>4062</v>
      </c>
      <c r="E2799" t="s">
        <v>5512</v>
      </c>
      <c r="F2799" t="s">
        <v>63</v>
      </c>
      <c r="G2799">
        <v>4</v>
      </c>
      <c r="H2799" s="2">
        <v>195</v>
      </c>
      <c r="I2799" s="2">
        <v>780</v>
      </c>
    </row>
    <row r="2800" spans="1:9" x14ac:dyDescent="0.25">
      <c r="A2800" t="s">
        <v>1507</v>
      </c>
      <c r="B2800" t="s">
        <v>1508</v>
      </c>
      <c r="C2800" t="s">
        <v>21</v>
      </c>
      <c r="D2800" t="s">
        <v>4049</v>
      </c>
      <c r="E2800" t="s">
        <v>4235</v>
      </c>
      <c r="F2800" t="s">
        <v>4236</v>
      </c>
      <c r="G2800">
        <v>0.6</v>
      </c>
      <c r="H2800" s="2">
        <v>27010.74</v>
      </c>
      <c r="I2800" s="2">
        <v>16206.44</v>
      </c>
    </row>
    <row r="2801" spans="1:9" x14ac:dyDescent="0.25">
      <c r="A2801" t="s">
        <v>1507</v>
      </c>
      <c r="B2801" t="s">
        <v>1508</v>
      </c>
      <c r="C2801" t="s">
        <v>21</v>
      </c>
      <c r="D2801" t="s">
        <v>4052</v>
      </c>
      <c r="E2801" t="s">
        <v>4105</v>
      </c>
      <c r="F2801" t="s">
        <v>4106</v>
      </c>
      <c r="G2801">
        <v>0.13</v>
      </c>
      <c r="H2801" s="2">
        <v>25125</v>
      </c>
      <c r="I2801" s="2">
        <v>3140.63</v>
      </c>
    </row>
    <row r="2802" spans="1:9" x14ac:dyDescent="0.25">
      <c r="A2802" t="s">
        <v>1507</v>
      </c>
      <c r="B2802" t="s">
        <v>1508</v>
      </c>
      <c r="C2802" t="s">
        <v>21</v>
      </c>
      <c r="D2802" t="s">
        <v>4052</v>
      </c>
      <c r="E2802" t="s">
        <v>4053</v>
      </c>
      <c r="F2802" t="s">
        <v>4054</v>
      </c>
      <c r="G2802">
        <v>3.3</v>
      </c>
      <c r="H2802" s="2">
        <v>16206.44</v>
      </c>
      <c r="I2802" s="2">
        <v>534.81</v>
      </c>
    </row>
    <row r="2803" spans="1:9" x14ac:dyDescent="0.25">
      <c r="A2803" t="s">
        <v>1510</v>
      </c>
      <c r="B2803" t="s">
        <v>1511</v>
      </c>
      <c r="C2803" t="s">
        <v>21</v>
      </c>
      <c r="D2803" t="s">
        <v>4062</v>
      </c>
      <c r="E2803" t="s">
        <v>4526</v>
      </c>
      <c r="F2803" t="s">
        <v>63</v>
      </c>
      <c r="G2803">
        <v>5.4</v>
      </c>
      <c r="H2803" s="2">
        <v>25</v>
      </c>
      <c r="I2803" s="2">
        <v>135</v>
      </c>
    </row>
    <row r="2804" spans="1:9" x14ac:dyDescent="0.25">
      <c r="A2804" t="s">
        <v>1510</v>
      </c>
      <c r="B2804" t="s">
        <v>1511</v>
      </c>
      <c r="C2804" t="s">
        <v>21</v>
      </c>
      <c r="D2804" t="s">
        <v>4062</v>
      </c>
      <c r="E2804" t="s">
        <v>5515</v>
      </c>
      <c r="F2804" t="s">
        <v>63</v>
      </c>
      <c r="G2804">
        <v>11</v>
      </c>
      <c r="H2804" s="2">
        <v>100</v>
      </c>
      <c r="I2804" s="2">
        <v>1100</v>
      </c>
    </row>
    <row r="2805" spans="1:9" x14ac:dyDescent="0.25">
      <c r="A2805" t="s">
        <v>1510</v>
      </c>
      <c r="B2805" t="s">
        <v>1511</v>
      </c>
      <c r="C2805" t="s">
        <v>21</v>
      </c>
      <c r="D2805" t="s">
        <v>4062</v>
      </c>
      <c r="E2805" t="s">
        <v>5508</v>
      </c>
      <c r="F2805" t="s">
        <v>63</v>
      </c>
      <c r="G2805">
        <v>0.45</v>
      </c>
      <c r="H2805" s="2">
        <v>16300</v>
      </c>
      <c r="I2805" s="2">
        <v>7335</v>
      </c>
    </row>
    <row r="2806" spans="1:9" x14ac:dyDescent="0.25">
      <c r="A2806" t="s">
        <v>1510</v>
      </c>
      <c r="B2806" t="s">
        <v>1511</v>
      </c>
      <c r="C2806" t="s">
        <v>21</v>
      </c>
      <c r="D2806" t="s">
        <v>4062</v>
      </c>
      <c r="E2806" t="s">
        <v>5516</v>
      </c>
      <c r="F2806" t="s">
        <v>63</v>
      </c>
      <c r="G2806">
        <v>0.56</v>
      </c>
      <c r="H2806" s="2">
        <v>3514.67</v>
      </c>
      <c r="I2806" s="2">
        <v>1968.22</v>
      </c>
    </row>
    <row r="2807" spans="1:9" x14ac:dyDescent="0.25">
      <c r="A2807" t="s">
        <v>1510</v>
      </c>
      <c r="B2807" t="s">
        <v>1511</v>
      </c>
      <c r="C2807" t="s">
        <v>21</v>
      </c>
      <c r="D2807" t="s">
        <v>4062</v>
      </c>
      <c r="E2807" t="s">
        <v>4598</v>
      </c>
      <c r="F2807" t="s">
        <v>42</v>
      </c>
      <c r="G2807">
        <v>30</v>
      </c>
      <c r="H2807" s="2">
        <v>164.11</v>
      </c>
      <c r="I2807" s="2">
        <v>4923.3</v>
      </c>
    </row>
    <row r="2808" spans="1:9" x14ac:dyDescent="0.25">
      <c r="A2808" t="s">
        <v>1510</v>
      </c>
      <c r="B2808" t="s">
        <v>1511</v>
      </c>
      <c r="C2808" t="s">
        <v>21</v>
      </c>
      <c r="D2808" t="s">
        <v>4062</v>
      </c>
      <c r="E2808" t="s">
        <v>4534</v>
      </c>
      <c r="F2808" t="s">
        <v>63</v>
      </c>
      <c r="G2808">
        <v>0.35</v>
      </c>
      <c r="H2808" s="2">
        <v>21442.67</v>
      </c>
      <c r="I2808" s="2">
        <v>7504.93</v>
      </c>
    </row>
    <row r="2809" spans="1:9" x14ac:dyDescent="0.25">
      <c r="A2809" t="s">
        <v>1510</v>
      </c>
      <c r="B2809" t="s">
        <v>1511</v>
      </c>
      <c r="C2809" t="s">
        <v>21</v>
      </c>
      <c r="D2809" t="s">
        <v>4062</v>
      </c>
      <c r="E2809" t="s">
        <v>4536</v>
      </c>
      <c r="F2809" t="s">
        <v>63</v>
      </c>
      <c r="G2809">
        <v>0.14</v>
      </c>
      <c r="H2809" s="2">
        <v>37625</v>
      </c>
      <c r="I2809" s="2">
        <v>5267.5</v>
      </c>
    </row>
    <row r="2810" spans="1:9" x14ac:dyDescent="0.25">
      <c r="A2810" t="s">
        <v>1510</v>
      </c>
      <c r="B2810" t="s">
        <v>1511</v>
      </c>
      <c r="C2810" t="s">
        <v>21</v>
      </c>
      <c r="D2810" t="s">
        <v>4062</v>
      </c>
      <c r="E2810" t="s">
        <v>5517</v>
      </c>
      <c r="F2810" t="s">
        <v>63</v>
      </c>
      <c r="G2810">
        <v>0.81</v>
      </c>
      <c r="H2810" s="2">
        <v>4150</v>
      </c>
      <c r="I2810" s="2">
        <v>3361.5</v>
      </c>
    </row>
    <row r="2811" spans="1:9" x14ac:dyDescent="0.25">
      <c r="A2811" t="s">
        <v>1510</v>
      </c>
      <c r="B2811" t="s">
        <v>1511</v>
      </c>
      <c r="C2811" t="s">
        <v>21</v>
      </c>
      <c r="D2811" t="s">
        <v>4049</v>
      </c>
      <c r="E2811" t="s">
        <v>4050</v>
      </c>
      <c r="F2811" t="s">
        <v>4051</v>
      </c>
      <c r="G2811">
        <v>1</v>
      </c>
      <c r="H2811" s="2">
        <v>9037.33</v>
      </c>
      <c r="I2811" s="2">
        <v>9037.33</v>
      </c>
    </row>
    <row r="2812" spans="1:9" x14ac:dyDescent="0.25">
      <c r="A2812" t="s">
        <v>1510</v>
      </c>
      <c r="B2812" t="s">
        <v>1511</v>
      </c>
      <c r="C2812" t="s">
        <v>21</v>
      </c>
      <c r="D2812" t="s">
        <v>4049</v>
      </c>
      <c r="E2812" t="s">
        <v>4073</v>
      </c>
      <c r="F2812" t="s">
        <v>4051</v>
      </c>
      <c r="G2812">
        <v>1</v>
      </c>
      <c r="H2812" s="2">
        <v>15517.89</v>
      </c>
      <c r="I2812" s="2">
        <v>15517.89</v>
      </c>
    </row>
    <row r="2813" spans="1:9" x14ac:dyDescent="0.25">
      <c r="A2813" t="s">
        <v>1510</v>
      </c>
      <c r="B2813" t="s">
        <v>1511</v>
      </c>
      <c r="C2813" t="s">
        <v>21</v>
      </c>
      <c r="D2813" t="s">
        <v>4052</v>
      </c>
      <c r="E2813" t="s">
        <v>4105</v>
      </c>
      <c r="F2813" t="s">
        <v>4106</v>
      </c>
      <c r="G2813">
        <v>0.13</v>
      </c>
      <c r="H2813" s="2">
        <v>25125</v>
      </c>
      <c r="I2813" s="2">
        <v>3140.63</v>
      </c>
    </row>
    <row r="2814" spans="1:9" x14ac:dyDescent="0.25">
      <c r="A2814" t="s">
        <v>1510</v>
      </c>
      <c r="B2814" t="s">
        <v>1511</v>
      </c>
      <c r="C2814" t="s">
        <v>21</v>
      </c>
      <c r="D2814" t="s">
        <v>4052</v>
      </c>
      <c r="E2814" t="s">
        <v>4053</v>
      </c>
      <c r="F2814" t="s">
        <v>4054</v>
      </c>
      <c r="G2814">
        <v>3.3</v>
      </c>
      <c r="H2814" s="2">
        <v>24555.22</v>
      </c>
      <c r="I2814" s="2">
        <v>810.32</v>
      </c>
    </row>
    <row r="2815" spans="1:9" x14ac:dyDescent="0.25">
      <c r="A2815" t="s">
        <v>1513</v>
      </c>
      <c r="B2815" t="s">
        <v>1514</v>
      </c>
      <c r="C2815" t="s">
        <v>21</v>
      </c>
      <c r="D2815" t="s">
        <v>4062</v>
      </c>
      <c r="E2815" t="s">
        <v>5508</v>
      </c>
      <c r="F2815" t="s">
        <v>63</v>
      </c>
      <c r="G2815">
        <v>0.5</v>
      </c>
      <c r="H2815" s="2">
        <v>16300</v>
      </c>
      <c r="I2815" s="2">
        <v>8150</v>
      </c>
    </row>
    <row r="2816" spans="1:9" x14ac:dyDescent="0.25">
      <c r="A2816" t="s">
        <v>1513</v>
      </c>
      <c r="B2816" t="s">
        <v>1514</v>
      </c>
      <c r="C2816" t="s">
        <v>21</v>
      </c>
      <c r="D2816" t="s">
        <v>4062</v>
      </c>
      <c r="E2816" t="s">
        <v>5509</v>
      </c>
      <c r="F2816" t="s">
        <v>42</v>
      </c>
      <c r="G2816">
        <v>0.8</v>
      </c>
      <c r="H2816" s="2">
        <v>1563</v>
      </c>
      <c r="I2816" s="2">
        <v>1250.4</v>
      </c>
    </row>
    <row r="2817" spans="1:9" x14ac:dyDescent="0.25">
      <c r="A2817" t="s">
        <v>1513</v>
      </c>
      <c r="B2817" t="s">
        <v>1514</v>
      </c>
      <c r="C2817" t="s">
        <v>21</v>
      </c>
      <c r="D2817" t="s">
        <v>4062</v>
      </c>
      <c r="E2817" t="s">
        <v>5520</v>
      </c>
      <c r="F2817" t="s">
        <v>63</v>
      </c>
      <c r="G2817">
        <v>1</v>
      </c>
      <c r="H2817" s="2">
        <v>25555.7</v>
      </c>
      <c r="I2817" s="2">
        <v>25555.7</v>
      </c>
    </row>
    <row r="2818" spans="1:9" x14ac:dyDescent="0.25">
      <c r="A2818" t="s">
        <v>1513</v>
      </c>
      <c r="B2818" t="s">
        <v>1514</v>
      </c>
      <c r="C2818" t="s">
        <v>21</v>
      </c>
      <c r="D2818" t="s">
        <v>4062</v>
      </c>
      <c r="E2818" t="s">
        <v>5512</v>
      </c>
      <c r="F2818" t="s">
        <v>63</v>
      </c>
      <c r="G2818">
        <v>4</v>
      </c>
      <c r="H2818" s="2">
        <v>195</v>
      </c>
      <c r="I2818" s="2">
        <v>780</v>
      </c>
    </row>
    <row r="2819" spans="1:9" x14ac:dyDescent="0.25">
      <c r="A2819" t="s">
        <v>1513</v>
      </c>
      <c r="B2819" t="s">
        <v>1514</v>
      </c>
      <c r="C2819" t="s">
        <v>21</v>
      </c>
      <c r="D2819" t="s">
        <v>4049</v>
      </c>
      <c r="E2819" t="s">
        <v>4050</v>
      </c>
      <c r="F2819" t="s">
        <v>4051</v>
      </c>
      <c r="G2819">
        <v>0.6</v>
      </c>
      <c r="H2819" s="2">
        <v>9037.33</v>
      </c>
      <c r="I2819" s="2">
        <v>5422.4</v>
      </c>
    </row>
    <row r="2820" spans="1:9" x14ac:dyDescent="0.25">
      <c r="A2820" t="s">
        <v>1513</v>
      </c>
      <c r="B2820" t="s">
        <v>1514</v>
      </c>
      <c r="C2820" t="s">
        <v>21</v>
      </c>
      <c r="D2820" t="s">
        <v>4049</v>
      </c>
      <c r="E2820" t="s">
        <v>4073</v>
      </c>
      <c r="F2820" t="s">
        <v>4051</v>
      </c>
      <c r="G2820">
        <v>0.6</v>
      </c>
      <c r="H2820" s="2">
        <v>15517.89</v>
      </c>
      <c r="I2820" s="2">
        <v>9310.73</v>
      </c>
    </row>
    <row r="2821" spans="1:9" x14ac:dyDescent="0.25">
      <c r="A2821" t="s">
        <v>1513</v>
      </c>
      <c r="B2821" t="s">
        <v>1514</v>
      </c>
      <c r="C2821" t="s">
        <v>21</v>
      </c>
      <c r="D2821" t="s">
        <v>4052</v>
      </c>
      <c r="E2821" t="s">
        <v>4105</v>
      </c>
      <c r="F2821" t="s">
        <v>4106</v>
      </c>
      <c r="G2821">
        <v>0.13</v>
      </c>
      <c r="H2821" s="2">
        <v>25125</v>
      </c>
      <c r="I2821" s="2">
        <v>3140.63</v>
      </c>
    </row>
    <row r="2822" spans="1:9" x14ac:dyDescent="0.25">
      <c r="A2822" t="s">
        <v>1513</v>
      </c>
      <c r="B2822" t="s">
        <v>1514</v>
      </c>
      <c r="C2822" t="s">
        <v>21</v>
      </c>
      <c r="D2822" t="s">
        <v>4052</v>
      </c>
      <c r="E2822" t="s">
        <v>4053</v>
      </c>
      <c r="F2822" t="s">
        <v>4054</v>
      </c>
      <c r="G2822">
        <v>3.3</v>
      </c>
      <c r="H2822" s="2">
        <v>14733.13</v>
      </c>
      <c r="I2822" s="2">
        <v>486.19</v>
      </c>
    </row>
    <row r="2823" spans="1:9" x14ac:dyDescent="0.25">
      <c r="A2823" t="s">
        <v>1516</v>
      </c>
      <c r="B2823" t="s">
        <v>1517</v>
      </c>
      <c r="C2823" t="s">
        <v>21</v>
      </c>
      <c r="D2823" t="s">
        <v>4062</v>
      </c>
      <c r="E2823" t="s">
        <v>5523</v>
      </c>
      <c r="F2823" t="s">
        <v>21</v>
      </c>
      <c r="G2823">
        <v>1</v>
      </c>
      <c r="H2823" s="2">
        <v>27444</v>
      </c>
      <c r="I2823" s="2">
        <v>27444</v>
      </c>
    </row>
    <row r="2824" spans="1:9" x14ac:dyDescent="0.25">
      <c r="A2824" t="s">
        <v>1516</v>
      </c>
      <c r="B2824" t="s">
        <v>1517</v>
      </c>
      <c r="C2824" t="s">
        <v>21</v>
      </c>
      <c r="D2824" t="s">
        <v>4062</v>
      </c>
      <c r="E2824" t="s">
        <v>4322</v>
      </c>
      <c r="F2824" t="s">
        <v>42</v>
      </c>
      <c r="G2824">
        <v>2</v>
      </c>
      <c r="H2824" s="2">
        <v>5304</v>
      </c>
      <c r="I2824" s="2">
        <v>10608</v>
      </c>
    </row>
    <row r="2825" spans="1:9" x14ac:dyDescent="0.25">
      <c r="A2825" t="s">
        <v>1516</v>
      </c>
      <c r="B2825" t="s">
        <v>1517</v>
      </c>
      <c r="C2825" t="s">
        <v>21</v>
      </c>
      <c r="D2825" t="s">
        <v>4049</v>
      </c>
      <c r="E2825" t="s">
        <v>4050</v>
      </c>
      <c r="F2825" t="s">
        <v>4051</v>
      </c>
      <c r="G2825">
        <v>0.5</v>
      </c>
      <c r="H2825" s="2">
        <v>9037.33</v>
      </c>
      <c r="I2825" s="2">
        <v>4518.66</v>
      </c>
    </row>
    <row r="2826" spans="1:9" x14ac:dyDescent="0.25">
      <c r="A2826" t="s">
        <v>1516</v>
      </c>
      <c r="B2826" t="s">
        <v>1517</v>
      </c>
      <c r="C2826" t="s">
        <v>21</v>
      </c>
      <c r="D2826" t="s">
        <v>4049</v>
      </c>
      <c r="E2826" t="s">
        <v>4073</v>
      </c>
      <c r="F2826" t="s">
        <v>4051</v>
      </c>
      <c r="G2826">
        <v>0.5</v>
      </c>
      <c r="H2826" s="2">
        <v>15517.89</v>
      </c>
      <c r="I2826" s="2">
        <v>7758.94</v>
      </c>
    </row>
    <row r="2827" spans="1:9" x14ac:dyDescent="0.25">
      <c r="A2827" t="s">
        <v>1516</v>
      </c>
      <c r="B2827" t="s">
        <v>1517</v>
      </c>
      <c r="C2827" t="s">
        <v>21</v>
      </c>
      <c r="D2827" t="s">
        <v>4052</v>
      </c>
      <c r="E2827" t="s">
        <v>4105</v>
      </c>
      <c r="F2827" t="s">
        <v>4106</v>
      </c>
      <c r="G2827">
        <v>0.13</v>
      </c>
      <c r="H2827" s="2">
        <v>25125</v>
      </c>
      <c r="I2827" s="2">
        <v>3140.63</v>
      </c>
    </row>
    <row r="2828" spans="1:9" x14ac:dyDescent="0.25">
      <c r="A2828" t="s">
        <v>1516</v>
      </c>
      <c r="B2828" t="s">
        <v>1517</v>
      </c>
      <c r="C2828" t="s">
        <v>21</v>
      </c>
      <c r="D2828" t="s">
        <v>4052</v>
      </c>
      <c r="E2828" t="s">
        <v>4053</v>
      </c>
      <c r="F2828" t="s">
        <v>4054</v>
      </c>
      <c r="G2828">
        <v>3.3</v>
      </c>
      <c r="H2828" s="2">
        <v>12277.6</v>
      </c>
      <c r="I2828" s="2">
        <v>405.16</v>
      </c>
    </row>
    <row r="2829" spans="1:9" x14ac:dyDescent="0.25">
      <c r="A2829" t="s">
        <v>1519</v>
      </c>
      <c r="B2829" t="s">
        <v>1520</v>
      </c>
      <c r="C2829" t="s">
        <v>21</v>
      </c>
      <c r="D2829" t="s">
        <v>4062</v>
      </c>
      <c r="E2829" t="s">
        <v>4526</v>
      </c>
      <c r="F2829" t="s">
        <v>63</v>
      </c>
      <c r="G2829">
        <v>9</v>
      </c>
      <c r="H2829" s="2">
        <v>25</v>
      </c>
      <c r="I2829" s="2">
        <v>225</v>
      </c>
    </row>
    <row r="2830" spans="1:9" x14ac:dyDescent="0.25">
      <c r="A2830" t="s">
        <v>1519</v>
      </c>
      <c r="B2830" t="s">
        <v>1520</v>
      </c>
      <c r="C2830" t="s">
        <v>21</v>
      </c>
      <c r="D2830" t="s">
        <v>4062</v>
      </c>
      <c r="E2830" t="s">
        <v>5515</v>
      </c>
      <c r="F2830" t="s">
        <v>63</v>
      </c>
      <c r="G2830">
        <v>11</v>
      </c>
      <c r="H2830" s="2">
        <v>100</v>
      </c>
      <c r="I2830" s="2">
        <v>1100</v>
      </c>
    </row>
    <row r="2831" spans="1:9" x14ac:dyDescent="0.25">
      <c r="A2831" t="s">
        <v>1519</v>
      </c>
      <c r="B2831" t="s">
        <v>1520</v>
      </c>
      <c r="C2831" t="s">
        <v>21</v>
      </c>
      <c r="D2831" t="s">
        <v>4062</v>
      </c>
      <c r="E2831" t="s">
        <v>5508</v>
      </c>
      <c r="F2831" t="s">
        <v>63</v>
      </c>
      <c r="G2831">
        <v>0.42</v>
      </c>
      <c r="H2831" s="2">
        <v>16300</v>
      </c>
      <c r="I2831" s="2">
        <v>6846</v>
      </c>
    </row>
    <row r="2832" spans="1:9" x14ac:dyDescent="0.25">
      <c r="A2832" t="s">
        <v>1519</v>
      </c>
      <c r="B2832" t="s">
        <v>1520</v>
      </c>
      <c r="C2832" t="s">
        <v>21</v>
      </c>
      <c r="D2832" t="s">
        <v>4062</v>
      </c>
      <c r="E2832" t="s">
        <v>5516</v>
      </c>
      <c r="F2832" t="s">
        <v>63</v>
      </c>
      <c r="G2832">
        <v>0.56</v>
      </c>
      <c r="H2832" s="2">
        <v>3514.67</v>
      </c>
      <c r="I2832" s="2">
        <v>1968.22</v>
      </c>
    </row>
    <row r="2833" spans="1:9" x14ac:dyDescent="0.25">
      <c r="A2833" t="s">
        <v>1519</v>
      </c>
      <c r="B2833" t="s">
        <v>1520</v>
      </c>
      <c r="C2833" t="s">
        <v>21</v>
      </c>
      <c r="D2833" t="s">
        <v>4062</v>
      </c>
      <c r="E2833" t="s">
        <v>4598</v>
      </c>
      <c r="F2833" t="s">
        <v>42</v>
      </c>
      <c r="G2833">
        <v>2</v>
      </c>
      <c r="H2833" s="2">
        <v>164.11</v>
      </c>
      <c r="I2833" s="2">
        <v>328.22</v>
      </c>
    </row>
    <row r="2834" spans="1:9" x14ac:dyDescent="0.25">
      <c r="A2834" t="s">
        <v>1519</v>
      </c>
      <c r="B2834" t="s">
        <v>1520</v>
      </c>
      <c r="C2834" t="s">
        <v>21</v>
      </c>
      <c r="D2834" t="s">
        <v>4062</v>
      </c>
      <c r="E2834" t="s">
        <v>4599</v>
      </c>
      <c r="F2834" t="s">
        <v>63</v>
      </c>
      <c r="G2834">
        <v>0.34</v>
      </c>
      <c r="H2834" s="2">
        <v>63949.67</v>
      </c>
      <c r="I2834" s="2">
        <v>21742.89</v>
      </c>
    </row>
    <row r="2835" spans="1:9" x14ac:dyDescent="0.25">
      <c r="A2835" t="s">
        <v>1519</v>
      </c>
      <c r="B2835" t="s">
        <v>1520</v>
      </c>
      <c r="C2835" t="s">
        <v>21</v>
      </c>
      <c r="D2835" t="s">
        <v>4062</v>
      </c>
      <c r="E2835" t="s">
        <v>4536</v>
      </c>
      <c r="F2835" t="s">
        <v>63</v>
      </c>
      <c r="G2835">
        <v>0.14</v>
      </c>
      <c r="H2835" s="2">
        <v>37625</v>
      </c>
      <c r="I2835" s="2">
        <v>5267.5</v>
      </c>
    </row>
    <row r="2836" spans="1:9" x14ac:dyDescent="0.25">
      <c r="A2836" t="s">
        <v>1519</v>
      </c>
      <c r="B2836" t="s">
        <v>1520</v>
      </c>
      <c r="C2836" t="s">
        <v>21</v>
      </c>
      <c r="D2836" t="s">
        <v>4062</v>
      </c>
      <c r="E2836" t="s">
        <v>5517</v>
      </c>
      <c r="F2836" t="s">
        <v>63</v>
      </c>
      <c r="G2836">
        <v>0.81</v>
      </c>
      <c r="H2836" s="2">
        <v>4150</v>
      </c>
      <c r="I2836" s="2">
        <v>3361.5</v>
      </c>
    </row>
    <row r="2837" spans="1:9" x14ac:dyDescent="0.25">
      <c r="A2837" t="s">
        <v>1519</v>
      </c>
      <c r="B2837" t="s">
        <v>1520</v>
      </c>
      <c r="C2837" t="s">
        <v>21</v>
      </c>
      <c r="D2837" t="s">
        <v>4049</v>
      </c>
      <c r="E2837" t="s">
        <v>4050</v>
      </c>
      <c r="F2837" t="s">
        <v>4051</v>
      </c>
      <c r="G2837">
        <v>1.2</v>
      </c>
      <c r="H2837" s="2">
        <v>9037.33</v>
      </c>
      <c r="I2837" s="2">
        <v>10844.8</v>
      </c>
    </row>
    <row r="2838" spans="1:9" x14ac:dyDescent="0.25">
      <c r="A2838" t="s">
        <v>1519</v>
      </c>
      <c r="B2838" t="s">
        <v>1520</v>
      </c>
      <c r="C2838" t="s">
        <v>21</v>
      </c>
      <c r="D2838" t="s">
        <v>4049</v>
      </c>
      <c r="E2838" t="s">
        <v>4073</v>
      </c>
      <c r="F2838" t="s">
        <v>4051</v>
      </c>
      <c r="G2838">
        <v>1.2</v>
      </c>
      <c r="H2838" s="2">
        <v>15517.89</v>
      </c>
      <c r="I2838" s="2">
        <v>18621.47</v>
      </c>
    </row>
    <row r="2839" spans="1:9" x14ac:dyDescent="0.25">
      <c r="A2839" t="s">
        <v>1519</v>
      </c>
      <c r="B2839" t="s">
        <v>1520</v>
      </c>
      <c r="C2839" t="s">
        <v>21</v>
      </c>
      <c r="D2839" t="s">
        <v>4052</v>
      </c>
      <c r="E2839" t="s">
        <v>4105</v>
      </c>
      <c r="F2839" t="s">
        <v>4106</v>
      </c>
      <c r="G2839">
        <v>0.13</v>
      </c>
      <c r="H2839" s="2">
        <v>25125</v>
      </c>
      <c r="I2839" s="2">
        <v>3140.63</v>
      </c>
    </row>
    <row r="2840" spans="1:9" x14ac:dyDescent="0.25">
      <c r="A2840" t="s">
        <v>1519</v>
      </c>
      <c r="B2840" t="s">
        <v>1520</v>
      </c>
      <c r="C2840" t="s">
        <v>21</v>
      </c>
      <c r="D2840" t="s">
        <v>4052</v>
      </c>
      <c r="E2840" t="s">
        <v>4053</v>
      </c>
      <c r="F2840" t="s">
        <v>4054</v>
      </c>
      <c r="G2840">
        <v>3.3</v>
      </c>
      <c r="H2840" s="2">
        <v>29466.27</v>
      </c>
      <c r="I2840" s="2">
        <v>972.39</v>
      </c>
    </row>
    <row r="2841" spans="1:9" x14ac:dyDescent="0.25">
      <c r="A2841" t="s">
        <v>1522</v>
      </c>
      <c r="B2841" t="s">
        <v>1523</v>
      </c>
      <c r="C2841" t="s">
        <v>21</v>
      </c>
      <c r="D2841" t="s">
        <v>4062</v>
      </c>
      <c r="E2841" t="s">
        <v>5528</v>
      </c>
      <c r="F2841" t="s">
        <v>231</v>
      </c>
      <c r="G2841">
        <v>0.05</v>
      </c>
      <c r="H2841" s="2">
        <v>28903</v>
      </c>
      <c r="I2841" s="2">
        <v>1445.15</v>
      </c>
    </row>
    <row r="2842" spans="1:9" x14ac:dyDescent="0.25">
      <c r="A2842" t="s">
        <v>1522</v>
      </c>
      <c r="B2842" t="s">
        <v>1523</v>
      </c>
      <c r="C2842" t="s">
        <v>21</v>
      </c>
      <c r="D2842" t="s">
        <v>4062</v>
      </c>
      <c r="E2842" t="s">
        <v>5529</v>
      </c>
      <c r="F2842" t="s">
        <v>21</v>
      </c>
      <c r="G2842">
        <v>1.03</v>
      </c>
      <c r="H2842" s="2">
        <v>13700</v>
      </c>
      <c r="I2842" s="2">
        <v>14111</v>
      </c>
    </row>
    <row r="2843" spans="1:9" x14ac:dyDescent="0.25">
      <c r="A2843" t="s">
        <v>1522</v>
      </c>
      <c r="B2843" t="s">
        <v>1523</v>
      </c>
      <c r="C2843" t="s">
        <v>21</v>
      </c>
      <c r="D2843" t="s">
        <v>4062</v>
      </c>
      <c r="E2843" t="s">
        <v>5530</v>
      </c>
      <c r="F2843" t="s">
        <v>42</v>
      </c>
      <c r="G2843">
        <v>0.2</v>
      </c>
      <c r="H2843" s="2">
        <v>4000</v>
      </c>
      <c r="I2843" s="2">
        <v>800</v>
      </c>
    </row>
    <row r="2844" spans="1:9" x14ac:dyDescent="0.25">
      <c r="A2844" t="s">
        <v>1522</v>
      </c>
      <c r="B2844" t="s">
        <v>1523</v>
      </c>
      <c r="C2844" t="s">
        <v>21</v>
      </c>
      <c r="D2844" t="s">
        <v>4062</v>
      </c>
      <c r="E2844" t="s">
        <v>4443</v>
      </c>
      <c r="F2844" t="s">
        <v>42</v>
      </c>
      <c r="G2844">
        <v>2</v>
      </c>
      <c r="H2844" s="2">
        <v>4244.21</v>
      </c>
      <c r="I2844" s="2">
        <v>8488.42</v>
      </c>
    </row>
    <row r="2845" spans="1:9" x14ac:dyDescent="0.25">
      <c r="A2845" t="s">
        <v>1522</v>
      </c>
      <c r="B2845" t="s">
        <v>1523</v>
      </c>
      <c r="C2845" t="s">
        <v>21</v>
      </c>
      <c r="D2845" t="s">
        <v>4062</v>
      </c>
      <c r="E2845" t="s">
        <v>4065</v>
      </c>
      <c r="F2845" t="s">
        <v>4066</v>
      </c>
      <c r="G2845">
        <v>0.27</v>
      </c>
      <c r="H2845" s="2">
        <v>3433</v>
      </c>
      <c r="I2845" s="2">
        <v>926.91</v>
      </c>
    </row>
    <row r="2846" spans="1:9" x14ac:dyDescent="0.25">
      <c r="A2846" t="s">
        <v>1522</v>
      </c>
      <c r="B2846" t="s">
        <v>1523</v>
      </c>
      <c r="C2846" t="s">
        <v>21</v>
      </c>
      <c r="D2846" t="s">
        <v>4049</v>
      </c>
      <c r="E2846" t="s">
        <v>4105</v>
      </c>
      <c r="F2846" t="s">
        <v>4106</v>
      </c>
      <c r="G2846">
        <v>0.13</v>
      </c>
      <c r="H2846" s="2">
        <v>25125</v>
      </c>
      <c r="I2846" s="2">
        <v>3140.63</v>
      </c>
    </row>
    <row r="2847" spans="1:9" x14ac:dyDescent="0.25">
      <c r="A2847" t="s">
        <v>1522</v>
      </c>
      <c r="B2847" t="s">
        <v>1523</v>
      </c>
      <c r="C2847" t="s">
        <v>21</v>
      </c>
      <c r="D2847" t="s">
        <v>4049</v>
      </c>
      <c r="E2847" t="s">
        <v>4050</v>
      </c>
      <c r="F2847" t="s">
        <v>4051</v>
      </c>
      <c r="G2847">
        <v>1.5</v>
      </c>
      <c r="H2847" s="2">
        <v>9037.33</v>
      </c>
      <c r="I2847" s="2">
        <v>13555.99</v>
      </c>
    </row>
    <row r="2848" spans="1:9" x14ac:dyDescent="0.25">
      <c r="A2848" t="s">
        <v>1522</v>
      </c>
      <c r="B2848" t="s">
        <v>1523</v>
      </c>
      <c r="C2848" t="s">
        <v>21</v>
      </c>
      <c r="D2848" t="s">
        <v>4049</v>
      </c>
      <c r="E2848" t="s">
        <v>4073</v>
      </c>
      <c r="F2848" t="s">
        <v>4051</v>
      </c>
      <c r="G2848">
        <v>1.5</v>
      </c>
      <c r="H2848" s="2">
        <v>15517.89</v>
      </c>
      <c r="I2848" s="2">
        <v>23276.83</v>
      </c>
    </row>
    <row r="2849" spans="1:9" x14ac:dyDescent="0.25">
      <c r="A2849" t="s">
        <v>1522</v>
      </c>
      <c r="B2849" t="s">
        <v>1523</v>
      </c>
      <c r="C2849" t="s">
        <v>21</v>
      </c>
      <c r="D2849" t="s">
        <v>4052</v>
      </c>
      <c r="E2849" t="s">
        <v>4053</v>
      </c>
      <c r="F2849" t="s">
        <v>4054</v>
      </c>
      <c r="G2849">
        <v>2.5</v>
      </c>
      <c r="H2849" s="2">
        <v>36832.82</v>
      </c>
      <c r="I2849" s="2">
        <v>920.82</v>
      </c>
    </row>
    <row r="2850" spans="1:9" x14ac:dyDescent="0.25">
      <c r="A2850" t="s">
        <v>1525</v>
      </c>
      <c r="B2850" t="s">
        <v>1526</v>
      </c>
      <c r="C2850" t="s">
        <v>21</v>
      </c>
      <c r="D2850" t="s">
        <v>4062</v>
      </c>
      <c r="E2850" t="s">
        <v>5508</v>
      </c>
      <c r="F2850" t="s">
        <v>63</v>
      </c>
      <c r="G2850">
        <v>1.25</v>
      </c>
      <c r="H2850" s="2">
        <v>16300</v>
      </c>
      <c r="I2850" s="2">
        <v>20375</v>
      </c>
    </row>
    <row r="2851" spans="1:9" x14ac:dyDescent="0.25">
      <c r="A2851" t="s">
        <v>1525</v>
      </c>
      <c r="B2851" t="s">
        <v>1526</v>
      </c>
      <c r="C2851" t="s">
        <v>21</v>
      </c>
      <c r="D2851" t="s">
        <v>4062</v>
      </c>
      <c r="E2851" t="s">
        <v>5509</v>
      </c>
      <c r="F2851" t="s">
        <v>42</v>
      </c>
      <c r="G2851">
        <v>0.8</v>
      </c>
      <c r="H2851" s="2">
        <v>1563</v>
      </c>
      <c r="I2851" s="2">
        <v>1254.15</v>
      </c>
    </row>
    <row r="2852" spans="1:9" x14ac:dyDescent="0.25">
      <c r="A2852" t="s">
        <v>1525</v>
      </c>
      <c r="B2852" t="s">
        <v>1526</v>
      </c>
      <c r="C2852" t="s">
        <v>21</v>
      </c>
      <c r="D2852" t="s">
        <v>4062</v>
      </c>
      <c r="E2852" t="s">
        <v>5073</v>
      </c>
      <c r="F2852" t="s">
        <v>4377</v>
      </c>
      <c r="G2852">
        <v>0.01</v>
      </c>
      <c r="H2852" s="2">
        <v>20966.67</v>
      </c>
      <c r="I2852" s="2">
        <v>125.8</v>
      </c>
    </row>
    <row r="2853" spans="1:9" x14ac:dyDescent="0.25">
      <c r="A2853" t="s">
        <v>1525</v>
      </c>
      <c r="B2853" t="s">
        <v>1526</v>
      </c>
      <c r="C2853" t="s">
        <v>21</v>
      </c>
      <c r="D2853" t="s">
        <v>4062</v>
      </c>
      <c r="E2853" t="s">
        <v>4679</v>
      </c>
      <c r="F2853" t="s">
        <v>63</v>
      </c>
      <c r="G2853">
        <v>1.26</v>
      </c>
      <c r="H2853" s="2">
        <v>41500</v>
      </c>
      <c r="I2853" s="2">
        <v>52447.7</v>
      </c>
    </row>
    <row r="2854" spans="1:9" x14ac:dyDescent="0.25">
      <c r="A2854" t="s">
        <v>1525</v>
      </c>
      <c r="B2854" t="s">
        <v>1526</v>
      </c>
      <c r="C2854" t="s">
        <v>21</v>
      </c>
      <c r="D2854" t="s">
        <v>4062</v>
      </c>
      <c r="E2854" t="s">
        <v>4600</v>
      </c>
      <c r="F2854" t="s">
        <v>63</v>
      </c>
      <c r="G2854">
        <v>0</v>
      </c>
      <c r="H2854" s="2">
        <v>1195</v>
      </c>
      <c r="I2854" s="2">
        <v>2.39</v>
      </c>
    </row>
    <row r="2855" spans="1:9" x14ac:dyDescent="0.25">
      <c r="A2855" t="s">
        <v>1525</v>
      </c>
      <c r="B2855" t="s">
        <v>1526</v>
      </c>
      <c r="C2855" t="s">
        <v>21</v>
      </c>
      <c r="D2855" t="s">
        <v>4062</v>
      </c>
      <c r="E2855" t="s">
        <v>5074</v>
      </c>
      <c r="F2855" t="s">
        <v>4377</v>
      </c>
      <c r="G2855">
        <v>0.05</v>
      </c>
      <c r="H2855" s="2">
        <v>46450</v>
      </c>
      <c r="I2855" s="2">
        <v>2090.25</v>
      </c>
    </row>
    <row r="2856" spans="1:9" x14ac:dyDescent="0.25">
      <c r="A2856" t="s">
        <v>1525</v>
      </c>
      <c r="B2856" t="s">
        <v>1526</v>
      </c>
      <c r="C2856" t="s">
        <v>21</v>
      </c>
      <c r="D2856" t="s">
        <v>4062</v>
      </c>
      <c r="E2856" t="s">
        <v>5533</v>
      </c>
      <c r="F2856" t="s">
        <v>3963</v>
      </c>
      <c r="G2856">
        <v>1.58</v>
      </c>
      <c r="H2856" s="2">
        <v>13295</v>
      </c>
      <c r="I2856" s="2">
        <v>20939.63</v>
      </c>
    </row>
    <row r="2857" spans="1:9" x14ac:dyDescent="0.25">
      <c r="A2857" t="s">
        <v>1525</v>
      </c>
      <c r="B2857" t="s">
        <v>1526</v>
      </c>
      <c r="C2857" t="s">
        <v>21</v>
      </c>
      <c r="D2857" t="s">
        <v>4062</v>
      </c>
      <c r="E2857" t="s">
        <v>5534</v>
      </c>
      <c r="F2857" t="s">
        <v>3963</v>
      </c>
      <c r="G2857">
        <v>1.58</v>
      </c>
      <c r="H2857" s="2">
        <v>14795</v>
      </c>
      <c r="I2857" s="2">
        <v>23302.13</v>
      </c>
    </row>
    <row r="2858" spans="1:9" x14ac:dyDescent="0.25">
      <c r="A2858" t="s">
        <v>1525</v>
      </c>
      <c r="B2858" t="s">
        <v>1526</v>
      </c>
      <c r="C2858" t="s">
        <v>21</v>
      </c>
      <c r="D2858" t="s">
        <v>4062</v>
      </c>
      <c r="E2858" t="s">
        <v>5512</v>
      </c>
      <c r="F2858" t="s">
        <v>63</v>
      </c>
      <c r="G2858">
        <v>4</v>
      </c>
      <c r="H2858" s="2">
        <v>195</v>
      </c>
      <c r="I2858" s="2">
        <v>780</v>
      </c>
    </row>
    <row r="2859" spans="1:9" x14ac:dyDescent="0.25">
      <c r="A2859" t="s">
        <v>1525</v>
      </c>
      <c r="B2859" t="s">
        <v>1526</v>
      </c>
      <c r="C2859" t="s">
        <v>21</v>
      </c>
      <c r="D2859" t="s">
        <v>4049</v>
      </c>
      <c r="E2859" t="s">
        <v>4182</v>
      </c>
      <c r="F2859" t="s">
        <v>4051</v>
      </c>
      <c r="G2859">
        <v>1.9</v>
      </c>
      <c r="H2859" s="2">
        <v>10845.1</v>
      </c>
      <c r="I2859" s="2">
        <v>20605.69</v>
      </c>
    </row>
    <row r="2860" spans="1:9" x14ac:dyDescent="0.25">
      <c r="A2860" t="s">
        <v>1525</v>
      </c>
      <c r="B2860" t="s">
        <v>1526</v>
      </c>
      <c r="C2860" t="s">
        <v>21</v>
      </c>
      <c r="D2860" t="s">
        <v>4049</v>
      </c>
      <c r="E2860" t="s">
        <v>4183</v>
      </c>
      <c r="F2860" t="s">
        <v>4051</v>
      </c>
      <c r="G2860">
        <v>0.95</v>
      </c>
      <c r="H2860" s="2">
        <v>18621.17</v>
      </c>
      <c r="I2860" s="2">
        <v>17690.11</v>
      </c>
    </row>
    <row r="2861" spans="1:9" x14ac:dyDescent="0.25">
      <c r="A2861" t="s">
        <v>1525</v>
      </c>
      <c r="B2861" t="s">
        <v>1526</v>
      </c>
      <c r="C2861" t="s">
        <v>21</v>
      </c>
      <c r="D2861" t="s">
        <v>4049</v>
      </c>
      <c r="E2861" t="s">
        <v>5068</v>
      </c>
      <c r="F2861" t="s">
        <v>4051</v>
      </c>
      <c r="G2861">
        <v>0.28</v>
      </c>
      <c r="H2861" s="2">
        <v>17845.35</v>
      </c>
      <c r="I2861" s="2">
        <v>4996.7</v>
      </c>
    </row>
    <row r="2862" spans="1:9" x14ac:dyDescent="0.25">
      <c r="A2862" t="s">
        <v>1525</v>
      </c>
      <c r="B2862" t="s">
        <v>1526</v>
      </c>
      <c r="C2862" t="s">
        <v>21</v>
      </c>
      <c r="D2862" t="s">
        <v>4052</v>
      </c>
      <c r="E2862" t="s">
        <v>4105</v>
      </c>
      <c r="F2862" t="s">
        <v>4106</v>
      </c>
      <c r="G2862">
        <v>0.4</v>
      </c>
      <c r="H2862" s="2">
        <v>25125</v>
      </c>
      <c r="I2862" s="2">
        <v>10050</v>
      </c>
    </row>
    <row r="2863" spans="1:9" x14ac:dyDescent="0.25">
      <c r="A2863" t="s">
        <v>1525</v>
      </c>
      <c r="B2863" t="s">
        <v>1526</v>
      </c>
      <c r="C2863" t="s">
        <v>21</v>
      </c>
      <c r="D2863" t="s">
        <v>4052</v>
      </c>
      <c r="E2863" t="s">
        <v>4053</v>
      </c>
      <c r="F2863" t="s">
        <v>4054</v>
      </c>
      <c r="G2863">
        <v>3.3</v>
      </c>
      <c r="H2863" s="2">
        <v>43292.5</v>
      </c>
      <c r="I2863" s="2">
        <v>1428.65</v>
      </c>
    </row>
    <row r="2864" spans="1:9" x14ac:dyDescent="0.25">
      <c r="A2864" t="s">
        <v>1528</v>
      </c>
      <c r="B2864" t="s">
        <v>1529</v>
      </c>
      <c r="C2864" t="s">
        <v>21</v>
      </c>
      <c r="D2864" t="s">
        <v>4062</v>
      </c>
      <c r="E2864" t="s">
        <v>4526</v>
      </c>
      <c r="F2864" t="s">
        <v>63</v>
      </c>
      <c r="G2864">
        <v>9</v>
      </c>
      <c r="H2864" s="2">
        <v>25</v>
      </c>
      <c r="I2864" s="2">
        <v>225</v>
      </c>
    </row>
    <row r="2865" spans="1:9" x14ac:dyDescent="0.25">
      <c r="A2865" t="s">
        <v>1528</v>
      </c>
      <c r="B2865" t="s">
        <v>1529</v>
      </c>
      <c r="C2865" t="s">
        <v>21</v>
      </c>
      <c r="D2865" t="s">
        <v>4062</v>
      </c>
      <c r="E2865" t="s">
        <v>5515</v>
      </c>
      <c r="F2865" t="s">
        <v>63</v>
      </c>
      <c r="G2865">
        <v>11</v>
      </c>
      <c r="H2865" s="2">
        <v>100</v>
      </c>
      <c r="I2865" s="2">
        <v>1100</v>
      </c>
    </row>
    <row r="2866" spans="1:9" x14ac:dyDescent="0.25">
      <c r="A2866" t="s">
        <v>1528</v>
      </c>
      <c r="B2866" t="s">
        <v>1529</v>
      </c>
      <c r="C2866" t="s">
        <v>21</v>
      </c>
      <c r="D2866" t="s">
        <v>4062</v>
      </c>
      <c r="E2866" t="s">
        <v>5508</v>
      </c>
      <c r="F2866" t="s">
        <v>63</v>
      </c>
      <c r="G2866">
        <v>0.42</v>
      </c>
      <c r="H2866" s="2">
        <v>16300</v>
      </c>
      <c r="I2866" s="2">
        <v>6846</v>
      </c>
    </row>
    <row r="2867" spans="1:9" x14ac:dyDescent="0.25">
      <c r="A2867" t="s">
        <v>1528</v>
      </c>
      <c r="B2867" t="s">
        <v>1529</v>
      </c>
      <c r="C2867" t="s">
        <v>21</v>
      </c>
      <c r="D2867" t="s">
        <v>4062</v>
      </c>
      <c r="E2867" t="s">
        <v>5516</v>
      </c>
      <c r="F2867" t="s">
        <v>63</v>
      </c>
      <c r="G2867">
        <v>0.56</v>
      </c>
      <c r="H2867" s="2">
        <v>3514.67</v>
      </c>
      <c r="I2867" s="2">
        <v>1968.22</v>
      </c>
    </row>
    <row r="2868" spans="1:9" x14ac:dyDescent="0.25">
      <c r="A2868" t="s">
        <v>1528</v>
      </c>
      <c r="B2868" t="s">
        <v>1529</v>
      </c>
      <c r="C2868" t="s">
        <v>21</v>
      </c>
      <c r="D2868" t="s">
        <v>4062</v>
      </c>
      <c r="E2868" t="s">
        <v>4598</v>
      </c>
      <c r="F2868" t="s">
        <v>42</v>
      </c>
      <c r="G2868">
        <v>0.05</v>
      </c>
      <c r="H2868" s="2">
        <v>164.11</v>
      </c>
      <c r="I2868" s="2">
        <v>8.21</v>
      </c>
    </row>
    <row r="2869" spans="1:9" x14ac:dyDescent="0.25">
      <c r="A2869" t="s">
        <v>1528</v>
      </c>
      <c r="B2869" t="s">
        <v>1529</v>
      </c>
      <c r="C2869" t="s">
        <v>21</v>
      </c>
      <c r="D2869" t="s">
        <v>4062</v>
      </c>
      <c r="E2869" t="s">
        <v>5537</v>
      </c>
      <c r="F2869" t="s">
        <v>4532</v>
      </c>
      <c r="G2869">
        <v>0.04</v>
      </c>
      <c r="H2869" s="2">
        <v>162641.33</v>
      </c>
      <c r="I2869" s="2">
        <v>7172.48</v>
      </c>
    </row>
    <row r="2870" spans="1:9" x14ac:dyDescent="0.25">
      <c r="A2870" t="s">
        <v>1528</v>
      </c>
      <c r="B2870" t="s">
        <v>1529</v>
      </c>
      <c r="C2870" t="s">
        <v>21</v>
      </c>
      <c r="D2870" t="s">
        <v>4062</v>
      </c>
      <c r="E2870" t="s">
        <v>4599</v>
      </c>
      <c r="F2870" t="s">
        <v>63</v>
      </c>
      <c r="G2870">
        <v>0.34</v>
      </c>
      <c r="H2870" s="2">
        <v>63949.67</v>
      </c>
      <c r="I2870" s="2">
        <v>21742.89</v>
      </c>
    </row>
    <row r="2871" spans="1:9" x14ac:dyDescent="0.25">
      <c r="A2871" t="s">
        <v>1528</v>
      </c>
      <c r="B2871" t="s">
        <v>1529</v>
      </c>
      <c r="C2871" t="s">
        <v>21</v>
      </c>
      <c r="D2871" t="s">
        <v>4062</v>
      </c>
      <c r="E2871" t="s">
        <v>4536</v>
      </c>
      <c r="F2871" t="s">
        <v>63</v>
      </c>
      <c r="G2871">
        <v>0.14</v>
      </c>
      <c r="H2871" s="2">
        <v>37625</v>
      </c>
      <c r="I2871" s="2">
        <v>5267.5</v>
      </c>
    </row>
    <row r="2872" spans="1:9" x14ac:dyDescent="0.25">
      <c r="A2872" t="s">
        <v>1528</v>
      </c>
      <c r="B2872" t="s">
        <v>1529</v>
      </c>
      <c r="C2872" t="s">
        <v>21</v>
      </c>
      <c r="D2872" t="s">
        <v>4062</v>
      </c>
      <c r="E2872" t="s">
        <v>5517</v>
      </c>
      <c r="F2872" t="s">
        <v>63</v>
      </c>
      <c r="G2872">
        <v>0.81</v>
      </c>
      <c r="H2872" s="2">
        <v>4150</v>
      </c>
      <c r="I2872" s="2">
        <v>3361.5</v>
      </c>
    </row>
    <row r="2873" spans="1:9" x14ac:dyDescent="0.25">
      <c r="A2873" t="s">
        <v>1528</v>
      </c>
      <c r="B2873" t="s">
        <v>1529</v>
      </c>
      <c r="C2873" t="s">
        <v>21</v>
      </c>
      <c r="D2873" t="s">
        <v>4049</v>
      </c>
      <c r="E2873" t="s">
        <v>4050</v>
      </c>
      <c r="F2873" t="s">
        <v>4051</v>
      </c>
      <c r="G2873">
        <v>1.2</v>
      </c>
      <c r="H2873" s="2">
        <v>9037.33</v>
      </c>
      <c r="I2873" s="2">
        <v>10844.8</v>
      </c>
    </row>
    <row r="2874" spans="1:9" x14ac:dyDescent="0.25">
      <c r="A2874" t="s">
        <v>1528</v>
      </c>
      <c r="B2874" t="s">
        <v>1529</v>
      </c>
      <c r="C2874" t="s">
        <v>21</v>
      </c>
      <c r="D2874" t="s">
        <v>4049</v>
      </c>
      <c r="E2874" t="s">
        <v>4073</v>
      </c>
      <c r="F2874" t="s">
        <v>4051</v>
      </c>
      <c r="G2874">
        <v>1.2</v>
      </c>
      <c r="H2874" s="2">
        <v>15517.89</v>
      </c>
      <c r="I2874" s="2">
        <v>18621.47</v>
      </c>
    </row>
    <row r="2875" spans="1:9" x14ac:dyDescent="0.25">
      <c r="A2875" t="s">
        <v>1528</v>
      </c>
      <c r="B2875" t="s">
        <v>1529</v>
      </c>
      <c r="C2875" t="s">
        <v>21</v>
      </c>
      <c r="D2875" t="s">
        <v>4052</v>
      </c>
      <c r="E2875" t="s">
        <v>4053</v>
      </c>
      <c r="F2875" t="s">
        <v>4054</v>
      </c>
      <c r="G2875">
        <v>3.3</v>
      </c>
      <c r="H2875" s="2">
        <v>29466.27</v>
      </c>
      <c r="I2875" s="2">
        <v>972.39</v>
      </c>
    </row>
    <row r="2876" spans="1:9" x14ac:dyDescent="0.25">
      <c r="A2876" t="s">
        <v>1531</v>
      </c>
      <c r="B2876" t="s">
        <v>1532</v>
      </c>
      <c r="C2876" t="s">
        <v>21</v>
      </c>
      <c r="D2876" t="s">
        <v>4062</v>
      </c>
      <c r="E2876" t="s">
        <v>4617</v>
      </c>
      <c r="F2876" t="s">
        <v>63</v>
      </c>
      <c r="G2876">
        <v>0.73</v>
      </c>
      <c r="H2876" s="2">
        <v>4964</v>
      </c>
      <c r="I2876" s="2">
        <v>3623.72</v>
      </c>
    </row>
    <row r="2877" spans="1:9" x14ac:dyDescent="0.25">
      <c r="A2877" t="s">
        <v>1531</v>
      </c>
      <c r="B2877" t="s">
        <v>1532</v>
      </c>
      <c r="C2877" t="s">
        <v>21</v>
      </c>
      <c r="D2877" t="s">
        <v>4062</v>
      </c>
      <c r="E2877" t="s">
        <v>4065</v>
      </c>
      <c r="F2877" t="s">
        <v>4066</v>
      </c>
      <c r="G2877">
        <v>0.02</v>
      </c>
      <c r="H2877" s="2">
        <v>3433</v>
      </c>
      <c r="I2877" s="2">
        <v>68.66</v>
      </c>
    </row>
    <row r="2878" spans="1:9" x14ac:dyDescent="0.25">
      <c r="A2878" t="s">
        <v>1531</v>
      </c>
      <c r="B2878" t="s">
        <v>1532</v>
      </c>
      <c r="C2878" t="s">
        <v>21</v>
      </c>
      <c r="D2878" t="s">
        <v>4049</v>
      </c>
      <c r="E2878" t="s">
        <v>4050</v>
      </c>
      <c r="F2878" t="s">
        <v>4051</v>
      </c>
      <c r="G2878">
        <v>0.35</v>
      </c>
      <c r="H2878" s="2">
        <v>9037.33</v>
      </c>
      <c r="I2878" s="2">
        <v>3163.07</v>
      </c>
    </row>
    <row r="2879" spans="1:9" x14ac:dyDescent="0.25">
      <c r="A2879" t="s">
        <v>1531</v>
      </c>
      <c r="B2879" t="s">
        <v>1532</v>
      </c>
      <c r="C2879" t="s">
        <v>21</v>
      </c>
      <c r="D2879" t="s">
        <v>4049</v>
      </c>
      <c r="E2879" t="s">
        <v>4073</v>
      </c>
      <c r="F2879" t="s">
        <v>4051</v>
      </c>
      <c r="G2879">
        <v>0.35</v>
      </c>
      <c r="H2879" s="2">
        <v>15517.89</v>
      </c>
      <c r="I2879" s="2">
        <v>5431.26</v>
      </c>
    </row>
    <row r="2880" spans="1:9" x14ac:dyDescent="0.25">
      <c r="A2880" t="s">
        <v>1531</v>
      </c>
      <c r="B2880" t="s">
        <v>1532</v>
      </c>
      <c r="C2880" t="s">
        <v>21</v>
      </c>
      <c r="D2880" t="s">
        <v>4052</v>
      </c>
      <c r="E2880" t="s">
        <v>4105</v>
      </c>
      <c r="F2880" t="s">
        <v>4106</v>
      </c>
      <c r="G2880">
        <v>0.13</v>
      </c>
      <c r="H2880" s="2">
        <v>25125</v>
      </c>
      <c r="I2880" s="2">
        <v>3140.63</v>
      </c>
    </row>
    <row r="2881" spans="1:9" x14ac:dyDescent="0.25">
      <c r="A2881" t="s">
        <v>1531</v>
      </c>
      <c r="B2881" t="s">
        <v>1532</v>
      </c>
      <c r="C2881" t="s">
        <v>21</v>
      </c>
      <c r="D2881" t="s">
        <v>4052</v>
      </c>
      <c r="E2881" t="s">
        <v>4053</v>
      </c>
      <c r="F2881" t="s">
        <v>4054</v>
      </c>
      <c r="G2881">
        <v>2</v>
      </c>
      <c r="H2881" s="2">
        <v>8594.33</v>
      </c>
      <c r="I2881" s="2">
        <v>171.89</v>
      </c>
    </row>
    <row r="2882" spans="1:9" x14ac:dyDescent="0.25">
      <c r="A2882" t="s">
        <v>1534</v>
      </c>
      <c r="B2882" t="s">
        <v>1535</v>
      </c>
      <c r="C2882" t="s">
        <v>21</v>
      </c>
      <c r="D2882" t="s">
        <v>4062</v>
      </c>
      <c r="E2882" t="s">
        <v>5542</v>
      </c>
      <c r="F2882" t="s">
        <v>63</v>
      </c>
      <c r="G2882">
        <v>0.34</v>
      </c>
      <c r="H2882" s="2">
        <v>42119</v>
      </c>
      <c r="I2882" s="2">
        <v>14130.92</v>
      </c>
    </row>
    <row r="2883" spans="1:9" x14ac:dyDescent="0.25">
      <c r="A2883" t="s">
        <v>1534</v>
      </c>
      <c r="B2883" t="s">
        <v>1535</v>
      </c>
      <c r="C2883" t="s">
        <v>21</v>
      </c>
      <c r="D2883" t="s">
        <v>4062</v>
      </c>
      <c r="E2883" t="s">
        <v>4400</v>
      </c>
      <c r="F2883" t="s">
        <v>42</v>
      </c>
      <c r="G2883">
        <v>2.54</v>
      </c>
      <c r="H2883" s="2">
        <v>5286.26</v>
      </c>
      <c r="I2883" s="2">
        <v>13427.1</v>
      </c>
    </row>
    <row r="2884" spans="1:9" x14ac:dyDescent="0.25">
      <c r="A2884" t="s">
        <v>1534</v>
      </c>
      <c r="B2884" t="s">
        <v>1535</v>
      </c>
      <c r="C2884" t="s">
        <v>21</v>
      </c>
      <c r="D2884" t="s">
        <v>4062</v>
      </c>
      <c r="E2884" t="s">
        <v>4508</v>
      </c>
      <c r="F2884" t="s">
        <v>231</v>
      </c>
      <c r="G2884">
        <v>0.2</v>
      </c>
      <c r="H2884" s="2">
        <v>25650</v>
      </c>
      <c r="I2884" s="2">
        <v>5130</v>
      </c>
    </row>
    <row r="2885" spans="1:9" x14ac:dyDescent="0.25">
      <c r="A2885" t="s">
        <v>1534</v>
      </c>
      <c r="B2885" t="s">
        <v>1535</v>
      </c>
      <c r="C2885" t="s">
        <v>21</v>
      </c>
      <c r="D2885" t="s">
        <v>4062</v>
      </c>
      <c r="E2885" t="s">
        <v>4065</v>
      </c>
      <c r="F2885" t="s">
        <v>4066</v>
      </c>
      <c r="G2885">
        <v>2.06</v>
      </c>
      <c r="H2885" s="2">
        <v>3433</v>
      </c>
      <c r="I2885" s="2">
        <v>7071.98</v>
      </c>
    </row>
    <row r="2886" spans="1:9" x14ac:dyDescent="0.25">
      <c r="A2886" t="s">
        <v>1534</v>
      </c>
      <c r="B2886" t="s">
        <v>1535</v>
      </c>
      <c r="C2886" t="s">
        <v>21</v>
      </c>
      <c r="D2886" t="s">
        <v>4049</v>
      </c>
      <c r="E2886" t="s">
        <v>4105</v>
      </c>
      <c r="F2886" t="s">
        <v>4106</v>
      </c>
      <c r="G2886">
        <v>0.13</v>
      </c>
      <c r="H2886" s="2">
        <v>25125</v>
      </c>
      <c r="I2886" s="2">
        <v>3140.63</v>
      </c>
    </row>
    <row r="2887" spans="1:9" x14ac:dyDescent="0.25">
      <c r="A2887" t="s">
        <v>1534</v>
      </c>
      <c r="B2887" t="s">
        <v>1535</v>
      </c>
      <c r="C2887" t="s">
        <v>21</v>
      </c>
      <c r="D2887" t="s">
        <v>4049</v>
      </c>
      <c r="E2887" t="s">
        <v>4050</v>
      </c>
      <c r="F2887" t="s">
        <v>4051</v>
      </c>
      <c r="G2887">
        <v>1.1</v>
      </c>
      <c r="H2887" s="2">
        <v>9037.33</v>
      </c>
      <c r="I2887" s="2">
        <v>9941.06</v>
      </c>
    </row>
    <row r="2888" spans="1:9" x14ac:dyDescent="0.25">
      <c r="A2888" t="s">
        <v>1534</v>
      </c>
      <c r="B2888" t="s">
        <v>1535</v>
      </c>
      <c r="C2888" t="s">
        <v>21</v>
      </c>
      <c r="D2888" t="s">
        <v>4049</v>
      </c>
      <c r="E2888" t="s">
        <v>4073</v>
      </c>
      <c r="F2888" t="s">
        <v>4051</v>
      </c>
      <c r="G2888">
        <v>1.1</v>
      </c>
      <c r="H2888" s="2">
        <v>15517.89</v>
      </c>
      <c r="I2888" s="2">
        <v>17069.68</v>
      </c>
    </row>
    <row r="2889" spans="1:9" x14ac:dyDescent="0.25">
      <c r="A2889" t="s">
        <v>1534</v>
      </c>
      <c r="B2889" t="s">
        <v>1535</v>
      </c>
      <c r="C2889" t="s">
        <v>21</v>
      </c>
      <c r="D2889" t="s">
        <v>4052</v>
      </c>
      <c r="E2889" t="s">
        <v>4053</v>
      </c>
      <c r="F2889" t="s">
        <v>4054</v>
      </c>
      <c r="G2889">
        <v>0.9</v>
      </c>
      <c r="H2889" s="2">
        <v>27010.74</v>
      </c>
      <c r="I2889" s="2">
        <v>243.1</v>
      </c>
    </row>
    <row r="2890" spans="1:9" x14ac:dyDescent="0.25">
      <c r="A2890" t="s">
        <v>1537</v>
      </c>
      <c r="B2890" t="s">
        <v>1538</v>
      </c>
      <c r="C2890" t="s">
        <v>42</v>
      </c>
      <c r="D2890" t="s">
        <v>4062</v>
      </c>
      <c r="E2890" t="s">
        <v>5545</v>
      </c>
      <c r="F2890" t="s">
        <v>42</v>
      </c>
      <c r="G2890">
        <v>1</v>
      </c>
      <c r="H2890" s="2">
        <v>13454.59</v>
      </c>
      <c r="I2890" s="2">
        <v>13454.59</v>
      </c>
    </row>
    <row r="2891" spans="1:9" x14ac:dyDescent="0.25">
      <c r="A2891" t="s">
        <v>1537</v>
      </c>
      <c r="B2891" t="s">
        <v>1538</v>
      </c>
      <c r="C2891" t="s">
        <v>42</v>
      </c>
      <c r="D2891" t="s">
        <v>4049</v>
      </c>
      <c r="E2891" t="s">
        <v>4487</v>
      </c>
      <c r="F2891" t="s">
        <v>4236</v>
      </c>
      <c r="G2891">
        <v>0.25</v>
      </c>
      <c r="H2891" s="2">
        <v>24555.22</v>
      </c>
      <c r="I2891" s="2">
        <v>6138.81</v>
      </c>
    </row>
    <row r="2892" spans="1:9" x14ac:dyDescent="0.25">
      <c r="A2892" t="s">
        <v>1537</v>
      </c>
      <c r="B2892" t="s">
        <v>1538</v>
      </c>
      <c r="C2892" t="s">
        <v>42</v>
      </c>
      <c r="D2892" t="s">
        <v>4052</v>
      </c>
      <c r="E2892" t="s">
        <v>4053</v>
      </c>
      <c r="F2892" t="s">
        <v>4054</v>
      </c>
      <c r="G2892">
        <v>5</v>
      </c>
      <c r="H2892" s="2">
        <v>6138.81</v>
      </c>
      <c r="I2892" s="2">
        <v>306.94</v>
      </c>
    </row>
    <row r="2893" spans="1:9" x14ac:dyDescent="0.25">
      <c r="A2893" t="s">
        <v>1540</v>
      </c>
      <c r="B2893" t="s">
        <v>1541</v>
      </c>
      <c r="C2893" t="s">
        <v>21</v>
      </c>
      <c r="D2893" t="s">
        <v>4062</v>
      </c>
      <c r="E2893" t="s">
        <v>5508</v>
      </c>
      <c r="F2893" t="s">
        <v>63</v>
      </c>
      <c r="G2893">
        <v>1.25</v>
      </c>
      <c r="H2893" s="2">
        <v>16300</v>
      </c>
      <c r="I2893" s="2">
        <v>20375</v>
      </c>
    </row>
    <row r="2894" spans="1:9" x14ac:dyDescent="0.25">
      <c r="A2894" t="s">
        <v>1540</v>
      </c>
      <c r="B2894" t="s">
        <v>1541</v>
      </c>
      <c r="C2894" t="s">
        <v>21</v>
      </c>
      <c r="D2894" t="s">
        <v>4062</v>
      </c>
      <c r="E2894" t="s">
        <v>5509</v>
      </c>
      <c r="F2894" t="s">
        <v>42</v>
      </c>
      <c r="G2894">
        <v>0.8</v>
      </c>
      <c r="H2894" s="2">
        <v>1563</v>
      </c>
      <c r="I2894" s="2">
        <v>1250.4</v>
      </c>
    </row>
    <row r="2895" spans="1:9" x14ac:dyDescent="0.25">
      <c r="A2895" t="s">
        <v>1540</v>
      </c>
      <c r="B2895" t="s">
        <v>1541</v>
      </c>
      <c r="C2895" t="s">
        <v>21</v>
      </c>
      <c r="D2895" t="s">
        <v>4062</v>
      </c>
      <c r="E2895" t="s">
        <v>5548</v>
      </c>
      <c r="F2895" t="s">
        <v>21</v>
      </c>
      <c r="G2895">
        <v>1.03</v>
      </c>
      <c r="H2895" s="2">
        <v>8283.82</v>
      </c>
      <c r="I2895" s="2">
        <v>8532.33</v>
      </c>
    </row>
    <row r="2896" spans="1:9" x14ac:dyDescent="0.25">
      <c r="A2896" t="s">
        <v>1540</v>
      </c>
      <c r="B2896" t="s">
        <v>1541</v>
      </c>
      <c r="C2896" t="s">
        <v>21</v>
      </c>
      <c r="D2896" t="s">
        <v>4062</v>
      </c>
      <c r="E2896" t="s">
        <v>5512</v>
      </c>
      <c r="F2896" t="s">
        <v>63</v>
      </c>
      <c r="G2896">
        <v>4</v>
      </c>
      <c r="H2896" s="2">
        <v>195</v>
      </c>
      <c r="I2896" s="2">
        <v>780</v>
      </c>
    </row>
    <row r="2897" spans="1:9" x14ac:dyDescent="0.25">
      <c r="A2897" t="s">
        <v>1540</v>
      </c>
      <c r="B2897" t="s">
        <v>1541</v>
      </c>
      <c r="C2897" t="s">
        <v>21</v>
      </c>
      <c r="D2897" t="s">
        <v>4049</v>
      </c>
      <c r="E2897" t="s">
        <v>4050</v>
      </c>
      <c r="F2897" t="s">
        <v>4051</v>
      </c>
      <c r="G2897">
        <v>1.4</v>
      </c>
      <c r="H2897" s="2">
        <v>9037.33</v>
      </c>
      <c r="I2897" s="2">
        <v>12652.26</v>
      </c>
    </row>
    <row r="2898" spans="1:9" x14ac:dyDescent="0.25">
      <c r="A2898" t="s">
        <v>1540</v>
      </c>
      <c r="B2898" t="s">
        <v>1541</v>
      </c>
      <c r="C2898" t="s">
        <v>21</v>
      </c>
      <c r="D2898" t="s">
        <v>4049</v>
      </c>
      <c r="E2898" t="s">
        <v>4073</v>
      </c>
      <c r="F2898" t="s">
        <v>4051</v>
      </c>
      <c r="G2898">
        <v>0.7</v>
      </c>
      <c r="H2898" s="2">
        <v>15517.89</v>
      </c>
      <c r="I2898" s="2">
        <v>10862.52</v>
      </c>
    </row>
    <row r="2899" spans="1:9" x14ac:dyDescent="0.25">
      <c r="A2899" t="s">
        <v>1540</v>
      </c>
      <c r="B2899" t="s">
        <v>1541</v>
      </c>
      <c r="C2899" t="s">
        <v>21</v>
      </c>
      <c r="D2899" t="s">
        <v>4052</v>
      </c>
      <c r="E2899" t="s">
        <v>4105</v>
      </c>
      <c r="F2899" t="s">
        <v>4106</v>
      </c>
      <c r="G2899">
        <v>0.13</v>
      </c>
      <c r="H2899" s="2">
        <v>25125</v>
      </c>
      <c r="I2899" s="2">
        <v>3140.63</v>
      </c>
    </row>
    <row r="2900" spans="1:9" x14ac:dyDescent="0.25">
      <c r="A2900" t="s">
        <v>1540</v>
      </c>
      <c r="B2900" t="s">
        <v>1541</v>
      </c>
      <c r="C2900" t="s">
        <v>21</v>
      </c>
      <c r="D2900" t="s">
        <v>4052</v>
      </c>
      <c r="E2900" t="s">
        <v>4053</v>
      </c>
      <c r="F2900" t="s">
        <v>4054</v>
      </c>
      <c r="G2900">
        <v>5</v>
      </c>
      <c r="H2900" s="2">
        <v>23514.78</v>
      </c>
      <c r="I2900" s="2">
        <v>1175.74</v>
      </c>
    </row>
    <row r="2901" spans="1:9" x14ac:dyDescent="0.25">
      <c r="A2901" t="s">
        <v>1543</v>
      </c>
      <c r="B2901" t="s">
        <v>1544</v>
      </c>
      <c r="C2901" t="s">
        <v>21</v>
      </c>
      <c r="D2901" t="s">
        <v>4062</v>
      </c>
      <c r="E2901" t="s">
        <v>5551</v>
      </c>
      <c r="F2901" t="s">
        <v>63</v>
      </c>
      <c r="G2901">
        <v>1.35</v>
      </c>
      <c r="H2901" s="2">
        <v>6650.66</v>
      </c>
      <c r="I2901" s="2">
        <v>8978.39</v>
      </c>
    </row>
    <row r="2902" spans="1:9" x14ac:dyDescent="0.25">
      <c r="A2902" t="s">
        <v>1543</v>
      </c>
      <c r="B2902" t="s">
        <v>1544</v>
      </c>
      <c r="C2902" t="s">
        <v>21</v>
      </c>
      <c r="D2902" t="s">
        <v>4062</v>
      </c>
      <c r="E2902" t="s">
        <v>5552</v>
      </c>
      <c r="F2902" t="s">
        <v>63</v>
      </c>
      <c r="G2902">
        <v>0.34</v>
      </c>
      <c r="H2902" s="2">
        <v>3472.54</v>
      </c>
      <c r="I2902" s="2">
        <v>1163.3</v>
      </c>
    </row>
    <row r="2903" spans="1:9" x14ac:dyDescent="0.25">
      <c r="A2903" t="s">
        <v>1543</v>
      </c>
      <c r="B2903" t="s">
        <v>1544</v>
      </c>
      <c r="C2903" t="s">
        <v>21</v>
      </c>
      <c r="D2903" t="s">
        <v>4062</v>
      </c>
      <c r="E2903" t="s">
        <v>5553</v>
      </c>
      <c r="F2903" t="s">
        <v>63</v>
      </c>
      <c r="G2903">
        <v>1</v>
      </c>
      <c r="H2903" s="2">
        <v>2831.38</v>
      </c>
      <c r="I2903" s="2">
        <v>2831.38</v>
      </c>
    </row>
    <row r="2904" spans="1:9" x14ac:dyDescent="0.25">
      <c r="A2904" t="s">
        <v>1543</v>
      </c>
      <c r="B2904" t="s">
        <v>1544</v>
      </c>
      <c r="C2904" t="s">
        <v>21</v>
      </c>
      <c r="D2904" t="s">
        <v>4062</v>
      </c>
      <c r="E2904" t="s">
        <v>5554</v>
      </c>
      <c r="F2904" t="s">
        <v>63</v>
      </c>
      <c r="G2904">
        <v>0.34</v>
      </c>
      <c r="H2904" s="2">
        <v>5744.83</v>
      </c>
      <c r="I2904" s="2">
        <v>1924.52</v>
      </c>
    </row>
    <row r="2905" spans="1:9" x14ac:dyDescent="0.25">
      <c r="A2905" t="s">
        <v>1543</v>
      </c>
      <c r="B2905" t="s">
        <v>1544</v>
      </c>
      <c r="C2905" t="s">
        <v>21</v>
      </c>
      <c r="D2905" t="s">
        <v>4062</v>
      </c>
      <c r="E2905" t="s">
        <v>4065</v>
      </c>
      <c r="F2905" t="s">
        <v>4066</v>
      </c>
      <c r="G2905">
        <v>0.05</v>
      </c>
      <c r="H2905" s="2">
        <v>3433</v>
      </c>
      <c r="I2905" s="2">
        <v>171.65</v>
      </c>
    </row>
    <row r="2906" spans="1:9" x14ac:dyDescent="0.25">
      <c r="A2906" t="s">
        <v>1543</v>
      </c>
      <c r="B2906" t="s">
        <v>1544</v>
      </c>
      <c r="C2906" t="s">
        <v>21</v>
      </c>
      <c r="D2906" t="s">
        <v>4062</v>
      </c>
      <c r="E2906" t="s">
        <v>5555</v>
      </c>
      <c r="F2906" t="s">
        <v>231</v>
      </c>
      <c r="G2906">
        <v>0.15</v>
      </c>
      <c r="H2906" s="2">
        <v>6850</v>
      </c>
      <c r="I2906" s="2">
        <v>1027.5</v>
      </c>
    </row>
    <row r="2907" spans="1:9" x14ac:dyDescent="0.25">
      <c r="A2907" t="s">
        <v>1543</v>
      </c>
      <c r="B2907" t="s">
        <v>1544</v>
      </c>
      <c r="C2907" t="s">
        <v>21</v>
      </c>
      <c r="D2907" t="s">
        <v>4049</v>
      </c>
      <c r="E2907" t="s">
        <v>4182</v>
      </c>
      <c r="F2907" t="s">
        <v>4051</v>
      </c>
      <c r="G2907">
        <v>0.8</v>
      </c>
      <c r="H2907" s="2">
        <v>10845.1</v>
      </c>
      <c r="I2907" s="2">
        <v>8676.08</v>
      </c>
    </row>
    <row r="2908" spans="1:9" x14ac:dyDescent="0.25">
      <c r="A2908" t="s">
        <v>1543</v>
      </c>
      <c r="B2908" t="s">
        <v>1544</v>
      </c>
      <c r="C2908" t="s">
        <v>21</v>
      </c>
      <c r="D2908" t="s">
        <v>4049</v>
      </c>
      <c r="E2908" t="s">
        <v>4183</v>
      </c>
      <c r="F2908" t="s">
        <v>4051</v>
      </c>
      <c r="G2908">
        <v>0.4</v>
      </c>
      <c r="H2908" s="2">
        <v>18621.17</v>
      </c>
      <c r="I2908" s="2">
        <v>7448.47</v>
      </c>
    </row>
    <row r="2909" spans="1:9" x14ac:dyDescent="0.25">
      <c r="A2909" t="s">
        <v>1543</v>
      </c>
      <c r="B2909" t="s">
        <v>1544</v>
      </c>
      <c r="C2909" t="s">
        <v>21</v>
      </c>
      <c r="D2909" t="s">
        <v>4052</v>
      </c>
      <c r="E2909" t="s">
        <v>4053</v>
      </c>
      <c r="F2909" t="s">
        <v>4054</v>
      </c>
      <c r="G2909">
        <v>3.3</v>
      </c>
      <c r="H2909" s="2">
        <v>16124.55</v>
      </c>
      <c r="I2909" s="2">
        <v>532.11</v>
      </c>
    </row>
    <row r="2910" spans="1:9" x14ac:dyDescent="0.25">
      <c r="A2910" t="s">
        <v>1546</v>
      </c>
      <c r="B2910" t="s">
        <v>1547</v>
      </c>
      <c r="C2910" t="s">
        <v>21</v>
      </c>
      <c r="D2910" t="s">
        <v>4062</v>
      </c>
      <c r="E2910" t="s">
        <v>4526</v>
      </c>
      <c r="F2910" t="s">
        <v>63</v>
      </c>
      <c r="G2910">
        <v>9</v>
      </c>
      <c r="H2910" s="2">
        <v>25</v>
      </c>
      <c r="I2910" s="2">
        <v>225</v>
      </c>
    </row>
    <row r="2911" spans="1:9" x14ac:dyDescent="0.25">
      <c r="A2911" t="s">
        <v>1546</v>
      </c>
      <c r="B2911" t="s">
        <v>1547</v>
      </c>
      <c r="C2911" t="s">
        <v>21</v>
      </c>
      <c r="D2911" t="s">
        <v>4062</v>
      </c>
      <c r="E2911" t="s">
        <v>5515</v>
      </c>
      <c r="F2911" t="s">
        <v>63</v>
      </c>
      <c r="G2911">
        <v>11</v>
      </c>
      <c r="H2911" s="2">
        <v>100</v>
      </c>
      <c r="I2911" s="2">
        <v>1100</v>
      </c>
    </row>
    <row r="2912" spans="1:9" x14ac:dyDescent="0.25">
      <c r="A2912" t="s">
        <v>1546</v>
      </c>
      <c r="B2912" t="s">
        <v>1547</v>
      </c>
      <c r="C2912" t="s">
        <v>21</v>
      </c>
      <c r="D2912" t="s">
        <v>4062</v>
      </c>
      <c r="E2912" t="s">
        <v>5508</v>
      </c>
      <c r="F2912" t="s">
        <v>63</v>
      </c>
      <c r="G2912">
        <v>0.42</v>
      </c>
      <c r="H2912" s="2">
        <v>16300</v>
      </c>
      <c r="I2912" s="2">
        <v>6846</v>
      </c>
    </row>
    <row r="2913" spans="1:9" x14ac:dyDescent="0.25">
      <c r="A2913" t="s">
        <v>1546</v>
      </c>
      <c r="B2913" t="s">
        <v>1547</v>
      </c>
      <c r="C2913" t="s">
        <v>21</v>
      </c>
      <c r="D2913" t="s">
        <v>4062</v>
      </c>
      <c r="E2913" t="s">
        <v>5516</v>
      </c>
      <c r="F2913" t="s">
        <v>63</v>
      </c>
      <c r="G2913">
        <v>0.56</v>
      </c>
      <c r="H2913" s="2">
        <v>3514.67</v>
      </c>
      <c r="I2913" s="2">
        <v>1968.22</v>
      </c>
    </row>
    <row r="2914" spans="1:9" x14ac:dyDescent="0.25">
      <c r="A2914" t="s">
        <v>1546</v>
      </c>
      <c r="B2914" t="s">
        <v>1547</v>
      </c>
      <c r="C2914" t="s">
        <v>21</v>
      </c>
      <c r="D2914" t="s">
        <v>4062</v>
      </c>
      <c r="E2914" t="s">
        <v>5558</v>
      </c>
      <c r="F2914" t="s">
        <v>63</v>
      </c>
      <c r="G2914">
        <v>1.37</v>
      </c>
      <c r="H2914" s="2">
        <v>43833</v>
      </c>
      <c r="I2914" s="2">
        <v>60051.21</v>
      </c>
    </row>
    <row r="2915" spans="1:9" x14ac:dyDescent="0.25">
      <c r="A2915" t="s">
        <v>1546</v>
      </c>
      <c r="B2915" t="s">
        <v>1547</v>
      </c>
      <c r="C2915" t="s">
        <v>21</v>
      </c>
      <c r="D2915" t="s">
        <v>4062</v>
      </c>
      <c r="E2915" t="s">
        <v>4598</v>
      </c>
      <c r="F2915" t="s">
        <v>42</v>
      </c>
      <c r="G2915">
        <v>0.05</v>
      </c>
      <c r="H2915" s="2">
        <v>164.11</v>
      </c>
      <c r="I2915" s="2">
        <v>8.21</v>
      </c>
    </row>
    <row r="2916" spans="1:9" x14ac:dyDescent="0.25">
      <c r="A2916" t="s">
        <v>1546</v>
      </c>
      <c r="B2916" t="s">
        <v>1547</v>
      </c>
      <c r="C2916" t="s">
        <v>21</v>
      </c>
      <c r="D2916" t="s">
        <v>4062</v>
      </c>
      <c r="E2916" t="s">
        <v>4536</v>
      </c>
      <c r="F2916" t="s">
        <v>63</v>
      </c>
      <c r="G2916">
        <v>0.14</v>
      </c>
      <c r="H2916" s="2">
        <v>37625</v>
      </c>
      <c r="I2916" s="2">
        <v>5267.5</v>
      </c>
    </row>
    <row r="2917" spans="1:9" x14ac:dyDescent="0.25">
      <c r="A2917" t="s">
        <v>1546</v>
      </c>
      <c r="B2917" t="s">
        <v>1547</v>
      </c>
      <c r="C2917" t="s">
        <v>21</v>
      </c>
      <c r="D2917" t="s">
        <v>4062</v>
      </c>
      <c r="E2917" t="s">
        <v>5517</v>
      </c>
      <c r="F2917" t="s">
        <v>63</v>
      </c>
      <c r="G2917">
        <v>0.81</v>
      </c>
      <c r="H2917" s="2">
        <v>4150</v>
      </c>
      <c r="I2917" s="2">
        <v>3361.5</v>
      </c>
    </row>
    <row r="2918" spans="1:9" x14ac:dyDescent="0.25">
      <c r="A2918" t="s">
        <v>1546</v>
      </c>
      <c r="B2918" t="s">
        <v>1547</v>
      </c>
      <c r="C2918" t="s">
        <v>21</v>
      </c>
      <c r="D2918" t="s">
        <v>4049</v>
      </c>
      <c r="E2918" t="s">
        <v>4105</v>
      </c>
      <c r="F2918" t="s">
        <v>4106</v>
      </c>
      <c r="G2918">
        <v>0.13</v>
      </c>
      <c r="H2918" s="2">
        <v>25125</v>
      </c>
      <c r="I2918" s="2">
        <v>3140.63</v>
      </c>
    </row>
    <row r="2919" spans="1:9" x14ac:dyDescent="0.25">
      <c r="A2919" t="s">
        <v>1546</v>
      </c>
      <c r="B2919" t="s">
        <v>1547</v>
      </c>
      <c r="C2919" t="s">
        <v>21</v>
      </c>
      <c r="D2919" t="s">
        <v>4049</v>
      </c>
      <c r="E2919" t="s">
        <v>4050</v>
      </c>
      <c r="F2919" t="s">
        <v>4051</v>
      </c>
      <c r="G2919">
        <v>1</v>
      </c>
      <c r="H2919" s="2">
        <v>9037.33</v>
      </c>
      <c r="I2919" s="2">
        <v>9037.33</v>
      </c>
    </row>
    <row r="2920" spans="1:9" x14ac:dyDescent="0.25">
      <c r="A2920" t="s">
        <v>1546</v>
      </c>
      <c r="B2920" t="s">
        <v>1547</v>
      </c>
      <c r="C2920" t="s">
        <v>21</v>
      </c>
      <c r="D2920" t="s">
        <v>4049</v>
      </c>
      <c r="E2920" t="s">
        <v>4073</v>
      </c>
      <c r="F2920" t="s">
        <v>4051</v>
      </c>
      <c r="G2920">
        <v>1</v>
      </c>
      <c r="H2920" s="2">
        <v>15517.89</v>
      </c>
      <c r="I2920" s="2">
        <v>15517.89</v>
      </c>
    </row>
    <row r="2921" spans="1:9" x14ac:dyDescent="0.25">
      <c r="A2921" t="s">
        <v>1546</v>
      </c>
      <c r="B2921" t="s">
        <v>1547</v>
      </c>
      <c r="C2921" t="s">
        <v>21</v>
      </c>
      <c r="D2921" t="s">
        <v>4052</v>
      </c>
      <c r="E2921" t="s">
        <v>4053</v>
      </c>
      <c r="F2921" t="s">
        <v>4054</v>
      </c>
      <c r="G2921">
        <v>1.8</v>
      </c>
      <c r="H2921" s="2">
        <v>24555.22</v>
      </c>
      <c r="I2921" s="2">
        <v>441.99</v>
      </c>
    </row>
    <row r="2922" spans="1:9" x14ac:dyDescent="0.25">
      <c r="A2922" t="s">
        <v>1549</v>
      </c>
      <c r="B2922" t="s">
        <v>1550</v>
      </c>
      <c r="C2922" t="s">
        <v>21</v>
      </c>
      <c r="D2922" t="s">
        <v>4062</v>
      </c>
      <c r="E2922" t="s">
        <v>5508</v>
      </c>
      <c r="F2922" t="s">
        <v>63</v>
      </c>
      <c r="G2922">
        <v>1.25</v>
      </c>
      <c r="H2922" s="2">
        <v>16300</v>
      </c>
      <c r="I2922" s="2">
        <v>20375</v>
      </c>
    </row>
    <row r="2923" spans="1:9" x14ac:dyDescent="0.25">
      <c r="A2923" t="s">
        <v>1549</v>
      </c>
      <c r="B2923" t="s">
        <v>1550</v>
      </c>
      <c r="C2923" t="s">
        <v>21</v>
      </c>
      <c r="D2923" t="s">
        <v>4062</v>
      </c>
      <c r="E2923" t="s">
        <v>5509</v>
      </c>
      <c r="F2923" t="s">
        <v>42</v>
      </c>
      <c r="G2923">
        <v>0.8</v>
      </c>
      <c r="H2923" s="2">
        <v>1563</v>
      </c>
      <c r="I2923" s="2">
        <v>1250.4</v>
      </c>
    </row>
    <row r="2924" spans="1:9" x14ac:dyDescent="0.25">
      <c r="A2924" t="s">
        <v>1549</v>
      </c>
      <c r="B2924" t="s">
        <v>1550</v>
      </c>
      <c r="C2924" t="s">
        <v>21</v>
      </c>
      <c r="D2924" t="s">
        <v>4062</v>
      </c>
      <c r="E2924" t="s">
        <v>5561</v>
      </c>
      <c r="F2924" t="s">
        <v>21</v>
      </c>
      <c r="G2924">
        <v>1.03</v>
      </c>
      <c r="H2924" s="2">
        <v>35875</v>
      </c>
      <c r="I2924" s="2">
        <v>36951.25</v>
      </c>
    </row>
    <row r="2925" spans="1:9" x14ac:dyDescent="0.25">
      <c r="A2925" t="s">
        <v>1549</v>
      </c>
      <c r="B2925" t="s">
        <v>1550</v>
      </c>
      <c r="C2925" t="s">
        <v>21</v>
      </c>
      <c r="D2925" t="s">
        <v>4062</v>
      </c>
      <c r="E2925" t="s">
        <v>5512</v>
      </c>
      <c r="F2925" t="s">
        <v>63</v>
      </c>
      <c r="G2925">
        <v>4</v>
      </c>
      <c r="H2925" s="2">
        <v>195</v>
      </c>
      <c r="I2925" s="2">
        <v>780</v>
      </c>
    </row>
    <row r="2926" spans="1:9" x14ac:dyDescent="0.25">
      <c r="A2926" t="s">
        <v>1549</v>
      </c>
      <c r="B2926" t="s">
        <v>1550</v>
      </c>
      <c r="C2926" t="s">
        <v>21</v>
      </c>
      <c r="D2926" t="s">
        <v>4049</v>
      </c>
      <c r="E2926" t="s">
        <v>4050</v>
      </c>
      <c r="F2926" t="s">
        <v>4051</v>
      </c>
      <c r="G2926">
        <v>1.4</v>
      </c>
      <c r="H2926" s="2">
        <v>9037.33</v>
      </c>
      <c r="I2926" s="2">
        <v>12652.26</v>
      </c>
    </row>
    <row r="2927" spans="1:9" x14ac:dyDescent="0.25">
      <c r="A2927" t="s">
        <v>1549</v>
      </c>
      <c r="B2927" t="s">
        <v>1550</v>
      </c>
      <c r="C2927" t="s">
        <v>21</v>
      </c>
      <c r="D2927" t="s">
        <v>4049</v>
      </c>
      <c r="E2927" t="s">
        <v>4073</v>
      </c>
      <c r="F2927" t="s">
        <v>4051</v>
      </c>
      <c r="G2927">
        <v>0.7</v>
      </c>
      <c r="H2927" s="2">
        <v>15517.89</v>
      </c>
      <c r="I2927" s="2">
        <v>10862.52</v>
      </c>
    </row>
    <row r="2928" spans="1:9" x14ac:dyDescent="0.25">
      <c r="A2928" t="s">
        <v>1549</v>
      </c>
      <c r="B2928" t="s">
        <v>1550</v>
      </c>
      <c r="C2928" t="s">
        <v>21</v>
      </c>
      <c r="D2928" t="s">
        <v>4052</v>
      </c>
      <c r="E2928" t="s">
        <v>4053</v>
      </c>
      <c r="F2928" t="s">
        <v>4054</v>
      </c>
      <c r="G2928">
        <v>8.5</v>
      </c>
      <c r="H2928" s="2">
        <v>23514.78</v>
      </c>
      <c r="I2928" s="2">
        <v>1998.76</v>
      </c>
    </row>
    <row r="2929" spans="1:9" x14ac:dyDescent="0.25">
      <c r="A2929" t="s">
        <v>1552</v>
      </c>
      <c r="B2929" t="s">
        <v>1553</v>
      </c>
      <c r="C2929" t="s">
        <v>21</v>
      </c>
      <c r="D2929" t="s">
        <v>4062</v>
      </c>
      <c r="E2929" t="s">
        <v>5528</v>
      </c>
      <c r="F2929" t="s">
        <v>231</v>
      </c>
      <c r="G2929">
        <v>0.05</v>
      </c>
      <c r="H2929" s="2">
        <v>28903</v>
      </c>
      <c r="I2929" s="2">
        <v>1445.15</v>
      </c>
    </row>
    <row r="2930" spans="1:9" x14ac:dyDescent="0.25">
      <c r="A2930" t="s">
        <v>1552</v>
      </c>
      <c r="B2930" t="s">
        <v>1553</v>
      </c>
      <c r="C2930" t="s">
        <v>21</v>
      </c>
      <c r="D2930" t="s">
        <v>4062</v>
      </c>
      <c r="E2930" t="s">
        <v>5564</v>
      </c>
      <c r="F2930" t="s">
        <v>42</v>
      </c>
      <c r="G2930">
        <v>4.32</v>
      </c>
      <c r="H2930" s="2">
        <v>14242.73</v>
      </c>
      <c r="I2930" s="2">
        <v>61528.59</v>
      </c>
    </row>
    <row r="2931" spans="1:9" x14ac:dyDescent="0.25">
      <c r="A2931" t="s">
        <v>1552</v>
      </c>
      <c r="B2931" t="s">
        <v>1553</v>
      </c>
      <c r="C2931" t="s">
        <v>21</v>
      </c>
      <c r="D2931" t="s">
        <v>4062</v>
      </c>
      <c r="E2931" t="s">
        <v>4443</v>
      </c>
      <c r="F2931" t="s">
        <v>42</v>
      </c>
      <c r="G2931">
        <v>2</v>
      </c>
      <c r="H2931" s="2">
        <v>4244.21</v>
      </c>
      <c r="I2931" s="2">
        <v>8488.42</v>
      </c>
    </row>
    <row r="2932" spans="1:9" x14ac:dyDescent="0.25">
      <c r="A2932" t="s">
        <v>1552</v>
      </c>
      <c r="B2932" t="s">
        <v>1553</v>
      </c>
      <c r="C2932" t="s">
        <v>21</v>
      </c>
      <c r="D2932" t="s">
        <v>4062</v>
      </c>
      <c r="E2932" t="s">
        <v>5565</v>
      </c>
      <c r="F2932" t="s">
        <v>42</v>
      </c>
      <c r="G2932">
        <v>0.54</v>
      </c>
      <c r="H2932" s="2">
        <v>3840.74</v>
      </c>
      <c r="I2932" s="2">
        <v>2074</v>
      </c>
    </row>
    <row r="2933" spans="1:9" x14ac:dyDescent="0.25">
      <c r="A2933" t="s">
        <v>1552</v>
      </c>
      <c r="B2933" t="s">
        <v>1553</v>
      </c>
      <c r="C2933" t="s">
        <v>21</v>
      </c>
      <c r="D2933" t="s">
        <v>4062</v>
      </c>
      <c r="E2933" t="s">
        <v>4065</v>
      </c>
      <c r="F2933" t="s">
        <v>4066</v>
      </c>
      <c r="G2933">
        <v>0.3</v>
      </c>
      <c r="H2933" s="2">
        <v>3433</v>
      </c>
      <c r="I2933" s="2">
        <v>1029.9</v>
      </c>
    </row>
    <row r="2934" spans="1:9" x14ac:dyDescent="0.25">
      <c r="A2934" t="s">
        <v>1552</v>
      </c>
      <c r="B2934" t="s">
        <v>1553</v>
      </c>
      <c r="C2934" t="s">
        <v>21</v>
      </c>
      <c r="D2934" t="s">
        <v>4049</v>
      </c>
      <c r="E2934" t="s">
        <v>4105</v>
      </c>
      <c r="F2934" t="s">
        <v>4106</v>
      </c>
      <c r="G2934">
        <v>0.13</v>
      </c>
      <c r="H2934" s="2">
        <v>25125</v>
      </c>
      <c r="I2934" s="2">
        <v>3140.63</v>
      </c>
    </row>
    <row r="2935" spans="1:9" x14ac:dyDescent="0.25">
      <c r="A2935" t="s">
        <v>1552</v>
      </c>
      <c r="B2935" t="s">
        <v>1553</v>
      </c>
      <c r="C2935" t="s">
        <v>21</v>
      </c>
      <c r="D2935" t="s">
        <v>4049</v>
      </c>
      <c r="E2935" t="s">
        <v>4487</v>
      </c>
      <c r="F2935" t="s">
        <v>4236</v>
      </c>
      <c r="G2935">
        <v>0.5</v>
      </c>
      <c r="H2935" s="2">
        <v>24555.22</v>
      </c>
      <c r="I2935" s="2">
        <v>12277.61</v>
      </c>
    </row>
    <row r="2936" spans="1:9" x14ac:dyDescent="0.25">
      <c r="A2936" t="s">
        <v>1552</v>
      </c>
      <c r="B2936" t="s">
        <v>1553</v>
      </c>
      <c r="C2936" t="s">
        <v>21</v>
      </c>
      <c r="D2936" t="s">
        <v>4052</v>
      </c>
      <c r="E2936" t="s">
        <v>4053</v>
      </c>
      <c r="F2936" t="s">
        <v>4054</v>
      </c>
      <c r="G2936">
        <v>5</v>
      </c>
      <c r="H2936" s="2">
        <v>12277.61</v>
      </c>
      <c r="I2936" s="2">
        <v>613.88</v>
      </c>
    </row>
    <row r="2937" spans="1:9" x14ac:dyDescent="0.25">
      <c r="A2937" t="s">
        <v>1555</v>
      </c>
      <c r="B2937" t="s">
        <v>1556</v>
      </c>
      <c r="C2937" t="s">
        <v>21</v>
      </c>
      <c r="D2937" t="s">
        <v>4062</v>
      </c>
      <c r="E2937" t="s">
        <v>5568</v>
      </c>
      <c r="F2937" t="s">
        <v>21</v>
      </c>
      <c r="G2937">
        <v>1.03</v>
      </c>
      <c r="H2937" s="2">
        <v>281960.24</v>
      </c>
      <c r="I2937" s="2">
        <v>290419.05</v>
      </c>
    </row>
    <row r="2938" spans="1:9" x14ac:dyDescent="0.25">
      <c r="A2938" t="s">
        <v>1555</v>
      </c>
      <c r="B2938" t="s">
        <v>1556</v>
      </c>
      <c r="C2938" t="s">
        <v>21</v>
      </c>
      <c r="D2938" t="s">
        <v>4052</v>
      </c>
      <c r="E2938" t="s">
        <v>4487</v>
      </c>
      <c r="F2938" t="s">
        <v>4236</v>
      </c>
      <c r="G2938">
        <v>0.03</v>
      </c>
      <c r="H2938" s="2">
        <v>24555.22</v>
      </c>
      <c r="I2938" s="2">
        <v>736.66</v>
      </c>
    </row>
    <row r="2939" spans="1:9" x14ac:dyDescent="0.25">
      <c r="A2939" t="s">
        <v>1555</v>
      </c>
      <c r="B2939" t="s">
        <v>1556</v>
      </c>
      <c r="C2939" t="s">
        <v>21</v>
      </c>
      <c r="D2939" t="s">
        <v>4052</v>
      </c>
      <c r="E2939" t="s">
        <v>4053</v>
      </c>
      <c r="F2939" t="s">
        <v>4054</v>
      </c>
      <c r="G2939">
        <v>5</v>
      </c>
      <c r="H2939" s="2">
        <v>736.66</v>
      </c>
      <c r="I2939" s="2">
        <v>36.83</v>
      </c>
    </row>
    <row r="2940" spans="1:9" x14ac:dyDescent="0.25">
      <c r="A2940" t="s">
        <v>1559</v>
      </c>
      <c r="B2940" t="s">
        <v>1561</v>
      </c>
      <c r="C2940" t="s">
        <v>42</v>
      </c>
      <c r="D2940" t="s">
        <v>4062</v>
      </c>
      <c r="E2940" t="s">
        <v>5250</v>
      </c>
      <c r="F2940" t="s">
        <v>63</v>
      </c>
      <c r="G2940">
        <v>2</v>
      </c>
      <c r="H2940" s="2">
        <v>185</v>
      </c>
      <c r="I2940" s="2">
        <v>370</v>
      </c>
    </row>
    <row r="2941" spans="1:9" x14ac:dyDescent="0.25">
      <c r="A2941" t="s">
        <v>1559</v>
      </c>
      <c r="B2941" t="s">
        <v>1561</v>
      </c>
      <c r="C2941" t="s">
        <v>42</v>
      </c>
      <c r="D2941" t="s">
        <v>4062</v>
      </c>
      <c r="E2941" t="s">
        <v>5573</v>
      </c>
      <c r="F2941" t="s">
        <v>63</v>
      </c>
      <c r="G2941">
        <v>1</v>
      </c>
      <c r="H2941" s="2">
        <v>92500</v>
      </c>
      <c r="I2941" s="2">
        <v>92500</v>
      </c>
    </row>
    <row r="2942" spans="1:9" x14ac:dyDescent="0.25">
      <c r="A2942" t="s">
        <v>1559</v>
      </c>
      <c r="B2942" t="s">
        <v>1561</v>
      </c>
      <c r="C2942" t="s">
        <v>42</v>
      </c>
      <c r="D2942" t="s">
        <v>4062</v>
      </c>
      <c r="E2942" t="s">
        <v>4072</v>
      </c>
      <c r="F2942" t="s">
        <v>4066</v>
      </c>
      <c r="G2942">
        <v>0.25</v>
      </c>
      <c r="H2942" s="2">
        <v>3150</v>
      </c>
      <c r="I2942" s="2">
        <v>787.5</v>
      </c>
    </row>
    <row r="2943" spans="1:9" x14ac:dyDescent="0.25">
      <c r="A2943" t="s">
        <v>1559</v>
      </c>
      <c r="B2943" t="s">
        <v>1561</v>
      </c>
      <c r="C2943" t="s">
        <v>42</v>
      </c>
      <c r="D2943" t="s">
        <v>4049</v>
      </c>
      <c r="E2943" t="s">
        <v>4182</v>
      </c>
      <c r="F2943" t="s">
        <v>4051</v>
      </c>
      <c r="G2943">
        <v>2</v>
      </c>
      <c r="H2943" s="2">
        <v>10845.1</v>
      </c>
      <c r="I2943" s="2">
        <v>21690.2</v>
      </c>
    </row>
    <row r="2944" spans="1:9" x14ac:dyDescent="0.25">
      <c r="A2944" t="s">
        <v>1559</v>
      </c>
      <c r="B2944" t="s">
        <v>1561</v>
      </c>
      <c r="C2944" t="s">
        <v>42</v>
      </c>
      <c r="D2944" t="s">
        <v>4049</v>
      </c>
      <c r="E2944" t="s">
        <v>4183</v>
      </c>
      <c r="F2944" t="s">
        <v>4051</v>
      </c>
      <c r="G2944">
        <v>2</v>
      </c>
      <c r="H2944" s="2">
        <v>18621.17</v>
      </c>
      <c r="I2944" s="2">
        <v>37242.34</v>
      </c>
    </row>
    <row r="2945" spans="1:9" x14ac:dyDescent="0.25">
      <c r="A2945" t="s">
        <v>1559</v>
      </c>
      <c r="B2945" t="s">
        <v>1561</v>
      </c>
      <c r="C2945" t="s">
        <v>42</v>
      </c>
      <c r="D2945" t="s">
        <v>4052</v>
      </c>
      <c r="E2945" t="s">
        <v>4053</v>
      </c>
      <c r="F2945" t="s">
        <v>4054</v>
      </c>
      <c r="G2945">
        <v>2.5</v>
      </c>
      <c r="H2945" s="2">
        <v>58932.54</v>
      </c>
      <c r="I2945" s="2">
        <v>1473.31</v>
      </c>
    </row>
    <row r="2946" spans="1:9" x14ac:dyDescent="0.25">
      <c r="A2946" t="s">
        <v>1563</v>
      </c>
      <c r="B2946" t="s">
        <v>1564</v>
      </c>
      <c r="C2946" t="s">
        <v>21</v>
      </c>
      <c r="D2946" t="s">
        <v>4062</v>
      </c>
      <c r="E2946" t="s">
        <v>5250</v>
      </c>
      <c r="F2946" t="s">
        <v>63</v>
      </c>
      <c r="G2946">
        <v>4</v>
      </c>
      <c r="H2946" s="2">
        <v>185</v>
      </c>
      <c r="I2946" s="2">
        <v>740</v>
      </c>
    </row>
    <row r="2947" spans="1:9" x14ac:dyDescent="0.25">
      <c r="A2947" t="s">
        <v>1563</v>
      </c>
      <c r="B2947" t="s">
        <v>1564</v>
      </c>
      <c r="C2947" t="s">
        <v>21</v>
      </c>
      <c r="D2947" t="s">
        <v>4062</v>
      </c>
      <c r="E2947" t="s">
        <v>5576</v>
      </c>
      <c r="F2947" t="s">
        <v>63</v>
      </c>
      <c r="G2947">
        <v>2.18</v>
      </c>
      <c r="H2947" s="2">
        <v>79950</v>
      </c>
      <c r="I2947" s="2">
        <v>174291</v>
      </c>
    </row>
    <row r="2948" spans="1:9" x14ac:dyDescent="0.25">
      <c r="A2948" t="s">
        <v>1563</v>
      </c>
      <c r="B2948" t="s">
        <v>1564</v>
      </c>
      <c r="C2948" t="s">
        <v>21</v>
      </c>
      <c r="D2948" t="s">
        <v>4062</v>
      </c>
      <c r="E2948" t="s">
        <v>5577</v>
      </c>
      <c r="F2948" t="s">
        <v>63</v>
      </c>
      <c r="G2948">
        <v>2</v>
      </c>
      <c r="H2948" s="2">
        <v>2900</v>
      </c>
      <c r="I2948" s="2">
        <v>5800</v>
      </c>
    </row>
    <row r="2949" spans="1:9" x14ac:dyDescent="0.25">
      <c r="A2949" t="s">
        <v>1563</v>
      </c>
      <c r="B2949" t="s">
        <v>1564</v>
      </c>
      <c r="C2949" t="s">
        <v>21</v>
      </c>
      <c r="D2949" t="s">
        <v>4062</v>
      </c>
      <c r="E2949" t="s">
        <v>5578</v>
      </c>
      <c r="F2949" t="s">
        <v>63</v>
      </c>
      <c r="G2949">
        <v>1.5</v>
      </c>
      <c r="H2949" s="2">
        <v>182000</v>
      </c>
      <c r="I2949" s="2">
        <v>273000</v>
      </c>
    </row>
    <row r="2950" spans="1:9" x14ac:dyDescent="0.25">
      <c r="A2950" t="s">
        <v>1563</v>
      </c>
      <c r="B2950" t="s">
        <v>1564</v>
      </c>
      <c r="C2950" t="s">
        <v>21</v>
      </c>
      <c r="D2950" t="s">
        <v>4062</v>
      </c>
      <c r="E2950" t="s">
        <v>5579</v>
      </c>
      <c r="F2950" t="s">
        <v>231</v>
      </c>
      <c r="G2950">
        <v>0.25</v>
      </c>
      <c r="H2950" s="2">
        <v>13475</v>
      </c>
      <c r="I2950" s="2">
        <v>3368.75</v>
      </c>
    </row>
    <row r="2951" spans="1:9" x14ac:dyDescent="0.25">
      <c r="A2951" t="s">
        <v>1563</v>
      </c>
      <c r="B2951" t="s">
        <v>1564</v>
      </c>
      <c r="C2951" t="s">
        <v>21</v>
      </c>
      <c r="D2951" t="s">
        <v>4062</v>
      </c>
      <c r="E2951" t="s">
        <v>4072</v>
      </c>
      <c r="F2951" t="s">
        <v>4066</v>
      </c>
      <c r="G2951">
        <v>0.5</v>
      </c>
      <c r="H2951" s="2">
        <v>3150</v>
      </c>
      <c r="I2951" s="2">
        <v>1575</v>
      </c>
    </row>
    <row r="2952" spans="1:9" x14ac:dyDescent="0.25">
      <c r="A2952" t="s">
        <v>1563</v>
      </c>
      <c r="B2952" t="s">
        <v>1564</v>
      </c>
      <c r="C2952" t="s">
        <v>21</v>
      </c>
      <c r="D2952" t="s">
        <v>4049</v>
      </c>
      <c r="E2952" t="s">
        <v>4182</v>
      </c>
      <c r="F2952" t="s">
        <v>4051</v>
      </c>
      <c r="G2952">
        <v>14</v>
      </c>
      <c r="H2952" s="2">
        <v>10845.1</v>
      </c>
      <c r="I2952" s="2">
        <v>151831.4</v>
      </c>
    </row>
    <row r="2953" spans="1:9" x14ac:dyDescent="0.25">
      <c r="A2953" t="s">
        <v>1563</v>
      </c>
      <c r="B2953" t="s">
        <v>1564</v>
      </c>
      <c r="C2953" t="s">
        <v>21</v>
      </c>
      <c r="D2953" t="s">
        <v>4049</v>
      </c>
      <c r="E2953" t="s">
        <v>4183</v>
      </c>
      <c r="F2953" t="s">
        <v>4051</v>
      </c>
      <c r="G2953">
        <v>14</v>
      </c>
      <c r="H2953" s="2">
        <v>18621.17</v>
      </c>
      <c r="I2953" s="2">
        <v>260696.38</v>
      </c>
    </row>
    <row r="2954" spans="1:9" x14ac:dyDescent="0.25">
      <c r="A2954" t="s">
        <v>1563</v>
      </c>
      <c r="B2954" t="s">
        <v>1564</v>
      </c>
      <c r="C2954" t="s">
        <v>21</v>
      </c>
      <c r="D2954" t="s">
        <v>4052</v>
      </c>
      <c r="E2954" t="s">
        <v>4053</v>
      </c>
      <c r="F2954" t="s">
        <v>4054</v>
      </c>
      <c r="G2954">
        <v>2</v>
      </c>
      <c r="H2954" s="2">
        <v>412527.78</v>
      </c>
      <c r="I2954" s="2">
        <v>8250.56</v>
      </c>
    </row>
    <row r="2955" spans="1:9" x14ac:dyDescent="0.25">
      <c r="A2955" t="s">
        <v>1566</v>
      </c>
      <c r="B2955" t="s">
        <v>1567</v>
      </c>
      <c r="C2955" t="s">
        <v>21</v>
      </c>
      <c r="D2955" t="s">
        <v>4062</v>
      </c>
      <c r="E2955" t="s">
        <v>5250</v>
      </c>
      <c r="F2955" t="s">
        <v>63</v>
      </c>
      <c r="G2955">
        <v>4</v>
      </c>
      <c r="H2955" s="2">
        <v>185</v>
      </c>
      <c r="I2955" s="2">
        <v>740</v>
      </c>
    </row>
    <row r="2956" spans="1:9" x14ac:dyDescent="0.25">
      <c r="A2956" t="s">
        <v>1566</v>
      </c>
      <c r="B2956" t="s">
        <v>1567</v>
      </c>
      <c r="C2956" t="s">
        <v>21</v>
      </c>
      <c r="D2956" t="s">
        <v>4062</v>
      </c>
      <c r="E2956" t="s">
        <v>5577</v>
      </c>
      <c r="F2956" t="s">
        <v>63</v>
      </c>
      <c r="G2956">
        <v>2</v>
      </c>
      <c r="H2956" s="2">
        <v>2900</v>
      </c>
      <c r="I2956" s="2">
        <v>5800</v>
      </c>
    </row>
    <row r="2957" spans="1:9" x14ac:dyDescent="0.25">
      <c r="A2957" t="s">
        <v>1566</v>
      </c>
      <c r="B2957" t="s">
        <v>1567</v>
      </c>
      <c r="C2957" t="s">
        <v>21</v>
      </c>
      <c r="D2957" t="s">
        <v>4062</v>
      </c>
      <c r="E2957" t="s">
        <v>5578</v>
      </c>
      <c r="F2957" t="s">
        <v>63</v>
      </c>
      <c r="G2957">
        <v>1.3</v>
      </c>
      <c r="H2957" s="2">
        <v>182000</v>
      </c>
      <c r="I2957" s="2">
        <v>236600</v>
      </c>
    </row>
    <row r="2958" spans="1:9" x14ac:dyDescent="0.25">
      <c r="A2958" t="s">
        <v>1566</v>
      </c>
      <c r="B2958" t="s">
        <v>1567</v>
      </c>
      <c r="C2958" t="s">
        <v>21</v>
      </c>
      <c r="D2958" t="s">
        <v>4062</v>
      </c>
      <c r="E2958" t="s">
        <v>5582</v>
      </c>
      <c r="F2958" t="s">
        <v>63</v>
      </c>
      <c r="G2958">
        <v>1.07</v>
      </c>
      <c r="H2958" s="2">
        <v>39169</v>
      </c>
      <c r="I2958" s="2">
        <v>41910.83</v>
      </c>
    </row>
    <row r="2959" spans="1:9" x14ac:dyDescent="0.25">
      <c r="A2959" t="s">
        <v>1566</v>
      </c>
      <c r="B2959" t="s">
        <v>1567</v>
      </c>
      <c r="C2959" t="s">
        <v>21</v>
      </c>
      <c r="D2959" t="s">
        <v>4062</v>
      </c>
      <c r="E2959" t="s">
        <v>5579</v>
      </c>
      <c r="F2959" t="s">
        <v>231</v>
      </c>
      <c r="G2959">
        <v>0.25</v>
      </c>
      <c r="H2959" s="2">
        <v>13475</v>
      </c>
      <c r="I2959" s="2">
        <v>3368.75</v>
      </c>
    </row>
    <row r="2960" spans="1:9" x14ac:dyDescent="0.25">
      <c r="A2960" t="s">
        <v>1566</v>
      </c>
      <c r="B2960" t="s">
        <v>1567</v>
      </c>
      <c r="C2960" t="s">
        <v>21</v>
      </c>
      <c r="D2960" t="s">
        <v>4062</v>
      </c>
      <c r="E2960" t="s">
        <v>4072</v>
      </c>
      <c r="F2960" t="s">
        <v>4066</v>
      </c>
      <c r="G2960">
        <v>0.15</v>
      </c>
      <c r="H2960" s="2">
        <v>3150</v>
      </c>
      <c r="I2960" s="2">
        <v>472.5</v>
      </c>
    </row>
    <row r="2961" spans="1:9" x14ac:dyDescent="0.25">
      <c r="A2961" t="s">
        <v>1566</v>
      </c>
      <c r="B2961" t="s">
        <v>1567</v>
      </c>
      <c r="C2961" t="s">
        <v>21</v>
      </c>
      <c r="D2961" t="s">
        <v>4049</v>
      </c>
      <c r="E2961" t="s">
        <v>4182</v>
      </c>
      <c r="F2961" t="s">
        <v>4051</v>
      </c>
      <c r="G2961">
        <v>10</v>
      </c>
      <c r="H2961" s="2">
        <v>10845.1</v>
      </c>
      <c r="I2961" s="2">
        <v>108451</v>
      </c>
    </row>
    <row r="2962" spans="1:9" x14ac:dyDescent="0.25">
      <c r="A2962" t="s">
        <v>1566</v>
      </c>
      <c r="B2962" t="s">
        <v>1567</v>
      </c>
      <c r="C2962" t="s">
        <v>21</v>
      </c>
      <c r="D2962" t="s">
        <v>4049</v>
      </c>
      <c r="E2962" t="s">
        <v>4183</v>
      </c>
      <c r="F2962" t="s">
        <v>4051</v>
      </c>
      <c r="G2962">
        <v>10</v>
      </c>
      <c r="H2962" s="2">
        <v>18621.17</v>
      </c>
      <c r="I2962" s="2">
        <v>186211.7</v>
      </c>
    </row>
    <row r="2963" spans="1:9" x14ac:dyDescent="0.25">
      <c r="A2963" t="s">
        <v>1566</v>
      </c>
      <c r="B2963" t="s">
        <v>1567</v>
      </c>
      <c r="C2963" t="s">
        <v>21</v>
      </c>
      <c r="D2963" t="s">
        <v>4052</v>
      </c>
      <c r="E2963" t="s">
        <v>4053</v>
      </c>
      <c r="F2963" t="s">
        <v>4054</v>
      </c>
      <c r="G2963">
        <v>2</v>
      </c>
      <c r="H2963" s="2">
        <v>294662.7</v>
      </c>
      <c r="I2963" s="2">
        <v>5893.25</v>
      </c>
    </row>
    <row r="2964" spans="1:9" x14ac:dyDescent="0.25">
      <c r="A2964" t="s">
        <v>1569</v>
      </c>
      <c r="B2964" t="s">
        <v>1570</v>
      </c>
      <c r="C2964" t="s">
        <v>21</v>
      </c>
      <c r="D2964" t="s">
        <v>4062</v>
      </c>
      <c r="E2964" t="s">
        <v>5585</v>
      </c>
      <c r="F2964" t="s">
        <v>63</v>
      </c>
      <c r="G2964">
        <v>4</v>
      </c>
      <c r="H2964" s="2">
        <v>37</v>
      </c>
      <c r="I2964" s="2">
        <v>148</v>
      </c>
    </row>
    <row r="2965" spans="1:9" x14ac:dyDescent="0.25">
      <c r="A2965" t="s">
        <v>1569</v>
      </c>
      <c r="B2965" t="s">
        <v>1570</v>
      </c>
      <c r="C2965" t="s">
        <v>21</v>
      </c>
      <c r="D2965" t="s">
        <v>4062</v>
      </c>
      <c r="E2965" t="s">
        <v>5577</v>
      </c>
      <c r="F2965" t="s">
        <v>63</v>
      </c>
      <c r="G2965">
        <v>2</v>
      </c>
      <c r="H2965" s="2">
        <v>2900</v>
      </c>
      <c r="I2965" s="2">
        <v>5800</v>
      </c>
    </row>
    <row r="2966" spans="1:9" x14ac:dyDescent="0.25">
      <c r="A2966" t="s">
        <v>1569</v>
      </c>
      <c r="B2966" t="s">
        <v>1570</v>
      </c>
      <c r="C2966" t="s">
        <v>21</v>
      </c>
      <c r="D2966" t="s">
        <v>4062</v>
      </c>
      <c r="E2966" t="s">
        <v>5586</v>
      </c>
      <c r="F2966" t="s">
        <v>63</v>
      </c>
      <c r="G2966">
        <v>2</v>
      </c>
      <c r="H2966" s="2">
        <v>42329</v>
      </c>
      <c r="I2966" s="2">
        <v>84658</v>
      </c>
    </row>
    <row r="2967" spans="1:9" x14ac:dyDescent="0.25">
      <c r="A2967" t="s">
        <v>1569</v>
      </c>
      <c r="B2967" t="s">
        <v>1570</v>
      </c>
      <c r="C2967" t="s">
        <v>21</v>
      </c>
      <c r="D2967" t="s">
        <v>4062</v>
      </c>
      <c r="E2967" t="s">
        <v>5582</v>
      </c>
      <c r="F2967" t="s">
        <v>63</v>
      </c>
      <c r="G2967">
        <v>1.07</v>
      </c>
      <c r="H2967" s="2">
        <v>39169</v>
      </c>
      <c r="I2967" s="2">
        <v>41910.83</v>
      </c>
    </row>
    <row r="2968" spans="1:9" x14ac:dyDescent="0.25">
      <c r="A2968" t="s">
        <v>1569</v>
      </c>
      <c r="B2968" t="s">
        <v>1570</v>
      </c>
      <c r="C2968" t="s">
        <v>21</v>
      </c>
      <c r="D2968" t="s">
        <v>4062</v>
      </c>
      <c r="E2968" t="s">
        <v>5579</v>
      </c>
      <c r="F2968" t="s">
        <v>231</v>
      </c>
      <c r="G2968">
        <v>0.02</v>
      </c>
      <c r="H2968" s="2">
        <v>13475</v>
      </c>
      <c r="I2968" s="2">
        <v>269.5</v>
      </c>
    </row>
    <row r="2969" spans="1:9" x14ac:dyDescent="0.25">
      <c r="A2969" t="s">
        <v>1569</v>
      </c>
      <c r="B2969" t="s">
        <v>1570</v>
      </c>
      <c r="C2969" t="s">
        <v>21</v>
      </c>
      <c r="D2969" t="s">
        <v>4062</v>
      </c>
      <c r="E2969" t="s">
        <v>4072</v>
      </c>
      <c r="F2969" t="s">
        <v>4066</v>
      </c>
      <c r="G2969">
        <v>0.15</v>
      </c>
      <c r="H2969" s="2">
        <v>3150</v>
      </c>
      <c r="I2969" s="2">
        <v>472.5</v>
      </c>
    </row>
    <row r="2970" spans="1:9" x14ac:dyDescent="0.25">
      <c r="A2970" t="s">
        <v>1569</v>
      </c>
      <c r="B2970" t="s">
        <v>1570</v>
      </c>
      <c r="C2970" t="s">
        <v>21</v>
      </c>
      <c r="D2970" t="s">
        <v>4049</v>
      </c>
      <c r="E2970" t="s">
        <v>4182</v>
      </c>
      <c r="F2970" t="s">
        <v>4051</v>
      </c>
      <c r="G2970">
        <v>8</v>
      </c>
      <c r="H2970" s="2">
        <v>10845.1</v>
      </c>
      <c r="I2970" s="2">
        <v>86760.8</v>
      </c>
    </row>
    <row r="2971" spans="1:9" x14ac:dyDescent="0.25">
      <c r="A2971" t="s">
        <v>1569</v>
      </c>
      <c r="B2971" t="s">
        <v>1570</v>
      </c>
      <c r="C2971" t="s">
        <v>21</v>
      </c>
      <c r="D2971" t="s">
        <v>4049</v>
      </c>
      <c r="E2971" t="s">
        <v>4183</v>
      </c>
      <c r="F2971" t="s">
        <v>4051</v>
      </c>
      <c r="G2971">
        <v>8</v>
      </c>
      <c r="H2971" s="2">
        <v>18621.17</v>
      </c>
      <c r="I2971" s="2">
        <v>148969.36</v>
      </c>
    </row>
    <row r="2972" spans="1:9" x14ac:dyDescent="0.25">
      <c r="A2972" t="s">
        <v>1569</v>
      </c>
      <c r="B2972" t="s">
        <v>1570</v>
      </c>
      <c r="C2972" t="s">
        <v>21</v>
      </c>
      <c r="D2972" t="s">
        <v>4052</v>
      </c>
      <c r="E2972" t="s">
        <v>4053</v>
      </c>
      <c r="F2972" t="s">
        <v>4054</v>
      </c>
      <c r="G2972">
        <v>5</v>
      </c>
      <c r="H2972" s="2">
        <v>235730.16</v>
      </c>
      <c r="I2972" s="2">
        <v>11786.51</v>
      </c>
    </row>
    <row r="2973" spans="1:9" x14ac:dyDescent="0.25">
      <c r="A2973" t="s">
        <v>1572</v>
      </c>
      <c r="B2973" t="s">
        <v>1573</v>
      </c>
      <c r="C2973" t="s">
        <v>21</v>
      </c>
      <c r="D2973" t="s">
        <v>4062</v>
      </c>
      <c r="E2973" t="s">
        <v>5585</v>
      </c>
      <c r="F2973" t="s">
        <v>63</v>
      </c>
      <c r="G2973">
        <v>4</v>
      </c>
      <c r="H2973" s="2">
        <v>37</v>
      </c>
      <c r="I2973" s="2">
        <v>148</v>
      </c>
    </row>
    <row r="2974" spans="1:9" x14ac:dyDescent="0.25">
      <c r="A2974" t="s">
        <v>1572</v>
      </c>
      <c r="B2974" t="s">
        <v>1573</v>
      </c>
      <c r="C2974" t="s">
        <v>21</v>
      </c>
      <c r="D2974" t="s">
        <v>4062</v>
      </c>
      <c r="E2974" t="s">
        <v>5577</v>
      </c>
      <c r="F2974" t="s">
        <v>63</v>
      </c>
      <c r="G2974">
        <v>0.76</v>
      </c>
      <c r="H2974" s="2">
        <v>2900</v>
      </c>
      <c r="I2974" s="2">
        <v>2204</v>
      </c>
    </row>
    <row r="2975" spans="1:9" x14ac:dyDescent="0.25">
      <c r="A2975" t="s">
        <v>1572</v>
      </c>
      <c r="B2975" t="s">
        <v>1573</v>
      </c>
      <c r="C2975" t="s">
        <v>21</v>
      </c>
      <c r="D2975" t="s">
        <v>4062</v>
      </c>
      <c r="E2975" t="s">
        <v>5589</v>
      </c>
      <c r="F2975" t="s">
        <v>63</v>
      </c>
      <c r="G2975">
        <v>2</v>
      </c>
      <c r="H2975" s="2">
        <v>56919</v>
      </c>
      <c r="I2975" s="2">
        <v>113838</v>
      </c>
    </row>
    <row r="2976" spans="1:9" x14ac:dyDescent="0.25">
      <c r="A2976" t="s">
        <v>1572</v>
      </c>
      <c r="B2976" t="s">
        <v>1573</v>
      </c>
      <c r="C2976" t="s">
        <v>21</v>
      </c>
      <c r="D2976" t="s">
        <v>4062</v>
      </c>
      <c r="E2976" t="s">
        <v>5582</v>
      </c>
      <c r="F2976" t="s">
        <v>63</v>
      </c>
      <c r="G2976">
        <v>1.75</v>
      </c>
      <c r="H2976" s="2">
        <v>39169</v>
      </c>
      <c r="I2976" s="2">
        <v>68545.75</v>
      </c>
    </row>
    <row r="2977" spans="1:9" x14ac:dyDescent="0.25">
      <c r="A2977" t="s">
        <v>1572</v>
      </c>
      <c r="B2977" t="s">
        <v>1573</v>
      </c>
      <c r="C2977" t="s">
        <v>21</v>
      </c>
      <c r="D2977" t="s">
        <v>4062</v>
      </c>
      <c r="E2977" t="s">
        <v>5579</v>
      </c>
      <c r="F2977" t="s">
        <v>231</v>
      </c>
      <c r="G2977">
        <v>0.02</v>
      </c>
      <c r="H2977" s="2">
        <v>13475</v>
      </c>
      <c r="I2977" s="2">
        <v>269.5</v>
      </c>
    </row>
    <row r="2978" spans="1:9" x14ac:dyDescent="0.25">
      <c r="A2978" t="s">
        <v>1572</v>
      </c>
      <c r="B2978" t="s">
        <v>1573</v>
      </c>
      <c r="C2978" t="s">
        <v>21</v>
      </c>
      <c r="D2978" t="s">
        <v>4062</v>
      </c>
      <c r="E2978" t="s">
        <v>4072</v>
      </c>
      <c r="F2978" t="s">
        <v>4066</v>
      </c>
      <c r="G2978">
        <v>0.15</v>
      </c>
      <c r="H2978" s="2">
        <v>3150</v>
      </c>
      <c r="I2978" s="2">
        <v>472.5</v>
      </c>
    </row>
    <row r="2979" spans="1:9" x14ac:dyDescent="0.25">
      <c r="A2979" t="s">
        <v>1572</v>
      </c>
      <c r="B2979" t="s">
        <v>1573</v>
      </c>
      <c r="C2979" t="s">
        <v>21</v>
      </c>
      <c r="D2979" t="s">
        <v>4049</v>
      </c>
      <c r="E2979" t="s">
        <v>4182</v>
      </c>
      <c r="F2979" t="s">
        <v>4051</v>
      </c>
      <c r="G2979">
        <v>7</v>
      </c>
      <c r="H2979" s="2">
        <v>10845.1</v>
      </c>
      <c r="I2979" s="2">
        <v>75915.7</v>
      </c>
    </row>
    <row r="2980" spans="1:9" x14ac:dyDescent="0.25">
      <c r="A2980" t="s">
        <v>1572</v>
      </c>
      <c r="B2980" t="s">
        <v>1573</v>
      </c>
      <c r="C2980" t="s">
        <v>21</v>
      </c>
      <c r="D2980" t="s">
        <v>4049</v>
      </c>
      <c r="E2980" t="s">
        <v>4183</v>
      </c>
      <c r="F2980" t="s">
        <v>4051</v>
      </c>
      <c r="G2980">
        <v>7</v>
      </c>
      <c r="H2980" s="2">
        <v>18621.17</v>
      </c>
      <c r="I2980" s="2">
        <v>130348.19</v>
      </c>
    </row>
    <row r="2981" spans="1:9" x14ac:dyDescent="0.25">
      <c r="A2981" t="s">
        <v>1572</v>
      </c>
      <c r="B2981" t="s">
        <v>1573</v>
      </c>
      <c r="C2981" t="s">
        <v>21</v>
      </c>
      <c r="D2981" t="s">
        <v>4052</v>
      </c>
      <c r="E2981" t="s">
        <v>4053</v>
      </c>
      <c r="F2981" t="s">
        <v>4054</v>
      </c>
      <c r="G2981">
        <v>0.7</v>
      </c>
      <c r="H2981" s="2">
        <v>206263.89</v>
      </c>
      <c r="I2981" s="2">
        <v>1443.85</v>
      </c>
    </row>
    <row r="2982" spans="1:9" x14ac:dyDescent="0.25">
      <c r="A2982" t="s">
        <v>1575</v>
      </c>
      <c r="B2982" t="s">
        <v>1576</v>
      </c>
      <c r="C2982" t="s">
        <v>21</v>
      </c>
      <c r="D2982" t="s">
        <v>4062</v>
      </c>
      <c r="E2982" t="s">
        <v>5585</v>
      </c>
      <c r="F2982" t="s">
        <v>63</v>
      </c>
      <c r="G2982">
        <v>4</v>
      </c>
      <c r="H2982" s="2">
        <v>37</v>
      </c>
      <c r="I2982" s="2">
        <v>148</v>
      </c>
    </row>
    <row r="2983" spans="1:9" x14ac:dyDescent="0.25">
      <c r="A2983" t="s">
        <v>1575</v>
      </c>
      <c r="B2983" t="s">
        <v>1576</v>
      </c>
      <c r="C2983" t="s">
        <v>21</v>
      </c>
      <c r="D2983" t="s">
        <v>4062</v>
      </c>
      <c r="E2983" t="s">
        <v>5577</v>
      </c>
      <c r="F2983" t="s">
        <v>63</v>
      </c>
      <c r="G2983">
        <v>0.8</v>
      </c>
      <c r="H2983" s="2">
        <v>2900</v>
      </c>
      <c r="I2983" s="2">
        <v>2320</v>
      </c>
    </row>
    <row r="2984" spans="1:9" x14ac:dyDescent="0.25">
      <c r="A2984" t="s">
        <v>1575</v>
      </c>
      <c r="B2984" t="s">
        <v>1576</v>
      </c>
      <c r="C2984" t="s">
        <v>21</v>
      </c>
      <c r="D2984" t="s">
        <v>4062</v>
      </c>
      <c r="E2984" t="s">
        <v>5592</v>
      </c>
      <c r="F2984" t="s">
        <v>63</v>
      </c>
      <c r="G2984">
        <v>1.3</v>
      </c>
      <c r="H2984" s="2">
        <v>250000</v>
      </c>
      <c r="I2984" s="2">
        <v>325000</v>
      </c>
    </row>
    <row r="2985" spans="1:9" x14ac:dyDescent="0.25">
      <c r="A2985" t="s">
        <v>1575</v>
      </c>
      <c r="B2985" t="s">
        <v>1576</v>
      </c>
      <c r="C2985" t="s">
        <v>21</v>
      </c>
      <c r="D2985" t="s">
        <v>4062</v>
      </c>
      <c r="E2985" t="s">
        <v>5582</v>
      </c>
      <c r="F2985" t="s">
        <v>63</v>
      </c>
      <c r="G2985">
        <v>1.07</v>
      </c>
      <c r="H2985" s="2">
        <v>39169</v>
      </c>
      <c r="I2985" s="2">
        <v>41910.83</v>
      </c>
    </row>
    <row r="2986" spans="1:9" x14ac:dyDescent="0.25">
      <c r="A2986" t="s">
        <v>1575</v>
      </c>
      <c r="B2986" t="s">
        <v>1576</v>
      </c>
      <c r="C2986" t="s">
        <v>21</v>
      </c>
      <c r="D2986" t="s">
        <v>4062</v>
      </c>
      <c r="E2986" t="s">
        <v>5579</v>
      </c>
      <c r="F2986" t="s">
        <v>231</v>
      </c>
      <c r="G2986">
        <v>0.02</v>
      </c>
      <c r="H2986" s="2">
        <v>13475</v>
      </c>
      <c r="I2986" s="2">
        <v>269.5</v>
      </c>
    </row>
    <row r="2987" spans="1:9" x14ac:dyDescent="0.25">
      <c r="A2987" t="s">
        <v>1575</v>
      </c>
      <c r="B2987" t="s">
        <v>1576</v>
      </c>
      <c r="C2987" t="s">
        <v>21</v>
      </c>
      <c r="D2987" t="s">
        <v>4062</v>
      </c>
      <c r="E2987" t="s">
        <v>4072</v>
      </c>
      <c r="F2987" t="s">
        <v>4066</v>
      </c>
      <c r="G2987">
        <v>0.15</v>
      </c>
      <c r="H2987" s="2">
        <v>3150</v>
      </c>
      <c r="I2987" s="2">
        <v>472.5</v>
      </c>
    </row>
    <row r="2988" spans="1:9" x14ac:dyDescent="0.25">
      <c r="A2988" t="s">
        <v>1575</v>
      </c>
      <c r="B2988" t="s">
        <v>1576</v>
      </c>
      <c r="C2988" t="s">
        <v>21</v>
      </c>
      <c r="D2988" t="s">
        <v>4049</v>
      </c>
      <c r="E2988" t="s">
        <v>4182</v>
      </c>
      <c r="F2988" t="s">
        <v>4051</v>
      </c>
      <c r="G2988">
        <v>8</v>
      </c>
      <c r="H2988" s="2">
        <v>10845.1</v>
      </c>
      <c r="I2988" s="2">
        <v>86760.8</v>
      </c>
    </row>
    <row r="2989" spans="1:9" x14ac:dyDescent="0.25">
      <c r="A2989" t="s">
        <v>1575</v>
      </c>
      <c r="B2989" t="s">
        <v>1576</v>
      </c>
      <c r="C2989" t="s">
        <v>21</v>
      </c>
      <c r="D2989" t="s">
        <v>4049</v>
      </c>
      <c r="E2989" t="s">
        <v>4183</v>
      </c>
      <c r="F2989" t="s">
        <v>4051</v>
      </c>
      <c r="G2989">
        <v>8</v>
      </c>
      <c r="H2989" s="2">
        <v>18621.17</v>
      </c>
      <c r="I2989" s="2">
        <v>148969.36</v>
      </c>
    </row>
    <row r="2990" spans="1:9" x14ac:dyDescent="0.25">
      <c r="A2990" t="s">
        <v>1575</v>
      </c>
      <c r="B2990" t="s">
        <v>1576</v>
      </c>
      <c r="C2990" t="s">
        <v>21</v>
      </c>
      <c r="D2990" t="s">
        <v>4052</v>
      </c>
      <c r="E2990" t="s">
        <v>4053</v>
      </c>
      <c r="F2990" t="s">
        <v>4054</v>
      </c>
      <c r="G2990">
        <v>2.5</v>
      </c>
      <c r="H2990" s="2">
        <v>235730.16</v>
      </c>
      <c r="I2990" s="2">
        <v>5893.25</v>
      </c>
    </row>
    <row r="2991" spans="1:9" x14ac:dyDescent="0.25">
      <c r="A2991" t="s">
        <v>1578</v>
      </c>
      <c r="B2991" t="s">
        <v>1579</v>
      </c>
      <c r="C2991" t="s">
        <v>21</v>
      </c>
      <c r="D2991" t="s">
        <v>4062</v>
      </c>
      <c r="E2991" t="s">
        <v>5585</v>
      </c>
      <c r="F2991" t="s">
        <v>63</v>
      </c>
      <c r="G2991">
        <v>4</v>
      </c>
      <c r="H2991" s="2">
        <v>37</v>
      </c>
      <c r="I2991" s="2">
        <v>148</v>
      </c>
    </row>
    <row r="2992" spans="1:9" x14ac:dyDescent="0.25">
      <c r="A2992" t="s">
        <v>1578</v>
      </c>
      <c r="B2992" t="s">
        <v>1579</v>
      </c>
      <c r="C2992" t="s">
        <v>21</v>
      </c>
      <c r="D2992" t="s">
        <v>4062</v>
      </c>
      <c r="E2992" t="s">
        <v>5577</v>
      </c>
      <c r="F2992" t="s">
        <v>63</v>
      </c>
      <c r="G2992">
        <v>3</v>
      </c>
      <c r="H2992" s="2">
        <v>2900</v>
      </c>
      <c r="I2992" s="2">
        <v>8700</v>
      </c>
    </row>
    <row r="2993" spans="1:9" x14ac:dyDescent="0.25">
      <c r="A2993" t="s">
        <v>1578</v>
      </c>
      <c r="B2993" t="s">
        <v>1579</v>
      </c>
      <c r="C2993" t="s">
        <v>21</v>
      </c>
      <c r="D2993" t="s">
        <v>4062</v>
      </c>
      <c r="E2993" t="s">
        <v>5595</v>
      </c>
      <c r="F2993" t="s">
        <v>63</v>
      </c>
      <c r="G2993">
        <v>1.75</v>
      </c>
      <c r="H2993" s="2">
        <v>46610</v>
      </c>
      <c r="I2993" s="2">
        <v>81567.5</v>
      </c>
    </row>
    <row r="2994" spans="1:9" x14ac:dyDescent="0.25">
      <c r="A2994" t="s">
        <v>1578</v>
      </c>
      <c r="B2994" t="s">
        <v>1579</v>
      </c>
      <c r="C2994" t="s">
        <v>21</v>
      </c>
      <c r="D2994" t="s">
        <v>4062</v>
      </c>
      <c r="E2994" t="s">
        <v>5582</v>
      </c>
      <c r="F2994" t="s">
        <v>63</v>
      </c>
      <c r="G2994">
        <v>1.5</v>
      </c>
      <c r="H2994" s="2">
        <v>39169</v>
      </c>
      <c r="I2994" s="2">
        <v>58753.5</v>
      </c>
    </row>
    <row r="2995" spans="1:9" x14ac:dyDescent="0.25">
      <c r="A2995" t="s">
        <v>1578</v>
      </c>
      <c r="B2995" t="s">
        <v>1579</v>
      </c>
      <c r="C2995" t="s">
        <v>21</v>
      </c>
      <c r="D2995" t="s">
        <v>4062</v>
      </c>
      <c r="E2995" t="s">
        <v>5579</v>
      </c>
      <c r="F2995" t="s">
        <v>231</v>
      </c>
      <c r="G2995">
        <v>0.02</v>
      </c>
      <c r="H2995" s="2">
        <v>13475</v>
      </c>
      <c r="I2995" s="2">
        <v>269.5</v>
      </c>
    </row>
    <row r="2996" spans="1:9" x14ac:dyDescent="0.25">
      <c r="A2996" t="s">
        <v>1578</v>
      </c>
      <c r="B2996" t="s">
        <v>1579</v>
      </c>
      <c r="C2996" t="s">
        <v>21</v>
      </c>
      <c r="D2996" t="s">
        <v>4062</v>
      </c>
      <c r="E2996" t="s">
        <v>4072</v>
      </c>
      <c r="F2996" t="s">
        <v>4066</v>
      </c>
      <c r="G2996">
        <v>0.15</v>
      </c>
      <c r="H2996" s="2">
        <v>3150</v>
      </c>
      <c r="I2996" s="2">
        <v>472.5</v>
      </c>
    </row>
    <row r="2997" spans="1:9" x14ac:dyDescent="0.25">
      <c r="A2997" t="s">
        <v>1578</v>
      </c>
      <c r="B2997" t="s">
        <v>1579</v>
      </c>
      <c r="C2997" t="s">
        <v>21</v>
      </c>
      <c r="D2997" t="s">
        <v>4049</v>
      </c>
      <c r="E2997" t="s">
        <v>4182</v>
      </c>
      <c r="F2997" t="s">
        <v>4051</v>
      </c>
      <c r="G2997">
        <v>8</v>
      </c>
      <c r="H2997" s="2">
        <v>10845.1</v>
      </c>
      <c r="I2997" s="2">
        <v>86760.8</v>
      </c>
    </row>
    <row r="2998" spans="1:9" x14ac:dyDescent="0.25">
      <c r="A2998" t="s">
        <v>1578</v>
      </c>
      <c r="B2998" t="s">
        <v>1579</v>
      </c>
      <c r="C2998" t="s">
        <v>21</v>
      </c>
      <c r="D2998" t="s">
        <v>4049</v>
      </c>
      <c r="E2998" t="s">
        <v>4183</v>
      </c>
      <c r="F2998" t="s">
        <v>4051</v>
      </c>
      <c r="G2998">
        <v>8</v>
      </c>
      <c r="H2998" s="2">
        <v>18621.17</v>
      </c>
      <c r="I2998" s="2">
        <v>148969.36</v>
      </c>
    </row>
    <row r="2999" spans="1:9" x14ac:dyDescent="0.25">
      <c r="A2999" t="s">
        <v>1578</v>
      </c>
      <c r="B2999" t="s">
        <v>1579</v>
      </c>
      <c r="C2999" t="s">
        <v>21</v>
      </c>
      <c r="D2999" t="s">
        <v>4052</v>
      </c>
      <c r="E2999" t="s">
        <v>4053</v>
      </c>
      <c r="F2999" t="s">
        <v>4054</v>
      </c>
      <c r="G2999">
        <v>5</v>
      </c>
      <c r="H2999" s="2">
        <v>235730.16</v>
      </c>
      <c r="I2999" s="2">
        <v>11786.51</v>
      </c>
    </row>
    <row r="3000" spans="1:9" x14ac:dyDescent="0.25">
      <c r="A3000" t="s">
        <v>1581</v>
      </c>
      <c r="B3000" t="s">
        <v>1582</v>
      </c>
      <c r="C3000" t="s">
        <v>42</v>
      </c>
      <c r="D3000" t="s">
        <v>4062</v>
      </c>
      <c r="E3000" t="s">
        <v>5585</v>
      </c>
      <c r="F3000" t="s">
        <v>63</v>
      </c>
      <c r="G3000">
        <v>7</v>
      </c>
      <c r="H3000" s="2">
        <v>37</v>
      </c>
      <c r="I3000" s="2">
        <v>259</v>
      </c>
    </row>
    <row r="3001" spans="1:9" x14ac:dyDescent="0.25">
      <c r="A3001" t="s">
        <v>1581</v>
      </c>
      <c r="B3001" t="s">
        <v>1582</v>
      </c>
      <c r="C3001" t="s">
        <v>42</v>
      </c>
      <c r="D3001" t="s">
        <v>4062</v>
      </c>
      <c r="E3001" t="s">
        <v>5577</v>
      </c>
      <c r="F3001" t="s">
        <v>63</v>
      </c>
      <c r="G3001">
        <v>0.76</v>
      </c>
      <c r="H3001" s="2">
        <v>2900</v>
      </c>
      <c r="I3001" s="2">
        <v>2204</v>
      </c>
    </row>
    <row r="3002" spans="1:9" x14ac:dyDescent="0.25">
      <c r="A3002" t="s">
        <v>1581</v>
      </c>
      <c r="B3002" t="s">
        <v>1582</v>
      </c>
      <c r="C3002" t="s">
        <v>42</v>
      </c>
      <c r="D3002" t="s">
        <v>4062</v>
      </c>
      <c r="E3002" t="s">
        <v>5586</v>
      </c>
      <c r="F3002" t="s">
        <v>63</v>
      </c>
      <c r="G3002">
        <v>2</v>
      </c>
      <c r="H3002" s="2">
        <v>42329</v>
      </c>
      <c r="I3002" s="2">
        <v>84658</v>
      </c>
    </row>
    <row r="3003" spans="1:9" x14ac:dyDescent="0.25">
      <c r="A3003" t="s">
        <v>1581</v>
      </c>
      <c r="B3003" t="s">
        <v>1582</v>
      </c>
      <c r="C3003" t="s">
        <v>42</v>
      </c>
      <c r="D3003" t="s">
        <v>4062</v>
      </c>
      <c r="E3003" t="s">
        <v>5582</v>
      </c>
      <c r="F3003" t="s">
        <v>63</v>
      </c>
      <c r="G3003">
        <v>2.5</v>
      </c>
      <c r="H3003" s="2">
        <v>39169</v>
      </c>
      <c r="I3003" s="2">
        <v>97922.5</v>
      </c>
    </row>
    <row r="3004" spans="1:9" x14ac:dyDescent="0.25">
      <c r="A3004" t="s">
        <v>1581</v>
      </c>
      <c r="B3004" t="s">
        <v>1582</v>
      </c>
      <c r="C3004" t="s">
        <v>42</v>
      </c>
      <c r="D3004" t="s">
        <v>4062</v>
      </c>
      <c r="E3004" t="s">
        <v>5579</v>
      </c>
      <c r="F3004" t="s">
        <v>231</v>
      </c>
      <c r="G3004">
        <v>0.02</v>
      </c>
      <c r="H3004" s="2">
        <v>13475</v>
      </c>
      <c r="I3004" s="2">
        <v>269.5</v>
      </c>
    </row>
    <row r="3005" spans="1:9" x14ac:dyDescent="0.25">
      <c r="A3005" t="s">
        <v>1581</v>
      </c>
      <c r="B3005" t="s">
        <v>1582</v>
      </c>
      <c r="C3005" t="s">
        <v>42</v>
      </c>
      <c r="D3005" t="s">
        <v>4062</v>
      </c>
      <c r="E3005" t="s">
        <v>4072</v>
      </c>
      <c r="F3005" t="s">
        <v>4066</v>
      </c>
      <c r="G3005">
        <v>0.4</v>
      </c>
      <c r="H3005" s="2">
        <v>3150</v>
      </c>
      <c r="I3005" s="2">
        <v>1260</v>
      </c>
    </row>
    <row r="3006" spans="1:9" x14ac:dyDescent="0.25">
      <c r="A3006" t="s">
        <v>1581</v>
      </c>
      <c r="B3006" t="s">
        <v>1582</v>
      </c>
      <c r="C3006" t="s">
        <v>42</v>
      </c>
      <c r="D3006" t="s">
        <v>4049</v>
      </c>
      <c r="E3006" t="s">
        <v>4182</v>
      </c>
      <c r="F3006" t="s">
        <v>4051</v>
      </c>
      <c r="G3006">
        <v>8</v>
      </c>
      <c r="H3006" s="2">
        <v>10845.1</v>
      </c>
      <c r="I3006" s="2">
        <v>86760.8</v>
      </c>
    </row>
    <row r="3007" spans="1:9" x14ac:dyDescent="0.25">
      <c r="A3007" t="s">
        <v>1581</v>
      </c>
      <c r="B3007" t="s">
        <v>1582</v>
      </c>
      <c r="C3007" t="s">
        <v>42</v>
      </c>
      <c r="D3007" t="s">
        <v>4049</v>
      </c>
      <c r="E3007" t="s">
        <v>4183</v>
      </c>
      <c r="F3007" t="s">
        <v>4051</v>
      </c>
      <c r="G3007">
        <v>8</v>
      </c>
      <c r="H3007" s="2">
        <v>18621.17</v>
      </c>
      <c r="I3007" s="2">
        <v>148969.36</v>
      </c>
    </row>
    <row r="3008" spans="1:9" x14ac:dyDescent="0.25">
      <c r="A3008" t="s">
        <v>1581</v>
      </c>
      <c r="B3008" t="s">
        <v>1582</v>
      </c>
      <c r="C3008" t="s">
        <v>42</v>
      </c>
      <c r="D3008" t="s">
        <v>4052</v>
      </c>
      <c r="E3008" t="s">
        <v>4053</v>
      </c>
      <c r="F3008" t="s">
        <v>4054</v>
      </c>
      <c r="G3008">
        <v>5</v>
      </c>
      <c r="H3008" s="2">
        <v>235730.16</v>
      </c>
      <c r="I3008" s="2">
        <v>11786.51</v>
      </c>
    </row>
    <row r="3009" spans="1:9" x14ac:dyDescent="0.25">
      <c r="A3009" t="s">
        <v>1584</v>
      </c>
      <c r="B3009" t="s">
        <v>1585</v>
      </c>
      <c r="C3009" t="s">
        <v>42</v>
      </c>
      <c r="D3009" t="s">
        <v>4062</v>
      </c>
      <c r="E3009" t="s">
        <v>5585</v>
      </c>
      <c r="F3009" t="s">
        <v>63</v>
      </c>
      <c r="G3009">
        <v>7</v>
      </c>
      <c r="H3009" s="2">
        <v>37</v>
      </c>
      <c r="I3009" s="2">
        <v>259</v>
      </c>
    </row>
    <row r="3010" spans="1:9" x14ac:dyDescent="0.25">
      <c r="A3010" t="s">
        <v>1584</v>
      </c>
      <c r="B3010" t="s">
        <v>1585</v>
      </c>
      <c r="C3010" t="s">
        <v>42</v>
      </c>
      <c r="D3010" t="s">
        <v>4062</v>
      </c>
      <c r="E3010" t="s">
        <v>5577</v>
      </c>
      <c r="F3010" t="s">
        <v>63</v>
      </c>
      <c r="G3010">
        <v>0.76</v>
      </c>
      <c r="H3010" s="2">
        <v>2900</v>
      </c>
      <c r="I3010" s="2">
        <v>2204</v>
      </c>
    </row>
    <row r="3011" spans="1:9" x14ac:dyDescent="0.25">
      <c r="A3011" t="s">
        <v>1584</v>
      </c>
      <c r="B3011" t="s">
        <v>1585</v>
      </c>
      <c r="C3011" t="s">
        <v>42</v>
      </c>
      <c r="D3011" t="s">
        <v>4062</v>
      </c>
      <c r="E3011" t="s">
        <v>5589</v>
      </c>
      <c r="F3011" t="s">
        <v>63</v>
      </c>
      <c r="G3011">
        <v>2.75</v>
      </c>
      <c r="H3011" s="2">
        <v>56919</v>
      </c>
      <c r="I3011" s="2">
        <v>156527.25</v>
      </c>
    </row>
    <row r="3012" spans="1:9" x14ac:dyDescent="0.25">
      <c r="A3012" t="s">
        <v>1584</v>
      </c>
      <c r="B3012" t="s">
        <v>1585</v>
      </c>
      <c r="C3012" t="s">
        <v>42</v>
      </c>
      <c r="D3012" t="s">
        <v>4062</v>
      </c>
      <c r="E3012" t="s">
        <v>5582</v>
      </c>
      <c r="F3012" t="s">
        <v>63</v>
      </c>
      <c r="G3012">
        <v>2</v>
      </c>
      <c r="H3012" s="2">
        <v>39169</v>
      </c>
      <c r="I3012" s="2">
        <v>78338</v>
      </c>
    </row>
    <row r="3013" spans="1:9" x14ac:dyDescent="0.25">
      <c r="A3013" t="s">
        <v>1584</v>
      </c>
      <c r="B3013" t="s">
        <v>1585</v>
      </c>
      <c r="C3013" t="s">
        <v>42</v>
      </c>
      <c r="D3013" t="s">
        <v>4062</v>
      </c>
      <c r="E3013" t="s">
        <v>5579</v>
      </c>
      <c r="F3013" t="s">
        <v>231</v>
      </c>
      <c r="G3013">
        <v>0.02</v>
      </c>
      <c r="H3013" s="2">
        <v>13475</v>
      </c>
      <c r="I3013" s="2">
        <v>269.5</v>
      </c>
    </row>
    <row r="3014" spans="1:9" x14ac:dyDescent="0.25">
      <c r="A3014" t="s">
        <v>1584</v>
      </c>
      <c r="B3014" t="s">
        <v>1585</v>
      </c>
      <c r="C3014" t="s">
        <v>42</v>
      </c>
      <c r="D3014" t="s">
        <v>4062</v>
      </c>
      <c r="E3014" t="s">
        <v>4072</v>
      </c>
      <c r="F3014" t="s">
        <v>4066</v>
      </c>
      <c r="G3014">
        <v>0.4</v>
      </c>
      <c r="H3014" s="2">
        <v>3150</v>
      </c>
      <c r="I3014" s="2">
        <v>1260</v>
      </c>
    </row>
    <row r="3015" spans="1:9" x14ac:dyDescent="0.25">
      <c r="A3015" t="s">
        <v>1584</v>
      </c>
      <c r="B3015" t="s">
        <v>1585</v>
      </c>
      <c r="C3015" t="s">
        <v>42</v>
      </c>
      <c r="D3015" t="s">
        <v>4049</v>
      </c>
      <c r="E3015" t="s">
        <v>4182</v>
      </c>
      <c r="F3015" t="s">
        <v>4051</v>
      </c>
      <c r="G3015">
        <v>10</v>
      </c>
      <c r="H3015" s="2">
        <v>10845.1</v>
      </c>
      <c r="I3015" s="2">
        <v>108451</v>
      </c>
    </row>
    <row r="3016" spans="1:9" x14ac:dyDescent="0.25">
      <c r="A3016" t="s">
        <v>1584</v>
      </c>
      <c r="B3016" t="s">
        <v>1585</v>
      </c>
      <c r="C3016" t="s">
        <v>42</v>
      </c>
      <c r="D3016" t="s">
        <v>4049</v>
      </c>
      <c r="E3016" t="s">
        <v>4183</v>
      </c>
      <c r="F3016" t="s">
        <v>4051</v>
      </c>
      <c r="G3016">
        <v>10</v>
      </c>
      <c r="H3016" s="2">
        <v>18621.17</v>
      </c>
      <c r="I3016" s="2">
        <v>186211.7</v>
      </c>
    </row>
    <row r="3017" spans="1:9" x14ac:dyDescent="0.25">
      <c r="A3017" t="s">
        <v>1584</v>
      </c>
      <c r="B3017" t="s">
        <v>1585</v>
      </c>
      <c r="C3017" t="s">
        <v>42</v>
      </c>
      <c r="D3017" t="s">
        <v>4052</v>
      </c>
      <c r="E3017" t="s">
        <v>4053</v>
      </c>
      <c r="F3017" t="s">
        <v>4054</v>
      </c>
      <c r="G3017">
        <v>2.3</v>
      </c>
      <c r="H3017" s="2">
        <v>294662.7</v>
      </c>
      <c r="I3017" s="2">
        <v>6777.24</v>
      </c>
    </row>
    <row r="3018" spans="1:9" x14ac:dyDescent="0.25">
      <c r="A3018" t="s">
        <v>1587</v>
      </c>
      <c r="B3018" t="s">
        <v>1588</v>
      </c>
      <c r="C3018" t="s">
        <v>42</v>
      </c>
      <c r="D3018" t="s">
        <v>4062</v>
      </c>
      <c r="E3018" t="s">
        <v>5585</v>
      </c>
      <c r="F3018" t="s">
        <v>63</v>
      </c>
      <c r="G3018">
        <v>7</v>
      </c>
      <c r="H3018" s="2">
        <v>37</v>
      </c>
      <c r="I3018" s="2">
        <v>259</v>
      </c>
    </row>
    <row r="3019" spans="1:9" x14ac:dyDescent="0.25">
      <c r="A3019" t="s">
        <v>1587</v>
      </c>
      <c r="B3019" t="s">
        <v>1588</v>
      </c>
      <c r="C3019" t="s">
        <v>42</v>
      </c>
      <c r="D3019" t="s">
        <v>4062</v>
      </c>
      <c r="E3019" t="s">
        <v>5576</v>
      </c>
      <c r="F3019" t="s">
        <v>63</v>
      </c>
      <c r="G3019">
        <v>0.75</v>
      </c>
      <c r="H3019" s="2">
        <v>79950</v>
      </c>
      <c r="I3019" s="2">
        <v>59962.5</v>
      </c>
    </row>
    <row r="3020" spans="1:9" x14ac:dyDescent="0.25">
      <c r="A3020" t="s">
        <v>1587</v>
      </c>
      <c r="B3020" t="s">
        <v>1588</v>
      </c>
      <c r="C3020" t="s">
        <v>42</v>
      </c>
      <c r="D3020" t="s">
        <v>4062</v>
      </c>
      <c r="E3020" t="s">
        <v>5577</v>
      </c>
      <c r="F3020" t="s">
        <v>63</v>
      </c>
      <c r="G3020">
        <v>0.76</v>
      </c>
      <c r="H3020" s="2">
        <v>2900</v>
      </c>
      <c r="I3020" s="2">
        <v>2204</v>
      </c>
    </row>
    <row r="3021" spans="1:9" x14ac:dyDescent="0.25">
      <c r="A3021" t="s">
        <v>1587</v>
      </c>
      <c r="B3021" t="s">
        <v>1588</v>
      </c>
      <c r="C3021" t="s">
        <v>42</v>
      </c>
      <c r="D3021" t="s">
        <v>4062</v>
      </c>
      <c r="E3021" t="s">
        <v>5592</v>
      </c>
      <c r="F3021" t="s">
        <v>63</v>
      </c>
      <c r="G3021">
        <v>2.1</v>
      </c>
      <c r="H3021" s="2">
        <v>250000</v>
      </c>
      <c r="I3021" s="2">
        <v>525000</v>
      </c>
    </row>
    <row r="3022" spans="1:9" x14ac:dyDescent="0.25">
      <c r="A3022" t="s">
        <v>1587</v>
      </c>
      <c r="B3022" t="s">
        <v>1588</v>
      </c>
      <c r="C3022" t="s">
        <v>42</v>
      </c>
      <c r="D3022" t="s">
        <v>4062</v>
      </c>
      <c r="E3022" t="s">
        <v>5579</v>
      </c>
      <c r="F3022" t="s">
        <v>231</v>
      </c>
      <c r="G3022">
        <v>1</v>
      </c>
      <c r="H3022" s="2">
        <v>13475</v>
      </c>
      <c r="I3022" s="2">
        <v>13475</v>
      </c>
    </row>
    <row r="3023" spans="1:9" x14ac:dyDescent="0.25">
      <c r="A3023" t="s">
        <v>1587</v>
      </c>
      <c r="B3023" t="s">
        <v>1588</v>
      </c>
      <c r="C3023" t="s">
        <v>42</v>
      </c>
      <c r="D3023" t="s">
        <v>4062</v>
      </c>
      <c r="E3023" t="s">
        <v>4072</v>
      </c>
      <c r="F3023" t="s">
        <v>4066</v>
      </c>
      <c r="G3023">
        <v>0.45</v>
      </c>
      <c r="H3023" s="2">
        <v>3150</v>
      </c>
      <c r="I3023" s="2">
        <v>1417.5</v>
      </c>
    </row>
    <row r="3024" spans="1:9" x14ac:dyDescent="0.25">
      <c r="A3024" t="s">
        <v>1587</v>
      </c>
      <c r="B3024" t="s">
        <v>1588</v>
      </c>
      <c r="C3024" t="s">
        <v>42</v>
      </c>
      <c r="D3024" t="s">
        <v>4049</v>
      </c>
      <c r="E3024" t="s">
        <v>4182</v>
      </c>
      <c r="F3024" t="s">
        <v>4051</v>
      </c>
      <c r="G3024">
        <v>9</v>
      </c>
      <c r="H3024" s="2">
        <v>10845.1</v>
      </c>
      <c r="I3024" s="2">
        <v>97605.9</v>
      </c>
    </row>
    <row r="3025" spans="1:9" x14ac:dyDescent="0.25">
      <c r="A3025" t="s">
        <v>1587</v>
      </c>
      <c r="B3025" t="s">
        <v>1588</v>
      </c>
      <c r="C3025" t="s">
        <v>42</v>
      </c>
      <c r="D3025" t="s">
        <v>4049</v>
      </c>
      <c r="E3025" t="s">
        <v>4183</v>
      </c>
      <c r="F3025" t="s">
        <v>4051</v>
      </c>
      <c r="G3025">
        <v>9</v>
      </c>
      <c r="H3025" s="2">
        <v>18621.17</v>
      </c>
      <c r="I3025" s="2">
        <v>167590.53</v>
      </c>
    </row>
    <row r="3026" spans="1:9" x14ac:dyDescent="0.25">
      <c r="A3026" t="s">
        <v>1587</v>
      </c>
      <c r="B3026" t="s">
        <v>1588</v>
      </c>
      <c r="C3026" t="s">
        <v>42</v>
      </c>
      <c r="D3026" t="s">
        <v>4052</v>
      </c>
      <c r="E3026" t="s">
        <v>4053</v>
      </c>
      <c r="F3026" t="s">
        <v>4054</v>
      </c>
      <c r="G3026">
        <v>3</v>
      </c>
      <c r="H3026" s="2">
        <v>265196.43</v>
      </c>
      <c r="I3026" s="2">
        <v>7955.89</v>
      </c>
    </row>
    <row r="3027" spans="1:9" x14ac:dyDescent="0.25">
      <c r="A3027" t="s">
        <v>1590</v>
      </c>
      <c r="B3027" t="s">
        <v>1591</v>
      </c>
      <c r="C3027" t="s">
        <v>42</v>
      </c>
      <c r="D3027" t="s">
        <v>4062</v>
      </c>
      <c r="E3027" t="s">
        <v>5585</v>
      </c>
      <c r="F3027" t="s">
        <v>63</v>
      </c>
      <c r="G3027">
        <v>7</v>
      </c>
      <c r="H3027" s="2">
        <v>37</v>
      </c>
      <c r="I3027" s="2">
        <v>259</v>
      </c>
    </row>
    <row r="3028" spans="1:9" x14ac:dyDescent="0.25">
      <c r="A3028" t="s">
        <v>1590</v>
      </c>
      <c r="B3028" t="s">
        <v>1591</v>
      </c>
      <c r="C3028" t="s">
        <v>42</v>
      </c>
      <c r="D3028" t="s">
        <v>4062</v>
      </c>
      <c r="E3028" t="s">
        <v>5577</v>
      </c>
      <c r="F3028" t="s">
        <v>63</v>
      </c>
      <c r="G3028">
        <v>4</v>
      </c>
      <c r="H3028" s="2">
        <v>2900</v>
      </c>
      <c r="I3028" s="2">
        <v>11600</v>
      </c>
    </row>
    <row r="3029" spans="1:9" x14ac:dyDescent="0.25">
      <c r="A3029" t="s">
        <v>1590</v>
      </c>
      <c r="B3029" t="s">
        <v>1591</v>
      </c>
      <c r="C3029" t="s">
        <v>42</v>
      </c>
      <c r="D3029" t="s">
        <v>4062</v>
      </c>
      <c r="E3029" t="s">
        <v>5595</v>
      </c>
      <c r="F3029" t="s">
        <v>63</v>
      </c>
      <c r="G3029">
        <v>2</v>
      </c>
      <c r="H3029" s="2">
        <v>46610</v>
      </c>
      <c r="I3029" s="2">
        <v>93220</v>
      </c>
    </row>
    <row r="3030" spans="1:9" x14ac:dyDescent="0.25">
      <c r="A3030" t="s">
        <v>1590</v>
      </c>
      <c r="B3030" t="s">
        <v>1591</v>
      </c>
      <c r="C3030" t="s">
        <v>42</v>
      </c>
      <c r="D3030" t="s">
        <v>4062</v>
      </c>
      <c r="E3030" t="s">
        <v>5582</v>
      </c>
      <c r="F3030" t="s">
        <v>63</v>
      </c>
      <c r="G3030">
        <v>2.5</v>
      </c>
      <c r="H3030" s="2">
        <v>39169</v>
      </c>
      <c r="I3030" s="2">
        <v>97922.5</v>
      </c>
    </row>
    <row r="3031" spans="1:9" x14ac:dyDescent="0.25">
      <c r="A3031" t="s">
        <v>1590</v>
      </c>
      <c r="B3031" t="s">
        <v>1591</v>
      </c>
      <c r="C3031" t="s">
        <v>42</v>
      </c>
      <c r="D3031" t="s">
        <v>4062</v>
      </c>
      <c r="E3031" t="s">
        <v>5579</v>
      </c>
      <c r="F3031" t="s">
        <v>231</v>
      </c>
      <c r="G3031">
        <v>0.2</v>
      </c>
      <c r="H3031" s="2">
        <v>13475</v>
      </c>
      <c r="I3031" s="2">
        <v>2695</v>
      </c>
    </row>
    <row r="3032" spans="1:9" x14ac:dyDescent="0.25">
      <c r="A3032" t="s">
        <v>1590</v>
      </c>
      <c r="B3032" t="s">
        <v>1591</v>
      </c>
      <c r="C3032" t="s">
        <v>42</v>
      </c>
      <c r="D3032" t="s">
        <v>4062</v>
      </c>
      <c r="E3032" t="s">
        <v>4072</v>
      </c>
      <c r="F3032" t="s">
        <v>4066</v>
      </c>
      <c r="G3032">
        <v>0.45</v>
      </c>
      <c r="H3032" s="2">
        <v>3150</v>
      </c>
      <c r="I3032" s="2">
        <v>1417.5</v>
      </c>
    </row>
    <row r="3033" spans="1:9" x14ac:dyDescent="0.25">
      <c r="A3033" t="s">
        <v>1590</v>
      </c>
      <c r="B3033" t="s">
        <v>1591</v>
      </c>
      <c r="C3033" t="s">
        <v>42</v>
      </c>
      <c r="D3033" t="s">
        <v>4049</v>
      </c>
      <c r="E3033" t="s">
        <v>4182</v>
      </c>
      <c r="F3033" t="s">
        <v>4051</v>
      </c>
      <c r="G3033">
        <v>8</v>
      </c>
      <c r="H3033" s="2">
        <v>10845.1</v>
      </c>
      <c r="I3033" s="2">
        <v>86760.8</v>
      </c>
    </row>
    <row r="3034" spans="1:9" x14ac:dyDescent="0.25">
      <c r="A3034" t="s">
        <v>1590</v>
      </c>
      <c r="B3034" t="s">
        <v>1591</v>
      </c>
      <c r="C3034" t="s">
        <v>42</v>
      </c>
      <c r="D3034" t="s">
        <v>4049</v>
      </c>
      <c r="E3034" t="s">
        <v>4183</v>
      </c>
      <c r="F3034" t="s">
        <v>4051</v>
      </c>
      <c r="G3034">
        <v>8</v>
      </c>
      <c r="H3034" s="2">
        <v>18621.17</v>
      </c>
      <c r="I3034" s="2">
        <v>148969.36</v>
      </c>
    </row>
    <row r="3035" spans="1:9" x14ac:dyDescent="0.25">
      <c r="A3035" t="s">
        <v>1590</v>
      </c>
      <c r="B3035" t="s">
        <v>1591</v>
      </c>
      <c r="C3035" t="s">
        <v>42</v>
      </c>
      <c r="D3035" t="s">
        <v>4052</v>
      </c>
      <c r="E3035" t="s">
        <v>4053</v>
      </c>
      <c r="F3035" t="s">
        <v>4054</v>
      </c>
      <c r="G3035">
        <v>2.5</v>
      </c>
      <c r="H3035" s="2">
        <v>235730.16</v>
      </c>
      <c r="I3035" s="2">
        <v>5893.25</v>
      </c>
    </row>
    <row r="3036" spans="1:9" x14ac:dyDescent="0.25">
      <c r="A3036" t="s">
        <v>1593</v>
      </c>
      <c r="B3036" t="s">
        <v>1594</v>
      </c>
      <c r="C3036" t="s">
        <v>21</v>
      </c>
      <c r="D3036" t="s">
        <v>4062</v>
      </c>
      <c r="E3036" t="s">
        <v>5585</v>
      </c>
      <c r="F3036" t="s">
        <v>63</v>
      </c>
      <c r="G3036">
        <v>7</v>
      </c>
      <c r="H3036" s="2">
        <v>37</v>
      </c>
      <c r="I3036" s="2">
        <v>259</v>
      </c>
    </row>
    <row r="3037" spans="1:9" x14ac:dyDescent="0.25">
      <c r="A3037" t="s">
        <v>1593</v>
      </c>
      <c r="B3037" t="s">
        <v>1594</v>
      </c>
      <c r="C3037" t="s">
        <v>21</v>
      </c>
      <c r="D3037" t="s">
        <v>4062</v>
      </c>
      <c r="E3037" t="s">
        <v>5577</v>
      </c>
      <c r="F3037" t="s">
        <v>63</v>
      </c>
      <c r="G3037">
        <v>0.76</v>
      </c>
      <c r="H3037" s="2">
        <v>2900</v>
      </c>
      <c r="I3037" s="2">
        <v>2204</v>
      </c>
    </row>
    <row r="3038" spans="1:9" x14ac:dyDescent="0.25">
      <c r="A3038" t="s">
        <v>1593</v>
      </c>
      <c r="B3038" t="s">
        <v>1594</v>
      </c>
      <c r="C3038" t="s">
        <v>21</v>
      </c>
      <c r="D3038" t="s">
        <v>4062</v>
      </c>
      <c r="E3038" t="s">
        <v>5586</v>
      </c>
      <c r="F3038" t="s">
        <v>63</v>
      </c>
      <c r="G3038">
        <v>2.3</v>
      </c>
      <c r="H3038" s="2">
        <v>42329</v>
      </c>
      <c r="I3038" s="2">
        <v>97356.7</v>
      </c>
    </row>
    <row r="3039" spans="1:9" x14ac:dyDescent="0.25">
      <c r="A3039" t="s">
        <v>1593</v>
      </c>
      <c r="B3039" t="s">
        <v>1594</v>
      </c>
      <c r="C3039" t="s">
        <v>21</v>
      </c>
      <c r="D3039" t="s">
        <v>4062</v>
      </c>
      <c r="E3039" t="s">
        <v>5582</v>
      </c>
      <c r="F3039" t="s">
        <v>63</v>
      </c>
      <c r="G3039">
        <v>1</v>
      </c>
      <c r="H3039" s="2">
        <v>39169</v>
      </c>
      <c r="I3039" s="2">
        <v>39169</v>
      </c>
    </row>
    <row r="3040" spans="1:9" x14ac:dyDescent="0.25">
      <c r="A3040" t="s">
        <v>1593</v>
      </c>
      <c r="B3040" t="s">
        <v>1594</v>
      </c>
      <c r="C3040" t="s">
        <v>21</v>
      </c>
      <c r="D3040" t="s">
        <v>4062</v>
      </c>
      <c r="E3040" t="s">
        <v>5579</v>
      </c>
      <c r="F3040" t="s">
        <v>231</v>
      </c>
      <c r="G3040">
        <v>0.2</v>
      </c>
      <c r="H3040" s="2">
        <v>13475</v>
      </c>
      <c r="I3040" s="2">
        <v>2695</v>
      </c>
    </row>
    <row r="3041" spans="1:9" x14ac:dyDescent="0.25">
      <c r="A3041" t="s">
        <v>1593</v>
      </c>
      <c r="B3041" t="s">
        <v>1594</v>
      </c>
      <c r="C3041" t="s">
        <v>21</v>
      </c>
      <c r="D3041" t="s">
        <v>4062</v>
      </c>
      <c r="E3041" t="s">
        <v>4072</v>
      </c>
      <c r="F3041" t="s">
        <v>4066</v>
      </c>
      <c r="G3041">
        <v>0.45</v>
      </c>
      <c r="H3041" s="2">
        <v>3150</v>
      </c>
      <c r="I3041" s="2">
        <v>1417.5</v>
      </c>
    </row>
    <row r="3042" spans="1:9" x14ac:dyDescent="0.25">
      <c r="A3042" t="s">
        <v>1593</v>
      </c>
      <c r="B3042" t="s">
        <v>1594</v>
      </c>
      <c r="C3042" t="s">
        <v>21</v>
      </c>
      <c r="D3042" t="s">
        <v>4049</v>
      </c>
      <c r="E3042" t="s">
        <v>4182</v>
      </c>
      <c r="F3042" t="s">
        <v>4051</v>
      </c>
      <c r="G3042">
        <v>8</v>
      </c>
      <c r="H3042" s="2">
        <v>10845.1</v>
      </c>
      <c r="I3042" s="2">
        <v>86760.8</v>
      </c>
    </row>
    <row r="3043" spans="1:9" x14ac:dyDescent="0.25">
      <c r="A3043" t="s">
        <v>1593</v>
      </c>
      <c r="B3043" t="s">
        <v>1594</v>
      </c>
      <c r="C3043" t="s">
        <v>21</v>
      </c>
      <c r="D3043" t="s">
        <v>4049</v>
      </c>
      <c r="E3043" t="s">
        <v>4183</v>
      </c>
      <c r="F3043" t="s">
        <v>4051</v>
      </c>
      <c r="G3043">
        <v>8</v>
      </c>
      <c r="H3043" s="2">
        <v>18621.17</v>
      </c>
      <c r="I3043" s="2">
        <v>148969.36</v>
      </c>
    </row>
    <row r="3044" spans="1:9" x14ac:dyDescent="0.25">
      <c r="A3044" t="s">
        <v>1593</v>
      </c>
      <c r="B3044" t="s">
        <v>1594</v>
      </c>
      <c r="C3044" t="s">
        <v>21</v>
      </c>
      <c r="D3044" t="s">
        <v>4052</v>
      </c>
      <c r="E3044" t="s">
        <v>4053</v>
      </c>
      <c r="F3044" t="s">
        <v>4054</v>
      </c>
      <c r="G3044">
        <v>5</v>
      </c>
      <c r="H3044" s="2">
        <v>235730.16</v>
      </c>
      <c r="I3044" s="2">
        <v>11786.51</v>
      </c>
    </row>
    <row r="3045" spans="1:9" x14ac:dyDescent="0.25">
      <c r="A3045" t="s">
        <v>1596</v>
      </c>
      <c r="B3045" t="s">
        <v>1597</v>
      </c>
      <c r="C3045" t="s">
        <v>21</v>
      </c>
      <c r="D3045" t="s">
        <v>4062</v>
      </c>
      <c r="E3045" t="s">
        <v>5585</v>
      </c>
      <c r="F3045" t="s">
        <v>63</v>
      </c>
      <c r="G3045">
        <v>7</v>
      </c>
      <c r="H3045" s="2">
        <v>37</v>
      </c>
      <c r="I3045" s="2">
        <v>259</v>
      </c>
    </row>
    <row r="3046" spans="1:9" x14ac:dyDescent="0.25">
      <c r="A3046" t="s">
        <v>1596</v>
      </c>
      <c r="B3046" t="s">
        <v>1597</v>
      </c>
      <c r="C3046" t="s">
        <v>21</v>
      </c>
      <c r="D3046" t="s">
        <v>4062</v>
      </c>
      <c r="E3046" t="s">
        <v>5577</v>
      </c>
      <c r="F3046" t="s">
        <v>63</v>
      </c>
      <c r="G3046">
        <v>0.76</v>
      </c>
      <c r="H3046" s="2">
        <v>2900</v>
      </c>
      <c r="I3046" s="2">
        <v>2204</v>
      </c>
    </row>
    <row r="3047" spans="1:9" x14ac:dyDescent="0.25">
      <c r="A3047" t="s">
        <v>1596</v>
      </c>
      <c r="B3047" t="s">
        <v>1597</v>
      </c>
      <c r="C3047" t="s">
        <v>21</v>
      </c>
      <c r="D3047" t="s">
        <v>4062</v>
      </c>
      <c r="E3047" t="s">
        <v>5589</v>
      </c>
      <c r="F3047" t="s">
        <v>63</v>
      </c>
      <c r="G3047">
        <v>1.75</v>
      </c>
      <c r="H3047" s="2">
        <v>56919</v>
      </c>
      <c r="I3047" s="2">
        <v>99608.25</v>
      </c>
    </row>
    <row r="3048" spans="1:9" x14ac:dyDescent="0.25">
      <c r="A3048" t="s">
        <v>1596</v>
      </c>
      <c r="B3048" t="s">
        <v>1597</v>
      </c>
      <c r="C3048" t="s">
        <v>21</v>
      </c>
      <c r="D3048" t="s">
        <v>4062</v>
      </c>
      <c r="E3048" t="s">
        <v>5582</v>
      </c>
      <c r="F3048" t="s">
        <v>63</v>
      </c>
      <c r="G3048">
        <v>1.5</v>
      </c>
      <c r="H3048" s="2">
        <v>39169</v>
      </c>
      <c r="I3048" s="2">
        <v>58753.5</v>
      </c>
    </row>
    <row r="3049" spans="1:9" x14ac:dyDescent="0.25">
      <c r="A3049" t="s">
        <v>1596</v>
      </c>
      <c r="B3049" t="s">
        <v>1597</v>
      </c>
      <c r="C3049" t="s">
        <v>21</v>
      </c>
      <c r="D3049" t="s">
        <v>4062</v>
      </c>
      <c r="E3049" t="s">
        <v>5579</v>
      </c>
      <c r="F3049" t="s">
        <v>231</v>
      </c>
      <c r="G3049">
        <v>0.2</v>
      </c>
      <c r="H3049" s="2">
        <v>13475</v>
      </c>
      <c r="I3049" s="2">
        <v>2695</v>
      </c>
    </row>
    <row r="3050" spans="1:9" x14ac:dyDescent="0.25">
      <c r="A3050" t="s">
        <v>1596</v>
      </c>
      <c r="B3050" t="s">
        <v>1597</v>
      </c>
      <c r="C3050" t="s">
        <v>21</v>
      </c>
      <c r="D3050" t="s">
        <v>4062</v>
      </c>
      <c r="E3050" t="s">
        <v>4072</v>
      </c>
      <c r="F3050" t="s">
        <v>4066</v>
      </c>
      <c r="G3050">
        <v>0.45</v>
      </c>
      <c r="H3050" s="2">
        <v>3150</v>
      </c>
      <c r="I3050" s="2">
        <v>1417.5</v>
      </c>
    </row>
    <row r="3051" spans="1:9" x14ac:dyDescent="0.25">
      <c r="A3051" t="s">
        <v>1596</v>
      </c>
      <c r="B3051" t="s">
        <v>1597</v>
      </c>
      <c r="C3051" t="s">
        <v>21</v>
      </c>
      <c r="D3051" t="s">
        <v>4049</v>
      </c>
      <c r="E3051" t="s">
        <v>4182</v>
      </c>
      <c r="F3051" t="s">
        <v>4051</v>
      </c>
      <c r="G3051">
        <v>7</v>
      </c>
      <c r="H3051" s="2">
        <v>10845.1</v>
      </c>
      <c r="I3051" s="2">
        <v>75915.7</v>
      </c>
    </row>
    <row r="3052" spans="1:9" x14ac:dyDescent="0.25">
      <c r="A3052" t="s">
        <v>1596</v>
      </c>
      <c r="B3052" t="s">
        <v>1597</v>
      </c>
      <c r="C3052" t="s">
        <v>21</v>
      </c>
      <c r="D3052" t="s">
        <v>4049</v>
      </c>
      <c r="E3052" t="s">
        <v>4183</v>
      </c>
      <c r="F3052" t="s">
        <v>4051</v>
      </c>
      <c r="G3052">
        <v>7</v>
      </c>
      <c r="H3052" s="2">
        <v>18621.17</v>
      </c>
      <c r="I3052" s="2">
        <v>130348.19</v>
      </c>
    </row>
    <row r="3053" spans="1:9" x14ac:dyDescent="0.25">
      <c r="A3053" t="s">
        <v>1596</v>
      </c>
      <c r="B3053" t="s">
        <v>1597</v>
      </c>
      <c r="C3053" t="s">
        <v>21</v>
      </c>
      <c r="D3053" t="s">
        <v>4052</v>
      </c>
      <c r="E3053" t="s">
        <v>4053</v>
      </c>
      <c r="F3053" t="s">
        <v>4054</v>
      </c>
      <c r="G3053">
        <v>2.5</v>
      </c>
      <c r="H3053" s="2">
        <v>206263.89</v>
      </c>
      <c r="I3053" s="2">
        <v>5156.6</v>
      </c>
    </row>
    <row r="3054" spans="1:9" x14ac:dyDescent="0.25">
      <c r="A3054" t="s">
        <v>1599</v>
      </c>
      <c r="B3054" t="s">
        <v>1600</v>
      </c>
      <c r="C3054" t="s">
        <v>21</v>
      </c>
      <c r="D3054" t="s">
        <v>4062</v>
      </c>
      <c r="E3054" t="s">
        <v>5585</v>
      </c>
      <c r="F3054" t="s">
        <v>63</v>
      </c>
      <c r="G3054">
        <v>7</v>
      </c>
      <c r="H3054" s="2">
        <v>37</v>
      </c>
      <c r="I3054" s="2">
        <v>259</v>
      </c>
    </row>
    <row r="3055" spans="1:9" x14ac:dyDescent="0.25">
      <c r="A3055" t="s">
        <v>1599</v>
      </c>
      <c r="B3055" t="s">
        <v>1600</v>
      </c>
      <c r="C3055" t="s">
        <v>21</v>
      </c>
      <c r="D3055" t="s">
        <v>4062</v>
      </c>
      <c r="E3055" t="s">
        <v>5576</v>
      </c>
      <c r="F3055" t="s">
        <v>63</v>
      </c>
      <c r="G3055">
        <v>0.3</v>
      </c>
      <c r="H3055" s="2">
        <v>79950</v>
      </c>
      <c r="I3055" s="2">
        <v>23985</v>
      </c>
    </row>
    <row r="3056" spans="1:9" x14ac:dyDescent="0.25">
      <c r="A3056" t="s">
        <v>1599</v>
      </c>
      <c r="B3056" t="s">
        <v>1600</v>
      </c>
      <c r="C3056" t="s">
        <v>21</v>
      </c>
      <c r="D3056" t="s">
        <v>4062</v>
      </c>
      <c r="E3056" t="s">
        <v>5577</v>
      </c>
      <c r="F3056" t="s">
        <v>63</v>
      </c>
      <c r="G3056">
        <v>4</v>
      </c>
      <c r="H3056" s="2">
        <v>2900</v>
      </c>
      <c r="I3056" s="2">
        <v>11600</v>
      </c>
    </row>
    <row r="3057" spans="1:9" x14ac:dyDescent="0.25">
      <c r="A3057" t="s">
        <v>1599</v>
      </c>
      <c r="B3057" t="s">
        <v>1600</v>
      </c>
      <c r="C3057" t="s">
        <v>21</v>
      </c>
      <c r="D3057" t="s">
        <v>4062</v>
      </c>
      <c r="E3057" t="s">
        <v>5592</v>
      </c>
      <c r="F3057" t="s">
        <v>63</v>
      </c>
      <c r="G3057">
        <v>2.1</v>
      </c>
      <c r="H3057" s="2">
        <v>250000</v>
      </c>
      <c r="I3057" s="2">
        <v>525000</v>
      </c>
    </row>
    <row r="3058" spans="1:9" x14ac:dyDescent="0.25">
      <c r="A3058" t="s">
        <v>1599</v>
      </c>
      <c r="B3058" t="s">
        <v>1600</v>
      </c>
      <c r="C3058" t="s">
        <v>21</v>
      </c>
      <c r="D3058" t="s">
        <v>4062</v>
      </c>
      <c r="E3058" t="s">
        <v>5582</v>
      </c>
      <c r="F3058" t="s">
        <v>63</v>
      </c>
      <c r="G3058">
        <v>0.25</v>
      </c>
      <c r="H3058" s="2">
        <v>39169</v>
      </c>
      <c r="I3058" s="2">
        <v>9792.25</v>
      </c>
    </row>
    <row r="3059" spans="1:9" x14ac:dyDescent="0.25">
      <c r="A3059" t="s">
        <v>1599</v>
      </c>
      <c r="B3059" t="s">
        <v>1600</v>
      </c>
      <c r="C3059" t="s">
        <v>21</v>
      </c>
      <c r="D3059" t="s">
        <v>4062</v>
      </c>
      <c r="E3059" t="s">
        <v>5579</v>
      </c>
      <c r="F3059" t="s">
        <v>231</v>
      </c>
      <c r="G3059">
        <v>0.2</v>
      </c>
      <c r="H3059" s="2">
        <v>13475</v>
      </c>
      <c r="I3059" s="2">
        <v>2695</v>
      </c>
    </row>
    <row r="3060" spans="1:9" x14ac:dyDescent="0.25">
      <c r="A3060" t="s">
        <v>1599</v>
      </c>
      <c r="B3060" t="s">
        <v>1600</v>
      </c>
      <c r="C3060" t="s">
        <v>21</v>
      </c>
      <c r="D3060" t="s">
        <v>4062</v>
      </c>
      <c r="E3060" t="s">
        <v>4072</v>
      </c>
      <c r="F3060" t="s">
        <v>4066</v>
      </c>
      <c r="G3060">
        <v>0.45</v>
      </c>
      <c r="H3060" s="2">
        <v>3150</v>
      </c>
      <c r="I3060" s="2">
        <v>1417.5</v>
      </c>
    </row>
    <row r="3061" spans="1:9" x14ac:dyDescent="0.25">
      <c r="A3061" t="s">
        <v>1599</v>
      </c>
      <c r="B3061" t="s">
        <v>1600</v>
      </c>
      <c r="C3061" t="s">
        <v>21</v>
      </c>
      <c r="D3061" t="s">
        <v>4049</v>
      </c>
      <c r="E3061" t="s">
        <v>4182</v>
      </c>
      <c r="F3061" t="s">
        <v>4051</v>
      </c>
      <c r="G3061">
        <v>8</v>
      </c>
      <c r="H3061" s="2">
        <v>10845.1</v>
      </c>
      <c r="I3061" s="2">
        <v>86760.8</v>
      </c>
    </row>
    <row r="3062" spans="1:9" x14ac:dyDescent="0.25">
      <c r="A3062" t="s">
        <v>1599</v>
      </c>
      <c r="B3062" t="s">
        <v>1600</v>
      </c>
      <c r="C3062" t="s">
        <v>21</v>
      </c>
      <c r="D3062" t="s">
        <v>4049</v>
      </c>
      <c r="E3062" t="s">
        <v>4183</v>
      </c>
      <c r="F3062" t="s">
        <v>4051</v>
      </c>
      <c r="G3062">
        <v>8</v>
      </c>
      <c r="H3062" s="2">
        <v>18621.17</v>
      </c>
      <c r="I3062" s="2">
        <v>148969.36</v>
      </c>
    </row>
    <row r="3063" spans="1:9" x14ac:dyDescent="0.25">
      <c r="A3063" t="s">
        <v>1599</v>
      </c>
      <c r="B3063" t="s">
        <v>1600</v>
      </c>
      <c r="C3063" t="s">
        <v>21</v>
      </c>
      <c r="D3063" t="s">
        <v>4052</v>
      </c>
      <c r="E3063" t="s">
        <v>4053</v>
      </c>
      <c r="F3063" t="s">
        <v>4054</v>
      </c>
      <c r="G3063">
        <v>3</v>
      </c>
      <c r="H3063" s="2">
        <v>235730.16</v>
      </c>
      <c r="I3063" s="2">
        <v>7071.9</v>
      </c>
    </row>
    <row r="3064" spans="1:9" x14ac:dyDescent="0.25">
      <c r="A3064" t="s">
        <v>1602</v>
      </c>
      <c r="B3064" t="s">
        <v>1603</v>
      </c>
      <c r="C3064" t="s">
        <v>21</v>
      </c>
      <c r="D3064" t="s">
        <v>4062</v>
      </c>
      <c r="E3064" t="s">
        <v>5585</v>
      </c>
      <c r="F3064" t="s">
        <v>63</v>
      </c>
      <c r="G3064">
        <v>7</v>
      </c>
      <c r="H3064" s="2">
        <v>37</v>
      </c>
      <c r="I3064" s="2">
        <v>259</v>
      </c>
    </row>
    <row r="3065" spans="1:9" x14ac:dyDescent="0.25">
      <c r="A3065" t="s">
        <v>1602</v>
      </c>
      <c r="B3065" t="s">
        <v>1603</v>
      </c>
      <c r="C3065" t="s">
        <v>21</v>
      </c>
      <c r="D3065" t="s">
        <v>4062</v>
      </c>
      <c r="E3065" t="s">
        <v>5577</v>
      </c>
      <c r="F3065" t="s">
        <v>63</v>
      </c>
      <c r="G3065">
        <v>0.76</v>
      </c>
      <c r="H3065" s="2">
        <v>2900</v>
      </c>
      <c r="I3065" s="2">
        <v>2204</v>
      </c>
    </row>
    <row r="3066" spans="1:9" x14ac:dyDescent="0.25">
      <c r="A3066" t="s">
        <v>1602</v>
      </c>
      <c r="B3066" t="s">
        <v>1603</v>
      </c>
      <c r="C3066" t="s">
        <v>21</v>
      </c>
      <c r="D3066" t="s">
        <v>4062</v>
      </c>
      <c r="E3066" t="s">
        <v>5595</v>
      </c>
      <c r="F3066" t="s">
        <v>63</v>
      </c>
      <c r="G3066">
        <v>1.25</v>
      </c>
      <c r="H3066" s="2">
        <v>46610</v>
      </c>
      <c r="I3066" s="2">
        <v>58262.5</v>
      </c>
    </row>
    <row r="3067" spans="1:9" x14ac:dyDescent="0.25">
      <c r="A3067" t="s">
        <v>1602</v>
      </c>
      <c r="B3067" t="s">
        <v>1603</v>
      </c>
      <c r="C3067" t="s">
        <v>21</v>
      </c>
      <c r="D3067" t="s">
        <v>4062</v>
      </c>
      <c r="E3067" t="s">
        <v>5582</v>
      </c>
      <c r="F3067" t="s">
        <v>63</v>
      </c>
      <c r="G3067">
        <v>1.5</v>
      </c>
      <c r="H3067" s="2">
        <v>39169</v>
      </c>
      <c r="I3067" s="2">
        <v>58753.5</v>
      </c>
    </row>
    <row r="3068" spans="1:9" x14ac:dyDescent="0.25">
      <c r="A3068" t="s">
        <v>1602</v>
      </c>
      <c r="B3068" t="s">
        <v>1603</v>
      </c>
      <c r="C3068" t="s">
        <v>21</v>
      </c>
      <c r="D3068" t="s">
        <v>4062</v>
      </c>
      <c r="E3068" t="s">
        <v>5579</v>
      </c>
      <c r="F3068" t="s">
        <v>231</v>
      </c>
      <c r="G3068">
        <v>0.2</v>
      </c>
      <c r="H3068" s="2">
        <v>13475</v>
      </c>
      <c r="I3068" s="2">
        <v>2695</v>
      </c>
    </row>
    <row r="3069" spans="1:9" x14ac:dyDescent="0.25">
      <c r="A3069" t="s">
        <v>1602</v>
      </c>
      <c r="B3069" t="s">
        <v>1603</v>
      </c>
      <c r="C3069" t="s">
        <v>21</v>
      </c>
      <c r="D3069" t="s">
        <v>4062</v>
      </c>
      <c r="E3069" t="s">
        <v>4072</v>
      </c>
      <c r="F3069" t="s">
        <v>4066</v>
      </c>
      <c r="G3069">
        <v>0.45</v>
      </c>
      <c r="H3069" s="2">
        <v>3150</v>
      </c>
      <c r="I3069" s="2">
        <v>1417.5</v>
      </c>
    </row>
    <row r="3070" spans="1:9" x14ac:dyDescent="0.25">
      <c r="A3070" t="s">
        <v>1602</v>
      </c>
      <c r="B3070" t="s">
        <v>1603</v>
      </c>
      <c r="C3070" t="s">
        <v>21</v>
      </c>
      <c r="D3070" t="s">
        <v>4049</v>
      </c>
      <c r="E3070" t="s">
        <v>4182</v>
      </c>
      <c r="F3070" t="s">
        <v>4051</v>
      </c>
      <c r="G3070">
        <v>8</v>
      </c>
      <c r="H3070" s="2">
        <v>10845.1</v>
      </c>
      <c r="I3070" s="2">
        <v>86760.8</v>
      </c>
    </row>
    <row r="3071" spans="1:9" x14ac:dyDescent="0.25">
      <c r="A3071" t="s">
        <v>1602</v>
      </c>
      <c r="B3071" t="s">
        <v>1603</v>
      </c>
      <c r="C3071" t="s">
        <v>21</v>
      </c>
      <c r="D3071" t="s">
        <v>4049</v>
      </c>
      <c r="E3071" t="s">
        <v>4183</v>
      </c>
      <c r="F3071" t="s">
        <v>4051</v>
      </c>
      <c r="G3071">
        <v>8</v>
      </c>
      <c r="H3071" s="2">
        <v>18621.17</v>
      </c>
      <c r="I3071" s="2">
        <v>148969.36</v>
      </c>
    </row>
    <row r="3072" spans="1:9" x14ac:dyDescent="0.25">
      <c r="A3072" t="s">
        <v>1602</v>
      </c>
      <c r="B3072" t="s">
        <v>1603</v>
      </c>
      <c r="C3072" t="s">
        <v>21</v>
      </c>
      <c r="D3072" t="s">
        <v>4052</v>
      </c>
      <c r="E3072" t="s">
        <v>4053</v>
      </c>
      <c r="F3072" t="s">
        <v>4054</v>
      </c>
      <c r="G3072">
        <v>2.5</v>
      </c>
      <c r="H3072" s="2">
        <v>235730.16</v>
      </c>
      <c r="I3072" s="2">
        <v>5893.25</v>
      </c>
    </row>
    <row r="3073" spans="1:9" x14ac:dyDescent="0.25">
      <c r="A3073" t="s">
        <v>1605</v>
      </c>
      <c r="B3073" t="s">
        <v>1606</v>
      </c>
      <c r="C3073" t="s">
        <v>63</v>
      </c>
      <c r="D3073" t="s">
        <v>4062</v>
      </c>
      <c r="E3073" t="s">
        <v>5614</v>
      </c>
      <c r="F3073" t="s">
        <v>63</v>
      </c>
      <c r="G3073">
        <v>1</v>
      </c>
      <c r="H3073" s="2">
        <v>160512</v>
      </c>
      <c r="I3073" s="2">
        <v>160512</v>
      </c>
    </row>
    <row r="3074" spans="1:9" x14ac:dyDescent="0.25">
      <c r="A3074" t="s">
        <v>1605</v>
      </c>
      <c r="B3074" t="s">
        <v>1606</v>
      </c>
      <c r="C3074" t="s">
        <v>63</v>
      </c>
      <c r="D3074" t="s">
        <v>4049</v>
      </c>
      <c r="E3074" t="s">
        <v>4182</v>
      </c>
      <c r="F3074" t="s">
        <v>4051</v>
      </c>
      <c r="G3074">
        <v>0.5</v>
      </c>
      <c r="H3074" s="2">
        <v>10845.1</v>
      </c>
      <c r="I3074" s="2">
        <v>5422.55</v>
      </c>
    </row>
    <row r="3075" spans="1:9" x14ac:dyDescent="0.25">
      <c r="A3075" t="s">
        <v>1605</v>
      </c>
      <c r="B3075" t="s">
        <v>1606</v>
      </c>
      <c r="C3075" t="s">
        <v>63</v>
      </c>
      <c r="D3075" t="s">
        <v>4049</v>
      </c>
      <c r="E3075" t="s">
        <v>4183</v>
      </c>
      <c r="F3075" t="s">
        <v>4051</v>
      </c>
      <c r="G3075">
        <v>0.5</v>
      </c>
      <c r="H3075" s="2">
        <v>18621.17</v>
      </c>
      <c r="I3075" s="2">
        <v>9310.58</v>
      </c>
    </row>
    <row r="3076" spans="1:9" x14ac:dyDescent="0.25">
      <c r="A3076" t="s">
        <v>1605</v>
      </c>
      <c r="B3076" t="s">
        <v>1606</v>
      </c>
      <c r="C3076" t="s">
        <v>63</v>
      </c>
      <c r="D3076" t="s">
        <v>4052</v>
      </c>
      <c r="E3076" t="s">
        <v>4053</v>
      </c>
      <c r="F3076" t="s">
        <v>4054</v>
      </c>
      <c r="G3076">
        <v>2</v>
      </c>
      <c r="H3076" s="2">
        <v>14733.13</v>
      </c>
      <c r="I3076" s="2">
        <v>294.66</v>
      </c>
    </row>
    <row r="3077" spans="1:9" x14ac:dyDescent="0.25">
      <c r="A3077" t="s">
        <v>1608</v>
      </c>
      <c r="B3077" t="s">
        <v>1609</v>
      </c>
      <c r="C3077" t="s">
        <v>63</v>
      </c>
      <c r="D3077" t="s">
        <v>4062</v>
      </c>
      <c r="E3077" t="s">
        <v>5617</v>
      </c>
      <c r="F3077" t="s">
        <v>63</v>
      </c>
      <c r="G3077">
        <v>1</v>
      </c>
      <c r="H3077" s="2">
        <v>227500</v>
      </c>
      <c r="I3077" s="2">
        <v>227500</v>
      </c>
    </row>
    <row r="3078" spans="1:9" x14ac:dyDescent="0.25">
      <c r="A3078" t="s">
        <v>1608</v>
      </c>
      <c r="B3078" t="s">
        <v>1609</v>
      </c>
      <c r="C3078" t="s">
        <v>63</v>
      </c>
      <c r="D3078" t="s">
        <v>4049</v>
      </c>
      <c r="E3078" t="s">
        <v>4182</v>
      </c>
      <c r="F3078" t="s">
        <v>4051</v>
      </c>
      <c r="G3078">
        <v>0.5</v>
      </c>
      <c r="H3078" s="2">
        <v>10845.1</v>
      </c>
      <c r="I3078" s="2">
        <v>5422.55</v>
      </c>
    </row>
    <row r="3079" spans="1:9" x14ac:dyDescent="0.25">
      <c r="A3079" t="s">
        <v>1608</v>
      </c>
      <c r="B3079" t="s">
        <v>1609</v>
      </c>
      <c r="C3079" t="s">
        <v>63</v>
      </c>
      <c r="D3079" t="s">
        <v>4049</v>
      </c>
      <c r="E3079" t="s">
        <v>4183</v>
      </c>
      <c r="F3079" t="s">
        <v>4051</v>
      </c>
      <c r="G3079">
        <v>0.5</v>
      </c>
      <c r="H3079" s="2">
        <v>18621.17</v>
      </c>
      <c r="I3079" s="2">
        <v>9310.58</v>
      </c>
    </row>
    <row r="3080" spans="1:9" x14ac:dyDescent="0.25">
      <c r="A3080" t="s">
        <v>1608</v>
      </c>
      <c r="B3080" t="s">
        <v>1609</v>
      </c>
      <c r="C3080" t="s">
        <v>63</v>
      </c>
      <c r="D3080" t="s">
        <v>4052</v>
      </c>
      <c r="E3080" t="s">
        <v>4053</v>
      </c>
      <c r="F3080" t="s">
        <v>4054</v>
      </c>
      <c r="G3080">
        <v>2</v>
      </c>
      <c r="H3080" s="2">
        <v>14733.13</v>
      </c>
      <c r="I3080" s="2">
        <v>294.66</v>
      </c>
    </row>
    <row r="3081" spans="1:9" x14ac:dyDescent="0.25">
      <c r="A3081" t="s">
        <v>1611</v>
      </c>
      <c r="B3081" t="s">
        <v>1612</v>
      </c>
      <c r="C3081" t="s">
        <v>63</v>
      </c>
      <c r="D3081" t="s">
        <v>4062</v>
      </c>
      <c r="E3081" t="s">
        <v>5620</v>
      </c>
      <c r="F3081" t="s">
        <v>63</v>
      </c>
      <c r="G3081">
        <v>1</v>
      </c>
      <c r="H3081" s="2">
        <v>195114</v>
      </c>
      <c r="I3081" s="2">
        <v>195114</v>
      </c>
    </row>
    <row r="3082" spans="1:9" x14ac:dyDescent="0.25">
      <c r="A3082" t="s">
        <v>1611</v>
      </c>
      <c r="B3082" t="s">
        <v>1612</v>
      </c>
      <c r="C3082" t="s">
        <v>63</v>
      </c>
      <c r="D3082" t="s">
        <v>4049</v>
      </c>
      <c r="E3082" t="s">
        <v>4182</v>
      </c>
      <c r="F3082" t="s">
        <v>4051</v>
      </c>
      <c r="G3082">
        <v>0.5</v>
      </c>
      <c r="H3082" s="2">
        <v>10845.1</v>
      </c>
      <c r="I3082" s="2">
        <v>5422.55</v>
      </c>
    </row>
    <row r="3083" spans="1:9" x14ac:dyDescent="0.25">
      <c r="A3083" t="s">
        <v>1611</v>
      </c>
      <c r="B3083" t="s">
        <v>1612</v>
      </c>
      <c r="C3083" t="s">
        <v>63</v>
      </c>
      <c r="D3083" t="s">
        <v>4049</v>
      </c>
      <c r="E3083" t="s">
        <v>4183</v>
      </c>
      <c r="F3083" t="s">
        <v>4051</v>
      </c>
      <c r="G3083">
        <v>0.5</v>
      </c>
      <c r="H3083" s="2">
        <v>18621.17</v>
      </c>
      <c r="I3083" s="2">
        <v>9310.58</v>
      </c>
    </row>
    <row r="3084" spans="1:9" x14ac:dyDescent="0.25">
      <c r="A3084" t="s">
        <v>1611</v>
      </c>
      <c r="B3084" t="s">
        <v>1612</v>
      </c>
      <c r="C3084" t="s">
        <v>63</v>
      </c>
      <c r="D3084" t="s">
        <v>4052</v>
      </c>
      <c r="E3084" t="s">
        <v>4053</v>
      </c>
      <c r="F3084" t="s">
        <v>4054</v>
      </c>
      <c r="G3084">
        <v>2</v>
      </c>
      <c r="H3084" s="2">
        <v>14733.13</v>
      </c>
      <c r="I3084" s="2">
        <v>294.66</v>
      </c>
    </row>
    <row r="3085" spans="1:9" x14ac:dyDescent="0.25">
      <c r="A3085" t="s">
        <v>1614</v>
      </c>
      <c r="B3085" t="s">
        <v>1615</v>
      </c>
      <c r="C3085" t="s">
        <v>63</v>
      </c>
      <c r="D3085" t="s">
        <v>4062</v>
      </c>
      <c r="E3085" t="s">
        <v>5623</v>
      </c>
      <c r="F3085" t="s">
        <v>63</v>
      </c>
      <c r="G3085">
        <v>1</v>
      </c>
      <c r="H3085" s="2">
        <v>135300</v>
      </c>
      <c r="I3085" s="2">
        <v>135300</v>
      </c>
    </row>
    <row r="3086" spans="1:9" x14ac:dyDescent="0.25">
      <c r="A3086" t="s">
        <v>1614</v>
      </c>
      <c r="B3086" t="s">
        <v>1615</v>
      </c>
      <c r="C3086" t="s">
        <v>63</v>
      </c>
      <c r="D3086" t="s">
        <v>4049</v>
      </c>
      <c r="E3086" t="s">
        <v>4182</v>
      </c>
      <c r="F3086" t="s">
        <v>4051</v>
      </c>
      <c r="G3086">
        <v>0.7</v>
      </c>
      <c r="H3086" s="2">
        <v>10845.1</v>
      </c>
      <c r="I3086" s="2">
        <v>7591.57</v>
      </c>
    </row>
    <row r="3087" spans="1:9" x14ac:dyDescent="0.25">
      <c r="A3087" t="s">
        <v>1614</v>
      </c>
      <c r="B3087" t="s">
        <v>1615</v>
      </c>
      <c r="C3087" t="s">
        <v>63</v>
      </c>
      <c r="D3087" t="s">
        <v>4049</v>
      </c>
      <c r="E3087" t="s">
        <v>4183</v>
      </c>
      <c r="F3087" t="s">
        <v>4051</v>
      </c>
      <c r="G3087">
        <v>0.7</v>
      </c>
      <c r="H3087" s="2">
        <v>18621.17</v>
      </c>
      <c r="I3087" s="2">
        <v>13034.82</v>
      </c>
    </row>
    <row r="3088" spans="1:9" x14ac:dyDescent="0.25">
      <c r="A3088" t="s">
        <v>1614</v>
      </c>
      <c r="B3088" t="s">
        <v>1615</v>
      </c>
      <c r="C3088" t="s">
        <v>63</v>
      </c>
      <c r="D3088" t="s">
        <v>4052</v>
      </c>
      <c r="E3088" t="s">
        <v>4053</v>
      </c>
      <c r="F3088" t="s">
        <v>4054</v>
      </c>
      <c r="G3088">
        <v>2</v>
      </c>
      <c r="H3088" s="2">
        <v>20626.39</v>
      </c>
      <c r="I3088" s="2">
        <v>412.53</v>
      </c>
    </row>
    <row r="3089" spans="1:9" x14ac:dyDescent="0.25">
      <c r="A3089" t="s">
        <v>1617</v>
      </c>
      <c r="B3089" t="s">
        <v>1618</v>
      </c>
      <c r="C3089" t="s">
        <v>63</v>
      </c>
      <c r="D3089" t="s">
        <v>4062</v>
      </c>
      <c r="E3089" t="s">
        <v>5626</v>
      </c>
      <c r="F3089" t="s">
        <v>63</v>
      </c>
      <c r="G3089">
        <v>1</v>
      </c>
      <c r="H3089" s="2">
        <v>156300</v>
      </c>
      <c r="I3089" s="2">
        <v>156300</v>
      </c>
    </row>
    <row r="3090" spans="1:9" x14ac:dyDescent="0.25">
      <c r="A3090" t="s">
        <v>1617</v>
      </c>
      <c r="B3090" t="s">
        <v>1618</v>
      </c>
      <c r="C3090" t="s">
        <v>63</v>
      </c>
      <c r="D3090" t="s">
        <v>4049</v>
      </c>
      <c r="E3090" t="s">
        <v>4182</v>
      </c>
      <c r="F3090" t="s">
        <v>4051</v>
      </c>
      <c r="G3090">
        <v>0.5</v>
      </c>
      <c r="H3090" s="2">
        <v>10845.1</v>
      </c>
      <c r="I3090" s="2">
        <v>5422.55</v>
      </c>
    </row>
    <row r="3091" spans="1:9" x14ac:dyDescent="0.25">
      <c r="A3091" t="s">
        <v>1617</v>
      </c>
      <c r="B3091" t="s">
        <v>1618</v>
      </c>
      <c r="C3091" t="s">
        <v>63</v>
      </c>
      <c r="D3091" t="s">
        <v>4049</v>
      </c>
      <c r="E3091" t="s">
        <v>4183</v>
      </c>
      <c r="F3091" t="s">
        <v>4051</v>
      </c>
      <c r="G3091">
        <v>0.5</v>
      </c>
      <c r="H3091" s="2">
        <v>18621.17</v>
      </c>
      <c r="I3091" s="2">
        <v>9310.58</v>
      </c>
    </row>
    <row r="3092" spans="1:9" x14ac:dyDescent="0.25">
      <c r="A3092" t="s">
        <v>1617</v>
      </c>
      <c r="B3092" t="s">
        <v>1618</v>
      </c>
      <c r="C3092" t="s">
        <v>63</v>
      </c>
      <c r="D3092" t="s">
        <v>4052</v>
      </c>
      <c r="E3092" t="s">
        <v>4053</v>
      </c>
      <c r="F3092" t="s">
        <v>4054</v>
      </c>
      <c r="G3092">
        <v>2</v>
      </c>
      <c r="H3092" s="2">
        <v>14733.13</v>
      </c>
      <c r="I3092" s="2">
        <v>294.66</v>
      </c>
    </row>
    <row r="3093" spans="1:9" x14ac:dyDescent="0.25">
      <c r="A3093" t="s">
        <v>1620</v>
      </c>
      <c r="B3093" t="s">
        <v>1621</v>
      </c>
      <c r="C3093" t="s">
        <v>63</v>
      </c>
      <c r="D3093" t="s">
        <v>4062</v>
      </c>
      <c r="E3093" t="s">
        <v>5629</v>
      </c>
      <c r="F3093" t="s">
        <v>63</v>
      </c>
      <c r="G3093">
        <v>1</v>
      </c>
      <c r="H3093" s="2">
        <v>260000</v>
      </c>
      <c r="I3093" s="2">
        <v>260000</v>
      </c>
    </row>
    <row r="3094" spans="1:9" x14ac:dyDescent="0.25">
      <c r="A3094" t="s">
        <v>1620</v>
      </c>
      <c r="B3094" t="s">
        <v>1621</v>
      </c>
      <c r="C3094" t="s">
        <v>63</v>
      </c>
      <c r="D3094" t="s">
        <v>4049</v>
      </c>
      <c r="E3094" t="s">
        <v>4182</v>
      </c>
      <c r="F3094" t="s">
        <v>4051</v>
      </c>
      <c r="G3094">
        <v>0.5</v>
      </c>
      <c r="H3094" s="2">
        <v>10845.1</v>
      </c>
      <c r="I3094" s="2">
        <v>5422.55</v>
      </c>
    </row>
    <row r="3095" spans="1:9" x14ac:dyDescent="0.25">
      <c r="A3095" t="s">
        <v>1620</v>
      </c>
      <c r="B3095" t="s">
        <v>1621</v>
      </c>
      <c r="C3095" t="s">
        <v>63</v>
      </c>
      <c r="D3095" t="s">
        <v>4049</v>
      </c>
      <c r="E3095" t="s">
        <v>4183</v>
      </c>
      <c r="F3095" t="s">
        <v>4051</v>
      </c>
      <c r="G3095">
        <v>0.5</v>
      </c>
      <c r="H3095" s="2">
        <v>18621.17</v>
      </c>
      <c r="I3095" s="2">
        <v>9310.58</v>
      </c>
    </row>
    <row r="3096" spans="1:9" x14ac:dyDescent="0.25">
      <c r="A3096" t="s">
        <v>1620</v>
      </c>
      <c r="B3096" t="s">
        <v>1621</v>
      </c>
      <c r="C3096" t="s">
        <v>63</v>
      </c>
      <c r="D3096" t="s">
        <v>4052</v>
      </c>
      <c r="E3096" t="s">
        <v>4053</v>
      </c>
      <c r="F3096" t="s">
        <v>4054</v>
      </c>
      <c r="G3096">
        <v>2</v>
      </c>
      <c r="H3096" s="2">
        <v>14733.13</v>
      </c>
      <c r="I3096" s="2">
        <v>294.66</v>
      </c>
    </row>
    <row r="3097" spans="1:9" x14ac:dyDescent="0.25">
      <c r="A3097" t="s">
        <v>1623</v>
      </c>
      <c r="B3097" t="s">
        <v>1624</v>
      </c>
      <c r="C3097" t="s">
        <v>63</v>
      </c>
      <c r="D3097" t="s">
        <v>4062</v>
      </c>
      <c r="E3097" t="s">
        <v>5585</v>
      </c>
      <c r="F3097" t="s">
        <v>63</v>
      </c>
      <c r="G3097">
        <v>18</v>
      </c>
      <c r="H3097" s="2">
        <v>37</v>
      </c>
      <c r="I3097" s="2">
        <v>666</v>
      </c>
    </row>
    <row r="3098" spans="1:9" x14ac:dyDescent="0.25">
      <c r="A3098" t="s">
        <v>1623</v>
      </c>
      <c r="B3098" t="s">
        <v>1624</v>
      </c>
      <c r="C3098" t="s">
        <v>63</v>
      </c>
      <c r="D3098" t="s">
        <v>4062</v>
      </c>
      <c r="E3098" t="s">
        <v>5576</v>
      </c>
      <c r="F3098" t="s">
        <v>63</v>
      </c>
      <c r="G3098">
        <v>0.54</v>
      </c>
      <c r="H3098" s="2">
        <v>79950</v>
      </c>
      <c r="I3098" s="2">
        <v>43173</v>
      </c>
    </row>
    <row r="3099" spans="1:9" x14ac:dyDescent="0.25">
      <c r="A3099" t="s">
        <v>1623</v>
      </c>
      <c r="B3099" t="s">
        <v>1624</v>
      </c>
      <c r="C3099" t="s">
        <v>63</v>
      </c>
      <c r="D3099" t="s">
        <v>4062</v>
      </c>
      <c r="E3099" t="s">
        <v>5577</v>
      </c>
      <c r="F3099" t="s">
        <v>63</v>
      </c>
      <c r="G3099">
        <v>3</v>
      </c>
      <c r="H3099" s="2">
        <v>2900</v>
      </c>
      <c r="I3099" s="2">
        <v>8700</v>
      </c>
    </row>
    <row r="3100" spans="1:9" x14ac:dyDescent="0.25">
      <c r="A3100" t="s">
        <v>1623</v>
      </c>
      <c r="B3100" t="s">
        <v>1624</v>
      </c>
      <c r="C3100" t="s">
        <v>63</v>
      </c>
      <c r="D3100" t="s">
        <v>4062</v>
      </c>
      <c r="E3100" t="s">
        <v>5595</v>
      </c>
      <c r="F3100" t="s">
        <v>63</v>
      </c>
      <c r="G3100">
        <v>4</v>
      </c>
      <c r="H3100" s="2">
        <v>46610</v>
      </c>
      <c r="I3100" s="2">
        <v>186440</v>
      </c>
    </row>
    <row r="3101" spans="1:9" x14ac:dyDescent="0.25">
      <c r="A3101" t="s">
        <v>1623</v>
      </c>
      <c r="B3101" t="s">
        <v>1624</v>
      </c>
      <c r="C3101" t="s">
        <v>63</v>
      </c>
      <c r="D3101" t="s">
        <v>4062</v>
      </c>
      <c r="E3101" t="s">
        <v>5579</v>
      </c>
      <c r="F3101" t="s">
        <v>231</v>
      </c>
      <c r="G3101">
        <v>0.5</v>
      </c>
      <c r="H3101" s="2">
        <v>13475</v>
      </c>
      <c r="I3101" s="2">
        <v>6737.5</v>
      </c>
    </row>
    <row r="3102" spans="1:9" x14ac:dyDescent="0.25">
      <c r="A3102" t="s">
        <v>1623</v>
      </c>
      <c r="B3102" t="s">
        <v>1624</v>
      </c>
      <c r="C3102" t="s">
        <v>63</v>
      </c>
      <c r="D3102" t="s">
        <v>4062</v>
      </c>
      <c r="E3102" t="s">
        <v>4072</v>
      </c>
      <c r="F3102" t="s">
        <v>4066</v>
      </c>
      <c r="G3102">
        <v>0.35</v>
      </c>
      <c r="H3102" s="2">
        <v>3150</v>
      </c>
      <c r="I3102" s="2">
        <v>1102.5</v>
      </c>
    </row>
    <row r="3103" spans="1:9" x14ac:dyDescent="0.25">
      <c r="A3103" t="s">
        <v>1623</v>
      </c>
      <c r="B3103" t="s">
        <v>1624</v>
      </c>
      <c r="C3103" t="s">
        <v>63</v>
      </c>
      <c r="D3103" t="s">
        <v>4049</v>
      </c>
      <c r="E3103" t="s">
        <v>4182</v>
      </c>
      <c r="F3103" t="s">
        <v>4051</v>
      </c>
      <c r="G3103">
        <v>4</v>
      </c>
      <c r="H3103" s="2">
        <v>10845.1</v>
      </c>
      <c r="I3103" s="2">
        <v>43380.4</v>
      </c>
    </row>
    <row r="3104" spans="1:9" x14ac:dyDescent="0.25">
      <c r="A3104" t="s">
        <v>1623</v>
      </c>
      <c r="B3104" t="s">
        <v>1624</v>
      </c>
      <c r="C3104" t="s">
        <v>63</v>
      </c>
      <c r="D3104" t="s">
        <v>4049</v>
      </c>
      <c r="E3104" t="s">
        <v>4183</v>
      </c>
      <c r="F3104" t="s">
        <v>4051</v>
      </c>
      <c r="G3104">
        <v>4</v>
      </c>
      <c r="H3104" s="2">
        <v>18621.17</v>
      </c>
      <c r="I3104" s="2">
        <v>74484.68</v>
      </c>
    </row>
    <row r="3105" spans="1:9" x14ac:dyDescent="0.25">
      <c r="A3105" t="s">
        <v>1623</v>
      </c>
      <c r="B3105" t="s">
        <v>1624</v>
      </c>
      <c r="C3105" t="s">
        <v>63</v>
      </c>
      <c r="D3105" t="s">
        <v>4052</v>
      </c>
      <c r="E3105" t="s">
        <v>4053</v>
      </c>
      <c r="F3105" t="s">
        <v>4054</v>
      </c>
      <c r="G3105">
        <v>5</v>
      </c>
      <c r="H3105" s="2">
        <v>117865.08</v>
      </c>
      <c r="I3105" s="2">
        <v>5893.25</v>
      </c>
    </row>
    <row r="3106" spans="1:9" x14ac:dyDescent="0.25">
      <c r="A3106" t="s">
        <v>1626</v>
      </c>
      <c r="B3106" t="s">
        <v>1627</v>
      </c>
      <c r="C3106" t="s">
        <v>42</v>
      </c>
      <c r="D3106" t="s">
        <v>4062</v>
      </c>
      <c r="E3106" t="s">
        <v>5250</v>
      </c>
      <c r="F3106" t="s">
        <v>63</v>
      </c>
      <c r="G3106">
        <v>7</v>
      </c>
      <c r="H3106" s="2">
        <v>185</v>
      </c>
      <c r="I3106" s="2">
        <v>1295</v>
      </c>
    </row>
    <row r="3107" spans="1:9" x14ac:dyDescent="0.25">
      <c r="A3107" t="s">
        <v>1626</v>
      </c>
      <c r="B3107" t="s">
        <v>1627</v>
      </c>
      <c r="C3107" t="s">
        <v>42</v>
      </c>
      <c r="D3107" t="s">
        <v>4062</v>
      </c>
      <c r="E3107" t="s">
        <v>5577</v>
      </c>
      <c r="F3107" t="s">
        <v>63</v>
      </c>
      <c r="G3107">
        <v>4.6</v>
      </c>
      <c r="H3107" s="2">
        <v>2900</v>
      </c>
      <c r="I3107" s="2">
        <v>13340</v>
      </c>
    </row>
    <row r="3108" spans="1:9" x14ac:dyDescent="0.25">
      <c r="A3108" t="s">
        <v>1626</v>
      </c>
      <c r="B3108" t="s">
        <v>1627</v>
      </c>
      <c r="C3108" t="s">
        <v>42</v>
      </c>
      <c r="D3108" t="s">
        <v>4062</v>
      </c>
      <c r="E3108" t="s">
        <v>5578</v>
      </c>
      <c r="F3108" t="s">
        <v>63</v>
      </c>
      <c r="G3108">
        <v>1.6</v>
      </c>
      <c r="H3108" s="2">
        <v>182000</v>
      </c>
      <c r="I3108" s="2">
        <v>291200</v>
      </c>
    </row>
    <row r="3109" spans="1:9" x14ac:dyDescent="0.25">
      <c r="A3109" t="s">
        <v>1626</v>
      </c>
      <c r="B3109" t="s">
        <v>1627</v>
      </c>
      <c r="C3109" t="s">
        <v>42</v>
      </c>
      <c r="D3109" t="s">
        <v>4062</v>
      </c>
      <c r="E3109" t="s">
        <v>5582</v>
      </c>
      <c r="F3109" t="s">
        <v>63</v>
      </c>
      <c r="G3109">
        <v>1.74</v>
      </c>
      <c r="H3109" s="2">
        <v>39169</v>
      </c>
      <c r="I3109" s="2">
        <v>68154.06</v>
      </c>
    </row>
    <row r="3110" spans="1:9" x14ac:dyDescent="0.25">
      <c r="A3110" t="s">
        <v>1626</v>
      </c>
      <c r="B3110" t="s">
        <v>1627</v>
      </c>
      <c r="C3110" t="s">
        <v>42</v>
      </c>
      <c r="D3110" t="s">
        <v>4062</v>
      </c>
      <c r="E3110" t="s">
        <v>5579</v>
      </c>
      <c r="F3110" t="s">
        <v>231</v>
      </c>
      <c r="G3110">
        <v>0.2</v>
      </c>
      <c r="H3110" s="2">
        <v>13475</v>
      </c>
      <c r="I3110" s="2">
        <v>2695</v>
      </c>
    </row>
    <row r="3111" spans="1:9" x14ac:dyDescent="0.25">
      <c r="A3111" t="s">
        <v>1626</v>
      </c>
      <c r="B3111" t="s">
        <v>1627</v>
      </c>
      <c r="C3111" t="s">
        <v>42</v>
      </c>
      <c r="D3111" t="s">
        <v>4062</v>
      </c>
      <c r="E3111" t="s">
        <v>4072</v>
      </c>
      <c r="F3111" t="s">
        <v>4066</v>
      </c>
      <c r="G3111">
        <v>0.4</v>
      </c>
      <c r="H3111" s="2">
        <v>3150</v>
      </c>
      <c r="I3111" s="2">
        <v>1260</v>
      </c>
    </row>
    <row r="3112" spans="1:9" x14ac:dyDescent="0.25">
      <c r="A3112" t="s">
        <v>1626</v>
      </c>
      <c r="B3112" t="s">
        <v>1627</v>
      </c>
      <c r="C3112" t="s">
        <v>42</v>
      </c>
      <c r="D3112" t="s">
        <v>4049</v>
      </c>
      <c r="E3112" t="s">
        <v>4182</v>
      </c>
      <c r="F3112" t="s">
        <v>4051</v>
      </c>
      <c r="G3112">
        <v>12</v>
      </c>
      <c r="H3112" s="2">
        <v>10845.1</v>
      </c>
      <c r="I3112" s="2">
        <v>130141.2</v>
      </c>
    </row>
    <row r="3113" spans="1:9" x14ac:dyDescent="0.25">
      <c r="A3113" t="s">
        <v>1626</v>
      </c>
      <c r="B3113" t="s">
        <v>1627</v>
      </c>
      <c r="C3113" t="s">
        <v>42</v>
      </c>
      <c r="D3113" t="s">
        <v>4049</v>
      </c>
      <c r="E3113" t="s">
        <v>4183</v>
      </c>
      <c r="F3113" t="s">
        <v>4051</v>
      </c>
      <c r="G3113">
        <v>12</v>
      </c>
      <c r="H3113" s="2">
        <v>18621.17</v>
      </c>
      <c r="I3113" s="2">
        <v>223454.04</v>
      </c>
    </row>
    <row r="3114" spans="1:9" x14ac:dyDescent="0.25">
      <c r="A3114" t="s">
        <v>1626</v>
      </c>
      <c r="B3114" t="s">
        <v>1627</v>
      </c>
      <c r="C3114" t="s">
        <v>42</v>
      </c>
      <c r="D3114" t="s">
        <v>4052</v>
      </c>
      <c r="E3114" t="s">
        <v>4053</v>
      </c>
      <c r="F3114" t="s">
        <v>4054</v>
      </c>
      <c r="G3114">
        <v>2</v>
      </c>
      <c r="H3114" s="2">
        <v>353595.24</v>
      </c>
      <c r="I3114" s="2">
        <v>7071.9</v>
      </c>
    </row>
    <row r="3115" spans="1:9" x14ac:dyDescent="0.25">
      <c r="A3115" t="s">
        <v>1629</v>
      </c>
      <c r="B3115" t="s">
        <v>1630</v>
      </c>
      <c r="C3115" t="s">
        <v>21</v>
      </c>
      <c r="D3115" t="s">
        <v>4062</v>
      </c>
      <c r="E3115" t="s">
        <v>5250</v>
      </c>
      <c r="F3115" t="s">
        <v>63</v>
      </c>
      <c r="G3115">
        <v>4.56</v>
      </c>
      <c r="H3115" s="2">
        <v>185</v>
      </c>
      <c r="I3115" s="2">
        <v>843.6</v>
      </c>
    </row>
    <row r="3116" spans="1:9" x14ac:dyDescent="0.25">
      <c r="A3116" t="s">
        <v>1629</v>
      </c>
      <c r="B3116" t="s">
        <v>1630</v>
      </c>
      <c r="C3116" t="s">
        <v>21</v>
      </c>
      <c r="D3116" t="s">
        <v>4062</v>
      </c>
      <c r="E3116" t="s">
        <v>5576</v>
      </c>
      <c r="F3116" t="s">
        <v>63</v>
      </c>
      <c r="G3116">
        <v>1</v>
      </c>
      <c r="H3116" s="2">
        <v>79950</v>
      </c>
      <c r="I3116" s="2">
        <v>79950</v>
      </c>
    </row>
    <row r="3117" spans="1:9" x14ac:dyDescent="0.25">
      <c r="A3117" t="s">
        <v>1629</v>
      </c>
      <c r="B3117" t="s">
        <v>1630</v>
      </c>
      <c r="C3117" t="s">
        <v>21</v>
      </c>
      <c r="D3117" t="s">
        <v>4062</v>
      </c>
      <c r="E3117" t="s">
        <v>5578</v>
      </c>
      <c r="F3117" t="s">
        <v>63</v>
      </c>
      <c r="G3117">
        <v>1.15</v>
      </c>
      <c r="H3117" s="2">
        <v>182000</v>
      </c>
      <c r="I3117" s="2">
        <v>209300</v>
      </c>
    </row>
    <row r="3118" spans="1:9" x14ac:dyDescent="0.25">
      <c r="A3118" t="s">
        <v>1629</v>
      </c>
      <c r="B3118" t="s">
        <v>1630</v>
      </c>
      <c r="C3118" t="s">
        <v>21</v>
      </c>
      <c r="D3118" t="s">
        <v>4062</v>
      </c>
      <c r="E3118" t="s">
        <v>5579</v>
      </c>
      <c r="F3118" t="s">
        <v>231</v>
      </c>
      <c r="G3118">
        <v>0.2</v>
      </c>
      <c r="H3118" s="2">
        <v>13475</v>
      </c>
      <c r="I3118" s="2">
        <v>2695</v>
      </c>
    </row>
    <row r="3119" spans="1:9" x14ac:dyDescent="0.25">
      <c r="A3119" t="s">
        <v>1629</v>
      </c>
      <c r="B3119" t="s">
        <v>1630</v>
      </c>
      <c r="C3119" t="s">
        <v>21</v>
      </c>
      <c r="D3119" t="s">
        <v>4062</v>
      </c>
      <c r="E3119" t="s">
        <v>4072</v>
      </c>
      <c r="F3119" t="s">
        <v>4066</v>
      </c>
      <c r="G3119">
        <v>0.15</v>
      </c>
      <c r="H3119" s="2">
        <v>3150</v>
      </c>
      <c r="I3119" s="2">
        <v>472.5</v>
      </c>
    </row>
    <row r="3120" spans="1:9" x14ac:dyDescent="0.25">
      <c r="A3120" t="s">
        <v>1629</v>
      </c>
      <c r="B3120" t="s">
        <v>1630</v>
      </c>
      <c r="C3120" t="s">
        <v>21</v>
      </c>
      <c r="D3120" t="s">
        <v>4049</v>
      </c>
      <c r="E3120" t="s">
        <v>4182</v>
      </c>
      <c r="F3120" t="s">
        <v>4051</v>
      </c>
      <c r="G3120">
        <v>10</v>
      </c>
      <c r="H3120" s="2">
        <v>10845.1</v>
      </c>
      <c r="I3120" s="2">
        <v>108451</v>
      </c>
    </row>
    <row r="3121" spans="1:9" x14ac:dyDescent="0.25">
      <c r="A3121" t="s">
        <v>1629</v>
      </c>
      <c r="B3121" t="s">
        <v>1630</v>
      </c>
      <c r="C3121" t="s">
        <v>21</v>
      </c>
      <c r="D3121" t="s">
        <v>4049</v>
      </c>
      <c r="E3121" t="s">
        <v>4183</v>
      </c>
      <c r="F3121" t="s">
        <v>4051</v>
      </c>
      <c r="G3121">
        <v>10</v>
      </c>
      <c r="H3121" s="2">
        <v>18621.17</v>
      </c>
      <c r="I3121" s="2">
        <v>186211.7</v>
      </c>
    </row>
    <row r="3122" spans="1:9" x14ac:dyDescent="0.25">
      <c r="A3122" t="s">
        <v>1629</v>
      </c>
      <c r="B3122" t="s">
        <v>1630</v>
      </c>
      <c r="C3122" t="s">
        <v>21</v>
      </c>
      <c r="D3122" t="s">
        <v>4052</v>
      </c>
      <c r="E3122" t="s">
        <v>4053</v>
      </c>
      <c r="F3122" t="s">
        <v>4054</v>
      </c>
      <c r="G3122">
        <v>2.5</v>
      </c>
      <c r="H3122" s="2">
        <v>294662.7</v>
      </c>
      <c r="I3122" s="2">
        <v>7366.57</v>
      </c>
    </row>
    <row r="3123" spans="1:9" x14ac:dyDescent="0.25">
      <c r="A3123" t="s">
        <v>1632</v>
      </c>
      <c r="B3123" t="s">
        <v>1633</v>
      </c>
      <c r="C3123" t="s">
        <v>42</v>
      </c>
      <c r="D3123" t="s">
        <v>4062</v>
      </c>
      <c r="E3123" t="s">
        <v>5585</v>
      </c>
      <c r="F3123" t="s">
        <v>63</v>
      </c>
      <c r="G3123">
        <v>2</v>
      </c>
      <c r="H3123" s="2">
        <v>37</v>
      </c>
      <c r="I3123" s="2">
        <v>74</v>
      </c>
    </row>
    <row r="3124" spans="1:9" x14ac:dyDescent="0.25">
      <c r="A3124" t="s">
        <v>1632</v>
      </c>
      <c r="B3124" t="s">
        <v>1633</v>
      </c>
      <c r="C3124" t="s">
        <v>42</v>
      </c>
      <c r="D3124" t="s">
        <v>4062</v>
      </c>
      <c r="E3124" t="s">
        <v>5586</v>
      </c>
      <c r="F3124" t="s">
        <v>63</v>
      </c>
      <c r="G3124">
        <v>0.75</v>
      </c>
      <c r="H3124" s="2">
        <v>42329</v>
      </c>
      <c r="I3124" s="2">
        <v>31746.75</v>
      </c>
    </row>
    <row r="3125" spans="1:9" x14ac:dyDescent="0.25">
      <c r="A3125" t="s">
        <v>1632</v>
      </c>
      <c r="B3125" t="s">
        <v>1633</v>
      </c>
      <c r="C3125" t="s">
        <v>42</v>
      </c>
      <c r="D3125" t="s">
        <v>4062</v>
      </c>
      <c r="E3125" t="s">
        <v>4072</v>
      </c>
      <c r="F3125" t="s">
        <v>4066</v>
      </c>
      <c r="G3125">
        <v>0.25</v>
      </c>
      <c r="H3125" s="2">
        <v>3150</v>
      </c>
      <c r="I3125" s="2">
        <v>787.5</v>
      </c>
    </row>
    <row r="3126" spans="1:9" x14ac:dyDescent="0.25">
      <c r="A3126" t="s">
        <v>1632</v>
      </c>
      <c r="B3126" t="s">
        <v>1633</v>
      </c>
      <c r="C3126" t="s">
        <v>42</v>
      </c>
      <c r="D3126" t="s">
        <v>4049</v>
      </c>
      <c r="E3126" t="s">
        <v>4182</v>
      </c>
      <c r="F3126" t="s">
        <v>4051</v>
      </c>
      <c r="G3126">
        <v>1.4</v>
      </c>
      <c r="H3126" s="2">
        <v>10845.1</v>
      </c>
      <c r="I3126" s="2">
        <v>15183.14</v>
      </c>
    </row>
    <row r="3127" spans="1:9" x14ac:dyDescent="0.25">
      <c r="A3127" t="s">
        <v>1632</v>
      </c>
      <c r="B3127" t="s">
        <v>1633</v>
      </c>
      <c r="C3127" t="s">
        <v>42</v>
      </c>
      <c r="D3127" t="s">
        <v>4049</v>
      </c>
      <c r="E3127" t="s">
        <v>4183</v>
      </c>
      <c r="F3127" t="s">
        <v>4051</v>
      </c>
      <c r="G3127">
        <v>1.4</v>
      </c>
      <c r="H3127" s="2">
        <v>18621.17</v>
      </c>
      <c r="I3127" s="2">
        <v>26069.64</v>
      </c>
    </row>
    <row r="3128" spans="1:9" x14ac:dyDescent="0.25">
      <c r="A3128" t="s">
        <v>1632</v>
      </c>
      <c r="B3128" t="s">
        <v>1633</v>
      </c>
      <c r="C3128" t="s">
        <v>42</v>
      </c>
      <c r="D3128" t="s">
        <v>4052</v>
      </c>
      <c r="E3128" t="s">
        <v>4053</v>
      </c>
      <c r="F3128" t="s">
        <v>4054</v>
      </c>
      <c r="G3128">
        <v>5</v>
      </c>
      <c r="H3128" s="2">
        <v>41252.78</v>
      </c>
      <c r="I3128" s="2">
        <v>2062.64</v>
      </c>
    </row>
    <row r="3129" spans="1:9" x14ac:dyDescent="0.25">
      <c r="A3129" t="s">
        <v>1635</v>
      </c>
      <c r="B3129" t="s">
        <v>1636</v>
      </c>
      <c r="C3129" t="s">
        <v>42</v>
      </c>
      <c r="D3129" t="s">
        <v>4062</v>
      </c>
      <c r="E3129" t="s">
        <v>5585</v>
      </c>
      <c r="F3129" t="s">
        <v>63</v>
      </c>
      <c r="G3129">
        <v>2</v>
      </c>
      <c r="H3129" s="2">
        <v>37</v>
      </c>
      <c r="I3129" s="2">
        <v>74</v>
      </c>
    </row>
    <row r="3130" spans="1:9" x14ac:dyDescent="0.25">
      <c r="A3130" t="s">
        <v>1635</v>
      </c>
      <c r="B3130" t="s">
        <v>1636</v>
      </c>
      <c r="C3130" t="s">
        <v>42</v>
      </c>
      <c r="D3130" t="s">
        <v>4062</v>
      </c>
      <c r="E3130" t="s">
        <v>5589</v>
      </c>
      <c r="F3130" t="s">
        <v>63</v>
      </c>
      <c r="G3130">
        <v>1</v>
      </c>
      <c r="H3130" s="2">
        <v>56919</v>
      </c>
      <c r="I3130" s="2">
        <v>56919</v>
      </c>
    </row>
    <row r="3131" spans="1:9" x14ac:dyDescent="0.25">
      <c r="A3131" t="s">
        <v>1635</v>
      </c>
      <c r="B3131" t="s">
        <v>1636</v>
      </c>
      <c r="C3131" t="s">
        <v>42</v>
      </c>
      <c r="D3131" t="s">
        <v>4062</v>
      </c>
      <c r="E3131" t="s">
        <v>4072</v>
      </c>
      <c r="F3131" t="s">
        <v>4066</v>
      </c>
      <c r="G3131">
        <v>0.25</v>
      </c>
      <c r="H3131" s="2">
        <v>3150</v>
      </c>
      <c r="I3131" s="2">
        <v>787.5</v>
      </c>
    </row>
    <row r="3132" spans="1:9" x14ac:dyDescent="0.25">
      <c r="A3132" t="s">
        <v>1635</v>
      </c>
      <c r="B3132" t="s">
        <v>1636</v>
      </c>
      <c r="C3132" t="s">
        <v>42</v>
      </c>
      <c r="D3132" t="s">
        <v>4049</v>
      </c>
      <c r="E3132" t="s">
        <v>4182</v>
      </c>
      <c r="F3132" t="s">
        <v>4051</v>
      </c>
      <c r="G3132">
        <v>1.2</v>
      </c>
      <c r="H3132" s="2">
        <v>10845.1</v>
      </c>
      <c r="I3132" s="2">
        <v>13014.12</v>
      </c>
    </row>
    <row r="3133" spans="1:9" x14ac:dyDescent="0.25">
      <c r="A3133" t="s">
        <v>1635</v>
      </c>
      <c r="B3133" t="s">
        <v>1636</v>
      </c>
      <c r="C3133" t="s">
        <v>42</v>
      </c>
      <c r="D3133" t="s">
        <v>4049</v>
      </c>
      <c r="E3133" t="s">
        <v>4183</v>
      </c>
      <c r="F3133" t="s">
        <v>4051</v>
      </c>
      <c r="G3133">
        <v>1.2</v>
      </c>
      <c r="H3133" s="2">
        <v>18621.17</v>
      </c>
      <c r="I3133" s="2">
        <v>22345.4</v>
      </c>
    </row>
    <row r="3134" spans="1:9" x14ac:dyDescent="0.25">
      <c r="A3134" t="s">
        <v>1635</v>
      </c>
      <c r="B3134" t="s">
        <v>1636</v>
      </c>
      <c r="C3134" t="s">
        <v>42</v>
      </c>
      <c r="D3134" t="s">
        <v>4052</v>
      </c>
      <c r="E3134" t="s">
        <v>4053</v>
      </c>
      <c r="F3134" t="s">
        <v>4054</v>
      </c>
      <c r="G3134">
        <v>5</v>
      </c>
      <c r="H3134" s="2">
        <v>35359.52</v>
      </c>
      <c r="I3134" s="2">
        <v>1767.98</v>
      </c>
    </row>
    <row r="3135" spans="1:9" x14ac:dyDescent="0.25">
      <c r="A3135" t="s">
        <v>1638</v>
      </c>
      <c r="B3135" t="s">
        <v>1639</v>
      </c>
      <c r="C3135" t="s">
        <v>42</v>
      </c>
      <c r="D3135" t="s">
        <v>4062</v>
      </c>
      <c r="E3135" t="s">
        <v>5585</v>
      </c>
      <c r="F3135" t="s">
        <v>63</v>
      </c>
      <c r="G3135">
        <v>2</v>
      </c>
      <c r="H3135" s="2">
        <v>37</v>
      </c>
      <c r="I3135" s="2">
        <v>74</v>
      </c>
    </row>
    <row r="3136" spans="1:9" x14ac:dyDescent="0.25">
      <c r="A3136" t="s">
        <v>1638</v>
      </c>
      <c r="B3136" t="s">
        <v>1639</v>
      </c>
      <c r="C3136" t="s">
        <v>42</v>
      </c>
      <c r="D3136" t="s">
        <v>4062</v>
      </c>
      <c r="E3136" t="s">
        <v>5592</v>
      </c>
      <c r="F3136" t="s">
        <v>63</v>
      </c>
      <c r="G3136">
        <v>1</v>
      </c>
      <c r="H3136" s="2">
        <v>250000</v>
      </c>
      <c r="I3136" s="2">
        <v>250000</v>
      </c>
    </row>
    <row r="3137" spans="1:9" x14ac:dyDescent="0.25">
      <c r="A3137" t="s">
        <v>1638</v>
      </c>
      <c r="B3137" t="s">
        <v>1639</v>
      </c>
      <c r="C3137" t="s">
        <v>42</v>
      </c>
      <c r="D3137" t="s">
        <v>4062</v>
      </c>
      <c r="E3137" t="s">
        <v>4072</v>
      </c>
      <c r="F3137" t="s">
        <v>4066</v>
      </c>
      <c r="G3137">
        <v>0.25</v>
      </c>
      <c r="H3137" s="2">
        <v>3150</v>
      </c>
      <c r="I3137" s="2">
        <v>787.5</v>
      </c>
    </row>
    <row r="3138" spans="1:9" x14ac:dyDescent="0.25">
      <c r="A3138" t="s">
        <v>1638</v>
      </c>
      <c r="B3138" t="s">
        <v>1639</v>
      </c>
      <c r="C3138" t="s">
        <v>42</v>
      </c>
      <c r="D3138" t="s">
        <v>4049</v>
      </c>
      <c r="E3138" t="s">
        <v>4182</v>
      </c>
      <c r="F3138" t="s">
        <v>4051</v>
      </c>
      <c r="G3138">
        <v>1</v>
      </c>
      <c r="H3138" s="2">
        <v>10845.1</v>
      </c>
      <c r="I3138" s="2">
        <v>10845.1</v>
      </c>
    </row>
    <row r="3139" spans="1:9" x14ac:dyDescent="0.25">
      <c r="A3139" t="s">
        <v>1638</v>
      </c>
      <c r="B3139" t="s">
        <v>1639</v>
      </c>
      <c r="C3139" t="s">
        <v>42</v>
      </c>
      <c r="D3139" t="s">
        <v>4049</v>
      </c>
      <c r="E3139" t="s">
        <v>4183</v>
      </c>
      <c r="F3139" t="s">
        <v>4051</v>
      </c>
      <c r="G3139">
        <v>1</v>
      </c>
      <c r="H3139" s="2">
        <v>18621.17</v>
      </c>
      <c r="I3139" s="2">
        <v>18621.17</v>
      </c>
    </row>
    <row r="3140" spans="1:9" x14ac:dyDescent="0.25">
      <c r="A3140" t="s">
        <v>1638</v>
      </c>
      <c r="B3140" t="s">
        <v>1639</v>
      </c>
      <c r="C3140" t="s">
        <v>42</v>
      </c>
      <c r="D3140" t="s">
        <v>4052</v>
      </c>
      <c r="E3140" t="s">
        <v>4053</v>
      </c>
      <c r="F3140" t="s">
        <v>4054</v>
      </c>
      <c r="G3140">
        <v>5</v>
      </c>
      <c r="H3140" s="2">
        <v>29466.27</v>
      </c>
      <c r="I3140" s="2">
        <v>1473.31</v>
      </c>
    </row>
    <row r="3141" spans="1:9" x14ac:dyDescent="0.25">
      <c r="A3141" t="s">
        <v>1641</v>
      </c>
      <c r="B3141" t="s">
        <v>1642</v>
      </c>
      <c r="C3141" t="s">
        <v>42</v>
      </c>
      <c r="D3141" t="s">
        <v>4062</v>
      </c>
      <c r="E3141" t="s">
        <v>5585</v>
      </c>
      <c r="F3141" t="s">
        <v>63</v>
      </c>
      <c r="G3141">
        <v>2</v>
      </c>
      <c r="H3141" s="2">
        <v>37</v>
      </c>
      <c r="I3141" s="2">
        <v>74</v>
      </c>
    </row>
    <row r="3142" spans="1:9" x14ac:dyDescent="0.25">
      <c r="A3142" t="s">
        <v>1641</v>
      </c>
      <c r="B3142" t="s">
        <v>1642</v>
      </c>
      <c r="C3142" t="s">
        <v>42</v>
      </c>
      <c r="D3142" t="s">
        <v>4062</v>
      </c>
      <c r="E3142" t="s">
        <v>5595</v>
      </c>
      <c r="F3142" t="s">
        <v>63</v>
      </c>
      <c r="G3142">
        <v>0.95</v>
      </c>
      <c r="H3142" s="2">
        <v>46610</v>
      </c>
      <c r="I3142" s="2">
        <v>44279.5</v>
      </c>
    </row>
    <row r="3143" spans="1:9" x14ac:dyDescent="0.25">
      <c r="A3143" t="s">
        <v>1641</v>
      </c>
      <c r="B3143" t="s">
        <v>1642</v>
      </c>
      <c r="C3143" t="s">
        <v>42</v>
      </c>
      <c r="D3143" t="s">
        <v>4062</v>
      </c>
      <c r="E3143" t="s">
        <v>4072</v>
      </c>
      <c r="F3143" t="s">
        <v>4066</v>
      </c>
      <c r="G3143">
        <v>0.25</v>
      </c>
      <c r="H3143" s="2">
        <v>3150</v>
      </c>
      <c r="I3143" s="2">
        <v>787.5</v>
      </c>
    </row>
    <row r="3144" spans="1:9" x14ac:dyDescent="0.25">
      <c r="A3144" t="s">
        <v>1641</v>
      </c>
      <c r="B3144" t="s">
        <v>1642</v>
      </c>
      <c r="C3144" t="s">
        <v>42</v>
      </c>
      <c r="D3144" t="s">
        <v>4049</v>
      </c>
      <c r="E3144" t="s">
        <v>4182</v>
      </c>
      <c r="F3144" t="s">
        <v>4051</v>
      </c>
      <c r="G3144">
        <v>1.2</v>
      </c>
      <c r="H3144" s="2">
        <v>10845.1</v>
      </c>
      <c r="I3144" s="2">
        <v>13014.12</v>
      </c>
    </row>
    <row r="3145" spans="1:9" x14ac:dyDescent="0.25">
      <c r="A3145" t="s">
        <v>1641</v>
      </c>
      <c r="B3145" t="s">
        <v>1642</v>
      </c>
      <c r="C3145" t="s">
        <v>42</v>
      </c>
      <c r="D3145" t="s">
        <v>4049</v>
      </c>
      <c r="E3145" t="s">
        <v>4183</v>
      </c>
      <c r="F3145" t="s">
        <v>4051</v>
      </c>
      <c r="G3145">
        <v>1.2</v>
      </c>
      <c r="H3145" s="2">
        <v>18621.17</v>
      </c>
      <c r="I3145" s="2">
        <v>22345.4</v>
      </c>
    </row>
    <row r="3146" spans="1:9" x14ac:dyDescent="0.25">
      <c r="A3146" t="s">
        <v>1641</v>
      </c>
      <c r="B3146" t="s">
        <v>1642</v>
      </c>
      <c r="C3146" t="s">
        <v>42</v>
      </c>
      <c r="D3146" t="s">
        <v>4052</v>
      </c>
      <c r="E3146" t="s">
        <v>4053</v>
      </c>
      <c r="F3146" t="s">
        <v>4054</v>
      </c>
      <c r="G3146">
        <v>5</v>
      </c>
      <c r="H3146" s="2">
        <v>35359.52</v>
      </c>
      <c r="I3146" s="2">
        <v>1767.98</v>
      </c>
    </row>
    <row r="3147" spans="1:9" x14ac:dyDescent="0.25">
      <c r="A3147" t="s">
        <v>1644</v>
      </c>
      <c r="B3147" t="s">
        <v>1645</v>
      </c>
      <c r="C3147" t="s">
        <v>21</v>
      </c>
      <c r="D3147" t="s">
        <v>4062</v>
      </c>
      <c r="E3147" t="s">
        <v>5250</v>
      </c>
      <c r="F3147" t="s">
        <v>63</v>
      </c>
      <c r="G3147">
        <v>2</v>
      </c>
      <c r="H3147" s="2">
        <v>185</v>
      </c>
      <c r="I3147" s="2">
        <v>370</v>
      </c>
    </row>
    <row r="3148" spans="1:9" x14ac:dyDescent="0.25">
      <c r="A3148" t="s">
        <v>1644</v>
      </c>
      <c r="B3148" t="s">
        <v>1645</v>
      </c>
      <c r="C3148" t="s">
        <v>21</v>
      </c>
      <c r="D3148" t="s">
        <v>4062</v>
      </c>
      <c r="E3148" t="s">
        <v>5578</v>
      </c>
      <c r="F3148" t="s">
        <v>63</v>
      </c>
      <c r="G3148">
        <v>0.3</v>
      </c>
      <c r="H3148" s="2">
        <v>182000</v>
      </c>
      <c r="I3148" s="2">
        <v>54600</v>
      </c>
    </row>
    <row r="3149" spans="1:9" x14ac:dyDescent="0.25">
      <c r="A3149" t="s">
        <v>1644</v>
      </c>
      <c r="B3149" t="s">
        <v>1645</v>
      </c>
      <c r="C3149" t="s">
        <v>21</v>
      </c>
      <c r="D3149" t="s">
        <v>4062</v>
      </c>
      <c r="E3149" t="s">
        <v>4072</v>
      </c>
      <c r="F3149" t="s">
        <v>4066</v>
      </c>
      <c r="G3149">
        <v>0.25</v>
      </c>
      <c r="H3149" s="2">
        <v>3150</v>
      </c>
      <c r="I3149" s="2">
        <v>787.5</v>
      </c>
    </row>
    <row r="3150" spans="1:9" x14ac:dyDescent="0.25">
      <c r="A3150" t="s">
        <v>1644</v>
      </c>
      <c r="B3150" t="s">
        <v>1645</v>
      </c>
      <c r="C3150" t="s">
        <v>21</v>
      </c>
      <c r="D3150" t="s">
        <v>4049</v>
      </c>
      <c r="E3150" t="s">
        <v>4182</v>
      </c>
      <c r="F3150" t="s">
        <v>4051</v>
      </c>
      <c r="G3150">
        <v>1</v>
      </c>
      <c r="H3150" s="2">
        <v>10845.1</v>
      </c>
      <c r="I3150" s="2">
        <v>10845.1</v>
      </c>
    </row>
    <row r="3151" spans="1:9" x14ac:dyDescent="0.25">
      <c r="A3151" t="s">
        <v>1644</v>
      </c>
      <c r="B3151" t="s">
        <v>1645</v>
      </c>
      <c r="C3151" t="s">
        <v>21</v>
      </c>
      <c r="D3151" t="s">
        <v>4049</v>
      </c>
      <c r="E3151" t="s">
        <v>4183</v>
      </c>
      <c r="F3151" t="s">
        <v>4051</v>
      </c>
      <c r="G3151">
        <v>1</v>
      </c>
      <c r="H3151" s="2">
        <v>18621.17</v>
      </c>
      <c r="I3151" s="2">
        <v>18621.17</v>
      </c>
    </row>
    <row r="3152" spans="1:9" x14ac:dyDescent="0.25">
      <c r="A3152" t="s">
        <v>1644</v>
      </c>
      <c r="B3152" t="s">
        <v>1645</v>
      </c>
      <c r="C3152" t="s">
        <v>21</v>
      </c>
      <c r="D3152" t="s">
        <v>4052</v>
      </c>
      <c r="E3152" t="s">
        <v>4053</v>
      </c>
      <c r="F3152" t="s">
        <v>4054</v>
      </c>
      <c r="G3152">
        <v>2.5</v>
      </c>
      <c r="H3152" s="2">
        <v>29466.27</v>
      </c>
      <c r="I3152" s="2">
        <v>736.66</v>
      </c>
    </row>
    <row r="3153" spans="1:9" x14ac:dyDescent="0.25">
      <c r="A3153" t="s">
        <v>1647</v>
      </c>
      <c r="B3153" t="s">
        <v>1648</v>
      </c>
      <c r="C3153" t="s">
        <v>42</v>
      </c>
      <c r="D3153" t="s">
        <v>4062</v>
      </c>
      <c r="E3153" t="s">
        <v>5250</v>
      </c>
      <c r="F3153" t="s">
        <v>63</v>
      </c>
      <c r="G3153">
        <v>2</v>
      </c>
      <c r="H3153" s="2">
        <v>185</v>
      </c>
      <c r="I3153" s="2">
        <v>370</v>
      </c>
    </row>
    <row r="3154" spans="1:9" x14ac:dyDescent="0.25">
      <c r="A3154" t="s">
        <v>1647</v>
      </c>
      <c r="B3154" t="s">
        <v>1648</v>
      </c>
      <c r="C3154" t="s">
        <v>42</v>
      </c>
      <c r="D3154" t="s">
        <v>4062</v>
      </c>
      <c r="E3154" t="s">
        <v>5648</v>
      </c>
      <c r="F3154" t="s">
        <v>42</v>
      </c>
      <c r="G3154">
        <v>1</v>
      </c>
      <c r="H3154" s="2">
        <v>18750</v>
      </c>
      <c r="I3154" s="2">
        <v>18750</v>
      </c>
    </row>
    <row r="3155" spans="1:9" x14ac:dyDescent="0.25">
      <c r="A3155" t="s">
        <v>1647</v>
      </c>
      <c r="B3155" t="s">
        <v>1648</v>
      </c>
      <c r="C3155" t="s">
        <v>42</v>
      </c>
      <c r="D3155" t="s">
        <v>4062</v>
      </c>
      <c r="E3155" t="s">
        <v>4072</v>
      </c>
      <c r="F3155" t="s">
        <v>4066</v>
      </c>
      <c r="G3155">
        <v>0.14</v>
      </c>
      <c r="H3155" s="2">
        <v>3150</v>
      </c>
      <c r="I3155" s="2">
        <v>441</v>
      </c>
    </row>
    <row r="3156" spans="1:9" x14ac:dyDescent="0.25">
      <c r="A3156" t="s">
        <v>1647</v>
      </c>
      <c r="B3156" t="s">
        <v>1648</v>
      </c>
      <c r="C3156" t="s">
        <v>42</v>
      </c>
      <c r="D3156" t="s">
        <v>4049</v>
      </c>
      <c r="E3156" t="s">
        <v>4182</v>
      </c>
      <c r="F3156" t="s">
        <v>4051</v>
      </c>
      <c r="G3156">
        <v>0.8</v>
      </c>
      <c r="H3156" s="2">
        <v>10845.1</v>
      </c>
      <c r="I3156" s="2">
        <v>8676.08</v>
      </c>
    </row>
    <row r="3157" spans="1:9" x14ac:dyDescent="0.25">
      <c r="A3157" t="s">
        <v>1647</v>
      </c>
      <c r="B3157" t="s">
        <v>1648</v>
      </c>
      <c r="C3157" t="s">
        <v>42</v>
      </c>
      <c r="D3157" t="s">
        <v>4049</v>
      </c>
      <c r="E3157" t="s">
        <v>4183</v>
      </c>
      <c r="F3157" t="s">
        <v>4051</v>
      </c>
      <c r="G3157">
        <v>0.8</v>
      </c>
      <c r="H3157" s="2">
        <v>18621.17</v>
      </c>
      <c r="I3157" s="2">
        <v>14896.94</v>
      </c>
    </row>
    <row r="3158" spans="1:9" x14ac:dyDescent="0.25">
      <c r="A3158" t="s">
        <v>1647</v>
      </c>
      <c r="B3158" t="s">
        <v>1648</v>
      </c>
      <c r="C3158" t="s">
        <v>42</v>
      </c>
      <c r="D3158" t="s">
        <v>4052</v>
      </c>
      <c r="E3158" t="s">
        <v>4053</v>
      </c>
      <c r="F3158" t="s">
        <v>4054</v>
      </c>
      <c r="G3158">
        <v>2</v>
      </c>
      <c r="H3158" s="2">
        <v>23573.02</v>
      </c>
      <c r="I3158" s="2">
        <v>471.46</v>
      </c>
    </row>
    <row r="3159" spans="1:9" x14ac:dyDescent="0.25">
      <c r="A3159" t="s">
        <v>1650</v>
      </c>
      <c r="B3159" t="s">
        <v>1651</v>
      </c>
      <c r="C3159" t="s">
        <v>63</v>
      </c>
      <c r="D3159" t="s">
        <v>4062</v>
      </c>
      <c r="E3159" t="s">
        <v>5585</v>
      </c>
      <c r="F3159" t="s">
        <v>63</v>
      </c>
      <c r="G3159">
        <v>18</v>
      </c>
      <c r="H3159" s="2">
        <v>37</v>
      </c>
      <c r="I3159" s="2">
        <v>666</v>
      </c>
    </row>
    <row r="3160" spans="1:9" x14ac:dyDescent="0.25">
      <c r="A3160" t="s">
        <v>1650</v>
      </c>
      <c r="B3160" t="s">
        <v>1651</v>
      </c>
      <c r="C3160" t="s">
        <v>63</v>
      </c>
      <c r="D3160" t="s">
        <v>4062</v>
      </c>
      <c r="E3160" t="s">
        <v>5542</v>
      </c>
      <c r="F3160" t="s">
        <v>63</v>
      </c>
      <c r="G3160">
        <v>0.54</v>
      </c>
      <c r="H3160" s="2">
        <v>42119</v>
      </c>
      <c r="I3160" s="2">
        <v>22744.26</v>
      </c>
    </row>
    <row r="3161" spans="1:9" x14ac:dyDescent="0.25">
      <c r="A3161" t="s">
        <v>1650</v>
      </c>
      <c r="B3161" t="s">
        <v>1651</v>
      </c>
      <c r="C3161" t="s">
        <v>63</v>
      </c>
      <c r="D3161" t="s">
        <v>4062</v>
      </c>
      <c r="E3161" t="s">
        <v>5577</v>
      </c>
      <c r="F3161" t="s">
        <v>63</v>
      </c>
      <c r="G3161">
        <v>3</v>
      </c>
      <c r="H3161" s="2">
        <v>2900</v>
      </c>
      <c r="I3161" s="2">
        <v>8700</v>
      </c>
    </row>
    <row r="3162" spans="1:9" x14ac:dyDescent="0.25">
      <c r="A3162" t="s">
        <v>1650</v>
      </c>
      <c r="B3162" t="s">
        <v>1651</v>
      </c>
      <c r="C3162" t="s">
        <v>63</v>
      </c>
      <c r="D3162" t="s">
        <v>4062</v>
      </c>
      <c r="E3162" t="s">
        <v>5586</v>
      </c>
      <c r="F3162" t="s">
        <v>63</v>
      </c>
      <c r="G3162">
        <v>4</v>
      </c>
      <c r="H3162" s="2">
        <v>42329</v>
      </c>
      <c r="I3162" s="2">
        <v>169316</v>
      </c>
    </row>
    <row r="3163" spans="1:9" x14ac:dyDescent="0.25">
      <c r="A3163" t="s">
        <v>1650</v>
      </c>
      <c r="B3163" t="s">
        <v>1651</v>
      </c>
      <c r="C3163" t="s">
        <v>63</v>
      </c>
      <c r="D3163" t="s">
        <v>4062</v>
      </c>
      <c r="E3163" t="s">
        <v>5579</v>
      </c>
      <c r="F3163" t="s">
        <v>231</v>
      </c>
      <c r="G3163">
        <v>0.5</v>
      </c>
      <c r="H3163" s="2">
        <v>13475</v>
      </c>
      <c r="I3163" s="2">
        <v>6737.5</v>
      </c>
    </row>
    <row r="3164" spans="1:9" x14ac:dyDescent="0.25">
      <c r="A3164" t="s">
        <v>1650</v>
      </c>
      <c r="B3164" t="s">
        <v>1651</v>
      </c>
      <c r="C3164" t="s">
        <v>63</v>
      </c>
      <c r="D3164" t="s">
        <v>4062</v>
      </c>
      <c r="E3164" t="s">
        <v>4072</v>
      </c>
      <c r="F3164" t="s">
        <v>4066</v>
      </c>
      <c r="G3164">
        <v>0.5</v>
      </c>
      <c r="H3164" s="2">
        <v>3150</v>
      </c>
      <c r="I3164" s="2">
        <v>1575</v>
      </c>
    </row>
    <row r="3165" spans="1:9" x14ac:dyDescent="0.25">
      <c r="A3165" t="s">
        <v>1650</v>
      </c>
      <c r="B3165" t="s">
        <v>1651</v>
      </c>
      <c r="C3165" t="s">
        <v>63</v>
      </c>
      <c r="D3165" t="s">
        <v>4049</v>
      </c>
      <c r="E3165" t="s">
        <v>4182</v>
      </c>
      <c r="F3165" t="s">
        <v>4051</v>
      </c>
      <c r="G3165">
        <v>4</v>
      </c>
      <c r="H3165" s="2">
        <v>10845.1</v>
      </c>
      <c r="I3165" s="2">
        <v>43380.4</v>
      </c>
    </row>
    <row r="3166" spans="1:9" x14ac:dyDescent="0.25">
      <c r="A3166" t="s">
        <v>1650</v>
      </c>
      <c r="B3166" t="s">
        <v>1651</v>
      </c>
      <c r="C3166" t="s">
        <v>63</v>
      </c>
      <c r="D3166" t="s">
        <v>4049</v>
      </c>
      <c r="E3166" t="s">
        <v>4183</v>
      </c>
      <c r="F3166" t="s">
        <v>4051</v>
      </c>
      <c r="G3166">
        <v>4</v>
      </c>
      <c r="H3166" s="2">
        <v>18621.17</v>
      </c>
      <c r="I3166" s="2">
        <v>74484.68</v>
      </c>
    </row>
    <row r="3167" spans="1:9" x14ac:dyDescent="0.25">
      <c r="A3167" t="s">
        <v>1650</v>
      </c>
      <c r="B3167" t="s">
        <v>1651</v>
      </c>
      <c r="C3167" t="s">
        <v>63</v>
      </c>
      <c r="D3167" t="s">
        <v>4052</v>
      </c>
      <c r="E3167" t="s">
        <v>4053</v>
      </c>
      <c r="F3167" t="s">
        <v>4054</v>
      </c>
      <c r="G3167">
        <v>5</v>
      </c>
      <c r="H3167" s="2">
        <v>117865.08</v>
      </c>
      <c r="I3167" s="2">
        <v>5893.25</v>
      </c>
    </row>
    <row r="3168" spans="1:9" x14ac:dyDescent="0.25">
      <c r="A3168" t="s">
        <v>1653</v>
      </c>
      <c r="B3168" t="s">
        <v>1654</v>
      </c>
      <c r="C3168" t="s">
        <v>63</v>
      </c>
      <c r="D3168" t="s">
        <v>4062</v>
      </c>
      <c r="E3168" t="s">
        <v>5585</v>
      </c>
      <c r="F3168" t="s">
        <v>63</v>
      </c>
      <c r="G3168">
        <v>18</v>
      </c>
      <c r="H3168" s="2">
        <v>37</v>
      </c>
      <c r="I3168" s="2">
        <v>666</v>
      </c>
    </row>
    <row r="3169" spans="1:9" x14ac:dyDescent="0.25">
      <c r="A3169" t="s">
        <v>1653</v>
      </c>
      <c r="B3169" t="s">
        <v>1654</v>
      </c>
      <c r="C3169" t="s">
        <v>63</v>
      </c>
      <c r="D3169" t="s">
        <v>4062</v>
      </c>
      <c r="E3169" t="s">
        <v>5576</v>
      </c>
      <c r="F3169" t="s">
        <v>63</v>
      </c>
      <c r="G3169">
        <v>0.75</v>
      </c>
      <c r="H3169" s="2">
        <v>79950</v>
      </c>
      <c r="I3169" s="2">
        <v>59962.5</v>
      </c>
    </row>
    <row r="3170" spans="1:9" x14ac:dyDescent="0.25">
      <c r="A3170" t="s">
        <v>1653</v>
      </c>
      <c r="B3170" t="s">
        <v>1654</v>
      </c>
      <c r="C3170" t="s">
        <v>63</v>
      </c>
      <c r="D3170" t="s">
        <v>4062</v>
      </c>
      <c r="E3170" t="s">
        <v>5577</v>
      </c>
      <c r="F3170" t="s">
        <v>63</v>
      </c>
      <c r="G3170">
        <v>3</v>
      </c>
      <c r="H3170" s="2">
        <v>2900</v>
      </c>
      <c r="I3170" s="2">
        <v>8700</v>
      </c>
    </row>
    <row r="3171" spans="1:9" x14ac:dyDescent="0.25">
      <c r="A3171" t="s">
        <v>1653</v>
      </c>
      <c r="B3171" t="s">
        <v>1654</v>
      </c>
      <c r="C3171" t="s">
        <v>63</v>
      </c>
      <c r="D3171" t="s">
        <v>4062</v>
      </c>
      <c r="E3171" t="s">
        <v>5589</v>
      </c>
      <c r="F3171" t="s">
        <v>63</v>
      </c>
      <c r="G3171">
        <v>4.75</v>
      </c>
      <c r="H3171" s="2">
        <v>56919</v>
      </c>
      <c r="I3171" s="2">
        <v>270365.25</v>
      </c>
    </row>
    <row r="3172" spans="1:9" x14ac:dyDescent="0.25">
      <c r="A3172" t="s">
        <v>1653</v>
      </c>
      <c r="B3172" t="s">
        <v>1654</v>
      </c>
      <c r="C3172" t="s">
        <v>63</v>
      </c>
      <c r="D3172" t="s">
        <v>4062</v>
      </c>
      <c r="E3172" t="s">
        <v>5579</v>
      </c>
      <c r="F3172" t="s">
        <v>231</v>
      </c>
      <c r="G3172">
        <v>0.5</v>
      </c>
      <c r="H3172" s="2">
        <v>13475</v>
      </c>
      <c r="I3172" s="2">
        <v>6737.5</v>
      </c>
    </row>
    <row r="3173" spans="1:9" x14ac:dyDescent="0.25">
      <c r="A3173" t="s">
        <v>1653</v>
      </c>
      <c r="B3173" t="s">
        <v>1654</v>
      </c>
      <c r="C3173" t="s">
        <v>63</v>
      </c>
      <c r="D3173" t="s">
        <v>4049</v>
      </c>
      <c r="E3173" t="s">
        <v>4182</v>
      </c>
      <c r="F3173" t="s">
        <v>4051</v>
      </c>
      <c r="G3173">
        <v>4</v>
      </c>
      <c r="H3173" s="2">
        <v>10845.1</v>
      </c>
      <c r="I3173" s="2">
        <v>43380.4</v>
      </c>
    </row>
    <row r="3174" spans="1:9" x14ac:dyDescent="0.25">
      <c r="A3174" t="s">
        <v>1653</v>
      </c>
      <c r="B3174" t="s">
        <v>1654</v>
      </c>
      <c r="C3174" t="s">
        <v>63</v>
      </c>
      <c r="D3174" t="s">
        <v>4049</v>
      </c>
      <c r="E3174" t="s">
        <v>4183</v>
      </c>
      <c r="F3174" t="s">
        <v>4051</v>
      </c>
      <c r="G3174">
        <v>4</v>
      </c>
      <c r="H3174" s="2">
        <v>18621.17</v>
      </c>
      <c r="I3174" s="2">
        <v>74484.68</v>
      </c>
    </row>
    <row r="3175" spans="1:9" x14ac:dyDescent="0.25">
      <c r="A3175" t="s">
        <v>1653</v>
      </c>
      <c r="B3175" t="s">
        <v>1654</v>
      </c>
      <c r="C3175" t="s">
        <v>63</v>
      </c>
      <c r="D3175" t="s">
        <v>4052</v>
      </c>
      <c r="E3175" t="s">
        <v>4053</v>
      </c>
      <c r="F3175" t="s">
        <v>4054</v>
      </c>
      <c r="G3175">
        <v>5</v>
      </c>
      <c r="H3175" s="2">
        <v>117865.08</v>
      </c>
      <c r="I3175" s="2">
        <v>5893.25</v>
      </c>
    </row>
    <row r="3176" spans="1:9" x14ac:dyDescent="0.25">
      <c r="A3176" t="s">
        <v>1656</v>
      </c>
      <c r="B3176" t="s">
        <v>1657</v>
      </c>
      <c r="C3176" t="s">
        <v>63</v>
      </c>
      <c r="D3176" t="s">
        <v>4062</v>
      </c>
      <c r="E3176" t="s">
        <v>5585</v>
      </c>
      <c r="F3176" t="s">
        <v>63</v>
      </c>
      <c r="G3176">
        <v>18</v>
      </c>
      <c r="H3176" s="2">
        <v>37</v>
      </c>
      <c r="I3176" s="2">
        <v>666</v>
      </c>
    </row>
    <row r="3177" spans="1:9" x14ac:dyDescent="0.25">
      <c r="A3177" t="s">
        <v>1656</v>
      </c>
      <c r="B3177" t="s">
        <v>1657</v>
      </c>
      <c r="C3177" t="s">
        <v>63</v>
      </c>
      <c r="D3177" t="s">
        <v>4062</v>
      </c>
      <c r="E3177" t="s">
        <v>5576</v>
      </c>
      <c r="F3177" t="s">
        <v>63</v>
      </c>
      <c r="G3177">
        <v>0.2</v>
      </c>
      <c r="H3177" s="2">
        <v>79950</v>
      </c>
      <c r="I3177" s="2">
        <v>15990</v>
      </c>
    </row>
    <row r="3178" spans="1:9" x14ac:dyDescent="0.25">
      <c r="A3178" t="s">
        <v>1656</v>
      </c>
      <c r="B3178" t="s">
        <v>1657</v>
      </c>
      <c r="C3178" t="s">
        <v>63</v>
      </c>
      <c r="D3178" t="s">
        <v>4062</v>
      </c>
      <c r="E3178" t="s">
        <v>5577</v>
      </c>
      <c r="F3178" t="s">
        <v>63</v>
      </c>
      <c r="G3178">
        <v>3</v>
      </c>
      <c r="H3178" s="2">
        <v>2900</v>
      </c>
      <c r="I3178" s="2">
        <v>8700</v>
      </c>
    </row>
    <row r="3179" spans="1:9" x14ac:dyDescent="0.25">
      <c r="A3179" t="s">
        <v>1656</v>
      </c>
      <c r="B3179" t="s">
        <v>1657</v>
      </c>
      <c r="C3179" t="s">
        <v>63</v>
      </c>
      <c r="D3179" t="s">
        <v>4062</v>
      </c>
      <c r="E3179" t="s">
        <v>5578</v>
      </c>
      <c r="F3179" t="s">
        <v>63</v>
      </c>
      <c r="G3179">
        <v>3.6</v>
      </c>
      <c r="H3179" s="2">
        <v>182000</v>
      </c>
      <c r="I3179" s="2">
        <v>655200</v>
      </c>
    </row>
    <row r="3180" spans="1:9" x14ac:dyDescent="0.25">
      <c r="A3180" t="s">
        <v>1656</v>
      </c>
      <c r="B3180" t="s">
        <v>1657</v>
      </c>
      <c r="C3180" t="s">
        <v>63</v>
      </c>
      <c r="D3180" t="s">
        <v>4062</v>
      </c>
      <c r="E3180" t="s">
        <v>5579</v>
      </c>
      <c r="F3180" t="s">
        <v>231</v>
      </c>
      <c r="G3180">
        <v>1</v>
      </c>
      <c r="H3180" s="2">
        <v>13475</v>
      </c>
      <c r="I3180" s="2">
        <v>13475</v>
      </c>
    </row>
    <row r="3181" spans="1:9" x14ac:dyDescent="0.25">
      <c r="A3181" t="s">
        <v>1656</v>
      </c>
      <c r="B3181" t="s">
        <v>1657</v>
      </c>
      <c r="C3181" t="s">
        <v>63</v>
      </c>
      <c r="D3181" t="s">
        <v>4062</v>
      </c>
      <c r="E3181" t="s">
        <v>4072</v>
      </c>
      <c r="F3181" t="s">
        <v>4066</v>
      </c>
      <c r="G3181">
        <v>0.35</v>
      </c>
      <c r="H3181" s="2">
        <v>3150</v>
      </c>
      <c r="I3181" s="2">
        <v>1102.5</v>
      </c>
    </row>
    <row r="3182" spans="1:9" x14ac:dyDescent="0.25">
      <c r="A3182" t="s">
        <v>1656</v>
      </c>
      <c r="B3182" t="s">
        <v>1657</v>
      </c>
      <c r="C3182" t="s">
        <v>63</v>
      </c>
      <c r="D3182" t="s">
        <v>4049</v>
      </c>
      <c r="E3182" t="s">
        <v>4182</v>
      </c>
      <c r="F3182" t="s">
        <v>4051</v>
      </c>
      <c r="G3182">
        <v>14</v>
      </c>
      <c r="H3182" s="2">
        <v>10845.1</v>
      </c>
      <c r="I3182" s="2">
        <v>151831.4</v>
      </c>
    </row>
    <row r="3183" spans="1:9" x14ac:dyDescent="0.25">
      <c r="A3183" t="s">
        <v>1656</v>
      </c>
      <c r="B3183" t="s">
        <v>1657</v>
      </c>
      <c r="C3183" t="s">
        <v>63</v>
      </c>
      <c r="D3183" t="s">
        <v>4049</v>
      </c>
      <c r="E3183" t="s">
        <v>4183</v>
      </c>
      <c r="F3183" t="s">
        <v>4051</v>
      </c>
      <c r="G3183">
        <v>14</v>
      </c>
      <c r="H3183" s="2">
        <v>18621.17</v>
      </c>
      <c r="I3183" s="2">
        <v>260696.38</v>
      </c>
    </row>
    <row r="3184" spans="1:9" x14ac:dyDescent="0.25">
      <c r="A3184" t="s">
        <v>1656</v>
      </c>
      <c r="B3184" t="s">
        <v>1657</v>
      </c>
      <c r="C3184" t="s">
        <v>63</v>
      </c>
      <c r="D3184" t="s">
        <v>4052</v>
      </c>
      <c r="E3184" t="s">
        <v>4053</v>
      </c>
      <c r="F3184" t="s">
        <v>4054</v>
      </c>
      <c r="G3184">
        <v>5</v>
      </c>
      <c r="H3184" s="2">
        <v>412527.78</v>
      </c>
      <c r="I3184" s="2">
        <v>20626.39</v>
      </c>
    </row>
    <row r="3185" spans="1:9" x14ac:dyDescent="0.25">
      <c r="A3185" t="s">
        <v>1659</v>
      </c>
      <c r="B3185" t="s">
        <v>1660</v>
      </c>
      <c r="C3185" t="s">
        <v>63</v>
      </c>
      <c r="D3185" t="s">
        <v>4062</v>
      </c>
      <c r="E3185" t="s">
        <v>5585</v>
      </c>
      <c r="F3185" t="s">
        <v>63</v>
      </c>
      <c r="G3185">
        <v>18</v>
      </c>
      <c r="H3185" s="2">
        <v>37</v>
      </c>
      <c r="I3185" s="2">
        <v>666</v>
      </c>
    </row>
    <row r="3186" spans="1:9" x14ac:dyDescent="0.25">
      <c r="A3186" t="s">
        <v>1659</v>
      </c>
      <c r="B3186" t="s">
        <v>1660</v>
      </c>
      <c r="C3186" t="s">
        <v>63</v>
      </c>
      <c r="D3186" t="s">
        <v>4062</v>
      </c>
      <c r="E3186" t="s">
        <v>5576</v>
      </c>
      <c r="F3186" t="s">
        <v>63</v>
      </c>
      <c r="G3186">
        <v>1</v>
      </c>
      <c r="H3186" s="2">
        <v>79950</v>
      </c>
      <c r="I3186" s="2">
        <v>79950</v>
      </c>
    </row>
    <row r="3187" spans="1:9" x14ac:dyDescent="0.25">
      <c r="A3187" t="s">
        <v>1659</v>
      </c>
      <c r="B3187" t="s">
        <v>1660</v>
      </c>
      <c r="C3187" t="s">
        <v>63</v>
      </c>
      <c r="D3187" t="s">
        <v>4062</v>
      </c>
      <c r="E3187" t="s">
        <v>5577</v>
      </c>
      <c r="F3187" t="s">
        <v>63</v>
      </c>
      <c r="G3187">
        <v>3</v>
      </c>
      <c r="H3187" s="2">
        <v>2900</v>
      </c>
      <c r="I3187" s="2">
        <v>8700</v>
      </c>
    </row>
    <row r="3188" spans="1:9" x14ac:dyDescent="0.25">
      <c r="A3188" t="s">
        <v>1659</v>
      </c>
      <c r="B3188" t="s">
        <v>1660</v>
      </c>
      <c r="C3188" t="s">
        <v>63</v>
      </c>
      <c r="D3188" t="s">
        <v>4062</v>
      </c>
      <c r="E3188" t="s">
        <v>5592</v>
      </c>
      <c r="F3188" t="s">
        <v>63</v>
      </c>
      <c r="G3188">
        <v>4.5</v>
      </c>
      <c r="H3188" s="2">
        <v>250000</v>
      </c>
      <c r="I3188" s="2">
        <v>1125000</v>
      </c>
    </row>
    <row r="3189" spans="1:9" x14ac:dyDescent="0.25">
      <c r="A3189" t="s">
        <v>1659</v>
      </c>
      <c r="B3189" t="s">
        <v>1660</v>
      </c>
      <c r="C3189" t="s">
        <v>63</v>
      </c>
      <c r="D3189" t="s">
        <v>4062</v>
      </c>
      <c r="E3189" t="s">
        <v>5579</v>
      </c>
      <c r="F3189" t="s">
        <v>231</v>
      </c>
      <c r="G3189">
        <v>0.5</v>
      </c>
      <c r="H3189" s="2">
        <v>13475</v>
      </c>
      <c r="I3189" s="2">
        <v>6737.5</v>
      </c>
    </row>
    <row r="3190" spans="1:9" x14ac:dyDescent="0.25">
      <c r="A3190" t="s">
        <v>1659</v>
      </c>
      <c r="B3190" t="s">
        <v>1660</v>
      </c>
      <c r="C3190" t="s">
        <v>63</v>
      </c>
      <c r="D3190" t="s">
        <v>4062</v>
      </c>
      <c r="E3190" t="s">
        <v>4072</v>
      </c>
      <c r="F3190" t="s">
        <v>4066</v>
      </c>
      <c r="G3190">
        <v>0.35</v>
      </c>
      <c r="H3190" s="2">
        <v>3150</v>
      </c>
      <c r="I3190" s="2">
        <v>1102.5</v>
      </c>
    </row>
    <row r="3191" spans="1:9" x14ac:dyDescent="0.25">
      <c r="A3191" t="s">
        <v>1659</v>
      </c>
      <c r="B3191" t="s">
        <v>1660</v>
      </c>
      <c r="C3191" t="s">
        <v>63</v>
      </c>
      <c r="D3191" t="s">
        <v>4049</v>
      </c>
      <c r="E3191" t="s">
        <v>4182</v>
      </c>
      <c r="F3191" t="s">
        <v>4051</v>
      </c>
      <c r="G3191">
        <v>4.5</v>
      </c>
      <c r="H3191" s="2">
        <v>10845.1</v>
      </c>
      <c r="I3191" s="2">
        <v>48802.95</v>
      </c>
    </row>
    <row r="3192" spans="1:9" x14ac:dyDescent="0.25">
      <c r="A3192" t="s">
        <v>1659</v>
      </c>
      <c r="B3192" t="s">
        <v>1660</v>
      </c>
      <c r="C3192" t="s">
        <v>63</v>
      </c>
      <c r="D3192" t="s">
        <v>4049</v>
      </c>
      <c r="E3192" t="s">
        <v>4183</v>
      </c>
      <c r="F3192" t="s">
        <v>4051</v>
      </c>
      <c r="G3192">
        <v>4.5</v>
      </c>
      <c r="H3192" s="2">
        <v>18621.17</v>
      </c>
      <c r="I3192" s="2">
        <v>83795.26</v>
      </c>
    </row>
    <row r="3193" spans="1:9" x14ac:dyDescent="0.25">
      <c r="A3193" t="s">
        <v>1659</v>
      </c>
      <c r="B3193" t="s">
        <v>1660</v>
      </c>
      <c r="C3193" t="s">
        <v>63</v>
      </c>
      <c r="D3193" t="s">
        <v>4052</v>
      </c>
      <c r="E3193" t="s">
        <v>4053</v>
      </c>
      <c r="F3193" t="s">
        <v>4054</v>
      </c>
      <c r="G3193">
        <v>10</v>
      </c>
      <c r="H3193" s="2">
        <v>132598.21</v>
      </c>
      <c r="I3193" s="2">
        <v>13259.82</v>
      </c>
    </row>
    <row r="3194" spans="1:9" x14ac:dyDescent="0.25">
      <c r="A3194" t="s">
        <v>1662</v>
      </c>
      <c r="B3194" t="s">
        <v>1663</v>
      </c>
      <c r="C3194" t="s">
        <v>21</v>
      </c>
      <c r="D3194" t="s">
        <v>4062</v>
      </c>
      <c r="E3194" t="s">
        <v>5585</v>
      </c>
      <c r="F3194" t="s">
        <v>63</v>
      </c>
      <c r="G3194">
        <v>6</v>
      </c>
      <c r="H3194" s="2">
        <v>37</v>
      </c>
      <c r="I3194" s="2">
        <v>222</v>
      </c>
    </row>
    <row r="3195" spans="1:9" x14ac:dyDescent="0.25">
      <c r="A3195" t="s">
        <v>1662</v>
      </c>
      <c r="B3195" t="s">
        <v>1663</v>
      </c>
      <c r="C3195" t="s">
        <v>21</v>
      </c>
      <c r="D3195" t="s">
        <v>4062</v>
      </c>
      <c r="E3195" t="s">
        <v>5577</v>
      </c>
      <c r="F3195" t="s">
        <v>63</v>
      </c>
      <c r="G3195">
        <v>1</v>
      </c>
      <c r="H3195" s="2">
        <v>2900</v>
      </c>
      <c r="I3195" s="2">
        <v>2900</v>
      </c>
    </row>
    <row r="3196" spans="1:9" x14ac:dyDescent="0.25">
      <c r="A3196" t="s">
        <v>1662</v>
      </c>
      <c r="B3196" t="s">
        <v>1663</v>
      </c>
      <c r="C3196" t="s">
        <v>21</v>
      </c>
      <c r="D3196" t="s">
        <v>4062</v>
      </c>
      <c r="E3196" t="s">
        <v>5586</v>
      </c>
      <c r="F3196" t="s">
        <v>63</v>
      </c>
      <c r="G3196">
        <v>0.75</v>
      </c>
      <c r="H3196" s="2">
        <v>42329</v>
      </c>
      <c r="I3196" s="2">
        <v>31746.75</v>
      </c>
    </row>
    <row r="3197" spans="1:9" x14ac:dyDescent="0.25">
      <c r="A3197" t="s">
        <v>1662</v>
      </c>
      <c r="B3197" t="s">
        <v>1663</v>
      </c>
      <c r="C3197" t="s">
        <v>21</v>
      </c>
      <c r="D3197" t="s">
        <v>4062</v>
      </c>
      <c r="E3197" t="s">
        <v>5579</v>
      </c>
      <c r="F3197" t="s">
        <v>231</v>
      </c>
      <c r="G3197">
        <v>0.13</v>
      </c>
      <c r="H3197" s="2">
        <v>13475</v>
      </c>
      <c r="I3197" s="2">
        <v>1751.75</v>
      </c>
    </row>
    <row r="3198" spans="1:9" x14ac:dyDescent="0.25">
      <c r="A3198" t="s">
        <v>1662</v>
      </c>
      <c r="B3198" t="s">
        <v>1663</v>
      </c>
      <c r="C3198" t="s">
        <v>21</v>
      </c>
      <c r="D3198" t="s">
        <v>4062</v>
      </c>
      <c r="E3198" t="s">
        <v>4072</v>
      </c>
      <c r="F3198" t="s">
        <v>4066</v>
      </c>
      <c r="G3198">
        <v>0.25</v>
      </c>
      <c r="H3198" s="2">
        <v>3150</v>
      </c>
      <c r="I3198" s="2">
        <v>787.5</v>
      </c>
    </row>
    <row r="3199" spans="1:9" x14ac:dyDescent="0.25">
      <c r="A3199" t="s">
        <v>1662</v>
      </c>
      <c r="B3199" t="s">
        <v>1663</v>
      </c>
      <c r="C3199" t="s">
        <v>21</v>
      </c>
      <c r="D3199" t="s">
        <v>4049</v>
      </c>
      <c r="E3199" t="s">
        <v>4182</v>
      </c>
      <c r="F3199" t="s">
        <v>4051</v>
      </c>
      <c r="G3199">
        <v>2.5</v>
      </c>
      <c r="H3199" s="2">
        <v>10845.1</v>
      </c>
      <c r="I3199" s="2">
        <v>27112.75</v>
      </c>
    </row>
    <row r="3200" spans="1:9" x14ac:dyDescent="0.25">
      <c r="A3200" t="s">
        <v>1662</v>
      </c>
      <c r="B3200" t="s">
        <v>1663</v>
      </c>
      <c r="C3200" t="s">
        <v>21</v>
      </c>
      <c r="D3200" t="s">
        <v>4049</v>
      </c>
      <c r="E3200" t="s">
        <v>4183</v>
      </c>
      <c r="F3200" t="s">
        <v>4051</v>
      </c>
      <c r="G3200">
        <v>2.5</v>
      </c>
      <c r="H3200" s="2">
        <v>18621.17</v>
      </c>
      <c r="I3200" s="2">
        <v>46552.92</v>
      </c>
    </row>
    <row r="3201" spans="1:9" x14ac:dyDescent="0.25">
      <c r="A3201" t="s">
        <v>1662</v>
      </c>
      <c r="B3201" t="s">
        <v>1663</v>
      </c>
      <c r="C3201" t="s">
        <v>21</v>
      </c>
      <c r="D3201" t="s">
        <v>4052</v>
      </c>
      <c r="E3201" t="s">
        <v>4053</v>
      </c>
      <c r="F3201" t="s">
        <v>4054</v>
      </c>
      <c r="G3201">
        <v>5</v>
      </c>
      <c r="H3201" s="2">
        <v>73665.67</v>
      </c>
      <c r="I3201" s="2">
        <v>3683.28</v>
      </c>
    </row>
    <row r="3202" spans="1:9" x14ac:dyDescent="0.25">
      <c r="A3202" t="s">
        <v>1665</v>
      </c>
      <c r="B3202" t="s">
        <v>1666</v>
      </c>
      <c r="C3202" t="s">
        <v>21</v>
      </c>
      <c r="D3202" t="s">
        <v>4062</v>
      </c>
      <c r="E3202" t="s">
        <v>5585</v>
      </c>
      <c r="F3202" t="s">
        <v>63</v>
      </c>
      <c r="G3202">
        <v>6</v>
      </c>
      <c r="H3202" s="2">
        <v>37</v>
      </c>
      <c r="I3202" s="2">
        <v>222</v>
      </c>
    </row>
    <row r="3203" spans="1:9" x14ac:dyDescent="0.25">
      <c r="A3203" t="s">
        <v>1665</v>
      </c>
      <c r="B3203" t="s">
        <v>1666</v>
      </c>
      <c r="C3203" t="s">
        <v>21</v>
      </c>
      <c r="D3203" t="s">
        <v>4062</v>
      </c>
      <c r="E3203" t="s">
        <v>5577</v>
      </c>
      <c r="F3203" t="s">
        <v>63</v>
      </c>
      <c r="G3203">
        <v>1</v>
      </c>
      <c r="H3203" s="2">
        <v>2900</v>
      </c>
      <c r="I3203" s="2">
        <v>2900</v>
      </c>
    </row>
    <row r="3204" spans="1:9" x14ac:dyDescent="0.25">
      <c r="A3204" t="s">
        <v>1665</v>
      </c>
      <c r="B3204" t="s">
        <v>1666</v>
      </c>
      <c r="C3204" t="s">
        <v>21</v>
      </c>
      <c r="D3204" t="s">
        <v>4062</v>
      </c>
      <c r="E3204" t="s">
        <v>5589</v>
      </c>
      <c r="F3204" t="s">
        <v>63</v>
      </c>
      <c r="G3204">
        <v>1.1</v>
      </c>
      <c r="H3204" s="2">
        <v>56919</v>
      </c>
      <c r="I3204" s="2">
        <v>62610.9</v>
      </c>
    </row>
    <row r="3205" spans="1:9" x14ac:dyDescent="0.25">
      <c r="A3205" t="s">
        <v>1665</v>
      </c>
      <c r="B3205" t="s">
        <v>1666</v>
      </c>
      <c r="C3205" t="s">
        <v>21</v>
      </c>
      <c r="D3205" t="s">
        <v>4062</v>
      </c>
      <c r="E3205" t="s">
        <v>5579</v>
      </c>
      <c r="F3205" t="s">
        <v>231</v>
      </c>
      <c r="G3205">
        <v>0.13</v>
      </c>
      <c r="H3205" s="2">
        <v>13475</v>
      </c>
      <c r="I3205" s="2">
        <v>1751.75</v>
      </c>
    </row>
    <row r="3206" spans="1:9" x14ac:dyDescent="0.25">
      <c r="A3206" t="s">
        <v>1665</v>
      </c>
      <c r="B3206" t="s">
        <v>1666</v>
      </c>
      <c r="C3206" t="s">
        <v>21</v>
      </c>
      <c r="D3206" t="s">
        <v>4062</v>
      </c>
      <c r="E3206" t="s">
        <v>4072</v>
      </c>
      <c r="F3206" t="s">
        <v>4066</v>
      </c>
      <c r="G3206">
        <v>0.25</v>
      </c>
      <c r="H3206" s="2">
        <v>3150</v>
      </c>
      <c r="I3206" s="2">
        <v>787.5</v>
      </c>
    </row>
    <row r="3207" spans="1:9" x14ac:dyDescent="0.25">
      <c r="A3207" t="s">
        <v>1665</v>
      </c>
      <c r="B3207" t="s">
        <v>1666</v>
      </c>
      <c r="C3207" t="s">
        <v>21</v>
      </c>
      <c r="D3207" t="s">
        <v>4049</v>
      </c>
      <c r="E3207" t="s">
        <v>4182</v>
      </c>
      <c r="F3207" t="s">
        <v>4051</v>
      </c>
      <c r="G3207">
        <v>2.5</v>
      </c>
      <c r="H3207" s="2">
        <v>10845.1</v>
      </c>
      <c r="I3207" s="2">
        <v>27112.75</v>
      </c>
    </row>
    <row r="3208" spans="1:9" x14ac:dyDescent="0.25">
      <c r="A3208" t="s">
        <v>1665</v>
      </c>
      <c r="B3208" t="s">
        <v>1666</v>
      </c>
      <c r="C3208" t="s">
        <v>21</v>
      </c>
      <c r="D3208" t="s">
        <v>4049</v>
      </c>
      <c r="E3208" t="s">
        <v>4183</v>
      </c>
      <c r="F3208" t="s">
        <v>4051</v>
      </c>
      <c r="G3208">
        <v>2.5</v>
      </c>
      <c r="H3208" s="2">
        <v>18621.17</v>
      </c>
      <c r="I3208" s="2">
        <v>46552.92</v>
      </c>
    </row>
    <row r="3209" spans="1:9" x14ac:dyDescent="0.25">
      <c r="A3209" t="s">
        <v>1665</v>
      </c>
      <c r="B3209" t="s">
        <v>1666</v>
      </c>
      <c r="C3209" t="s">
        <v>21</v>
      </c>
      <c r="D3209" t="s">
        <v>4052</v>
      </c>
      <c r="E3209" t="s">
        <v>4053</v>
      </c>
      <c r="F3209" t="s">
        <v>4054</v>
      </c>
      <c r="G3209">
        <v>5</v>
      </c>
      <c r="H3209" s="2">
        <v>73665.67</v>
      </c>
      <c r="I3209" s="2">
        <v>3683.28</v>
      </c>
    </row>
    <row r="3210" spans="1:9" x14ac:dyDescent="0.25">
      <c r="A3210" t="s">
        <v>1668</v>
      </c>
      <c r="B3210" t="s">
        <v>1669</v>
      </c>
      <c r="C3210" t="s">
        <v>21</v>
      </c>
      <c r="D3210" t="s">
        <v>4062</v>
      </c>
      <c r="E3210" t="s">
        <v>5585</v>
      </c>
      <c r="F3210" t="s">
        <v>63</v>
      </c>
      <c r="G3210">
        <v>6</v>
      </c>
      <c r="H3210" s="2">
        <v>37</v>
      </c>
      <c r="I3210" s="2">
        <v>222</v>
      </c>
    </row>
    <row r="3211" spans="1:9" x14ac:dyDescent="0.25">
      <c r="A3211" t="s">
        <v>1668</v>
      </c>
      <c r="B3211" t="s">
        <v>1669</v>
      </c>
      <c r="C3211" t="s">
        <v>21</v>
      </c>
      <c r="D3211" t="s">
        <v>4062</v>
      </c>
      <c r="E3211" t="s">
        <v>5577</v>
      </c>
      <c r="F3211" t="s">
        <v>63</v>
      </c>
      <c r="G3211">
        <v>1</v>
      </c>
      <c r="H3211" s="2">
        <v>2900</v>
      </c>
      <c r="I3211" s="2">
        <v>2900</v>
      </c>
    </row>
    <row r="3212" spans="1:9" x14ac:dyDescent="0.25">
      <c r="A3212" t="s">
        <v>1668</v>
      </c>
      <c r="B3212" t="s">
        <v>1669</v>
      </c>
      <c r="C3212" t="s">
        <v>21</v>
      </c>
      <c r="D3212" t="s">
        <v>4062</v>
      </c>
      <c r="E3212" t="s">
        <v>5592</v>
      </c>
      <c r="F3212" t="s">
        <v>63</v>
      </c>
      <c r="G3212">
        <v>1.1</v>
      </c>
      <c r="H3212" s="2">
        <v>250000</v>
      </c>
      <c r="I3212" s="2">
        <v>275000</v>
      </c>
    </row>
    <row r="3213" spans="1:9" x14ac:dyDescent="0.25">
      <c r="A3213" t="s">
        <v>1668</v>
      </c>
      <c r="B3213" t="s">
        <v>1669</v>
      </c>
      <c r="C3213" t="s">
        <v>21</v>
      </c>
      <c r="D3213" t="s">
        <v>4062</v>
      </c>
      <c r="E3213" t="s">
        <v>5579</v>
      </c>
      <c r="F3213" t="s">
        <v>231</v>
      </c>
      <c r="G3213">
        <v>0.13</v>
      </c>
      <c r="H3213" s="2">
        <v>13475</v>
      </c>
      <c r="I3213" s="2">
        <v>1751.75</v>
      </c>
    </row>
    <row r="3214" spans="1:9" x14ac:dyDescent="0.25">
      <c r="A3214" t="s">
        <v>1668</v>
      </c>
      <c r="B3214" t="s">
        <v>1669</v>
      </c>
      <c r="C3214" t="s">
        <v>21</v>
      </c>
      <c r="D3214" t="s">
        <v>4062</v>
      </c>
      <c r="E3214" t="s">
        <v>4072</v>
      </c>
      <c r="F3214" t="s">
        <v>4066</v>
      </c>
      <c r="G3214">
        <v>0.25</v>
      </c>
      <c r="H3214" s="2">
        <v>3150</v>
      </c>
      <c r="I3214" s="2">
        <v>787.5</v>
      </c>
    </row>
    <row r="3215" spans="1:9" x14ac:dyDescent="0.25">
      <c r="A3215" t="s">
        <v>1668</v>
      </c>
      <c r="B3215" t="s">
        <v>1669</v>
      </c>
      <c r="C3215" t="s">
        <v>21</v>
      </c>
      <c r="D3215" t="s">
        <v>4049</v>
      </c>
      <c r="E3215" t="s">
        <v>4182</v>
      </c>
      <c r="F3215" t="s">
        <v>4051</v>
      </c>
      <c r="G3215">
        <v>2.5</v>
      </c>
      <c r="H3215" s="2">
        <v>10845.1</v>
      </c>
      <c r="I3215" s="2">
        <v>27112.75</v>
      </c>
    </row>
    <row r="3216" spans="1:9" x14ac:dyDescent="0.25">
      <c r="A3216" t="s">
        <v>1668</v>
      </c>
      <c r="B3216" t="s">
        <v>1669</v>
      </c>
      <c r="C3216" t="s">
        <v>21</v>
      </c>
      <c r="D3216" t="s">
        <v>4049</v>
      </c>
      <c r="E3216" t="s">
        <v>4183</v>
      </c>
      <c r="F3216" t="s">
        <v>4051</v>
      </c>
      <c r="G3216">
        <v>2.5</v>
      </c>
      <c r="H3216" s="2">
        <v>18621.17</v>
      </c>
      <c r="I3216" s="2">
        <v>46552.92</v>
      </c>
    </row>
    <row r="3217" spans="1:9" x14ac:dyDescent="0.25">
      <c r="A3217" t="s">
        <v>1668</v>
      </c>
      <c r="B3217" t="s">
        <v>1669</v>
      </c>
      <c r="C3217" t="s">
        <v>21</v>
      </c>
      <c r="D3217" t="s">
        <v>4052</v>
      </c>
      <c r="E3217" t="s">
        <v>4053</v>
      </c>
      <c r="F3217" t="s">
        <v>4054</v>
      </c>
      <c r="G3217">
        <v>5</v>
      </c>
      <c r="H3217" s="2">
        <v>73665.67</v>
      </c>
      <c r="I3217" s="2">
        <v>3683.28</v>
      </c>
    </row>
    <row r="3218" spans="1:9" x14ac:dyDescent="0.25">
      <c r="A3218" t="s">
        <v>1671</v>
      </c>
      <c r="B3218" t="s">
        <v>1672</v>
      </c>
      <c r="C3218" t="s">
        <v>21</v>
      </c>
      <c r="D3218" t="s">
        <v>4062</v>
      </c>
      <c r="E3218" t="s">
        <v>5585</v>
      </c>
      <c r="F3218" t="s">
        <v>63</v>
      </c>
      <c r="G3218">
        <v>6</v>
      </c>
      <c r="H3218" s="2">
        <v>37</v>
      </c>
      <c r="I3218" s="2">
        <v>222</v>
      </c>
    </row>
    <row r="3219" spans="1:9" x14ac:dyDescent="0.25">
      <c r="A3219" t="s">
        <v>1671</v>
      </c>
      <c r="B3219" t="s">
        <v>1672</v>
      </c>
      <c r="C3219" t="s">
        <v>21</v>
      </c>
      <c r="D3219" t="s">
        <v>4062</v>
      </c>
      <c r="E3219" t="s">
        <v>5577</v>
      </c>
      <c r="F3219" t="s">
        <v>63</v>
      </c>
      <c r="G3219">
        <v>1</v>
      </c>
      <c r="H3219" s="2">
        <v>2900</v>
      </c>
      <c r="I3219" s="2">
        <v>2900</v>
      </c>
    </row>
    <row r="3220" spans="1:9" x14ac:dyDescent="0.25">
      <c r="A3220" t="s">
        <v>1671</v>
      </c>
      <c r="B3220" t="s">
        <v>1672</v>
      </c>
      <c r="C3220" t="s">
        <v>21</v>
      </c>
      <c r="D3220" t="s">
        <v>4062</v>
      </c>
      <c r="E3220" t="s">
        <v>5595</v>
      </c>
      <c r="F3220" t="s">
        <v>63</v>
      </c>
      <c r="G3220">
        <v>1.1</v>
      </c>
      <c r="H3220" s="2">
        <v>46610</v>
      </c>
      <c r="I3220" s="2">
        <v>51271</v>
      </c>
    </row>
    <row r="3221" spans="1:9" x14ac:dyDescent="0.25">
      <c r="A3221" t="s">
        <v>1671</v>
      </c>
      <c r="B3221" t="s">
        <v>1672</v>
      </c>
      <c r="C3221" t="s">
        <v>21</v>
      </c>
      <c r="D3221" t="s">
        <v>4062</v>
      </c>
      <c r="E3221" t="s">
        <v>5579</v>
      </c>
      <c r="F3221" t="s">
        <v>231</v>
      </c>
      <c r="G3221">
        <v>0.13</v>
      </c>
      <c r="H3221" s="2">
        <v>13475</v>
      </c>
      <c r="I3221" s="2">
        <v>1751.75</v>
      </c>
    </row>
    <row r="3222" spans="1:9" x14ac:dyDescent="0.25">
      <c r="A3222" t="s">
        <v>1671</v>
      </c>
      <c r="B3222" t="s">
        <v>1672</v>
      </c>
      <c r="C3222" t="s">
        <v>21</v>
      </c>
      <c r="D3222" t="s">
        <v>4062</v>
      </c>
      <c r="E3222" t="s">
        <v>4072</v>
      </c>
      <c r="F3222" t="s">
        <v>4066</v>
      </c>
      <c r="G3222">
        <v>0.25</v>
      </c>
      <c r="H3222" s="2">
        <v>3150</v>
      </c>
      <c r="I3222" s="2">
        <v>787.5</v>
      </c>
    </row>
    <row r="3223" spans="1:9" x14ac:dyDescent="0.25">
      <c r="A3223" t="s">
        <v>1671</v>
      </c>
      <c r="B3223" t="s">
        <v>1672</v>
      </c>
      <c r="C3223" t="s">
        <v>21</v>
      </c>
      <c r="D3223" t="s">
        <v>4049</v>
      </c>
      <c r="E3223" t="s">
        <v>4182</v>
      </c>
      <c r="F3223" t="s">
        <v>4051</v>
      </c>
      <c r="G3223">
        <v>2.5</v>
      </c>
      <c r="H3223" s="2">
        <v>10845.1</v>
      </c>
      <c r="I3223" s="2">
        <v>27112.75</v>
      </c>
    </row>
    <row r="3224" spans="1:9" x14ac:dyDescent="0.25">
      <c r="A3224" t="s">
        <v>1671</v>
      </c>
      <c r="B3224" t="s">
        <v>1672</v>
      </c>
      <c r="C3224" t="s">
        <v>21</v>
      </c>
      <c r="D3224" t="s">
        <v>4049</v>
      </c>
      <c r="E3224" t="s">
        <v>4183</v>
      </c>
      <c r="F3224" t="s">
        <v>4051</v>
      </c>
      <c r="G3224">
        <v>2.5</v>
      </c>
      <c r="H3224" s="2">
        <v>18621.17</v>
      </c>
      <c r="I3224" s="2">
        <v>46552.92</v>
      </c>
    </row>
    <row r="3225" spans="1:9" x14ac:dyDescent="0.25">
      <c r="A3225" t="s">
        <v>1671</v>
      </c>
      <c r="B3225" t="s">
        <v>1672</v>
      </c>
      <c r="C3225" t="s">
        <v>21</v>
      </c>
      <c r="D3225" t="s">
        <v>4052</v>
      </c>
      <c r="E3225" t="s">
        <v>4053</v>
      </c>
      <c r="F3225" t="s">
        <v>4054</v>
      </c>
      <c r="G3225">
        <v>5</v>
      </c>
      <c r="H3225" s="2">
        <v>73665.67</v>
      </c>
      <c r="I3225" s="2">
        <v>3683.28</v>
      </c>
    </row>
    <row r="3226" spans="1:9" x14ac:dyDescent="0.25">
      <c r="A3226" t="s">
        <v>1674</v>
      </c>
      <c r="B3226" t="s">
        <v>1675</v>
      </c>
      <c r="C3226" t="s">
        <v>21</v>
      </c>
      <c r="D3226" t="s">
        <v>4062</v>
      </c>
      <c r="E3226" t="s">
        <v>5585</v>
      </c>
      <c r="F3226" t="s">
        <v>63</v>
      </c>
      <c r="G3226">
        <v>6</v>
      </c>
      <c r="H3226" s="2">
        <v>37</v>
      </c>
      <c r="I3226" s="2">
        <v>222</v>
      </c>
    </row>
    <row r="3227" spans="1:9" x14ac:dyDescent="0.25">
      <c r="A3227" t="s">
        <v>1674</v>
      </c>
      <c r="B3227" t="s">
        <v>1675</v>
      </c>
      <c r="C3227" t="s">
        <v>21</v>
      </c>
      <c r="D3227" t="s">
        <v>4062</v>
      </c>
      <c r="E3227" t="s">
        <v>5577</v>
      </c>
      <c r="F3227" t="s">
        <v>63</v>
      </c>
      <c r="G3227">
        <v>1</v>
      </c>
      <c r="H3227" s="2">
        <v>2900</v>
      </c>
      <c r="I3227" s="2">
        <v>2900</v>
      </c>
    </row>
    <row r="3228" spans="1:9" x14ac:dyDescent="0.25">
      <c r="A3228" t="s">
        <v>1674</v>
      </c>
      <c r="B3228" t="s">
        <v>1675</v>
      </c>
      <c r="C3228" t="s">
        <v>21</v>
      </c>
      <c r="D3228" t="s">
        <v>4062</v>
      </c>
      <c r="E3228" t="s">
        <v>5578</v>
      </c>
      <c r="F3228" t="s">
        <v>63</v>
      </c>
      <c r="G3228">
        <v>1</v>
      </c>
      <c r="H3228" s="2">
        <v>182000</v>
      </c>
      <c r="I3228" s="2">
        <v>182000</v>
      </c>
    </row>
    <row r="3229" spans="1:9" x14ac:dyDescent="0.25">
      <c r="A3229" t="s">
        <v>1674</v>
      </c>
      <c r="B3229" t="s">
        <v>1675</v>
      </c>
      <c r="C3229" t="s">
        <v>21</v>
      </c>
      <c r="D3229" t="s">
        <v>4062</v>
      </c>
      <c r="E3229" t="s">
        <v>5579</v>
      </c>
      <c r="F3229" t="s">
        <v>231</v>
      </c>
      <c r="G3229">
        <v>0.13</v>
      </c>
      <c r="H3229" s="2">
        <v>13475</v>
      </c>
      <c r="I3229" s="2">
        <v>1751.75</v>
      </c>
    </row>
    <row r="3230" spans="1:9" x14ac:dyDescent="0.25">
      <c r="A3230" t="s">
        <v>1674</v>
      </c>
      <c r="B3230" t="s">
        <v>1675</v>
      </c>
      <c r="C3230" t="s">
        <v>21</v>
      </c>
      <c r="D3230" t="s">
        <v>4062</v>
      </c>
      <c r="E3230" t="s">
        <v>4072</v>
      </c>
      <c r="F3230" t="s">
        <v>4066</v>
      </c>
      <c r="G3230">
        <v>0.25</v>
      </c>
      <c r="H3230" s="2">
        <v>3150</v>
      </c>
      <c r="I3230" s="2">
        <v>787.5</v>
      </c>
    </row>
    <row r="3231" spans="1:9" x14ac:dyDescent="0.25">
      <c r="A3231" t="s">
        <v>1674</v>
      </c>
      <c r="B3231" t="s">
        <v>1675</v>
      </c>
      <c r="C3231" t="s">
        <v>21</v>
      </c>
      <c r="D3231" t="s">
        <v>4049</v>
      </c>
      <c r="E3231" t="s">
        <v>4182</v>
      </c>
      <c r="F3231" t="s">
        <v>4051</v>
      </c>
      <c r="G3231">
        <v>2.5</v>
      </c>
      <c r="H3231" s="2">
        <v>10845.1</v>
      </c>
      <c r="I3231" s="2">
        <v>27112.75</v>
      </c>
    </row>
    <row r="3232" spans="1:9" x14ac:dyDescent="0.25">
      <c r="A3232" t="s">
        <v>1674</v>
      </c>
      <c r="B3232" t="s">
        <v>1675</v>
      </c>
      <c r="C3232" t="s">
        <v>21</v>
      </c>
      <c r="D3232" t="s">
        <v>4049</v>
      </c>
      <c r="E3232" t="s">
        <v>4183</v>
      </c>
      <c r="F3232" t="s">
        <v>4051</v>
      </c>
      <c r="G3232">
        <v>2.5</v>
      </c>
      <c r="H3232" s="2">
        <v>18621.17</v>
      </c>
      <c r="I3232" s="2">
        <v>46552.92</v>
      </c>
    </row>
    <row r="3233" spans="1:9" x14ac:dyDescent="0.25">
      <c r="A3233" t="s">
        <v>1674</v>
      </c>
      <c r="B3233" t="s">
        <v>1675</v>
      </c>
      <c r="C3233" t="s">
        <v>21</v>
      </c>
      <c r="D3233" t="s">
        <v>4052</v>
      </c>
      <c r="E3233" t="s">
        <v>4053</v>
      </c>
      <c r="F3233" t="s">
        <v>4054</v>
      </c>
      <c r="G3233">
        <v>5</v>
      </c>
      <c r="H3233" s="2">
        <v>73665.67</v>
      </c>
      <c r="I3233" s="2">
        <v>3683.28</v>
      </c>
    </row>
    <row r="3234" spans="1:9" x14ac:dyDescent="0.25">
      <c r="A3234" t="s">
        <v>1677</v>
      </c>
      <c r="B3234" t="s">
        <v>1679</v>
      </c>
      <c r="C3234" t="s">
        <v>42</v>
      </c>
      <c r="D3234" t="s">
        <v>4062</v>
      </c>
      <c r="E3234" t="s">
        <v>5671</v>
      </c>
      <c r="F3234" t="s">
        <v>231</v>
      </c>
      <c r="G3234">
        <v>3</v>
      </c>
      <c r="H3234" s="2">
        <v>2615</v>
      </c>
      <c r="I3234" s="2">
        <v>7845</v>
      </c>
    </row>
    <row r="3235" spans="1:9" x14ac:dyDescent="0.25">
      <c r="A3235" t="s">
        <v>1677</v>
      </c>
      <c r="B3235" t="s">
        <v>1679</v>
      </c>
      <c r="C3235" t="s">
        <v>42</v>
      </c>
      <c r="D3235" t="s">
        <v>4062</v>
      </c>
      <c r="E3235" t="s">
        <v>5672</v>
      </c>
      <c r="F3235" t="s">
        <v>231</v>
      </c>
      <c r="G3235">
        <v>1.68</v>
      </c>
      <c r="H3235" s="2">
        <v>2562</v>
      </c>
      <c r="I3235" s="2">
        <v>4304.16</v>
      </c>
    </row>
    <row r="3236" spans="1:9" x14ac:dyDescent="0.25">
      <c r="A3236" t="s">
        <v>1677</v>
      </c>
      <c r="B3236" t="s">
        <v>1679</v>
      </c>
      <c r="C3236" t="s">
        <v>42</v>
      </c>
      <c r="D3236" t="s">
        <v>4062</v>
      </c>
      <c r="E3236" t="s">
        <v>5673</v>
      </c>
      <c r="F3236" t="s">
        <v>4377</v>
      </c>
      <c r="G3236">
        <v>0.01</v>
      </c>
      <c r="H3236" s="2">
        <v>38633</v>
      </c>
      <c r="I3236" s="2">
        <v>386.33</v>
      </c>
    </row>
    <row r="3237" spans="1:9" x14ac:dyDescent="0.25">
      <c r="A3237" t="s">
        <v>1677</v>
      </c>
      <c r="B3237" t="s">
        <v>1679</v>
      </c>
      <c r="C3237" t="s">
        <v>42</v>
      </c>
      <c r="D3237" t="s">
        <v>4062</v>
      </c>
      <c r="E3237" t="s">
        <v>5013</v>
      </c>
      <c r="F3237" t="s">
        <v>231</v>
      </c>
      <c r="G3237">
        <v>0.16</v>
      </c>
      <c r="H3237" s="2">
        <v>11906</v>
      </c>
      <c r="I3237" s="2">
        <v>1904.96</v>
      </c>
    </row>
    <row r="3238" spans="1:9" x14ac:dyDescent="0.25">
      <c r="A3238" t="s">
        <v>1677</v>
      </c>
      <c r="B3238" t="s">
        <v>1679</v>
      </c>
      <c r="C3238" t="s">
        <v>42</v>
      </c>
      <c r="D3238" t="s">
        <v>4049</v>
      </c>
      <c r="E3238" t="s">
        <v>4050</v>
      </c>
      <c r="F3238" t="s">
        <v>4051</v>
      </c>
      <c r="G3238">
        <v>2</v>
      </c>
      <c r="H3238" s="2">
        <v>9037.33</v>
      </c>
      <c r="I3238" s="2">
        <v>18074.66</v>
      </c>
    </row>
    <row r="3239" spans="1:9" x14ac:dyDescent="0.25">
      <c r="A3239" t="s">
        <v>1677</v>
      </c>
      <c r="B3239" t="s">
        <v>1679</v>
      </c>
      <c r="C3239" t="s">
        <v>42</v>
      </c>
      <c r="D3239" t="s">
        <v>4049</v>
      </c>
      <c r="E3239" t="s">
        <v>4073</v>
      </c>
      <c r="F3239" t="s">
        <v>4051</v>
      </c>
      <c r="G3239">
        <v>2</v>
      </c>
      <c r="H3239" s="2">
        <v>15517.89</v>
      </c>
      <c r="I3239" s="2">
        <v>31035.78</v>
      </c>
    </row>
    <row r="3240" spans="1:9" x14ac:dyDescent="0.25">
      <c r="A3240" t="s">
        <v>1677</v>
      </c>
      <c r="B3240" t="s">
        <v>1679</v>
      </c>
      <c r="C3240" t="s">
        <v>42</v>
      </c>
      <c r="D3240" t="s">
        <v>4049</v>
      </c>
      <c r="E3240" t="s">
        <v>5674</v>
      </c>
      <c r="F3240" t="s">
        <v>287</v>
      </c>
      <c r="G3240">
        <v>0.25</v>
      </c>
      <c r="H3240" s="2">
        <v>101823</v>
      </c>
      <c r="I3240" s="2">
        <v>25455.75</v>
      </c>
    </row>
    <row r="3241" spans="1:9" x14ac:dyDescent="0.25">
      <c r="A3241" t="s">
        <v>1677</v>
      </c>
      <c r="B3241" t="s">
        <v>1679</v>
      </c>
      <c r="C3241" t="s">
        <v>42</v>
      </c>
      <c r="D3241" t="s">
        <v>4052</v>
      </c>
      <c r="E3241" t="s">
        <v>4105</v>
      </c>
      <c r="F3241" t="s">
        <v>4106</v>
      </c>
      <c r="G3241">
        <v>0.1</v>
      </c>
      <c r="H3241" s="2">
        <v>25125</v>
      </c>
      <c r="I3241" s="2">
        <v>2512.5</v>
      </c>
    </row>
    <row r="3242" spans="1:9" x14ac:dyDescent="0.25">
      <c r="A3242" t="s">
        <v>1677</v>
      </c>
      <c r="B3242" t="s">
        <v>1679</v>
      </c>
      <c r="C3242" t="s">
        <v>42</v>
      </c>
      <c r="D3242" t="s">
        <v>4052</v>
      </c>
      <c r="E3242" t="s">
        <v>4053</v>
      </c>
      <c r="F3242" t="s">
        <v>4054</v>
      </c>
      <c r="G3242">
        <v>0.03</v>
      </c>
      <c r="H3242" s="2">
        <v>74566.19</v>
      </c>
      <c r="I3242" s="2">
        <v>22.37</v>
      </c>
    </row>
    <row r="3243" spans="1:9" x14ac:dyDescent="0.25">
      <c r="A3243" t="s">
        <v>1681</v>
      </c>
      <c r="B3243" t="s">
        <v>1682</v>
      </c>
      <c r="C3243" t="s">
        <v>42</v>
      </c>
      <c r="D3243" t="s">
        <v>4062</v>
      </c>
      <c r="E3243" t="s">
        <v>5671</v>
      </c>
      <c r="F3243" t="s">
        <v>231</v>
      </c>
      <c r="G3243">
        <v>2</v>
      </c>
      <c r="H3243" s="2">
        <v>2615</v>
      </c>
      <c r="I3243" s="2">
        <v>5230</v>
      </c>
    </row>
    <row r="3244" spans="1:9" x14ac:dyDescent="0.25">
      <c r="A3244" t="s">
        <v>1681</v>
      </c>
      <c r="B3244" t="s">
        <v>1682</v>
      </c>
      <c r="C3244" t="s">
        <v>42</v>
      </c>
      <c r="D3244" t="s">
        <v>4062</v>
      </c>
      <c r="E3244" t="s">
        <v>5672</v>
      </c>
      <c r="F3244" t="s">
        <v>231</v>
      </c>
      <c r="G3244">
        <v>1.68</v>
      </c>
      <c r="H3244" s="2">
        <v>2562</v>
      </c>
      <c r="I3244" s="2">
        <v>4304.16</v>
      </c>
    </row>
    <row r="3245" spans="1:9" x14ac:dyDescent="0.25">
      <c r="A3245" t="s">
        <v>1681</v>
      </c>
      <c r="B3245" t="s">
        <v>1682</v>
      </c>
      <c r="C3245" t="s">
        <v>42</v>
      </c>
      <c r="D3245" t="s">
        <v>4062</v>
      </c>
      <c r="E3245" t="s">
        <v>5677</v>
      </c>
      <c r="F3245" t="s">
        <v>231</v>
      </c>
      <c r="G3245">
        <v>1.56</v>
      </c>
      <c r="H3245" s="2">
        <v>2507</v>
      </c>
      <c r="I3245" s="2">
        <v>3910.92</v>
      </c>
    </row>
    <row r="3246" spans="1:9" x14ac:dyDescent="0.25">
      <c r="A3246" t="s">
        <v>1681</v>
      </c>
      <c r="B3246" t="s">
        <v>1682</v>
      </c>
      <c r="C3246" t="s">
        <v>42</v>
      </c>
      <c r="D3246" t="s">
        <v>4062</v>
      </c>
      <c r="E3246" t="s">
        <v>5673</v>
      </c>
      <c r="F3246" t="s">
        <v>4377</v>
      </c>
      <c r="G3246">
        <v>0.02</v>
      </c>
      <c r="H3246" s="2">
        <v>38633</v>
      </c>
      <c r="I3246" s="2">
        <v>772.66</v>
      </c>
    </row>
    <row r="3247" spans="1:9" x14ac:dyDescent="0.25">
      <c r="A3247" t="s">
        <v>1681</v>
      </c>
      <c r="B3247" t="s">
        <v>1682</v>
      </c>
      <c r="C3247" t="s">
        <v>42</v>
      </c>
      <c r="D3247" t="s">
        <v>4062</v>
      </c>
      <c r="E3247" t="s">
        <v>5013</v>
      </c>
      <c r="F3247" t="s">
        <v>231</v>
      </c>
      <c r="G3247">
        <v>0.16</v>
      </c>
      <c r="H3247" s="2">
        <v>11906</v>
      </c>
      <c r="I3247" s="2">
        <v>1904.96</v>
      </c>
    </row>
    <row r="3248" spans="1:9" x14ac:dyDescent="0.25">
      <c r="A3248" t="s">
        <v>1681</v>
      </c>
      <c r="B3248" t="s">
        <v>1682</v>
      </c>
      <c r="C3248" t="s">
        <v>42</v>
      </c>
      <c r="D3248" t="s">
        <v>4049</v>
      </c>
      <c r="E3248" t="s">
        <v>4050</v>
      </c>
      <c r="F3248" t="s">
        <v>4051</v>
      </c>
      <c r="G3248">
        <v>2</v>
      </c>
      <c r="H3248" s="2">
        <v>9037.33</v>
      </c>
      <c r="I3248" s="2">
        <v>18074.66</v>
      </c>
    </row>
    <row r="3249" spans="1:9" x14ac:dyDescent="0.25">
      <c r="A3249" t="s">
        <v>1681</v>
      </c>
      <c r="B3249" t="s">
        <v>1682</v>
      </c>
      <c r="C3249" t="s">
        <v>42</v>
      </c>
      <c r="D3249" t="s">
        <v>4049</v>
      </c>
      <c r="E3249" t="s">
        <v>4073</v>
      </c>
      <c r="F3249" t="s">
        <v>4051</v>
      </c>
      <c r="G3249">
        <v>2</v>
      </c>
      <c r="H3249" s="2">
        <v>15517.89</v>
      </c>
      <c r="I3249" s="2">
        <v>31035.78</v>
      </c>
    </row>
    <row r="3250" spans="1:9" x14ac:dyDescent="0.25">
      <c r="A3250" t="s">
        <v>1681</v>
      </c>
      <c r="B3250" t="s">
        <v>1682</v>
      </c>
      <c r="C3250" t="s">
        <v>42</v>
      </c>
      <c r="D3250" t="s">
        <v>4049</v>
      </c>
      <c r="E3250" t="s">
        <v>5674</v>
      </c>
      <c r="F3250" t="s">
        <v>287</v>
      </c>
      <c r="G3250">
        <v>0.25</v>
      </c>
      <c r="H3250" s="2">
        <v>101823</v>
      </c>
      <c r="I3250" s="2">
        <v>25455.75</v>
      </c>
    </row>
    <row r="3251" spans="1:9" x14ac:dyDescent="0.25">
      <c r="A3251" t="s">
        <v>1681</v>
      </c>
      <c r="B3251" t="s">
        <v>1682</v>
      </c>
      <c r="C3251" t="s">
        <v>42</v>
      </c>
      <c r="D3251" t="s">
        <v>4052</v>
      </c>
      <c r="E3251" t="s">
        <v>4105</v>
      </c>
      <c r="F3251" t="s">
        <v>4106</v>
      </c>
      <c r="G3251">
        <v>0.1</v>
      </c>
      <c r="H3251" s="2">
        <v>25125</v>
      </c>
      <c r="I3251" s="2">
        <v>2512.5</v>
      </c>
    </row>
    <row r="3252" spans="1:9" x14ac:dyDescent="0.25">
      <c r="A3252" t="s">
        <v>1681</v>
      </c>
      <c r="B3252" t="s">
        <v>1682</v>
      </c>
      <c r="C3252" t="s">
        <v>42</v>
      </c>
      <c r="D3252" t="s">
        <v>4052</v>
      </c>
      <c r="E3252" t="s">
        <v>4053</v>
      </c>
      <c r="F3252" t="s">
        <v>4054</v>
      </c>
      <c r="G3252">
        <v>3</v>
      </c>
      <c r="H3252" s="2">
        <v>74566.19</v>
      </c>
      <c r="I3252" s="2">
        <v>2236.99</v>
      </c>
    </row>
    <row r="3253" spans="1:9" x14ac:dyDescent="0.25">
      <c r="A3253" t="s">
        <v>1684</v>
      </c>
      <c r="B3253" t="s">
        <v>1685</v>
      </c>
      <c r="C3253" t="s">
        <v>21</v>
      </c>
      <c r="D3253" t="s">
        <v>4062</v>
      </c>
      <c r="E3253" t="s">
        <v>5680</v>
      </c>
      <c r="F3253" t="s">
        <v>21</v>
      </c>
      <c r="G3253">
        <v>1</v>
      </c>
      <c r="H3253" s="2">
        <v>335000</v>
      </c>
      <c r="I3253" s="2">
        <v>335000</v>
      </c>
    </row>
    <row r="3254" spans="1:9" x14ac:dyDescent="0.25">
      <c r="A3254" t="s">
        <v>1684</v>
      </c>
      <c r="B3254" t="s">
        <v>1685</v>
      </c>
      <c r="C3254" t="s">
        <v>21</v>
      </c>
      <c r="D3254" t="s">
        <v>4049</v>
      </c>
      <c r="E3254" t="s">
        <v>4241</v>
      </c>
      <c r="F3254" t="s">
        <v>4051</v>
      </c>
      <c r="G3254">
        <v>1</v>
      </c>
      <c r="H3254" s="2">
        <v>9941.22</v>
      </c>
      <c r="I3254" s="2">
        <v>9941.22</v>
      </c>
    </row>
    <row r="3255" spans="1:9" x14ac:dyDescent="0.25">
      <c r="A3255" t="s">
        <v>1684</v>
      </c>
      <c r="B3255" t="s">
        <v>1685</v>
      </c>
      <c r="C3255" t="s">
        <v>21</v>
      </c>
      <c r="D3255" t="s">
        <v>4049</v>
      </c>
      <c r="E3255" t="s">
        <v>4242</v>
      </c>
      <c r="F3255" t="s">
        <v>4051</v>
      </c>
      <c r="G3255">
        <v>1</v>
      </c>
      <c r="H3255" s="2">
        <v>17069.53</v>
      </c>
      <c r="I3255" s="2">
        <v>17069.53</v>
      </c>
    </row>
    <row r="3256" spans="1:9" x14ac:dyDescent="0.25">
      <c r="A3256" t="s">
        <v>1684</v>
      </c>
      <c r="B3256" t="s">
        <v>1685</v>
      </c>
      <c r="C3256" t="s">
        <v>21</v>
      </c>
      <c r="D3256" t="s">
        <v>4052</v>
      </c>
      <c r="E3256" t="s">
        <v>4053</v>
      </c>
      <c r="F3256" t="s">
        <v>4054</v>
      </c>
      <c r="G3256">
        <v>5</v>
      </c>
      <c r="H3256" s="2">
        <v>27010.75</v>
      </c>
      <c r="I3256" s="2">
        <v>1350.54</v>
      </c>
    </row>
    <row r="3257" spans="1:9" x14ac:dyDescent="0.25">
      <c r="A3257" t="s">
        <v>1688</v>
      </c>
      <c r="B3257" t="s">
        <v>1689</v>
      </c>
      <c r="C3257" t="s">
        <v>21</v>
      </c>
      <c r="D3257" t="s">
        <v>4062</v>
      </c>
      <c r="E3257" t="s">
        <v>5683</v>
      </c>
      <c r="F3257" t="s">
        <v>21</v>
      </c>
      <c r="G3257">
        <v>1</v>
      </c>
      <c r="H3257" s="2">
        <v>179618</v>
      </c>
      <c r="I3257" s="2">
        <v>179618</v>
      </c>
    </row>
    <row r="3258" spans="1:9" x14ac:dyDescent="0.25">
      <c r="A3258" t="s">
        <v>1688</v>
      </c>
      <c r="B3258" t="s">
        <v>1689</v>
      </c>
      <c r="C3258" t="s">
        <v>21</v>
      </c>
      <c r="D3258" t="s">
        <v>4049</v>
      </c>
      <c r="E3258" t="s">
        <v>4241</v>
      </c>
      <c r="F3258" t="s">
        <v>4051</v>
      </c>
      <c r="G3258">
        <v>1</v>
      </c>
      <c r="H3258" s="2">
        <v>9941.22</v>
      </c>
      <c r="I3258" s="2">
        <v>9941.22</v>
      </c>
    </row>
    <row r="3259" spans="1:9" x14ac:dyDescent="0.25">
      <c r="A3259" t="s">
        <v>1688</v>
      </c>
      <c r="B3259" t="s">
        <v>1689</v>
      </c>
      <c r="C3259" t="s">
        <v>21</v>
      </c>
      <c r="D3259" t="s">
        <v>4049</v>
      </c>
      <c r="E3259" t="s">
        <v>4242</v>
      </c>
      <c r="F3259" t="s">
        <v>4051</v>
      </c>
      <c r="G3259">
        <v>1</v>
      </c>
      <c r="H3259" s="2">
        <v>17069.53</v>
      </c>
      <c r="I3259" s="2">
        <v>17069.53</v>
      </c>
    </row>
    <row r="3260" spans="1:9" x14ac:dyDescent="0.25">
      <c r="A3260" t="s">
        <v>1688</v>
      </c>
      <c r="B3260" t="s">
        <v>1689</v>
      </c>
      <c r="C3260" t="s">
        <v>21</v>
      </c>
      <c r="D3260" t="s">
        <v>4052</v>
      </c>
      <c r="E3260" t="s">
        <v>4053</v>
      </c>
      <c r="F3260" t="s">
        <v>4054</v>
      </c>
      <c r="G3260">
        <v>5</v>
      </c>
      <c r="H3260" s="2">
        <v>27010.75</v>
      </c>
      <c r="I3260" s="2">
        <v>1350.54</v>
      </c>
    </row>
    <row r="3261" spans="1:9" x14ac:dyDescent="0.25">
      <c r="A3261" t="s">
        <v>1691</v>
      </c>
      <c r="B3261" t="s">
        <v>1692</v>
      </c>
      <c r="C3261" t="s">
        <v>42</v>
      </c>
      <c r="D3261" t="s">
        <v>4062</v>
      </c>
      <c r="E3261" t="s">
        <v>5686</v>
      </c>
      <c r="F3261" t="s">
        <v>42</v>
      </c>
      <c r="G3261">
        <v>2</v>
      </c>
      <c r="H3261" s="2">
        <v>3517.99</v>
      </c>
      <c r="I3261" s="2">
        <v>7035.98</v>
      </c>
    </row>
    <row r="3262" spans="1:9" x14ac:dyDescent="0.25">
      <c r="A3262" t="s">
        <v>1691</v>
      </c>
      <c r="B3262" t="s">
        <v>1692</v>
      </c>
      <c r="C3262" t="s">
        <v>42</v>
      </c>
      <c r="D3262" t="s">
        <v>4062</v>
      </c>
      <c r="E3262" t="s">
        <v>4710</v>
      </c>
      <c r="F3262" t="s">
        <v>42</v>
      </c>
      <c r="G3262">
        <v>3.75</v>
      </c>
      <c r="H3262" s="2">
        <v>15139</v>
      </c>
      <c r="I3262" s="2">
        <v>56771.25</v>
      </c>
    </row>
    <row r="3263" spans="1:9" x14ac:dyDescent="0.25">
      <c r="A3263" t="s">
        <v>1691</v>
      </c>
      <c r="B3263" t="s">
        <v>1692</v>
      </c>
      <c r="C3263" t="s">
        <v>42</v>
      </c>
      <c r="D3263" t="s">
        <v>4062</v>
      </c>
      <c r="E3263" t="s">
        <v>4711</v>
      </c>
      <c r="F3263" t="s">
        <v>42</v>
      </c>
      <c r="G3263">
        <v>1.75</v>
      </c>
      <c r="H3263" s="2">
        <v>25286</v>
      </c>
      <c r="I3263" s="2">
        <v>44250.5</v>
      </c>
    </row>
    <row r="3264" spans="1:9" x14ac:dyDescent="0.25">
      <c r="A3264" t="s">
        <v>1691</v>
      </c>
      <c r="B3264" t="s">
        <v>1692</v>
      </c>
      <c r="C3264" t="s">
        <v>42</v>
      </c>
      <c r="D3264" t="s">
        <v>4062</v>
      </c>
      <c r="E3264" t="s">
        <v>5472</v>
      </c>
      <c r="F3264" t="s">
        <v>231</v>
      </c>
      <c r="G3264">
        <v>3.75</v>
      </c>
      <c r="H3264" s="2">
        <v>3895</v>
      </c>
      <c r="I3264" s="2">
        <v>14606.25</v>
      </c>
    </row>
    <row r="3265" spans="1:9" x14ac:dyDescent="0.25">
      <c r="A3265" t="s">
        <v>1691</v>
      </c>
      <c r="B3265" t="s">
        <v>1692</v>
      </c>
      <c r="C3265" t="s">
        <v>42</v>
      </c>
      <c r="D3265" t="s">
        <v>4062</v>
      </c>
      <c r="E3265" t="s">
        <v>4679</v>
      </c>
      <c r="F3265" t="s">
        <v>63</v>
      </c>
      <c r="G3265">
        <v>0.25</v>
      </c>
      <c r="H3265" s="2">
        <v>41500</v>
      </c>
      <c r="I3265" s="2">
        <v>10375</v>
      </c>
    </row>
    <row r="3266" spans="1:9" x14ac:dyDescent="0.25">
      <c r="A3266" t="s">
        <v>1691</v>
      </c>
      <c r="B3266" t="s">
        <v>1692</v>
      </c>
      <c r="C3266" t="s">
        <v>42</v>
      </c>
      <c r="D3266" t="s">
        <v>4062</v>
      </c>
      <c r="E3266" t="s">
        <v>5673</v>
      </c>
      <c r="F3266" t="s">
        <v>4377</v>
      </c>
      <c r="G3266">
        <v>0.04</v>
      </c>
      <c r="H3266" s="2">
        <v>38633</v>
      </c>
      <c r="I3266" s="2">
        <v>1545.32</v>
      </c>
    </row>
    <row r="3267" spans="1:9" x14ac:dyDescent="0.25">
      <c r="A3267" t="s">
        <v>1691</v>
      </c>
      <c r="B3267" t="s">
        <v>1692</v>
      </c>
      <c r="C3267" t="s">
        <v>42</v>
      </c>
      <c r="D3267" t="s">
        <v>4062</v>
      </c>
      <c r="E3267" t="s">
        <v>5013</v>
      </c>
      <c r="F3267" t="s">
        <v>231</v>
      </c>
      <c r="G3267">
        <v>0.7</v>
      </c>
      <c r="H3267" s="2">
        <v>11906</v>
      </c>
      <c r="I3267" s="2">
        <v>8334.2</v>
      </c>
    </row>
    <row r="3268" spans="1:9" x14ac:dyDescent="0.25">
      <c r="A3268" t="s">
        <v>1691</v>
      </c>
      <c r="B3268" t="s">
        <v>1692</v>
      </c>
      <c r="C3268" t="s">
        <v>42</v>
      </c>
      <c r="D3268" t="s">
        <v>4049</v>
      </c>
      <c r="E3268" t="s">
        <v>5674</v>
      </c>
      <c r="F3268" t="s">
        <v>287</v>
      </c>
      <c r="G3268">
        <v>0.55</v>
      </c>
      <c r="H3268" s="2">
        <v>101823</v>
      </c>
      <c r="I3268" s="2">
        <v>56002.65</v>
      </c>
    </row>
    <row r="3269" spans="1:9" x14ac:dyDescent="0.25">
      <c r="A3269" t="s">
        <v>1691</v>
      </c>
      <c r="B3269" t="s">
        <v>1692</v>
      </c>
      <c r="C3269" t="s">
        <v>42</v>
      </c>
      <c r="D3269" t="s">
        <v>4052</v>
      </c>
      <c r="E3269" t="s">
        <v>4053</v>
      </c>
      <c r="F3269" t="s">
        <v>4054</v>
      </c>
      <c r="G3269">
        <v>2</v>
      </c>
      <c r="H3269" s="2">
        <v>56002.65</v>
      </c>
      <c r="I3269" s="2">
        <v>1120.05</v>
      </c>
    </row>
    <row r="3270" spans="1:9" x14ac:dyDescent="0.25">
      <c r="A3270" t="s">
        <v>1694</v>
      </c>
      <c r="B3270" t="s">
        <v>1695</v>
      </c>
      <c r="C3270" t="s">
        <v>21</v>
      </c>
      <c r="D3270" t="s">
        <v>4062</v>
      </c>
      <c r="E3270" t="s">
        <v>5689</v>
      </c>
      <c r="F3270" t="s">
        <v>21</v>
      </c>
      <c r="G3270">
        <v>1</v>
      </c>
      <c r="H3270" s="2">
        <v>278803.27</v>
      </c>
      <c r="I3270" s="2">
        <v>278803.27</v>
      </c>
    </row>
    <row r="3271" spans="1:9" x14ac:dyDescent="0.25">
      <c r="A3271" t="s">
        <v>1694</v>
      </c>
      <c r="B3271" t="s">
        <v>1695</v>
      </c>
      <c r="C3271" t="s">
        <v>21</v>
      </c>
      <c r="D3271" t="s">
        <v>4049</v>
      </c>
      <c r="E3271" t="s">
        <v>4050</v>
      </c>
      <c r="F3271" t="s">
        <v>4051</v>
      </c>
      <c r="G3271">
        <v>1</v>
      </c>
      <c r="H3271" s="2">
        <v>9037.33</v>
      </c>
      <c r="I3271" s="2">
        <v>9037.33</v>
      </c>
    </row>
    <row r="3272" spans="1:9" x14ac:dyDescent="0.25">
      <c r="A3272" t="s">
        <v>1694</v>
      </c>
      <c r="B3272" t="s">
        <v>1695</v>
      </c>
      <c r="C3272" t="s">
        <v>21</v>
      </c>
      <c r="D3272" t="s">
        <v>4049</v>
      </c>
      <c r="E3272" t="s">
        <v>4073</v>
      </c>
      <c r="F3272" t="s">
        <v>4051</v>
      </c>
      <c r="G3272">
        <v>1</v>
      </c>
      <c r="H3272" s="2">
        <v>15517.89</v>
      </c>
      <c r="I3272" s="2">
        <v>15517.89</v>
      </c>
    </row>
    <row r="3273" spans="1:9" x14ac:dyDescent="0.25">
      <c r="A3273" t="s">
        <v>1694</v>
      </c>
      <c r="B3273" t="s">
        <v>1695</v>
      </c>
      <c r="C3273" t="s">
        <v>21</v>
      </c>
      <c r="D3273" t="s">
        <v>4052</v>
      </c>
      <c r="E3273" t="s">
        <v>4053</v>
      </c>
      <c r="F3273" t="s">
        <v>4054</v>
      </c>
      <c r="G3273">
        <v>0.25</v>
      </c>
      <c r="H3273" s="2">
        <v>24555.22</v>
      </c>
      <c r="I3273" s="2">
        <v>61.39</v>
      </c>
    </row>
    <row r="3274" spans="1:9" x14ac:dyDescent="0.25">
      <c r="A3274" t="s">
        <v>1697</v>
      </c>
      <c r="B3274" t="s">
        <v>1698</v>
      </c>
      <c r="C3274" t="s">
        <v>63</v>
      </c>
      <c r="D3274" t="s">
        <v>4062</v>
      </c>
      <c r="E3274" t="s">
        <v>5692</v>
      </c>
      <c r="F3274" t="s">
        <v>63</v>
      </c>
      <c r="G3274">
        <v>3</v>
      </c>
      <c r="H3274" s="2">
        <v>3000</v>
      </c>
      <c r="I3274" s="2">
        <v>9000</v>
      </c>
    </row>
    <row r="3275" spans="1:9" x14ac:dyDescent="0.25">
      <c r="A3275" t="s">
        <v>1697</v>
      </c>
      <c r="B3275" t="s">
        <v>1698</v>
      </c>
      <c r="C3275" t="s">
        <v>63</v>
      </c>
      <c r="D3275" t="s">
        <v>4062</v>
      </c>
      <c r="E3275" t="s">
        <v>5693</v>
      </c>
      <c r="F3275" t="s">
        <v>63</v>
      </c>
      <c r="G3275">
        <v>0.45</v>
      </c>
      <c r="H3275" s="2">
        <v>178000</v>
      </c>
      <c r="I3275" s="2">
        <v>80100</v>
      </c>
    </row>
    <row r="3276" spans="1:9" x14ac:dyDescent="0.25">
      <c r="A3276" t="s">
        <v>1697</v>
      </c>
      <c r="B3276" t="s">
        <v>1698</v>
      </c>
      <c r="C3276" t="s">
        <v>63</v>
      </c>
      <c r="D3276" t="s">
        <v>4062</v>
      </c>
      <c r="E3276" t="s">
        <v>5673</v>
      </c>
      <c r="F3276" t="s">
        <v>4377</v>
      </c>
      <c r="G3276">
        <v>0.04</v>
      </c>
      <c r="H3276" s="2">
        <v>38633</v>
      </c>
      <c r="I3276" s="2">
        <v>1545.32</v>
      </c>
    </row>
    <row r="3277" spans="1:9" x14ac:dyDescent="0.25">
      <c r="A3277" t="s">
        <v>1697</v>
      </c>
      <c r="B3277" t="s">
        <v>1698</v>
      </c>
      <c r="C3277" t="s">
        <v>63</v>
      </c>
      <c r="D3277" t="s">
        <v>4062</v>
      </c>
      <c r="E3277" t="s">
        <v>5013</v>
      </c>
      <c r="F3277" t="s">
        <v>231</v>
      </c>
      <c r="G3277">
        <v>0.08</v>
      </c>
      <c r="H3277" s="2">
        <v>11906</v>
      </c>
      <c r="I3277" s="2">
        <v>952.48</v>
      </c>
    </row>
    <row r="3278" spans="1:9" x14ac:dyDescent="0.25">
      <c r="A3278" t="s">
        <v>1697</v>
      </c>
      <c r="B3278" t="s">
        <v>1698</v>
      </c>
      <c r="C3278" t="s">
        <v>63</v>
      </c>
      <c r="D3278" t="s">
        <v>4052</v>
      </c>
      <c r="E3278" t="s">
        <v>5674</v>
      </c>
      <c r="F3278" t="s">
        <v>287</v>
      </c>
      <c r="G3278">
        <v>0.5</v>
      </c>
      <c r="H3278" s="2">
        <v>101823</v>
      </c>
      <c r="I3278" s="2">
        <v>50911.5</v>
      </c>
    </row>
    <row r="3279" spans="1:9" x14ac:dyDescent="0.25">
      <c r="A3279" t="s">
        <v>1701</v>
      </c>
      <c r="B3279" t="s">
        <v>1702</v>
      </c>
      <c r="C3279" t="s">
        <v>21</v>
      </c>
      <c r="D3279" t="s">
        <v>4062</v>
      </c>
      <c r="E3279" t="s">
        <v>5693</v>
      </c>
      <c r="F3279" t="s">
        <v>63</v>
      </c>
      <c r="G3279">
        <v>0.62</v>
      </c>
      <c r="H3279" s="2">
        <v>178000</v>
      </c>
      <c r="I3279" s="2">
        <v>110360</v>
      </c>
    </row>
    <row r="3280" spans="1:9" x14ac:dyDescent="0.25">
      <c r="A3280" t="s">
        <v>1701</v>
      </c>
      <c r="B3280" t="s">
        <v>1702</v>
      </c>
      <c r="C3280" t="s">
        <v>21</v>
      </c>
      <c r="D3280" t="s">
        <v>4062</v>
      </c>
      <c r="E3280" t="s">
        <v>5673</v>
      </c>
      <c r="F3280" t="s">
        <v>4377</v>
      </c>
      <c r="G3280">
        <v>0.05</v>
      </c>
      <c r="H3280" s="2">
        <v>38633</v>
      </c>
      <c r="I3280" s="2">
        <v>1931.65</v>
      </c>
    </row>
    <row r="3281" spans="1:9" x14ac:dyDescent="0.25">
      <c r="A3281" t="s">
        <v>1701</v>
      </c>
      <c r="B3281" t="s">
        <v>1702</v>
      </c>
      <c r="C3281" t="s">
        <v>21</v>
      </c>
      <c r="D3281" t="s">
        <v>4062</v>
      </c>
      <c r="E3281" t="s">
        <v>5013</v>
      </c>
      <c r="F3281" t="s">
        <v>231</v>
      </c>
      <c r="G3281">
        <v>0.67</v>
      </c>
      <c r="H3281" s="2">
        <v>11906</v>
      </c>
      <c r="I3281" s="2">
        <v>7977.02</v>
      </c>
    </row>
    <row r="3282" spans="1:9" x14ac:dyDescent="0.25">
      <c r="A3282" t="s">
        <v>1701</v>
      </c>
      <c r="B3282" t="s">
        <v>1702</v>
      </c>
      <c r="C3282" t="s">
        <v>21</v>
      </c>
      <c r="D3282" t="s">
        <v>4049</v>
      </c>
      <c r="E3282" t="s">
        <v>5674</v>
      </c>
      <c r="F3282" t="s">
        <v>287</v>
      </c>
      <c r="G3282">
        <v>1</v>
      </c>
      <c r="H3282" s="2">
        <v>101823</v>
      </c>
      <c r="I3282" s="2">
        <v>101823</v>
      </c>
    </row>
    <row r="3283" spans="1:9" x14ac:dyDescent="0.25">
      <c r="A3283" t="s">
        <v>1701</v>
      </c>
      <c r="B3283" t="s">
        <v>1702</v>
      </c>
      <c r="C3283" t="s">
        <v>21</v>
      </c>
      <c r="D3283" t="s">
        <v>4052</v>
      </c>
      <c r="E3283" t="s">
        <v>4053</v>
      </c>
      <c r="F3283" t="s">
        <v>4054</v>
      </c>
      <c r="G3283">
        <v>2.5</v>
      </c>
      <c r="H3283" s="2">
        <v>101823</v>
      </c>
      <c r="I3283" s="2">
        <v>2545.57</v>
      </c>
    </row>
    <row r="3284" spans="1:9" x14ac:dyDescent="0.25">
      <c r="A3284" t="s">
        <v>1704</v>
      </c>
      <c r="B3284" t="s">
        <v>1705</v>
      </c>
      <c r="C3284" t="s">
        <v>21</v>
      </c>
      <c r="D3284" t="s">
        <v>4062</v>
      </c>
      <c r="E3284" t="s">
        <v>5698</v>
      </c>
      <c r="F3284" t="s">
        <v>42</v>
      </c>
      <c r="G3284">
        <v>1</v>
      </c>
      <c r="H3284" s="2">
        <v>2267</v>
      </c>
      <c r="I3284" s="2">
        <v>2267</v>
      </c>
    </row>
    <row r="3285" spans="1:9" x14ac:dyDescent="0.25">
      <c r="A3285" t="s">
        <v>1704</v>
      </c>
      <c r="B3285" t="s">
        <v>1705</v>
      </c>
      <c r="C3285" t="s">
        <v>21</v>
      </c>
      <c r="D3285" t="s">
        <v>4062</v>
      </c>
      <c r="E3285" t="s">
        <v>5699</v>
      </c>
      <c r="F3285" t="s">
        <v>21</v>
      </c>
      <c r="G3285">
        <v>0.5</v>
      </c>
      <c r="H3285" s="2">
        <v>38108.33</v>
      </c>
      <c r="I3285" s="2">
        <v>19054.17</v>
      </c>
    </row>
    <row r="3286" spans="1:9" x14ac:dyDescent="0.25">
      <c r="A3286" t="s">
        <v>1704</v>
      </c>
      <c r="B3286" t="s">
        <v>1705</v>
      </c>
      <c r="C3286" t="s">
        <v>21</v>
      </c>
      <c r="D3286" t="s">
        <v>4062</v>
      </c>
      <c r="E3286" t="s">
        <v>5577</v>
      </c>
      <c r="F3286" t="s">
        <v>63</v>
      </c>
      <c r="G3286">
        <v>2</v>
      </c>
      <c r="H3286" s="2">
        <v>2900</v>
      </c>
      <c r="I3286" s="2">
        <v>5800</v>
      </c>
    </row>
    <row r="3287" spans="1:9" x14ac:dyDescent="0.25">
      <c r="A3287" t="s">
        <v>1704</v>
      </c>
      <c r="B3287" t="s">
        <v>1705</v>
      </c>
      <c r="C3287" t="s">
        <v>21</v>
      </c>
      <c r="D3287" t="s">
        <v>4062</v>
      </c>
      <c r="E3287" t="s">
        <v>5693</v>
      </c>
      <c r="F3287" t="s">
        <v>63</v>
      </c>
      <c r="G3287">
        <v>0.4</v>
      </c>
      <c r="H3287" s="2">
        <v>178000</v>
      </c>
      <c r="I3287" s="2">
        <v>71200</v>
      </c>
    </row>
    <row r="3288" spans="1:9" x14ac:dyDescent="0.25">
      <c r="A3288" t="s">
        <v>1704</v>
      </c>
      <c r="B3288" t="s">
        <v>1705</v>
      </c>
      <c r="C3288" t="s">
        <v>21</v>
      </c>
      <c r="D3288" t="s">
        <v>4062</v>
      </c>
      <c r="E3288" t="s">
        <v>5700</v>
      </c>
      <c r="F3288" t="s">
        <v>63</v>
      </c>
      <c r="G3288">
        <v>1</v>
      </c>
      <c r="H3288" s="2">
        <v>2825</v>
      </c>
      <c r="I3288" s="2">
        <v>2825</v>
      </c>
    </row>
    <row r="3289" spans="1:9" x14ac:dyDescent="0.25">
      <c r="A3289" t="s">
        <v>1704</v>
      </c>
      <c r="B3289" t="s">
        <v>1705</v>
      </c>
      <c r="C3289" t="s">
        <v>21</v>
      </c>
      <c r="D3289" t="s">
        <v>4062</v>
      </c>
      <c r="E3289" t="s">
        <v>5673</v>
      </c>
      <c r="F3289" t="s">
        <v>4377</v>
      </c>
      <c r="G3289">
        <v>0.23</v>
      </c>
      <c r="H3289" s="2">
        <v>38633</v>
      </c>
      <c r="I3289" s="2">
        <v>8885.59</v>
      </c>
    </row>
    <row r="3290" spans="1:9" x14ac:dyDescent="0.25">
      <c r="A3290" t="s">
        <v>1704</v>
      </c>
      <c r="B3290" t="s">
        <v>1705</v>
      </c>
      <c r="C3290" t="s">
        <v>21</v>
      </c>
      <c r="D3290" t="s">
        <v>4062</v>
      </c>
      <c r="E3290" t="s">
        <v>5013</v>
      </c>
      <c r="F3290" t="s">
        <v>231</v>
      </c>
      <c r="G3290">
        <v>0.75</v>
      </c>
      <c r="H3290" s="2">
        <v>11906</v>
      </c>
      <c r="I3290" s="2">
        <v>8929.5</v>
      </c>
    </row>
    <row r="3291" spans="1:9" x14ac:dyDescent="0.25">
      <c r="A3291" t="s">
        <v>1704</v>
      </c>
      <c r="B3291" t="s">
        <v>1705</v>
      </c>
      <c r="C3291" t="s">
        <v>21</v>
      </c>
      <c r="D3291" t="s">
        <v>4049</v>
      </c>
      <c r="E3291" t="s">
        <v>4050</v>
      </c>
      <c r="F3291" t="s">
        <v>4051</v>
      </c>
      <c r="G3291">
        <v>2</v>
      </c>
      <c r="H3291" s="2">
        <v>9037.33</v>
      </c>
      <c r="I3291" s="2">
        <v>18074.66</v>
      </c>
    </row>
    <row r="3292" spans="1:9" x14ac:dyDescent="0.25">
      <c r="A3292" t="s">
        <v>1704</v>
      </c>
      <c r="B3292" t="s">
        <v>1705</v>
      </c>
      <c r="C3292" t="s">
        <v>21</v>
      </c>
      <c r="D3292" t="s">
        <v>4049</v>
      </c>
      <c r="E3292" t="s">
        <v>4073</v>
      </c>
      <c r="F3292" t="s">
        <v>4051</v>
      </c>
      <c r="G3292">
        <v>1</v>
      </c>
      <c r="H3292" s="2">
        <v>15517.89</v>
      </c>
      <c r="I3292" s="2">
        <v>15517.89</v>
      </c>
    </row>
    <row r="3293" spans="1:9" x14ac:dyDescent="0.25">
      <c r="A3293" t="s">
        <v>1704</v>
      </c>
      <c r="B3293" t="s">
        <v>1705</v>
      </c>
      <c r="C3293" t="s">
        <v>21</v>
      </c>
      <c r="D3293" t="s">
        <v>4049</v>
      </c>
      <c r="E3293" t="s">
        <v>5674</v>
      </c>
      <c r="F3293" t="s">
        <v>287</v>
      </c>
      <c r="G3293">
        <v>0.65</v>
      </c>
      <c r="H3293" s="2">
        <v>101823</v>
      </c>
      <c r="I3293" s="2">
        <v>66184.95</v>
      </c>
    </row>
    <row r="3294" spans="1:9" x14ac:dyDescent="0.25">
      <c r="A3294" t="s">
        <v>1704</v>
      </c>
      <c r="B3294" t="s">
        <v>1705</v>
      </c>
      <c r="C3294" t="s">
        <v>21</v>
      </c>
      <c r="D3294" t="s">
        <v>4052</v>
      </c>
      <c r="E3294" t="s">
        <v>4053</v>
      </c>
      <c r="F3294" t="s">
        <v>4054</v>
      </c>
      <c r="G3294">
        <v>2.5</v>
      </c>
      <c r="H3294" s="2">
        <v>99777.5</v>
      </c>
      <c r="I3294" s="2">
        <v>2494.44</v>
      </c>
    </row>
    <row r="3295" spans="1:9" x14ac:dyDescent="0.25">
      <c r="A3295" t="s">
        <v>1707</v>
      </c>
      <c r="B3295" t="s">
        <v>1708</v>
      </c>
      <c r="C3295" t="s">
        <v>63</v>
      </c>
      <c r="D3295" t="s">
        <v>4062</v>
      </c>
      <c r="E3295" t="s">
        <v>5577</v>
      </c>
      <c r="F3295" t="s">
        <v>63</v>
      </c>
      <c r="G3295">
        <v>2</v>
      </c>
      <c r="H3295" s="2">
        <v>2900</v>
      </c>
      <c r="I3295" s="2">
        <v>5800</v>
      </c>
    </row>
    <row r="3296" spans="1:9" x14ac:dyDescent="0.25">
      <c r="A3296" t="s">
        <v>1707</v>
      </c>
      <c r="B3296" t="s">
        <v>1708</v>
      </c>
      <c r="C3296" t="s">
        <v>63</v>
      </c>
      <c r="D3296" t="s">
        <v>4062</v>
      </c>
      <c r="E3296" t="s">
        <v>5693</v>
      </c>
      <c r="F3296" t="s">
        <v>63</v>
      </c>
      <c r="G3296">
        <v>1.67</v>
      </c>
      <c r="H3296" s="2">
        <v>178000</v>
      </c>
      <c r="I3296" s="2">
        <v>297260</v>
      </c>
    </row>
    <row r="3297" spans="1:9" x14ac:dyDescent="0.25">
      <c r="A3297" t="s">
        <v>1707</v>
      </c>
      <c r="B3297" t="s">
        <v>1708</v>
      </c>
      <c r="C3297" t="s">
        <v>63</v>
      </c>
      <c r="D3297" t="s">
        <v>4062</v>
      </c>
      <c r="E3297" t="s">
        <v>5703</v>
      </c>
      <c r="F3297" t="s">
        <v>5704</v>
      </c>
      <c r="G3297">
        <v>0.11</v>
      </c>
      <c r="H3297" s="2">
        <v>44800</v>
      </c>
      <c r="I3297" s="2">
        <v>4928</v>
      </c>
    </row>
    <row r="3298" spans="1:9" x14ac:dyDescent="0.25">
      <c r="A3298" t="s">
        <v>1707</v>
      </c>
      <c r="B3298" t="s">
        <v>1708</v>
      </c>
      <c r="C3298" t="s">
        <v>63</v>
      </c>
      <c r="D3298" t="s">
        <v>4062</v>
      </c>
      <c r="E3298" t="s">
        <v>5673</v>
      </c>
      <c r="F3298" t="s">
        <v>4377</v>
      </c>
      <c r="G3298">
        <v>0.23</v>
      </c>
      <c r="H3298" s="2">
        <v>38633</v>
      </c>
      <c r="I3298" s="2">
        <v>8885.59</v>
      </c>
    </row>
    <row r="3299" spans="1:9" x14ac:dyDescent="0.25">
      <c r="A3299" t="s">
        <v>1707</v>
      </c>
      <c r="B3299" t="s">
        <v>1708</v>
      </c>
      <c r="C3299" t="s">
        <v>63</v>
      </c>
      <c r="D3299" t="s">
        <v>4062</v>
      </c>
      <c r="E3299" t="s">
        <v>5013</v>
      </c>
      <c r="F3299" t="s">
        <v>231</v>
      </c>
      <c r="G3299">
        <v>1.25</v>
      </c>
      <c r="H3299" s="2">
        <v>11906</v>
      </c>
      <c r="I3299" s="2">
        <v>14882.5</v>
      </c>
    </row>
    <row r="3300" spans="1:9" x14ac:dyDescent="0.25">
      <c r="A3300" t="s">
        <v>1707</v>
      </c>
      <c r="B3300" t="s">
        <v>1708</v>
      </c>
      <c r="C3300" t="s">
        <v>63</v>
      </c>
      <c r="D3300" t="s">
        <v>4049</v>
      </c>
      <c r="E3300" t="s">
        <v>4241</v>
      </c>
      <c r="F3300" t="s">
        <v>4051</v>
      </c>
      <c r="G3300">
        <v>3</v>
      </c>
      <c r="H3300" s="2">
        <v>9941.22</v>
      </c>
      <c r="I3300" s="2">
        <v>29823.66</v>
      </c>
    </row>
    <row r="3301" spans="1:9" x14ac:dyDescent="0.25">
      <c r="A3301" t="s">
        <v>1707</v>
      </c>
      <c r="B3301" t="s">
        <v>1708</v>
      </c>
      <c r="C3301" t="s">
        <v>63</v>
      </c>
      <c r="D3301" t="s">
        <v>4049</v>
      </c>
      <c r="E3301" t="s">
        <v>4183</v>
      </c>
      <c r="F3301" t="s">
        <v>4051</v>
      </c>
      <c r="G3301">
        <v>3</v>
      </c>
      <c r="H3301" s="2">
        <v>18621.17</v>
      </c>
      <c r="I3301" s="2">
        <v>55863.51</v>
      </c>
    </row>
    <row r="3302" spans="1:9" x14ac:dyDescent="0.25">
      <c r="A3302" t="s">
        <v>1707</v>
      </c>
      <c r="B3302" t="s">
        <v>1708</v>
      </c>
      <c r="C3302" t="s">
        <v>63</v>
      </c>
      <c r="D3302" t="s">
        <v>4052</v>
      </c>
      <c r="E3302" t="s">
        <v>4053</v>
      </c>
      <c r="F3302" t="s">
        <v>4054</v>
      </c>
      <c r="G3302">
        <v>5</v>
      </c>
      <c r="H3302" s="2">
        <v>85687.17</v>
      </c>
      <c r="I3302" s="2">
        <v>4284.36</v>
      </c>
    </row>
    <row r="3303" spans="1:9" x14ac:dyDescent="0.25">
      <c r="A3303" t="s">
        <v>1710</v>
      </c>
      <c r="B3303" t="s">
        <v>1711</v>
      </c>
      <c r="C3303" t="s">
        <v>21</v>
      </c>
      <c r="D3303" t="s">
        <v>4062</v>
      </c>
      <c r="E3303" t="s">
        <v>5707</v>
      </c>
      <c r="F3303" t="s">
        <v>63</v>
      </c>
      <c r="G3303">
        <v>1.74</v>
      </c>
      <c r="H3303" s="2">
        <v>11484</v>
      </c>
      <c r="I3303" s="2">
        <v>19982.16</v>
      </c>
    </row>
    <row r="3304" spans="1:9" x14ac:dyDescent="0.25">
      <c r="A3304" t="s">
        <v>1710</v>
      </c>
      <c r="B3304" t="s">
        <v>1711</v>
      </c>
      <c r="C3304" t="s">
        <v>21</v>
      </c>
      <c r="D3304" t="s">
        <v>4062</v>
      </c>
      <c r="E3304" t="s">
        <v>5673</v>
      </c>
      <c r="F3304" t="s">
        <v>4377</v>
      </c>
      <c r="G3304">
        <v>0.2</v>
      </c>
      <c r="H3304" s="2">
        <v>38633</v>
      </c>
      <c r="I3304" s="2">
        <v>7726.6</v>
      </c>
    </row>
    <row r="3305" spans="1:9" x14ac:dyDescent="0.25">
      <c r="A3305" t="s">
        <v>1710</v>
      </c>
      <c r="B3305" t="s">
        <v>1711</v>
      </c>
      <c r="C3305" t="s">
        <v>21</v>
      </c>
      <c r="D3305" t="s">
        <v>4062</v>
      </c>
      <c r="E3305" t="s">
        <v>5013</v>
      </c>
      <c r="F3305" t="s">
        <v>231</v>
      </c>
      <c r="G3305">
        <v>0.6</v>
      </c>
      <c r="H3305" s="2">
        <v>11906</v>
      </c>
      <c r="I3305" s="2">
        <v>7143.6</v>
      </c>
    </row>
    <row r="3306" spans="1:9" x14ac:dyDescent="0.25">
      <c r="A3306" t="s">
        <v>1710</v>
      </c>
      <c r="B3306" t="s">
        <v>1711</v>
      </c>
      <c r="C3306" t="s">
        <v>21</v>
      </c>
      <c r="D3306" t="s">
        <v>4049</v>
      </c>
      <c r="E3306" t="s">
        <v>4050</v>
      </c>
      <c r="F3306" t="s">
        <v>4051</v>
      </c>
      <c r="G3306">
        <v>1</v>
      </c>
      <c r="H3306" s="2">
        <v>9037.33</v>
      </c>
      <c r="I3306" s="2">
        <v>9037.33</v>
      </c>
    </row>
    <row r="3307" spans="1:9" x14ac:dyDescent="0.25">
      <c r="A3307" t="s">
        <v>1710</v>
      </c>
      <c r="B3307" t="s">
        <v>1711</v>
      </c>
      <c r="C3307" t="s">
        <v>21</v>
      </c>
      <c r="D3307" t="s">
        <v>4049</v>
      </c>
      <c r="E3307" t="s">
        <v>4073</v>
      </c>
      <c r="F3307" t="s">
        <v>4051</v>
      </c>
      <c r="G3307">
        <v>1</v>
      </c>
      <c r="H3307" s="2">
        <v>15517.89</v>
      </c>
      <c r="I3307" s="2">
        <v>15517.89</v>
      </c>
    </row>
    <row r="3308" spans="1:9" x14ac:dyDescent="0.25">
      <c r="A3308" t="s">
        <v>1710</v>
      </c>
      <c r="B3308" t="s">
        <v>1711</v>
      </c>
      <c r="C3308" t="s">
        <v>21</v>
      </c>
      <c r="D3308" t="s">
        <v>4049</v>
      </c>
      <c r="E3308" t="s">
        <v>5674</v>
      </c>
      <c r="F3308" t="s">
        <v>287</v>
      </c>
      <c r="G3308">
        <v>0.3</v>
      </c>
      <c r="H3308" s="2">
        <v>101823</v>
      </c>
      <c r="I3308" s="2">
        <v>30546.9</v>
      </c>
    </row>
    <row r="3309" spans="1:9" x14ac:dyDescent="0.25">
      <c r="A3309" t="s">
        <v>1710</v>
      </c>
      <c r="B3309" t="s">
        <v>1711</v>
      </c>
      <c r="C3309" t="s">
        <v>21</v>
      </c>
      <c r="D3309" t="s">
        <v>4052</v>
      </c>
      <c r="E3309" t="s">
        <v>4053</v>
      </c>
      <c r="F3309" t="s">
        <v>4054</v>
      </c>
      <c r="G3309">
        <v>3.5</v>
      </c>
      <c r="H3309" s="2">
        <v>55102.12</v>
      </c>
      <c r="I3309" s="2">
        <v>1928.57</v>
      </c>
    </row>
    <row r="3310" spans="1:9" x14ac:dyDescent="0.25">
      <c r="A3310" t="s">
        <v>1713</v>
      </c>
      <c r="B3310" t="s">
        <v>1714</v>
      </c>
      <c r="C3310" t="s">
        <v>21</v>
      </c>
      <c r="D3310" t="s">
        <v>4062</v>
      </c>
      <c r="E3310" t="s">
        <v>5710</v>
      </c>
      <c r="F3310" t="s">
        <v>42</v>
      </c>
      <c r="G3310">
        <v>7.35</v>
      </c>
      <c r="H3310" s="2">
        <v>3089.68</v>
      </c>
      <c r="I3310" s="2">
        <v>22709.15</v>
      </c>
    </row>
    <row r="3311" spans="1:9" x14ac:dyDescent="0.25">
      <c r="A3311" t="s">
        <v>1713</v>
      </c>
      <c r="B3311" t="s">
        <v>1714</v>
      </c>
      <c r="C3311" t="s">
        <v>21</v>
      </c>
      <c r="D3311" t="s">
        <v>4062</v>
      </c>
      <c r="E3311" t="s">
        <v>5693</v>
      </c>
      <c r="F3311" t="s">
        <v>63</v>
      </c>
      <c r="G3311">
        <v>0.3</v>
      </c>
      <c r="H3311" s="2">
        <v>178000</v>
      </c>
      <c r="I3311" s="2">
        <v>53400</v>
      </c>
    </row>
    <row r="3312" spans="1:9" x14ac:dyDescent="0.25">
      <c r="A3312" t="s">
        <v>1713</v>
      </c>
      <c r="B3312" t="s">
        <v>1714</v>
      </c>
      <c r="C3312" t="s">
        <v>21</v>
      </c>
      <c r="D3312" t="s">
        <v>4062</v>
      </c>
      <c r="E3312" t="s">
        <v>5673</v>
      </c>
      <c r="F3312" t="s">
        <v>4377</v>
      </c>
      <c r="G3312">
        <v>0.02</v>
      </c>
      <c r="H3312" s="2">
        <v>38633</v>
      </c>
      <c r="I3312" s="2">
        <v>772.66</v>
      </c>
    </row>
    <row r="3313" spans="1:9" x14ac:dyDescent="0.25">
      <c r="A3313" t="s">
        <v>1713</v>
      </c>
      <c r="B3313" t="s">
        <v>1714</v>
      </c>
      <c r="C3313" t="s">
        <v>21</v>
      </c>
      <c r="D3313" t="s">
        <v>4062</v>
      </c>
      <c r="E3313" t="s">
        <v>5013</v>
      </c>
      <c r="F3313" t="s">
        <v>231</v>
      </c>
      <c r="G3313">
        <v>0.46</v>
      </c>
      <c r="H3313" s="2">
        <v>11906</v>
      </c>
      <c r="I3313" s="2">
        <v>5476.76</v>
      </c>
    </row>
    <row r="3314" spans="1:9" x14ac:dyDescent="0.25">
      <c r="A3314" t="s">
        <v>1713</v>
      </c>
      <c r="B3314" t="s">
        <v>1714</v>
      </c>
      <c r="C3314" t="s">
        <v>21</v>
      </c>
      <c r="D3314" t="s">
        <v>4049</v>
      </c>
      <c r="E3314" t="s">
        <v>4050</v>
      </c>
      <c r="F3314" t="s">
        <v>4051</v>
      </c>
      <c r="G3314">
        <v>1.5</v>
      </c>
      <c r="H3314" s="2">
        <v>9037.33</v>
      </c>
      <c r="I3314" s="2">
        <v>13555.99</v>
      </c>
    </row>
    <row r="3315" spans="1:9" x14ac:dyDescent="0.25">
      <c r="A3315" t="s">
        <v>1713</v>
      </c>
      <c r="B3315" t="s">
        <v>1714</v>
      </c>
      <c r="C3315" t="s">
        <v>21</v>
      </c>
      <c r="D3315" t="s">
        <v>4049</v>
      </c>
      <c r="E3315" t="s">
        <v>4073</v>
      </c>
      <c r="F3315" t="s">
        <v>4051</v>
      </c>
      <c r="G3315">
        <v>1.5</v>
      </c>
      <c r="H3315" s="2">
        <v>15517.89</v>
      </c>
      <c r="I3315" s="2">
        <v>23276.83</v>
      </c>
    </row>
    <row r="3316" spans="1:9" x14ac:dyDescent="0.25">
      <c r="A3316" t="s">
        <v>1713</v>
      </c>
      <c r="B3316" t="s">
        <v>1714</v>
      </c>
      <c r="C3316" t="s">
        <v>21</v>
      </c>
      <c r="D3316" t="s">
        <v>4049</v>
      </c>
      <c r="E3316" t="s">
        <v>5674</v>
      </c>
      <c r="F3316" t="s">
        <v>287</v>
      </c>
      <c r="G3316">
        <v>0.5</v>
      </c>
      <c r="H3316" s="2">
        <v>101823</v>
      </c>
      <c r="I3316" s="2">
        <v>50911.5</v>
      </c>
    </row>
    <row r="3317" spans="1:9" x14ac:dyDescent="0.25">
      <c r="A3317" t="s">
        <v>1713</v>
      </c>
      <c r="B3317" t="s">
        <v>1714</v>
      </c>
      <c r="C3317" t="s">
        <v>21</v>
      </c>
      <c r="D3317" t="s">
        <v>4052</v>
      </c>
      <c r="E3317" t="s">
        <v>4053</v>
      </c>
      <c r="F3317" t="s">
        <v>4054</v>
      </c>
      <c r="G3317">
        <v>2</v>
      </c>
      <c r="H3317" s="2">
        <v>87744.32</v>
      </c>
      <c r="I3317" s="2">
        <v>1754.89</v>
      </c>
    </row>
    <row r="3318" spans="1:9" x14ac:dyDescent="0.25">
      <c r="A3318" t="s">
        <v>1716</v>
      </c>
      <c r="B3318" t="s">
        <v>1717</v>
      </c>
      <c r="C3318" t="s">
        <v>42</v>
      </c>
      <c r="D3318" t="s">
        <v>4062</v>
      </c>
      <c r="E3318" t="s">
        <v>5672</v>
      </c>
      <c r="F3318" t="s">
        <v>231</v>
      </c>
      <c r="G3318">
        <v>0.56</v>
      </c>
      <c r="H3318" s="2">
        <v>2562</v>
      </c>
      <c r="I3318" s="2">
        <v>1434.72</v>
      </c>
    </row>
    <row r="3319" spans="1:9" x14ac:dyDescent="0.25">
      <c r="A3319" t="s">
        <v>1716</v>
      </c>
      <c r="B3319" t="s">
        <v>1717</v>
      </c>
      <c r="C3319" t="s">
        <v>42</v>
      </c>
      <c r="D3319" t="s">
        <v>4062</v>
      </c>
      <c r="E3319" t="s">
        <v>5673</v>
      </c>
      <c r="F3319" t="s">
        <v>4377</v>
      </c>
      <c r="G3319">
        <v>0.01</v>
      </c>
      <c r="H3319" s="2">
        <v>38633</v>
      </c>
      <c r="I3319" s="2">
        <v>386.33</v>
      </c>
    </row>
    <row r="3320" spans="1:9" x14ac:dyDescent="0.25">
      <c r="A3320" t="s">
        <v>1716</v>
      </c>
      <c r="B3320" t="s">
        <v>1717</v>
      </c>
      <c r="C3320" t="s">
        <v>42</v>
      </c>
      <c r="D3320" t="s">
        <v>4049</v>
      </c>
      <c r="E3320" t="s">
        <v>4050</v>
      </c>
      <c r="F3320" t="s">
        <v>4051</v>
      </c>
      <c r="G3320">
        <v>0.3</v>
      </c>
      <c r="H3320" s="2">
        <v>9037.33</v>
      </c>
      <c r="I3320" s="2">
        <v>2711.2</v>
      </c>
    </row>
    <row r="3321" spans="1:9" x14ac:dyDescent="0.25">
      <c r="A3321" t="s">
        <v>1716</v>
      </c>
      <c r="B3321" t="s">
        <v>1717</v>
      </c>
      <c r="C3321" t="s">
        <v>42</v>
      </c>
      <c r="D3321" t="s">
        <v>4049</v>
      </c>
      <c r="E3321" t="s">
        <v>4073</v>
      </c>
      <c r="F3321" t="s">
        <v>4051</v>
      </c>
      <c r="G3321">
        <v>0.3</v>
      </c>
      <c r="H3321" s="2">
        <v>15517.89</v>
      </c>
      <c r="I3321" s="2">
        <v>4655.37</v>
      </c>
    </row>
    <row r="3322" spans="1:9" x14ac:dyDescent="0.25">
      <c r="A3322" t="s">
        <v>1716</v>
      </c>
      <c r="B3322" t="s">
        <v>1717</v>
      </c>
      <c r="C3322" t="s">
        <v>42</v>
      </c>
      <c r="D3322" t="s">
        <v>4052</v>
      </c>
      <c r="E3322" t="s">
        <v>4105</v>
      </c>
      <c r="F3322" t="s">
        <v>4106</v>
      </c>
      <c r="G3322">
        <v>0.1</v>
      </c>
      <c r="H3322" s="2">
        <v>25125</v>
      </c>
      <c r="I3322" s="2">
        <v>2512.5</v>
      </c>
    </row>
    <row r="3323" spans="1:9" x14ac:dyDescent="0.25">
      <c r="A3323" t="s">
        <v>1716</v>
      </c>
      <c r="B3323" t="s">
        <v>1717</v>
      </c>
      <c r="C3323" t="s">
        <v>42</v>
      </c>
      <c r="D3323" t="s">
        <v>4052</v>
      </c>
      <c r="E3323" t="s">
        <v>4053</v>
      </c>
      <c r="F3323" t="s">
        <v>4054</v>
      </c>
      <c r="G3323">
        <v>5</v>
      </c>
      <c r="H3323" s="2">
        <v>7366.57</v>
      </c>
      <c r="I3323" s="2">
        <v>368.33</v>
      </c>
    </row>
    <row r="3324" spans="1:9" x14ac:dyDescent="0.25">
      <c r="A3324" t="s">
        <v>1719</v>
      </c>
      <c r="B3324" t="s">
        <v>1720</v>
      </c>
      <c r="C3324" t="s">
        <v>21</v>
      </c>
      <c r="D3324" t="s">
        <v>4062</v>
      </c>
      <c r="E3324" t="s">
        <v>5698</v>
      </c>
      <c r="F3324" t="s">
        <v>42</v>
      </c>
      <c r="G3324">
        <v>2</v>
      </c>
      <c r="H3324" s="2">
        <v>2267</v>
      </c>
      <c r="I3324" s="2">
        <v>4534</v>
      </c>
    </row>
    <row r="3325" spans="1:9" x14ac:dyDescent="0.25">
      <c r="A3325" t="s">
        <v>1719</v>
      </c>
      <c r="B3325" t="s">
        <v>1720</v>
      </c>
      <c r="C3325" t="s">
        <v>21</v>
      </c>
      <c r="D3325" t="s">
        <v>4062</v>
      </c>
      <c r="E3325" t="s">
        <v>5699</v>
      </c>
      <c r="F3325" t="s">
        <v>21</v>
      </c>
      <c r="G3325">
        <v>1</v>
      </c>
      <c r="H3325" s="2">
        <v>38108.33</v>
      </c>
      <c r="I3325" s="2">
        <v>38108.33</v>
      </c>
    </row>
    <row r="3326" spans="1:9" x14ac:dyDescent="0.25">
      <c r="A3326" t="s">
        <v>1719</v>
      </c>
      <c r="B3326" t="s">
        <v>1720</v>
      </c>
      <c r="C3326" t="s">
        <v>21</v>
      </c>
      <c r="D3326" t="s">
        <v>4062</v>
      </c>
      <c r="E3326" t="s">
        <v>5715</v>
      </c>
      <c r="F3326" t="s">
        <v>63</v>
      </c>
      <c r="G3326">
        <v>2</v>
      </c>
      <c r="H3326" s="2">
        <v>2475</v>
      </c>
      <c r="I3326" s="2">
        <v>4950</v>
      </c>
    </row>
    <row r="3327" spans="1:9" x14ac:dyDescent="0.25">
      <c r="A3327" t="s">
        <v>1719</v>
      </c>
      <c r="B3327" t="s">
        <v>1720</v>
      </c>
      <c r="C3327" t="s">
        <v>21</v>
      </c>
      <c r="D3327" t="s">
        <v>4062</v>
      </c>
      <c r="E3327" t="s">
        <v>5693</v>
      </c>
      <c r="F3327" t="s">
        <v>63</v>
      </c>
      <c r="G3327">
        <v>0.4</v>
      </c>
      <c r="H3327" s="2">
        <v>178000</v>
      </c>
      <c r="I3327" s="2">
        <v>71200</v>
      </c>
    </row>
    <row r="3328" spans="1:9" x14ac:dyDescent="0.25">
      <c r="A3328" t="s">
        <v>1719</v>
      </c>
      <c r="B3328" t="s">
        <v>1720</v>
      </c>
      <c r="C3328" t="s">
        <v>21</v>
      </c>
      <c r="D3328" t="s">
        <v>4062</v>
      </c>
      <c r="E3328" t="s">
        <v>5700</v>
      </c>
      <c r="F3328" t="s">
        <v>63</v>
      </c>
      <c r="G3328">
        <v>1</v>
      </c>
      <c r="H3328" s="2">
        <v>2825</v>
      </c>
      <c r="I3328" s="2">
        <v>2825</v>
      </c>
    </row>
    <row r="3329" spans="1:9" x14ac:dyDescent="0.25">
      <c r="A3329" t="s">
        <v>1719</v>
      </c>
      <c r="B3329" t="s">
        <v>1720</v>
      </c>
      <c r="C3329" t="s">
        <v>21</v>
      </c>
      <c r="D3329" t="s">
        <v>4062</v>
      </c>
      <c r="E3329" t="s">
        <v>5673</v>
      </c>
      <c r="F3329" t="s">
        <v>4377</v>
      </c>
      <c r="G3329">
        <v>0.23</v>
      </c>
      <c r="H3329" s="2">
        <v>38633</v>
      </c>
      <c r="I3329" s="2">
        <v>8885.59</v>
      </c>
    </row>
    <row r="3330" spans="1:9" x14ac:dyDescent="0.25">
      <c r="A3330" t="s">
        <v>1719</v>
      </c>
      <c r="B3330" t="s">
        <v>1720</v>
      </c>
      <c r="C3330" t="s">
        <v>21</v>
      </c>
      <c r="D3330" t="s">
        <v>4062</v>
      </c>
      <c r="E3330" t="s">
        <v>5013</v>
      </c>
      <c r="F3330" t="s">
        <v>231</v>
      </c>
      <c r="G3330">
        <v>0.16</v>
      </c>
      <c r="H3330" s="2">
        <v>11906</v>
      </c>
      <c r="I3330" s="2">
        <v>1904.96</v>
      </c>
    </row>
    <row r="3331" spans="1:9" x14ac:dyDescent="0.25">
      <c r="A3331" t="s">
        <v>1719</v>
      </c>
      <c r="B3331" t="s">
        <v>1720</v>
      </c>
      <c r="C3331" t="s">
        <v>21</v>
      </c>
      <c r="D3331" t="s">
        <v>4049</v>
      </c>
      <c r="E3331" t="s">
        <v>4050</v>
      </c>
      <c r="F3331" t="s">
        <v>4051</v>
      </c>
      <c r="G3331">
        <v>1.4</v>
      </c>
      <c r="H3331" s="2">
        <v>9037.33</v>
      </c>
      <c r="I3331" s="2">
        <v>12652.26</v>
      </c>
    </row>
    <row r="3332" spans="1:9" x14ac:dyDescent="0.25">
      <c r="A3332" t="s">
        <v>1719</v>
      </c>
      <c r="B3332" t="s">
        <v>1720</v>
      </c>
      <c r="C3332" t="s">
        <v>21</v>
      </c>
      <c r="D3332" t="s">
        <v>4049</v>
      </c>
      <c r="E3332" t="s">
        <v>4073</v>
      </c>
      <c r="F3332" t="s">
        <v>4051</v>
      </c>
      <c r="G3332">
        <v>0.9</v>
      </c>
      <c r="H3332" s="2">
        <v>15517.89</v>
      </c>
      <c r="I3332" s="2">
        <v>13966.1</v>
      </c>
    </row>
    <row r="3333" spans="1:9" x14ac:dyDescent="0.25">
      <c r="A3333" t="s">
        <v>1719</v>
      </c>
      <c r="B3333" t="s">
        <v>1720</v>
      </c>
      <c r="C3333" t="s">
        <v>21</v>
      </c>
      <c r="D3333" t="s">
        <v>4049</v>
      </c>
      <c r="E3333" t="s">
        <v>5674</v>
      </c>
      <c r="F3333" t="s">
        <v>287</v>
      </c>
      <c r="G3333">
        <v>0.6</v>
      </c>
      <c r="H3333" s="2">
        <v>101823</v>
      </c>
      <c r="I3333" s="2">
        <v>61093.8</v>
      </c>
    </row>
    <row r="3334" spans="1:9" x14ac:dyDescent="0.25">
      <c r="A3334" t="s">
        <v>1719</v>
      </c>
      <c r="B3334" t="s">
        <v>1720</v>
      </c>
      <c r="C3334" t="s">
        <v>21</v>
      </c>
      <c r="D3334" t="s">
        <v>4052</v>
      </c>
      <c r="E3334" t="s">
        <v>4053</v>
      </c>
      <c r="F3334" t="s">
        <v>4054</v>
      </c>
      <c r="G3334">
        <v>2</v>
      </c>
      <c r="H3334" s="2">
        <v>87712.16</v>
      </c>
      <c r="I3334" s="2">
        <v>1754.24</v>
      </c>
    </row>
    <row r="3335" spans="1:9" x14ac:dyDescent="0.25">
      <c r="A3335" t="s">
        <v>1722</v>
      </c>
      <c r="B3335" t="s">
        <v>1723</v>
      </c>
      <c r="C3335" t="s">
        <v>21</v>
      </c>
      <c r="D3335" t="s">
        <v>4062</v>
      </c>
      <c r="E3335" t="s">
        <v>5718</v>
      </c>
      <c r="F3335" t="s">
        <v>21</v>
      </c>
      <c r="G3335">
        <v>1</v>
      </c>
      <c r="H3335" s="2">
        <v>173435.5</v>
      </c>
      <c r="I3335" s="2">
        <v>173435.5</v>
      </c>
    </row>
    <row r="3336" spans="1:9" x14ac:dyDescent="0.25">
      <c r="A3336" t="s">
        <v>1722</v>
      </c>
      <c r="B3336" t="s">
        <v>1723</v>
      </c>
      <c r="C3336" t="s">
        <v>21</v>
      </c>
      <c r="D3336" t="s">
        <v>4049</v>
      </c>
      <c r="E3336" t="s">
        <v>4050</v>
      </c>
      <c r="F3336" t="s">
        <v>4051</v>
      </c>
      <c r="G3336">
        <v>2</v>
      </c>
      <c r="H3336" s="2">
        <v>9037.33</v>
      </c>
      <c r="I3336" s="2">
        <v>18074.66</v>
      </c>
    </row>
    <row r="3337" spans="1:9" x14ac:dyDescent="0.25">
      <c r="A3337" t="s">
        <v>1722</v>
      </c>
      <c r="B3337" t="s">
        <v>1723</v>
      </c>
      <c r="C3337" t="s">
        <v>21</v>
      </c>
      <c r="D3337" t="s">
        <v>4049</v>
      </c>
      <c r="E3337" t="s">
        <v>4073</v>
      </c>
      <c r="F3337" t="s">
        <v>4051</v>
      </c>
      <c r="G3337">
        <v>2</v>
      </c>
      <c r="H3337" s="2">
        <v>15517.89</v>
      </c>
      <c r="I3337" s="2">
        <v>31035.78</v>
      </c>
    </row>
    <row r="3338" spans="1:9" x14ac:dyDescent="0.25">
      <c r="A3338" t="s">
        <v>1722</v>
      </c>
      <c r="B3338" t="s">
        <v>1723</v>
      </c>
      <c r="C3338" t="s">
        <v>21</v>
      </c>
      <c r="D3338" t="s">
        <v>4052</v>
      </c>
      <c r="E3338" t="s">
        <v>4053</v>
      </c>
      <c r="F3338" t="s">
        <v>4054</v>
      </c>
      <c r="G3338">
        <v>3</v>
      </c>
      <c r="H3338" s="2">
        <v>49110.44</v>
      </c>
      <c r="I3338" s="2">
        <v>1473.31</v>
      </c>
    </row>
    <row r="3339" spans="1:9" x14ac:dyDescent="0.25">
      <c r="A3339" t="s">
        <v>1725</v>
      </c>
      <c r="B3339" t="s">
        <v>1726</v>
      </c>
      <c r="C3339" t="s">
        <v>21</v>
      </c>
      <c r="D3339" t="s">
        <v>4062</v>
      </c>
      <c r="E3339" t="s">
        <v>5721</v>
      </c>
      <c r="F3339" t="s">
        <v>21</v>
      </c>
      <c r="G3339">
        <v>1</v>
      </c>
      <c r="H3339" s="2">
        <v>131400</v>
      </c>
      <c r="I3339" s="2">
        <v>131400</v>
      </c>
    </row>
    <row r="3340" spans="1:9" x14ac:dyDescent="0.25">
      <c r="A3340" t="s">
        <v>1725</v>
      </c>
      <c r="B3340" t="s">
        <v>1726</v>
      </c>
      <c r="C3340" t="s">
        <v>21</v>
      </c>
      <c r="D3340" t="s">
        <v>4049</v>
      </c>
      <c r="E3340" t="s">
        <v>4050</v>
      </c>
      <c r="F3340" t="s">
        <v>4051</v>
      </c>
      <c r="G3340">
        <v>2.1</v>
      </c>
      <c r="H3340" s="2">
        <v>9037.33</v>
      </c>
      <c r="I3340" s="2">
        <v>18978.39</v>
      </c>
    </row>
    <row r="3341" spans="1:9" x14ac:dyDescent="0.25">
      <c r="A3341" t="s">
        <v>1725</v>
      </c>
      <c r="B3341" t="s">
        <v>1726</v>
      </c>
      <c r="C3341" t="s">
        <v>21</v>
      </c>
      <c r="D3341" t="s">
        <v>4049</v>
      </c>
      <c r="E3341" t="s">
        <v>4073</v>
      </c>
      <c r="F3341" t="s">
        <v>4051</v>
      </c>
      <c r="G3341">
        <v>2.1</v>
      </c>
      <c r="H3341" s="2">
        <v>15517.89</v>
      </c>
      <c r="I3341" s="2">
        <v>32587.57</v>
      </c>
    </row>
    <row r="3342" spans="1:9" x14ac:dyDescent="0.25">
      <c r="A3342" t="s">
        <v>1725</v>
      </c>
      <c r="B3342" t="s">
        <v>1726</v>
      </c>
      <c r="C3342" t="s">
        <v>21</v>
      </c>
      <c r="D3342" t="s">
        <v>4052</v>
      </c>
      <c r="E3342" t="s">
        <v>4053</v>
      </c>
      <c r="F3342" t="s">
        <v>4054</v>
      </c>
      <c r="G3342">
        <v>3</v>
      </c>
      <c r="H3342" s="2">
        <v>51565.96</v>
      </c>
      <c r="I3342" s="2">
        <v>1546.98</v>
      </c>
    </row>
    <row r="3343" spans="1:9" x14ac:dyDescent="0.25">
      <c r="A3343" t="s">
        <v>1728</v>
      </c>
      <c r="B3343" t="s">
        <v>1729</v>
      </c>
      <c r="C3343" t="s">
        <v>21</v>
      </c>
      <c r="D3343" t="s">
        <v>4062</v>
      </c>
      <c r="E3343" t="s">
        <v>5724</v>
      </c>
      <c r="F3343" t="s">
        <v>21</v>
      </c>
      <c r="G3343">
        <v>1.05</v>
      </c>
      <c r="H3343" s="2">
        <v>530000</v>
      </c>
      <c r="I3343" s="2">
        <v>556500</v>
      </c>
    </row>
    <row r="3344" spans="1:9" x14ac:dyDescent="0.25">
      <c r="A3344" t="s">
        <v>1728</v>
      </c>
      <c r="B3344" t="s">
        <v>1729</v>
      </c>
      <c r="C3344" t="s">
        <v>21</v>
      </c>
      <c r="D3344" t="s">
        <v>4049</v>
      </c>
      <c r="E3344" t="s">
        <v>4241</v>
      </c>
      <c r="F3344" t="s">
        <v>4051</v>
      </c>
      <c r="G3344">
        <v>1</v>
      </c>
      <c r="H3344" s="2">
        <v>9941.22</v>
      </c>
      <c r="I3344" s="2">
        <v>9941.22</v>
      </c>
    </row>
    <row r="3345" spans="1:9" x14ac:dyDescent="0.25">
      <c r="A3345" t="s">
        <v>1728</v>
      </c>
      <c r="B3345" t="s">
        <v>1729</v>
      </c>
      <c r="C3345" t="s">
        <v>21</v>
      </c>
      <c r="D3345" t="s">
        <v>4049</v>
      </c>
      <c r="E3345" t="s">
        <v>4242</v>
      </c>
      <c r="F3345" t="s">
        <v>4051</v>
      </c>
      <c r="G3345">
        <v>1</v>
      </c>
      <c r="H3345" s="2">
        <v>17069.53</v>
      </c>
      <c r="I3345" s="2">
        <v>17069.53</v>
      </c>
    </row>
    <row r="3346" spans="1:9" x14ac:dyDescent="0.25">
      <c r="A3346" t="s">
        <v>1728</v>
      </c>
      <c r="B3346" t="s">
        <v>1729</v>
      </c>
      <c r="C3346" t="s">
        <v>21</v>
      </c>
      <c r="D3346" t="s">
        <v>4052</v>
      </c>
      <c r="E3346" t="s">
        <v>5725</v>
      </c>
      <c r="F3346" t="s">
        <v>287</v>
      </c>
      <c r="G3346">
        <v>0.15</v>
      </c>
      <c r="H3346" s="2">
        <v>19084</v>
      </c>
      <c r="I3346" s="2">
        <v>2862.6</v>
      </c>
    </row>
    <row r="3347" spans="1:9" x14ac:dyDescent="0.25">
      <c r="A3347" t="s">
        <v>1728</v>
      </c>
      <c r="B3347" t="s">
        <v>1729</v>
      </c>
      <c r="C3347" t="s">
        <v>21</v>
      </c>
      <c r="D3347" t="s">
        <v>4052</v>
      </c>
      <c r="E3347" t="s">
        <v>4053</v>
      </c>
      <c r="F3347" t="s">
        <v>4054</v>
      </c>
      <c r="G3347">
        <v>5</v>
      </c>
      <c r="H3347" s="2">
        <v>27010.75</v>
      </c>
      <c r="I3347" s="2">
        <v>1350.54</v>
      </c>
    </row>
    <row r="3348" spans="1:9" x14ac:dyDescent="0.25">
      <c r="A3348" t="s">
        <v>1731</v>
      </c>
      <c r="B3348" t="s">
        <v>1732</v>
      </c>
      <c r="C3348" t="s">
        <v>42</v>
      </c>
      <c r="D3348" t="s">
        <v>4062</v>
      </c>
      <c r="E3348" t="s">
        <v>5728</v>
      </c>
      <c r="F3348" t="s">
        <v>42</v>
      </c>
      <c r="G3348">
        <v>1.05</v>
      </c>
      <c r="H3348" s="2">
        <v>178836</v>
      </c>
      <c r="I3348" s="2">
        <v>187777.8</v>
      </c>
    </row>
    <row r="3349" spans="1:9" x14ac:dyDescent="0.25">
      <c r="A3349" t="s">
        <v>1731</v>
      </c>
      <c r="B3349" t="s">
        <v>1732</v>
      </c>
      <c r="C3349" t="s">
        <v>42</v>
      </c>
      <c r="D3349" t="s">
        <v>4049</v>
      </c>
      <c r="E3349" t="s">
        <v>5729</v>
      </c>
      <c r="F3349" t="s">
        <v>287</v>
      </c>
      <c r="G3349">
        <v>0.15</v>
      </c>
      <c r="H3349" s="2">
        <v>3510.83</v>
      </c>
      <c r="I3349" s="2">
        <v>526.62</v>
      </c>
    </row>
    <row r="3350" spans="1:9" x14ac:dyDescent="0.25">
      <c r="A3350" t="s">
        <v>1731</v>
      </c>
      <c r="B3350" t="s">
        <v>1732</v>
      </c>
      <c r="C3350" t="s">
        <v>42</v>
      </c>
      <c r="D3350" t="s">
        <v>4049</v>
      </c>
      <c r="E3350" t="s">
        <v>4241</v>
      </c>
      <c r="F3350" t="s">
        <v>4051</v>
      </c>
      <c r="G3350">
        <v>0.2</v>
      </c>
      <c r="H3350" s="2">
        <v>9941.22</v>
      </c>
      <c r="I3350" s="2">
        <v>1988.24</v>
      </c>
    </row>
    <row r="3351" spans="1:9" x14ac:dyDescent="0.25">
      <c r="A3351" t="s">
        <v>1731</v>
      </c>
      <c r="B3351" t="s">
        <v>1732</v>
      </c>
      <c r="C3351" t="s">
        <v>42</v>
      </c>
      <c r="D3351" t="s">
        <v>4049</v>
      </c>
      <c r="E3351" t="s">
        <v>4242</v>
      </c>
      <c r="F3351" t="s">
        <v>4051</v>
      </c>
      <c r="G3351">
        <v>0.2</v>
      </c>
      <c r="H3351" s="2">
        <v>17069.53</v>
      </c>
      <c r="I3351" s="2">
        <v>3413.91</v>
      </c>
    </row>
    <row r="3352" spans="1:9" x14ac:dyDescent="0.25">
      <c r="A3352" t="s">
        <v>1731</v>
      </c>
      <c r="B3352" t="s">
        <v>1732</v>
      </c>
      <c r="C3352" t="s">
        <v>42</v>
      </c>
      <c r="D3352" t="s">
        <v>4052</v>
      </c>
      <c r="E3352" t="s">
        <v>4053</v>
      </c>
      <c r="F3352" t="s">
        <v>4054</v>
      </c>
      <c r="G3352">
        <v>5</v>
      </c>
      <c r="H3352" s="2">
        <v>5402.15</v>
      </c>
      <c r="I3352" s="2">
        <v>270.11</v>
      </c>
    </row>
    <row r="3353" spans="1:9" x14ac:dyDescent="0.25">
      <c r="A3353" t="s">
        <v>1734</v>
      </c>
      <c r="B3353" t="s">
        <v>1736</v>
      </c>
      <c r="C3353" t="s">
        <v>63</v>
      </c>
      <c r="D3353" t="s">
        <v>4062</v>
      </c>
      <c r="E3353" t="s">
        <v>1736</v>
      </c>
      <c r="F3353" t="s">
        <v>63</v>
      </c>
      <c r="G3353">
        <v>1</v>
      </c>
      <c r="H3353" s="2">
        <v>632623</v>
      </c>
      <c r="I3353" s="2">
        <v>632623</v>
      </c>
    </row>
    <row r="3354" spans="1:9" x14ac:dyDescent="0.25">
      <c r="A3354" t="s">
        <v>1734</v>
      </c>
      <c r="B3354" t="s">
        <v>1736</v>
      </c>
      <c r="C3354" t="s">
        <v>63</v>
      </c>
      <c r="D3354" t="s">
        <v>4062</v>
      </c>
      <c r="E3354" t="s">
        <v>4690</v>
      </c>
      <c r="F3354" t="s">
        <v>231</v>
      </c>
      <c r="G3354">
        <v>1</v>
      </c>
      <c r="H3354" s="2">
        <v>2025</v>
      </c>
      <c r="I3354" s="2">
        <v>2025</v>
      </c>
    </row>
    <row r="3355" spans="1:9" x14ac:dyDescent="0.25">
      <c r="A3355" t="s">
        <v>1734</v>
      </c>
      <c r="B3355" t="s">
        <v>1736</v>
      </c>
      <c r="C3355" t="s">
        <v>63</v>
      </c>
      <c r="D3355" t="s">
        <v>4062</v>
      </c>
      <c r="E3355" t="s">
        <v>4076</v>
      </c>
      <c r="F3355" t="s">
        <v>3963</v>
      </c>
      <c r="G3355">
        <v>0.25</v>
      </c>
      <c r="H3355" s="2">
        <v>21</v>
      </c>
      <c r="I3355" s="2">
        <v>5.25</v>
      </c>
    </row>
    <row r="3356" spans="1:9" x14ac:dyDescent="0.25">
      <c r="A3356" t="s">
        <v>1734</v>
      </c>
      <c r="B3356" t="s">
        <v>1736</v>
      </c>
      <c r="C3356" t="s">
        <v>63</v>
      </c>
      <c r="D3356" t="s">
        <v>4049</v>
      </c>
      <c r="E3356" t="s">
        <v>4050</v>
      </c>
      <c r="F3356" t="s">
        <v>4051</v>
      </c>
      <c r="G3356">
        <v>1.2</v>
      </c>
      <c r="H3356" s="2">
        <v>9037.33</v>
      </c>
      <c r="I3356" s="2">
        <v>10844.8</v>
      </c>
    </row>
    <row r="3357" spans="1:9" x14ac:dyDescent="0.25">
      <c r="A3357" t="s">
        <v>1734</v>
      </c>
      <c r="B3357" t="s">
        <v>1736</v>
      </c>
      <c r="C3357" t="s">
        <v>63</v>
      </c>
      <c r="D3357" t="s">
        <v>4049</v>
      </c>
      <c r="E3357" t="s">
        <v>4073</v>
      </c>
      <c r="F3357" t="s">
        <v>4051</v>
      </c>
      <c r="G3357">
        <v>1.2</v>
      </c>
      <c r="H3357" s="2">
        <v>15517.89</v>
      </c>
      <c r="I3357" s="2">
        <v>18621.47</v>
      </c>
    </row>
    <row r="3358" spans="1:9" x14ac:dyDescent="0.25">
      <c r="A3358" t="s">
        <v>1734</v>
      </c>
      <c r="B3358" t="s">
        <v>1736</v>
      </c>
      <c r="C3358" t="s">
        <v>63</v>
      </c>
      <c r="D3358" t="s">
        <v>4052</v>
      </c>
      <c r="E3358" t="s">
        <v>4053</v>
      </c>
      <c r="F3358" t="s">
        <v>4054</v>
      </c>
      <c r="G3358">
        <v>5</v>
      </c>
      <c r="H3358" s="2">
        <v>29466.27</v>
      </c>
      <c r="I3358" s="2">
        <v>1473.31</v>
      </c>
    </row>
    <row r="3359" spans="1:9" x14ac:dyDescent="0.25">
      <c r="A3359" t="s">
        <v>1738</v>
      </c>
      <c r="B3359" t="s">
        <v>1739</v>
      </c>
      <c r="C3359" t="s">
        <v>63</v>
      </c>
      <c r="D3359" t="s">
        <v>4062</v>
      </c>
      <c r="E3359" t="s">
        <v>5735</v>
      </c>
      <c r="F3359" t="s">
        <v>63</v>
      </c>
      <c r="G3359">
        <v>1</v>
      </c>
      <c r="H3359" s="2">
        <v>74133</v>
      </c>
      <c r="I3359" s="2">
        <v>74133</v>
      </c>
    </row>
    <row r="3360" spans="1:9" x14ac:dyDescent="0.25">
      <c r="A3360" t="s">
        <v>1738</v>
      </c>
      <c r="B3360" t="s">
        <v>1739</v>
      </c>
      <c r="C3360" t="s">
        <v>63</v>
      </c>
      <c r="D3360" t="s">
        <v>4049</v>
      </c>
      <c r="E3360" t="s">
        <v>4241</v>
      </c>
      <c r="F3360" t="s">
        <v>4051</v>
      </c>
      <c r="G3360">
        <v>0.3</v>
      </c>
      <c r="H3360" s="2">
        <v>9941.22</v>
      </c>
      <c r="I3360" s="2">
        <v>2982.37</v>
      </c>
    </row>
    <row r="3361" spans="1:9" x14ac:dyDescent="0.25">
      <c r="A3361" t="s">
        <v>1738</v>
      </c>
      <c r="B3361" t="s">
        <v>1739</v>
      </c>
      <c r="C3361" t="s">
        <v>63</v>
      </c>
      <c r="D3361" t="s">
        <v>4049</v>
      </c>
      <c r="E3361" t="s">
        <v>4242</v>
      </c>
      <c r="F3361" t="s">
        <v>4051</v>
      </c>
      <c r="G3361">
        <v>0.3</v>
      </c>
      <c r="H3361" s="2">
        <v>17069.53</v>
      </c>
      <c r="I3361" s="2">
        <v>5120.86</v>
      </c>
    </row>
    <row r="3362" spans="1:9" x14ac:dyDescent="0.25">
      <c r="A3362" t="s">
        <v>1738</v>
      </c>
      <c r="B3362" t="s">
        <v>1739</v>
      </c>
      <c r="C3362" t="s">
        <v>63</v>
      </c>
      <c r="D3362" t="s">
        <v>4052</v>
      </c>
      <c r="E3362" t="s">
        <v>4053</v>
      </c>
      <c r="F3362" t="s">
        <v>4054</v>
      </c>
      <c r="G3362">
        <v>5</v>
      </c>
      <c r="H3362" s="2">
        <v>8103.23</v>
      </c>
      <c r="I3362" s="2">
        <v>405.16</v>
      </c>
    </row>
    <row r="3363" spans="1:9" x14ac:dyDescent="0.25">
      <c r="A3363" t="s">
        <v>1741</v>
      </c>
      <c r="B3363" t="s">
        <v>1742</v>
      </c>
      <c r="C3363" t="s">
        <v>63</v>
      </c>
      <c r="D3363" t="s">
        <v>4062</v>
      </c>
      <c r="E3363" t="s">
        <v>4690</v>
      </c>
      <c r="F3363" t="s">
        <v>231</v>
      </c>
      <c r="G3363">
        <v>1</v>
      </c>
      <c r="H3363" s="2">
        <v>2025</v>
      </c>
      <c r="I3363" s="2">
        <v>2025</v>
      </c>
    </row>
    <row r="3364" spans="1:9" x14ac:dyDescent="0.25">
      <c r="A3364" t="s">
        <v>1741</v>
      </c>
      <c r="B3364" t="s">
        <v>1742</v>
      </c>
      <c r="C3364" t="s">
        <v>63</v>
      </c>
      <c r="D3364" t="s">
        <v>4062</v>
      </c>
      <c r="E3364" t="s">
        <v>5738</v>
      </c>
      <c r="F3364" t="s">
        <v>63</v>
      </c>
      <c r="G3364">
        <v>1</v>
      </c>
      <c r="H3364" s="2">
        <v>158317</v>
      </c>
      <c r="I3364" s="2">
        <v>158317</v>
      </c>
    </row>
    <row r="3365" spans="1:9" x14ac:dyDescent="0.25">
      <c r="A3365" t="s">
        <v>1741</v>
      </c>
      <c r="B3365" t="s">
        <v>1742</v>
      </c>
      <c r="C3365" t="s">
        <v>63</v>
      </c>
      <c r="D3365" t="s">
        <v>4062</v>
      </c>
      <c r="E3365" t="s">
        <v>4076</v>
      </c>
      <c r="F3365" t="s">
        <v>3963</v>
      </c>
      <c r="G3365">
        <v>2.85</v>
      </c>
      <c r="H3365" s="2">
        <v>21</v>
      </c>
      <c r="I3365" s="2">
        <v>59.85</v>
      </c>
    </row>
    <row r="3366" spans="1:9" x14ac:dyDescent="0.25">
      <c r="A3366" t="s">
        <v>1741</v>
      </c>
      <c r="B3366" t="s">
        <v>1742</v>
      </c>
      <c r="C3366" t="s">
        <v>63</v>
      </c>
      <c r="D3366" t="s">
        <v>4049</v>
      </c>
      <c r="E3366" t="s">
        <v>4241</v>
      </c>
      <c r="F3366" t="s">
        <v>4051</v>
      </c>
      <c r="G3366">
        <v>0.5</v>
      </c>
      <c r="H3366" s="2">
        <v>9941.22</v>
      </c>
      <c r="I3366" s="2">
        <v>4970.61</v>
      </c>
    </row>
    <row r="3367" spans="1:9" x14ac:dyDescent="0.25">
      <c r="A3367" t="s">
        <v>1741</v>
      </c>
      <c r="B3367" t="s">
        <v>1742</v>
      </c>
      <c r="C3367" t="s">
        <v>63</v>
      </c>
      <c r="D3367" t="s">
        <v>4049</v>
      </c>
      <c r="E3367" t="s">
        <v>4242</v>
      </c>
      <c r="F3367" t="s">
        <v>4051</v>
      </c>
      <c r="G3367">
        <v>0.5</v>
      </c>
      <c r="H3367" s="2">
        <v>17069.53</v>
      </c>
      <c r="I3367" s="2">
        <v>8534.76</v>
      </c>
    </row>
    <row r="3368" spans="1:9" x14ac:dyDescent="0.25">
      <c r="A3368" t="s">
        <v>1741</v>
      </c>
      <c r="B3368" t="s">
        <v>1742</v>
      </c>
      <c r="C3368" t="s">
        <v>63</v>
      </c>
      <c r="D3368" t="s">
        <v>4052</v>
      </c>
      <c r="E3368" t="s">
        <v>4053</v>
      </c>
      <c r="F3368" t="s">
        <v>4054</v>
      </c>
      <c r="G3368">
        <v>5</v>
      </c>
      <c r="H3368" s="2">
        <v>13505.37</v>
      </c>
      <c r="I3368" s="2">
        <v>675.27</v>
      </c>
    </row>
    <row r="3369" spans="1:9" x14ac:dyDescent="0.25">
      <c r="A3369" t="s">
        <v>1744</v>
      </c>
      <c r="B3369" t="s">
        <v>1745</v>
      </c>
      <c r="C3369" t="s">
        <v>63</v>
      </c>
      <c r="D3369" t="s">
        <v>4062</v>
      </c>
      <c r="E3369" t="s">
        <v>4690</v>
      </c>
      <c r="F3369" t="s">
        <v>231</v>
      </c>
      <c r="G3369">
        <v>0.5</v>
      </c>
      <c r="H3369" s="2">
        <v>2025</v>
      </c>
      <c r="I3369" s="2">
        <v>1012.5</v>
      </c>
    </row>
    <row r="3370" spans="1:9" x14ac:dyDescent="0.25">
      <c r="A3370" t="s">
        <v>1744</v>
      </c>
      <c r="B3370" t="s">
        <v>1745</v>
      </c>
      <c r="C3370" t="s">
        <v>63</v>
      </c>
      <c r="D3370" t="s">
        <v>4062</v>
      </c>
      <c r="E3370" t="s">
        <v>4076</v>
      </c>
      <c r="F3370" t="s">
        <v>3963</v>
      </c>
      <c r="G3370">
        <v>2.85</v>
      </c>
      <c r="H3370" s="2">
        <v>21</v>
      </c>
      <c r="I3370" s="2">
        <v>59.85</v>
      </c>
    </row>
    <row r="3371" spans="1:9" x14ac:dyDescent="0.25">
      <c r="A3371" t="s">
        <v>1744</v>
      </c>
      <c r="B3371" t="s">
        <v>1745</v>
      </c>
      <c r="C3371" t="s">
        <v>63</v>
      </c>
      <c r="D3371" t="s">
        <v>4062</v>
      </c>
      <c r="E3371" t="s">
        <v>5741</v>
      </c>
      <c r="F3371" t="s">
        <v>63</v>
      </c>
      <c r="G3371">
        <v>1</v>
      </c>
      <c r="H3371" s="2">
        <v>279032</v>
      </c>
      <c r="I3371" s="2">
        <v>279032</v>
      </c>
    </row>
    <row r="3372" spans="1:9" x14ac:dyDescent="0.25">
      <c r="A3372" t="s">
        <v>1744</v>
      </c>
      <c r="B3372" t="s">
        <v>1745</v>
      </c>
      <c r="C3372" t="s">
        <v>63</v>
      </c>
      <c r="D3372" t="s">
        <v>4049</v>
      </c>
      <c r="E3372" t="s">
        <v>4241</v>
      </c>
      <c r="F3372" t="s">
        <v>4051</v>
      </c>
      <c r="G3372">
        <v>1.6</v>
      </c>
      <c r="H3372" s="2">
        <v>9941.22</v>
      </c>
      <c r="I3372" s="2">
        <v>15905.95</v>
      </c>
    </row>
    <row r="3373" spans="1:9" x14ac:dyDescent="0.25">
      <c r="A3373" t="s">
        <v>1744</v>
      </c>
      <c r="B3373" t="s">
        <v>1745</v>
      </c>
      <c r="C3373" t="s">
        <v>63</v>
      </c>
      <c r="D3373" t="s">
        <v>4049</v>
      </c>
      <c r="E3373" t="s">
        <v>4242</v>
      </c>
      <c r="F3373" t="s">
        <v>4051</v>
      </c>
      <c r="G3373">
        <v>1.6</v>
      </c>
      <c r="H3373" s="2">
        <v>17069.53</v>
      </c>
      <c r="I3373" s="2">
        <v>27311.25</v>
      </c>
    </row>
    <row r="3374" spans="1:9" x14ac:dyDescent="0.25">
      <c r="A3374" t="s">
        <v>1744</v>
      </c>
      <c r="B3374" t="s">
        <v>1745</v>
      </c>
      <c r="C3374" t="s">
        <v>63</v>
      </c>
      <c r="D3374" t="s">
        <v>4052</v>
      </c>
      <c r="E3374" t="s">
        <v>4053</v>
      </c>
      <c r="F3374" t="s">
        <v>4054</v>
      </c>
      <c r="G3374">
        <v>5</v>
      </c>
      <c r="H3374" s="2">
        <v>43217.2</v>
      </c>
      <c r="I3374" s="2">
        <v>2160.86</v>
      </c>
    </row>
    <row r="3375" spans="1:9" x14ac:dyDescent="0.25">
      <c r="A3375" t="s">
        <v>1747</v>
      </c>
      <c r="B3375" t="s">
        <v>1748</v>
      </c>
      <c r="C3375" t="s">
        <v>63</v>
      </c>
      <c r="D3375" t="s">
        <v>4062</v>
      </c>
      <c r="E3375" t="s">
        <v>4690</v>
      </c>
      <c r="F3375" t="s">
        <v>231</v>
      </c>
      <c r="G3375">
        <v>1</v>
      </c>
      <c r="H3375" s="2">
        <v>2025</v>
      </c>
      <c r="I3375" s="2">
        <v>2025</v>
      </c>
    </row>
    <row r="3376" spans="1:9" x14ac:dyDescent="0.25">
      <c r="A3376" t="s">
        <v>1747</v>
      </c>
      <c r="B3376" t="s">
        <v>1748</v>
      </c>
      <c r="C3376" t="s">
        <v>63</v>
      </c>
      <c r="D3376" t="s">
        <v>4062</v>
      </c>
      <c r="E3376" t="s">
        <v>4076</v>
      </c>
      <c r="F3376" t="s">
        <v>3963</v>
      </c>
      <c r="G3376">
        <v>2.85</v>
      </c>
      <c r="H3376" s="2">
        <v>21</v>
      </c>
      <c r="I3376" s="2">
        <v>59.85</v>
      </c>
    </row>
    <row r="3377" spans="1:9" x14ac:dyDescent="0.25">
      <c r="A3377" t="s">
        <v>1747</v>
      </c>
      <c r="B3377" t="s">
        <v>1748</v>
      </c>
      <c r="C3377" t="s">
        <v>63</v>
      </c>
      <c r="D3377" t="s">
        <v>4062</v>
      </c>
      <c r="E3377" t="s">
        <v>5744</v>
      </c>
      <c r="F3377" t="s">
        <v>63</v>
      </c>
      <c r="G3377">
        <v>1</v>
      </c>
      <c r="H3377" s="2">
        <v>299923</v>
      </c>
      <c r="I3377" s="2">
        <v>299923</v>
      </c>
    </row>
    <row r="3378" spans="1:9" x14ac:dyDescent="0.25">
      <c r="A3378" t="s">
        <v>1747</v>
      </c>
      <c r="B3378" t="s">
        <v>1748</v>
      </c>
      <c r="C3378" t="s">
        <v>63</v>
      </c>
      <c r="D3378" t="s">
        <v>4049</v>
      </c>
      <c r="E3378" t="s">
        <v>4050</v>
      </c>
      <c r="F3378" t="s">
        <v>4051</v>
      </c>
      <c r="G3378">
        <v>1.6</v>
      </c>
      <c r="H3378" s="2">
        <v>9037.33</v>
      </c>
      <c r="I3378" s="2">
        <v>14459.73</v>
      </c>
    </row>
    <row r="3379" spans="1:9" x14ac:dyDescent="0.25">
      <c r="A3379" t="s">
        <v>1747</v>
      </c>
      <c r="B3379" t="s">
        <v>1748</v>
      </c>
      <c r="C3379" t="s">
        <v>63</v>
      </c>
      <c r="D3379" t="s">
        <v>4049</v>
      </c>
      <c r="E3379" t="s">
        <v>4242</v>
      </c>
      <c r="F3379" t="s">
        <v>4051</v>
      </c>
      <c r="G3379">
        <v>1.6</v>
      </c>
      <c r="H3379" s="2">
        <v>17069.53</v>
      </c>
      <c r="I3379" s="2">
        <v>27311.25</v>
      </c>
    </row>
    <row r="3380" spans="1:9" x14ac:dyDescent="0.25">
      <c r="A3380" t="s">
        <v>1747</v>
      </c>
      <c r="B3380" t="s">
        <v>1748</v>
      </c>
      <c r="C3380" t="s">
        <v>63</v>
      </c>
      <c r="D3380" t="s">
        <v>4052</v>
      </c>
      <c r="E3380" t="s">
        <v>4053</v>
      </c>
      <c r="F3380" t="s">
        <v>4054</v>
      </c>
      <c r="G3380">
        <v>5</v>
      </c>
      <c r="H3380" s="2">
        <v>41770.98</v>
      </c>
      <c r="I3380" s="2">
        <v>2088.55</v>
      </c>
    </row>
    <row r="3381" spans="1:9" x14ac:dyDescent="0.25">
      <c r="A3381" t="s">
        <v>1750</v>
      </c>
      <c r="B3381" t="s">
        <v>1751</v>
      </c>
      <c r="C3381" t="s">
        <v>63</v>
      </c>
      <c r="D3381" t="s">
        <v>4062</v>
      </c>
      <c r="E3381" t="s">
        <v>5747</v>
      </c>
      <c r="F3381" t="s">
        <v>63</v>
      </c>
      <c r="G3381">
        <v>1</v>
      </c>
      <c r="H3381" s="2">
        <v>142000</v>
      </c>
      <c r="I3381" s="2">
        <v>142000</v>
      </c>
    </row>
    <row r="3382" spans="1:9" x14ac:dyDescent="0.25">
      <c r="A3382" t="s">
        <v>1750</v>
      </c>
      <c r="B3382" t="s">
        <v>1751</v>
      </c>
      <c r="C3382" t="s">
        <v>63</v>
      </c>
      <c r="D3382" t="s">
        <v>4049</v>
      </c>
      <c r="E3382" t="s">
        <v>5729</v>
      </c>
      <c r="F3382" t="s">
        <v>287</v>
      </c>
      <c r="G3382">
        <v>0.02</v>
      </c>
      <c r="H3382" s="2">
        <v>3510.83</v>
      </c>
      <c r="I3382" s="2">
        <v>70.22</v>
      </c>
    </row>
    <row r="3383" spans="1:9" x14ac:dyDescent="0.25">
      <c r="A3383" t="s">
        <v>1750</v>
      </c>
      <c r="B3383" t="s">
        <v>1751</v>
      </c>
      <c r="C3383" t="s">
        <v>63</v>
      </c>
      <c r="D3383" t="s">
        <v>4049</v>
      </c>
      <c r="E3383" t="s">
        <v>4050</v>
      </c>
      <c r="F3383" t="s">
        <v>4051</v>
      </c>
      <c r="G3383">
        <v>0.5</v>
      </c>
      <c r="H3383" s="2">
        <v>9037.33</v>
      </c>
      <c r="I3383" s="2">
        <v>4518.66</v>
      </c>
    </row>
    <row r="3384" spans="1:9" x14ac:dyDescent="0.25">
      <c r="A3384" t="s">
        <v>1750</v>
      </c>
      <c r="B3384" t="s">
        <v>1751</v>
      </c>
      <c r="C3384" t="s">
        <v>63</v>
      </c>
      <c r="D3384" t="s">
        <v>4049</v>
      </c>
      <c r="E3384" t="s">
        <v>4073</v>
      </c>
      <c r="F3384" t="s">
        <v>4051</v>
      </c>
      <c r="G3384">
        <v>0.5</v>
      </c>
      <c r="H3384" s="2">
        <v>15517.89</v>
      </c>
      <c r="I3384" s="2">
        <v>7758.94</v>
      </c>
    </row>
    <row r="3385" spans="1:9" x14ac:dyDescent="0.25">
      <c r="A3385" t="s">
        <v>1750</v>
      </c>
      <c r="B3385" t="s">
        <v>1751</v>
      </c>
      <c r="C3385" t="s">
        <v>63</v>
      </c>
      <c r="D3385" t="s">
        <v>4052</v>
      </c>
      <c r="E3385" t="s">
        <v>4053</v>
      </c>
      <c r="F3385" t="s">
        <v>4054</v>
      </c>
      <c r="G3385">
        <v>5</v>
      </c>
      <c r="H3385" s="2">
        <v>12277.6</v>
      </c>
      <c r="I3385" s="2">
        <v>613.88</v>
      </c>
    </row>
    <row r="3386" spans="1:9" x14ac:dyDescent="0.25">
      <c r="A3386" t="s">
        <v>1753</v>
      </c>
      <c r="B3386" t="s">
        <v>1754</v>
      </c>
      <c r="C3386" t="s">
        <v>63</v>
      </c>
      <c r="D3386" t="s">
        <v>4062</v>
      </c>
      <c r="E3386" t="s">
        <v>5750</v>
      </c>
      <c r="F3386" t="s">
        <v>63</v>
      </c>
      <c r="G3386">
        <v>1</v>
      </c>
      <c r="H3386" s="2">
        <v>245950</v>
      </c>
      <c r="I3386" s="2">
        <v>245950</v>
      </c>
    </row>
    <row r="3387" spans="1:9" x14ac:dyDescent="0.25">
      <c r="A3387" t="s">
        <v>1753</v>
      </c>
      <c r="B3387" t="s">
        <v>1754</v>
      </c>
      <c r="C3387" t="s">
        <v>63</v>
      </c>
      <c r="D3387" t="s">
        <v>4049</v>
      </c>
      <c r="E3387" t="s">
        <v>4050</v>
      </c>
      <c r="F3387" t="s">
        <v>4051</v>
      </c>
      <c r="G3387">
        <v>0.25</v>
      </c>
      <c r="H3387" s="2">
        <v>9037.33</v>
      </c>
      <c r="I3387" s="2">
        <v>2259.33</v>
      </c>
    </row>
    <row r="3388" spans="1:9" x14ac:dyDescent="0.25">
      <c r="A3388" t="s">
        <v>1753</v>
      </c>
      <c r="B3388" t="s">
        <v>1754</v>
      </c>
      <c r="C3388" t="s">
        <v>63</v>
      </c>
      <c r="D3388" t="s">
        <v>4049</v>
      </c>
      <c r="E3388" t="s">
        <v>4073</v>
      </c>
      <c r="F3388" t="s">
        <v>4051</v>
      </c>
      <c r="G3388">
        <v>0.25</v>
      </c>
      <c r="H3388" s="2">
        <v>15517.89</v>
      </c>
      <c r="I3388" s="2">
        <v>3879.47</v>
      </c>
    </row>
    <row r="3389" spans="1:9" x14ac:dyDescent="0.25">
      <c r="A3389" t="s">
        <v>1753</v>
      </c>
      <c r="B3389" t="s">
        <v>1754</v>
      </c>
      <c r="C3389" t="s">
        <v>63</v>
      </c>
      <c r="D3389" t="s">
        <v>4052</v>
      </c>
      <c r="E3389" t="s">
        <v>5729</v>
      </c>
      <c r="F3389" t="s">
        <v>287</v>
      </c>
      <c r="G3389">
        <v>0.2</v>
      </c>
      <c r="H3389" s="2">
        <v>3510.83</v>
      </c>
      <c r="I3389" s="2">
        <v>702.17</v>
      </c>
    </row>
    <row r="3390" spans="1:9" x14ac:dyDescent="0.25">
      <c r="A3390" t="s">
        <v>1753</v>
      </c>
      <c r="B3390" t="s">
        <v>1754</v>
      </c>
      <c r="C3390" t="s">
        <v>63</v>
      </c>
      <c r="D3390" t="s">
        <v>4052</v>
      </c>
      <c r="E3390" t="s">
        <v>4053</v>
      </c>
      <c r="F3390" t="s">
        <v>4054</v>
      </c>
      <c r="G3390">
        <v>5</v>
      </c>
      <c r="H3390" s="2">
        <v>6138.8</v>
      </c>
      <c r="I3390" s="2">
        <v>306.94</v>
      </c>
    </row>
    <row r="3391" spans="1:9" x14ac:dyDescent="0.25">
      <c r="A3391" t="s">
        <v>1757</v>
      </c>
      <c r="B3391" t="s">
        <v>1758</v>
      </c>
      <c r="C3391" t="s">
        <v>63</v>
      </c>
      <c r="D3391" t="s">
        <v>4062</v>
      </c>
      <c r="E3391" t="s">
        <v>4690</v>
      </c>
      <c r="F3391" t="s">
        <v>231</v>
      </c>
      <c r="G3391">
        <v>1</v>
      </c>
      <c r="H3391" s="2">
        <v>2025</v>
      </c>
      <c r="I3391" s="2">
        <v>2025</v>
      </c>
    </row>
    <row r="3392" spans="1:9" x14ac:dyDescent="0.25">
      <c r="A3392" t="s">
        <v>1757</v>
      </c>
      <c r="B3392" t="s">
        <v>1758</v>
      </c>
      <c r="C3392" t="s">
        <v>63</v>
      </c>
      <c r="D3392" t="s">
        <v>4062</v>
      </c>
      <c r="E3392" t="s">
        <v>5753</v>
      </c>
      <c r="F3392" t="s">
        <v>63</v>
      </c>
      <c r="G3392">
        <v>1</v>
      </c>
      <c r="H3392" s="2">
        <v>781350</v>
      </c>
      <c r="I3392" s="2">
        <v>781350</v>
      </c>
    </row>
    <row r="3393" spans="1:9" x14ac:dyDescent="0.25">
      <c r="A3393" t="s">
        <v>1757</v>
      </c>
      <c r="B3393" t="s">
        <v>1758</v>
      </c>
      <c r="C3393" t="s">
        <v>63</v>
      </c>
      <c r="D3393" t="s">
        <v>4049</v>
      </c>
      <c r="E3393" t="s">
        <v>5729</v>
      </c>
      <c r="F3393" t="s">
        <v>287</v>
      </c>
      <c r="G3393">
        <v>0.2</v>
      </c>
      <c r="H3393" s="2">
        <v>3510.83</v>
      </c>
      <c r="I3393" s="2">
        <v>702.17</v>
      </c>
    </row>
    <row r="3394" spans="1:9" x14ac:dyDescent="0.25">
      <c r="A3394" t="s">
        <v>1757</v>
      </c>
      <c r="B3394" t="s">
        <v>1758</v>
      </c>
      <c r="C3394" t="s">
        <v>63</v>
      </c>
      <c r="D3394" t="s">
        <v>4049</v>
      </c>
      <c r="E3394" t="s">
        <v>4050</v>
      </c>
      <c r="F3394" t="s">
        <v>4051</v>
      </c>
      <c r="G3394">
        <v>0.75</v>
      </c>
      <c r="H3394" s="2">
        <v>9037.33</v>
      </c>
      <c r="I3394" s="2">
        <v>6778</v>
      </c>
    </row>
    <row r="3395" spans="1:9" x14ac:dyDescent="0.25">
      <c r="A3395" t="s">
        <v>1757</v>
      </c>
      <c r="B3395" t="s">
        <v>1758</v>
      </c>
      <c r="C3395" t="s">
        <v>63</v>
      </c>
      <c r="D3395" t="s">
        <v>4049</v>
      </c>
      <c r="E3395" t="s">
        <v>4242</v>
      </c>
      <c r="F3395" t="s">
        <v>4051</v>
      </c>
      <c r="G3395">
        <v>0.75</v>
      </c>
      <c r="H3395" s="2">
        <v>17069.53</v>
      </c>
      <c r="I3395" s="2">
        <v>12802.15</v>
      </c>
    </row>
    <row r="3396" spans="1:9" x14ac:dyDescent="0.25">
      <c r="A3396" t="s">
        <v>1757</v>
      </c>
      <c r="B3396" t="s">
        <v>1758</v>
      </c>
      <c r="C3396" t="s">
        <v>63</v>
      </c>
      <c r="D3396" t="s">
        <v>4052</v>
      </c>
      <c r="E3396" t="s">
        <v>4053</v>
      </c>
      <c r="F3396" t="s">
        <v>4054</v>
      </c>
      <c r="G3396">
        <v>5</v>
      </c>
      <c r="H3396" s="2">
        <v>19580.15</v>
      </c>
      <c r="I3396" s="2">
        <v>979.01</v>
      </c>
    </row>
    <row r="3397" spans="1:9" x14ac:dyDescent="0.25">
      <c r="A3397" t="s">
        <v>1760</v>
      </c>
      <c r="B3397" t="s">
        <v>1761</v>
      </c>
      <c r="C3397" t="s">
        <v>63</v>
      </c>
      <c r="D3397" t="s">
        <v>4062</v>
      </c>
      <c r="E3397" t="s">
        <v>4691</v>
      </c>
      <c r="F3397" t="s">
        <v>4532</v>
      </c>
      <c r="G3397">
        <v>1</v>
      </c>
      <c r="H3397" s="2">
        <v>748</v>
      </c>
      <c r="I3397" s="2">
        <v>748</v>
      </c>
    </row>
    <row r="3398" spans="1:9" x14ac:dyDescent="0.25">
      <c r="A3398" t="s">
        <v>1760</v>
      </c>
      <c r="B3398" t="s">
        <v>1761</v>
      </c>
      <c r="C3398" t="s">
        <v>63</v>
      </c>
      <c r="D3398" t="s">
        <v>4062</v>
      </c>
      <c r="E3398" t="s">
        <v>5756</v>
      </c>
      <c r="F3398" t="s">
        <v>63</v>
      </c>
      <c r="G3398">
        <v>1</v>
      </c>
      <c r="H3398" s="2">
        <v>35950</v>
      </c>
      <c r="I3398" s="2">
        <v>35950</v>
      </c>
    </row>
    <row r="3399" spans="1:9" x14ac:dyDescent="0.25">
      <c r="A3399" t="s">
        <v>1760</v>
      </c>
      <c r="B3399" t="s">
        <v>1761</v>
      </c>
      <c r="C3399" t="s">
        <v>63</v>
      </c>
      <c r="D3399" t="s">
        <v>4062</v>
      </c>
      <c r="E3399" t="s">
        <v>4659</v>
      </c>
      <c r="F3399" t="s">
        <v>4377</v>
      </c>
      <c r="G3399">
        <v>0.01</v>
      </c>
      <c r="H3399" s="2">
        <v>31500</v>
      </c>
      <c r="I3399" s="2">
        <v>315</v>
      </c>
    </row>
    <row r="3400" spans="1:9" x14ac:dyDescent="0.25">
      <c r="A3400" t="s">
        <v>1760</v>
      </c>
      <c r="B3400" t="s">
        <v>1761</v>
      </c>
      <c r="C3400" t="s">
        <v>63</v>
      </c>
      <c r="D3400" t="s">
        <v>4062</v>
      </c>
      <c r="E3400" t="s">
        <v>4376</v>
      </c>
      <c r="F3400" t="s">
        <v>4377</v>
      </c>
      <c r="G3400">
        <v>0.01</v>
      </c>
      <c r="H3400" s="2">
        <v>72237.67</v>
      </c>
      <c r="I3400" s="2">
        <v>722.38</v>
      </c>
    </row>
    <row r="3401" spans="1:9" x14ac:dyDescent="0.25">
      <c r="A3401" t="s">
        <v>1760</v>
      </c>
      <c r="B3401" t="s">
        <v>1761</v>
      </c>
      <c r="C3401" t="s">
        <v>63</v>
      </c>
      <c r="D3401" t="s">
        <v>4049</v>
      </c>
      <c r="E3401" t="s">
        <v>4241</v>
      </c>
      <c r="F3401" t="s">
        <v>4051</v>
      </c>
      <c r="G3401">
        <v>0.3</v>
      </c>
      <c r="H3401" s="2">
        <v>9941.22</v>
      </c>
      <c r="I3401" s="2">
        <v>2982.37</v>
      </c>
    </row>
    <row r="3402" spans="1:9" x14ac:dyDescent="0.25">
      <c r="A3402" t="s">
        <v>1760</v>
      </c>
      <c r="B3402" t="s">
        <v>1761</v>
      </c>
      <c r="C3402" t="s">
        <v>63</v>
      </c>
      <c r="D3402" t="s">
        <v>4049</v>
      </c>
      <c r="E3402" t="s">
        <v>4242</v>
      </c>
      <c r="F3402" t="s">
        <v>4051</v>
      </c>
      <c r="G3402">
        <v>0.3</v>
      </c>
      <c r="H3402" s="2">
        <v>17069.53</v>
      </c>
      <c r="I3402" s="2">
        <v>5120.86</v>
      </c>
    </row>
    <row r="3403" spans="1:9" x14ac:dyDescent="0.25">
      <c r="A3403" t="s">
        <v>1760</v>
      </c>
      <c r="B3403" t="s">
        <v>1761</v>
      </c>
      <c r="C3403" t="s">
        <v>63</v>
      </c>
      <c r="D3403" t="s">
        <v>4052</v>
      </c>
      <c r="E3403" t="s">
        <v>4053</v>
      </c>
      <c r="F3403" t="s">
        <v>4054</v>
      </c>
      <c r="G3403">
        <v>5</v>
      </c>
      <c r="H3403" s="2">
        <v>8103.23</v>
      </c>
      <c r="I3403" s="2">
        <v>405.16</v>
      </c>
    </row>
    <row r="3404" spans="1:9" x14ac:dyDescent="0.25">
      <c r="A3404" t="s">
        <v>1763</v>
      </c>
      <c r="B3404" t="s">
        <v>1764</v>
      </c>
      <c r="C3404" t="s">
        <v>63</v>
      </c>
      <c r="D3404" t="s">
        <v>4062</v>
      </c>
      <c r="E3404" t="s">
        <v>4690</v>
      </c>
      <c r="F3404" t="s">
        <v>231</v>
      </c>
      <c r="G3404">
        <v>1</v>
      </c>
      <c r="H3404" s="2">
        <v>2025</v>
      </c>
      <c r="I3404" s="2">
        <v>2025</v>
      </c>
    </row>
    <row r="3405" spans="1:9" x14ac:dyDescent="0.25">
      <c r="A3405" t="s">
        <v>1763</v>
      </c>
      <c r="B3405" t="s">
        <v>1764</v>
      </c>
      <c r="C3405" t="s">
        <v>63</v>
      </c>
      <c r="D3405" t="s">
        <v>4062</v>
      </c>
      <c r="E3405" t="s">
        <v>5759</v>
      </c>
      <c r="F3405" t="s">
        <v>63</v>
      </c>
      <c r="G3405">
        <v>1</v>
      </c>
      <c r="H3405" s="2">
        <v>75850</v>
      </c>
      <c r="I3405" s="2">
        <v>75850</v>
      </c>
    </row>
    <row r="3406" spans="1:9" x14ac:dyDescent="0.25">
      <c r="A3406" t="s">
        <v>1763</v>
      </c>
      <c r="B3406" t="s">
        <v>1764</v>
      </c>
      <c r="C3406" t="s">
        <v>63</v>
      </c>
      <c r="D3406" t="s">
        <v>4049</v>
      </c>
      <c r="E3406" t="s">
        <v>4241</v>
      </c>
      <c r="F3406" t="s">
        <v>4051</v>
      </c>
      <c r="G3406">
        <v>1</v>
      </c>
      <c r="H3406" s="2">
        <v>9941.22</v>
      </c>
      <c r="I3406" s="2">
        <v>9941.22</v>
      </c>
    </row>
    <row r="3407" spans="1:9" x14ac:dyDescent="0.25">
      <c r="A3407" t="s">
        <v>1763</v>
      </c>
      <c r="B3407" t="s">
        <v>1764</v>
      </c>
      <c r="C3407" t="s">
        <v>63</v>
      </c>
      <c r="D3407" t="s">
        <v>4049</v>
      </c>
      <c r="E3407" t="s">
        <v>4242</v>
      </c>
      <c r="F3407" t="s">
        <v>4051</v>
      </c>
      <c r="G3407">
        <v>1</v>
      </c>
      <c r="H3407" s="2">
        <v>17069.53</v>
      </c>
      <c r="I3407" s="2">
        <v>17069.53</v>
      </c>
    </row>
    <row r="3408" spans="1:9" x14ac:dyDescent="0.25">
      <c r="A3408" t="s">
        <v>1763</v>
      </c>
      <c r="B3408" t="s">
        <v>1764</v>
      </c>
      <c r="C3408" t="s">
        <v>63</v>
      </c>
      <c r="D3408" t="s">
        <v>4052</v>
      </c>
      <c r="E3408" t="s">
        <v>4053</v>
      </c>
      <c r="F3408" t="s">
        <v>4054</v>
      </c>
      <c r="G3408">
        <v>5</v>
      </c>
      <c r="H3408" s="2">
        <v>27010.75</v>
      </c>
      <c r="I3408" s="2">
        <v>1350.54</v>
      </c>
    </row>
    <row r="3409" spans="1:9" x14ac:dyDescent="0.25">
      <c r="A3409" t="s">
        <v>1766</v>
      </c>
      <c r="B3409" t="s">
        <v>1767</v>
      </c>
      <c r="C3409" t="s">
        <v>63</v>
      </c>
      <c r="D3409" t="s">
        <v>4062</v>
      </c>
      <c r="E3409" t="s">
        <v>4690</v>
      </c>
      <c r="F3409" t="s">
        <v>231</v>
      </c>
      <c r="G3409">
        <v>1</v>
      </c>
      <c r="H3409" s="2">
        <v>2025</v>
      </c>
      <c r="I3409" s="2">
        <v>2025</v>
      </c>
    </row>
    <row r="3410" spans="1:9" x14ac:dyDescent="0.25">
      <c r="A3410" t="s">
        <v>1766</v>
      </c>
      <c r="B3410" t="s">
        <v>1767</v>
      </c>
      <c r="C3410" t="s">
        <v>63</v>
      </c>
      <c r="D3410" t="s">
        <v>4062</v>
      </c>
      <c r="E3410" t="s">
        <v>5762</v>
      </c>
      <c r="F3410" t="s">
        <v>63</v>
      </c>
      <c r="G3410">
        <v>1</v>
      </c>
      <c r="H3410" s="2">
        <v>263267</v>
      </c>
      <c r="I3410" s="2">
        <v>263267</v>
      </c>
    </row>
    <row r="3411" spans="1:9" x14ac:dyDescent="0.25">
      <c r="A3411" t="s">
        <v>1766</v>
      </c>
      <c r="B3411" t="s">
        <v>1767</v>
      </c>
      <c r="C3411" t="s">
        <v>63</v>
      </c>
      <c r="D3411" t="s">
        <v>4049</v>
      </c>
      <c r="E3411" t="s">
        <v>4241</v>
      </c>
      <c r="F3411" t="s">
        <v>4051</v>
      </c>
      <c r="G3411">
        <v>1</v>
      </c>
      <c r="H3411" s="2">
        <v>9941.22</v>
      </c>
      <c r="I3411" s="2">
        <v>9941.22</v>
      </c>
    </row>
    <row r="3412" spans="1:9" x14ac:dyDescent="0.25">
      <c r="A3412" t="s">
        <v>1766</v>
      </c>
      <c r="B3412" t="s">
        <v>1767</v>
      </c>
      <c r="C3412" t="s">
        <v>63</v>
      </c>
      <c r="D3412" t="s">
        <v>4049</v>
      </c>
      <c r="E3412" t="s">
        <v>4242</v>
      </c>
      <c r="F3412" t="s">
        <v>4051</v>
      </c>
      <c r="G3412">
        <v>1</v>
      </c>
      <c r="H3412" s="2">
        <v>17069.53</v>
      </c>
      <c r="I3412" s="2">
        <v>17069.53</v>
      </c>
    </row>
    <row r="3413" spans="1:9" x14ac:dyDescent="0.25">
      <c r="A3413" t="s">
        <v>1766</v>
      </c>
      <c r="B3413" t="s">
        <v>1767</v>
      </c>
      <c r="C3413" t="s">
        <v>63</v>
      </c>
      <c r="D3413" t="s">
        <v>4052</v>
      </c>
      <c r="E3413" t="s">
        <v>4053</v>
      </c>
      <c r="F3413" t="s">
        <v>4054</v>
      </c>
      <c r="G3413">
        <v>5</v>
      </c>
      <c r="H3413" s="2">
        <v>27010.75</v>
      </c>
      <c r="I3413" s="2">
        <v>1350.54</v>
      </c>
    </row>
    <row r="3414" spans="1:9" x14ac:dyDescent="0.25">
      <c r="A3414" t="s">
        <v>1769</v>
      </c>
      <c r="B3414" t="s">
        <v>1770</v>
      </c>
      <c r="C3414" t="s">
        <v>63</v>
      </c>
      <c r="D3414" t="s">
        <v>4062</v>
      </c>
      <c r="E3414" t="s">
        <v>4690</v>
      </c>
      <c r="F3414" t="s">
        <v>231</v>
      </c>
      <c r="G3414">
        <v>1</v>
      </c>
      <c r="H3414" s="2">
        <v>2025</v>
      </c>
      <c r="I3414" s="2">
        <v>2025</v>
      </c>
    </row>
    <row r="3415" spans="1:9" x14ac:dyDescent="0.25">
      <c r="A3415" t="s">
        <v>1769</v>
      </c>
      <c r="B3415" t="s">
        <v>1770</v>
      </c>
      <c r="C3415" t="s">
        <v>63</v>
      </c>
      <c r="D3415" t="s">
        <v>4062</v>
      </c>
      <c r="E3415" t="s">
        <v>5765</v>
      </c>
      <c r="F3415" t="s">
        <v>63</v>
      </c>
      <c r="G3415">
        <v>1</v>
      </c>
      <c r="H3415" s="2">
        <v>183832</v>
      </c>
      <c r="I3415" s="2">
        <v>183832</v>
      </c>
    </row>
    <row r="3416" spans="1:9" x14ac:dyDescent="0.25">
      <c r="A3416" t="s">
        <v>1769</v>
      </c>
      <c r="B3416" t="s">
        <v>1770</v>
      </c>
      <c r="C3416" t="s">
        <v>63</v>
      </c>
      <c r="D3416" t="s">
        <v>4049</v>
      </c>
      <c r="E3416" t="s">
        <v>4241</v>
      </c>
      <c r="F3416" t="s">
        <v>4051</v>
      </c>
      <c r="G3416">
        <v>1</v>
      </c>
      <c r="H3416" s="2">
        <v>9941.22</v>
      </c>
      <c r="I3416" s="2">
        <v>9941.22</v>
      </c>
    </row>
    <row r="3417" spans="1:9" x14ac:dyDescent="0.25">
      <c r="A3417" t="s">
        <v>1769</v>
      </c>
      <c r="B3417" t="s">
        <v>1770</v>
      </c>
      <c r="C3417" t="s">
        <v>63</v>
      </c>
      <c r="D3417" t="s">
        <v>4049</v>
      </c>
      <c r="E3417" t="s">
        <v>4242</v>
      </c>
      <c r="F3417" t="s">
        <v>4051</v>
      </c>
      <c r="G3417">
        <v>1</v>
      </c>
      <c r="H3417" s="2">
        <v>17069.53</v>
      </c>
      <c r="I3417" s="2">
        <v>17069.53</v>
      </c>
    </row>
    <row r="3418" spans="1:9" x14ac:dyDescent="0.25">
      <c r="A3418" t="s">
        <v>1769</v>
      </c>
      <c r="B3418" t="s">
        <v>1770</v>
      </c>
      <c r="C3418" t="s">
        <v>63</v>
      </c>
      <c r="D3418" t="s">
        <v>4052</v>
      </c>
      <c r="E3418" t="s">
        <v>4053</v>
      </c>
      <c r="F3418" t="s">
        <v>4054</v>
      </c>
      <c r="G3418">
        <v>5</v>
      </c>
      <c r="H3418" s="2">
        <v>27010.75</v>
      </c>
      <c r="I3418" s="2">
        <v>1350.54</v>
      </c>
    </row>
    <row r="3419" spans="1:9" x14ac:dyDescent="0.25">
      <c r="A3419" t="s">
        <v>1772</v>
      </c>
      <c r="B3419" t="s">
        <v>1773</v>
      </c>
      <c r="C3419" t="s">
        <v>63</v>
      </c>
      <c r="D3419" t="s">
        <v>4062</v>
      </c>
      <c r="E3419" t="s">
        <v>4690</v>
      </c>
      <c r="F3419" t="s">
        <v>231</v>
      </c>
      <c r="G3419">
        <v>1</v>
      </c>
      <c r="H3419" s="2">
        <v>2025</v>
      </c>
      <c r="I3419" s="2">
        <v>2025</v>
      </c>
    </row>
    <row r="3420" spans="1:9" x14ac:dyDescent="0.25">
      <c r="A3420" t="s">
        <v>1772</v>
      </c>
      <c r="B3420" t="s">
        <v>1773</v>
      </c>
      <c r="C3420" t="s">
        <v>63</v>
      </c>
      <c r="D3420" t="s">
        <v>4062</v>
      </c>
      <c r="E3420" t="s">
        <v>5768</v>
      </c>
      <c r="F3420" t="s">
        <v>63</v>
      </c>
      <c r="G3420">
        <v>1</v>
      </c>
      <c r="H3420" s="2">
        <v>194933</v>
      </c>
      <c r="I3420" s="2">
        <v>194933</v>
      </c>
    </row>
    <row r="3421" spans="1:9" x14ac:dyDescent="0.25">
      <c r="A3421" t="s">
        <v>1772</v>
      </c>
      <c r="B3421" t="s">
        <v>1773</v>
      </c>
      <c r="C3421" t="s">
        <v>63</v>
      </c>
      <c r="D3421" t="s">
        <v>4049</v>
      </c>
      <c r="E3421" t="s">
        <v>4050</v>
      </c>
      <c r="F3421" t="s">
        <v>4051</v>
      </c>
      <c r="G3421">
        <v>1.6</v>
      </c>
      <c r="H3421" s="2">
        <v>9037.33</v>
      </c>
      <c r="I3421" s="2">
        <v>14459.73</v>
      </c>
    </row>
    <row r="3422" spans="1:9" x14ac:dyDescent="0.25">
      <c r="A3422" t="s">
        <v>1772</v>
      </c>
      <c r="B3422" t="s">
        <v>1773</v>
      </c>
      <c r="C3422" t="s">
        <v>63</v>
      </c>
      <c r="D3422" t="s">
        <v>4049</v>
      </c>
      <c r="E3422" t="s">
        <v>4242</v>
      </c>
      <c r="F3422" t="s">
        <v>4051</v>
      </c>
      <c r="G3422">
        <v>1.6</v>
      </c>
      <c r="H3422" s="2">
        <v>17069.53</v>
      </c>
      <c r="I3422" s="2">
        <v>27311.25</v>
      </c>
    </row>
    <row r="3423" spans="1:9" x14ac:dyDescent="0.25">
      <c r="A3423" t="s">
        <v>1772</v>
      </c>
      <c r="B3423" t="s">
        <v>1773</v>
      </c>
      <c r="C3423" t="s">
        <v>63</v>
      </c>
      <c r="D3423" t="s">
        <v>4052</v>
      </c>
      <c r="E3423" t="s">
        <v>4053</v>
      </c>
      <c r="F3423" t="s">
        <v>4054</v>
      </c>
      <c r="G3423">
        <v>5</v>
      </c>
      <c r="H3423" s="2">
        <v>41770.98</v>
      </c>
      <c r="I3423" s="2">
        <v>2088.55</v>
      </c>
    </row>
    <row r="3424" spans="1:9" x14ac:dyDescent="0.25">
      <c r="A3424" t="s">
        <v>1775</v>
      </c>
      <c r="B3424" t="s">
        <v>1776</v>
      </c>
      <c r="C3424" t="s">
        <v>63</v>
      </c>
      <c r="D3424" t="s">
        <v>4062</v>
      </c>
      <c r="E3424" t="s">
        <v>4690</v>
      </c>
      <c r="F3424" t="s">
        <v>231</v>
      </c>
      <c r="G3424">
        <v>1</v>
      </c>
      <c r="H3424" s="2">
        <v>2025</v>
      </c>
      <c r="I3424" s="2">
        <v>2025</v>
      </c>
    </row>
    <row r="3425" spans="1:9" x14ac:dyDescent="0.25">
      <c r="A3425" t="s">
        <v>1775</v>
      </c>
      <c r="B3425" t="s">
        <v>1776</v>
      </c>
      <c r="C3425" t="s">
        <v>63</v>
      </c>
      <c r="D3425" t="s">
        <v>4062</v>
      </c>
      <c r="E3425" t="s">
        <v>5771</v>
      </c>
      <c r="F3425" t="s">
        <v>63</v>
      </c>
      <c r="G3425">
        <v>1</v>
      </c>
      <c r="H3425" s="2">
        <v>476433</v>
      </c>
      <c r="I3425" s="2">
        <v>476433</v>
      </c>
    </row>
    <row r="3426" spans="1:9" x14ac:dyDescent="0.25">
      <c r="A3426" t="s">
        <v>1775</v>
      </c>
      <c r="B3426" t="s">
        <v>1776</v>
      </c>
      <c r="C3426" t="s">
        <v>63</v>
      </c>
      <c r="D3426" t="s">
        <v>4049</v>
      </c>
      <c r="E3426" t="s">
        <v>4050</v>
      </c>
      <c r="F3426" t="s">
        <v>4051</v>
      </c>
      <c r="G3426">
        <v>1.6</v>
      </c>
      <c r="H3426" s="2">
        <v>9037.33</v>
      </c>
      <c r="I3426" s="2">
        <v>14459.73</v>
      </c>
    </row>
    <row r="3427" spans="1:9" x14ac:dyDescent="0.25">
      <c r="A3427" t="s">
        <v>1775</v>
      </c>
      <c r="B3427" t="s">
        <v>1776</v>
      </c>
      <c r="C3427" t="s">
        <v>63</v>
      </c>
      <c r="D3427" t="s">
        <v>4049</v>
      </c>
      <c r="E3427" t="s">
        <v>4242</v>
      </c>
      <c r="F3427" t="s">
        <v>4051</v>
      </c>
      <c r="G3427">
        <v>1.6</v>
      </c>
      <c r="H3427" s="2">
        <v>17069.53</v>
      </c>
      <c r="I3427" s="2">
        <v>27311.25</v>
      </c>
    </row>
    <row r="3428" spans="1:9" x14ac:dyDescent="0.25">
      <c r="A3428" t="s">
        <v>1775</v>
      </c>
      <c r="B3428" t="s">
        <v>1776</v>
      </c>
      <c r="C3428" t="s">
        <v>63</v>
      </c>
      <c r="D3428" t="s">
        <v>4052</v>
      </c>
      <c r="E3428" t="s">
        <v>4053</v>
      </c>
      <c r="F3428" t="s">
        <v>4054</v>
      </c>
      <c r="G3428">
        <v>5</v>
      </c>
      <c r="H3428" s="2">
        <v>41770.98</v>
      </c>
      <c r="I3428" s="2">
        <v>2088.55</v>
      </c>
    </row>
    <row r="3429" spans="1:9" x14ac:dyDescent="0.25">
      <c r="A3429" t="s">
        <v>1778</v>
      </c>
      <c r="B3429" t="s">
        <v>1779</v>
      </c>
      <c r="C3429" t="s">
        <v>63</v>
      </c>
      <c r="D3429" t="s">
        <v>4062</v>
      </c>
      <c r="E3429" t="s">
        <v>4690</v>
      </c>
      <c r="F3429" t="s">
        <v>231</v>
      </c>
      <c r="G3429">
        <v>1</v>
      </c>
      <c r="H3429" s="2">
        <v>2025</v>
      </c>
      <c r="I3429" s="2">
        <v>2025</v>
      </c>
    </row>
    <row r="3430" spans="1:9" x14ac:dyDescent="0.25">
      <c r="A3430" t="s">
        <v>1778</v>
      </c>
      <c r="B3430" t="s">
        <v>1779</v>
      </c>
      <c r="C3430" t="s">
        <v>63</v>
      </c>
      <c r="D3430" t="s">
        <v>4062</v>
      </c>
      <c r="E3430" t="s">
        <v>5774</v>
      </c>
      <c r="F3430" t="s">
        <v>63</v>
      </c>
      <c r="G3430">
        <v>1</v>
      </c>
      <c r="H3430" s="2">
        <v>581193</v>
      </c>
      <c r="I3430" s="2">
        <v>581193</v>
      </c>
    </row>
    <row r="3431" spans="1:9" x14ac:dyDescent="0.25">
      <c r="A3431" t="s">
        <v>1778</v>
      </c>
      <c r="B3431" t="s">
        <v>1779</v>
      </c>
      <c r="C3431" t="s">
        <v>63</v>
      </c>
      <c r="D3431" t="s">
        <v>4049</v>
      </c>
      <c r="E3431" t="s">
        <v>4050</v>
      </c>
      <c r="F3431" t="s">
        <v>4051</v>
      </c>
      <c r="G3431">
        <v>1.6</v>
      </c>
      <c r="H3431" s="2">
        <v>9037.33</v>
      </c>
      <c r="I3431" s="2">
        <v>14459.73</v>
      </c>
    </row>
    <row r="3432" spans="1:9" x14ac:dyDescent="0.25">
      <c r="A3432" t="s">
        <v>1778</v>
      </c>
      <c r="B3432" t="s">
        <v>1779</v>
      </c>
      <c r="C3432" t="s">
        <v>63</v>
      </c>
      <c r="D3432" t="s">
        <v>4049</v>
      </c>
      <c r="E3432" t="s">
        <v>4242</v>
      </c>
      <c r="F3432" t="s">
        <v>4051</v>
      </c>
      <c r="G3432">
        <v>1.6</v>
      </c>
      <c r="H3432" s="2">
        <v>17069.53</v>
      </c>
      <c r="I3432" s="2">
        <v>27311.25</v>
      </c>
    </row>
    <row r="3433" spans="1:9" x14ac:dyDescent="0.25">
      <c r="A3433" t="s">
        <v>1778</v>
      </c>
      <c r="B3433" t="s">
        <v>1779</v>
      </c>
      <c r="C3433" t="s">
        <v>63</v>
      </c>
      <c r="D3433" t="s">
        <v>4052</v>
      </c>
      <c r="E3433" t="s">
        <v>4053</v>
      </c>
      <c r="F3433" t="s">
        <v>4054</v>
      </c>
      <c r="G3433">
        <v>5</v>
      </c>
      <c r="H3433" s="2">
        <v>41770.98</v>
      </c>
      <c r="I3433" s="2">
        <v>2088.55</v>
      </c>
    </row>
    <row r="3434" spans="1:9" x14ac:dyDescent="0.25">
      <c r="A3434" t="s">
        <v>1781</v>
      </c>
      <c r="B3434" t="s">
        <v>1782</v>
      </c>
      <c r="C3434" t="s">
        <v>63</v>
      </c>
      <c r="D3434" t="s">
        <v>4062</v>
      </c>
      <c r="E3434" t="s">
        <v>5777</v>
      </c>
      <c r="F3434" t="s">
        <v>63</v>
      </c>
      <c r="G3434">
        <v>1</v>
      </c>
      <c r="H3434" s="2">
        <v>46225.57</v>
      </c>
      <c r="I3434" s="2">
        <v>46225.57</v>
      </c>
    </row>
    <row r="3435" spans="1:9" x14ac:dyDescent="0.25">
      <c r="A3435" t="s">
        <v>1781</v>
      </c>
      <c r="B3435" t="s">
        <v>1782</v>
      </c>
      <c r="C3435" t="s">
        <v>63</v>
      </c>
      <c r="D3435" t="s">
        <v>4049</v>
      </c>
      <c r="E3435" t="s">
        <v>4050</v>
      </c>
      <c r="F3435" t="s">
        <v>4051</v>
      </c>
      <c r="G3435">
        <v>0.5</v>
      </c>
      <c r="H3435" s="2">
        <v>9037.33</v>
      </c>
      <c r="I3435" s="2">
        <v>4518.66</v>
      </c>
    </row>
    <row r="3436" spans="1:9" x14ac:dyDescent="0.25">
      <c r="A3436" t="s">
        <v>1781</v>
      </c>
      <c r="B3436" t="s">
        <v>1782</v>
      </c>
      <c r="C3436" t="s">
        <v>63</v>
      </c>
      <c r="D3436" t="s">
        <v>4049</v>
      </c>
      <c r="E3436" t="s">
        <v>4073</v>
      </c>
      <c r="F3436" t="s">
        <v>4051</v>
      </c>
      <c r="G3436">
        <v>0.5</v>
      </c>
      <c r="H3436" s="2">
        <v>15517.89</v>
      </c>
      <c r="I3436" s="2">
        <v>7758.94</v>
      </c>
    </row>
    <row r="3437" spans="1:9" x14ac:dyDescent="0.25">
      <c r="A3437" t="s">
        <v>1781</v>
      </c>
      <c r="B3437" t="s">
        <v>1782</v>
      </c>
      <c r="C3437" t="s">
        <v>63</v>
      </c>
      <c r="D3437" t="s">
        <v>4052</v>
      </c>
      <c r="E3437" t="s">
        <v>4053</v>
      </c>
      <c r="F3437" t="s">
        <v>4054</v>
      </c>
      <c r="G3437">
        <v>5</v>
      </c>
      <c r="H3437" s="2">
        <v>12277.6</v>
      </c>
      <c r="I3437" s="2">
        <v>613.88</v>
      </c>
    </row>
    <row r="3438" spans="1:9" x14ac:dyDescent="0.25">
      <c r="A3438" t="s">
        <v>1785</v>
      </c>
      <c r="B3438" t="s">
        <v>1786</v>
      </c>
      <c r="C3438" t="s">
        <v>63</v>
      </c>
      <c r="D3438" t="s">
        <v>4062</v>
      </c>
      <c r="E3438" t="s">
        <v>5780</v>
      </c>
      <c r="F3438" t="s">
        <v>63</v>
      </c>
      <c r="G3438">
        <v>1</v>
      </c>
      <c r="H3438" s="2">
        <v>120100</v>
      </c>
      <c r="I3438" s="2">
        <v>120100</v>
      </c>
    </row>
    <row r="3439" spans="1:9" x14ac:dyDescent="0.25">
      <c r="A3439" t="s">
        <v>1785</v>
      </c>
      <c r="B3439" t="s">
        <v>1786</v>
      </c>
      <c r="C3439" t="s">
        <v>63</v>
      </c>
      <c r="D3439" t="s">
        <v>4049</v>
      </c>
      <c r="E3439" t="s">
        <v>4050</v>
      </c>
      <c r="F3439" t="s">
        <v>4051</v>
      </c>
      <c r="G3439">
        <v>0.2</v>
      </c>
      <c r="H3439" s="2">
        <v>9037.33</v>
      </c>
      <c r="I3439" s="2">
        <v>1807.47</v>
      </c>
    </row>
    <row r="3440" spans="1:9" x14ac:dyDescent="0.25">
      <c r="A3440" t="s">
        <v>1785</v>
      </c>
      <c r="B3440" t="s">
        <v>1786</v>
      </c>
      <c r="C3440" t="s">
        <v>63</v>
      </c>
      <c r="D3440" t="s">
        <v>4049</v>
      </c>
      <c r="E3440" t="s">
        <v>4073</v>
      </c>
      <c r="F3440" t="s">
        <v>4051</v>
      </c>
      <c r="G3440">
        <v>0.2</v>
      </c>
      <c r="H3440" s="2">
        <v>15517.89</v>
      </c>
      <c r="I3440" s="2">
        <v>3103.58</v>
      </c>
    </row>
    <row r="3441" spans="1:9" x14ac:dyDescent="0.25">
      <c r="A3441" t="s">
        <v>1785</v>
      </c>
      <c r="B3441" t="s">
        <v>1786</v>
      </c>
      <c r="C3441" t="s">
        <v>63</v>
      </c>
      <c r="D3441" t="s">
        <v>4052</v>
      </c>
      <c r="E3441" t="s">
        <v>5729</v>
      </c>
      <c r="F3441" t="s">
        <v>287</v>
      </c>
      <c r="G3441">
        <v>0.15</v>
      </c>
      <c r="H3441" s="2">
        <v>3510.83</v>
      </c>
      <c r="I3441" s="2">
        <v>526.62</v>
      </c>
    </row>
    <row r="3442" spans="1:9" x14ac:dyDescent="0.25">
      <c r="A3442" t="s">
        <v>1785</v>
      </c>
      <c r="B3442" t="s">
        <v>1786</v>
      </c>
      <c r="C3442" t="s">
        <v>63</v>
      </c>
      <c r="D3442" t="s">
        <v>4052</v>
      </c>
      <c r="E3442" t="s">
        <v>4053</v>
      </c>
      <c r="F3442" t="s">
        <v>4054</v>
      </c>
      <c r="G3442">
        <v>5</v>
      </c>
      <c r="H3442" s="2">
        <v>4911.05</v>
      </c>
      <c r="I3442" s="2">
        <v>245.55</v>
      </c>
    </row>
    <row r="3443" spans="1:9" x14ac:dyDescent="0.25">
      <c r="A3443" t="s">
        <v>1788</v>
      </c>
      <c r="B3443" t="s">
        <v>1789</v>
      </c>
      <c r="C3443" t="s">
        <v>63</v>
      </c>
      <c r="D3443" t="s">
        <v>4062</v>
      </c>
      <c r="E3443" t="s">
        <v>5783</v>
      </c>
      <c r="F3443" t="s">
        <v>63</v>
      </c>
      <c r="G3443">
        <v>1</v>
      </c>
      <c r="H3443" s="2">
        <v>163200</v>
      </c>
      <c r="I3443" s="2">
        <v>163200</v>
      </c>
    </row>
    <row r="3444" spans="1:9" x14ac:dyDescent="0.25">
      <c r="A3444" t="s">
        <v>1788</v>
      </c>
      <c r="B3444" t="s">
        <v>1789</v>
      </c>
      <c r="C3444" t="s">
        <v>63</v>
      </c>
      <c r="D3444" t="s">
        <v>4049</v>
      </c>
      <c r="E3444" t="s">
        <v>4050</v>
      </c>
      <c r="F3444" t="s">
        <v>4051</v>
      </c>
      <c r="G3444">
        <v>0.2</v>
      </c>
      <c r="H3444" s="2">
        <v>9037.33</v>
      </c>
      <c r="I3444" s="2">
        <v>1807.47</v>
      </c>
    </row>
    <row r="3445" spans="1:9" x14ac:dyDescent="0.25">
      <c r="A3445" t="s">
        <v>1788</v>
      </c>
      <c r="B3445" t="s">
        <v>1789</v>
      </c>
      <c r="C3445" t="s">
        <v>63</v>
      </c>
      <c r="D3445" t="s">
        <v>4049</v>
      </c>
      <c r="E3445" t="s">
        <v>4073</v>
      </c>
      <c r="F3445" t="s">
        <v>4051</v>
      </c>
      <c r="G3445">
        <v>0.2</v>
      </c>
      <c r="H3445" s="2">
        <v>15517.89</v>
      </c>
      <c r="I3445" s="2">
        <v>3103.58</v>
      </c>
    </row>
    <row r="3446" spans="1:9" x14ac:dyDescent="0.25">
      <c r="A3446" t="s">
        <v>1788</v>
      </c>
      <c r="B3446" t="s">
        <v>1789</v>
      </c>
      <c r="C3446" t="s">
        <v>63</v>
      </c>
      <c r="D3446" t="s">
        <v>4052</v>
      </c>
      <c r="E3446" t="s">
        <v>5729</v>
      </c>
      <c r="F3446" t="s">
        <v>287</v>
      </c>
      <c r="G3446">
        <v>0.15</v>
      </c>
      <c r="H3446" s="2">
        <v>3510.83</v>
      </c>
      <c r="I3446" s="2">
        <v>526.62</v>
      </c>
    </row>
    <row r="3447" spans="1:9" x14ac:dyDescent="0.25">
      <c r="A3447" t="s">
        <v>1788</v>
      </c>
      <c r="B3447" t="s">
        <v>1789</v>
      </c>
      <c r="C3447" t="s">
        <v>63</v>
      </c>
      <c r="D3447" t="s">
        <v>4052</v>
      </c>
      <c r="E3447" t="s">
        <v>4053</v>
      </c>
      <c r="F3447" t="s">
        <v>4054</v>
      </c>
      <c r="G3447">
        <v>5</v>
      </c>
      <c r="H3447" s="2">
        <v>4911.05</v>
      </c>
      <c r="I3447" s="2">
        <v>245.55</v>
      </c>
    </row>
    <row r="3448" spans="1:9" x14ac:dyDescent="0.25">
      <c r="A3448" t="s">
        <v>1791</v>
      </c>
      <c r="B3448" t="s">
        <v>1792</v>
      </c>
      <c r="C3448" t="s">
        <v>63</v>
      </c>
      <c r="D3448" t="s">
        <v>4062</v>
      </c>
      <c r="E3448" t="s">
        <v>5786</v>
      </c>
      <c r="F3448" t="s">
        <v>63</v>
      </c>
      <c r="G3448">
        <v>1</v>
      </c>
      <c r="H3448" s="2">
        <v>531850</v>
      </c>
      <c r="I3448" s="2">
        <v>531850</v>
      </c>
    </row>
    <row r="3449" spans="1:9" x14ac:dyDescent="0.25">
      <c r="A3449" t="s">
        <v>1791</v>
      </c>
      <c r="B3449" t="s">
        <v>1792</v>
      </c>
      <c r="C3449" t="s">
        <v>63</v>
      </c>
      <c r="D3449" t="s">
        <v>4049</v>
      </c>
      <c r="E3449" t="s">
        <v>4050</v>
      </c>
      <c r="F3449" t="s">
        <v>4051</v>
      </c>
      <c r="G3449">
        <v>0.25</v>
      </c>
      <c r="H3449" s="2">
        <v>9037.33</v>
      </c>
      <c r="I3449" s="2">
        <v>2259.33</v>
      </c>
    </row>
    <row r="3450" spans="1:9" x14ac:dyDescent="0.25">
      <c r="A3450" t="s">
        <v>1791</v>
      </c>
      <c r="B3450" t="s">
        <v>1792</v>
      </c>
      <c r="C3450" t="s">
        <v>63</v>
      </c>
      <c r="D3450" t="s">
        <v>4049</v>
      </c>
      <c r="E3450" t="s">
        <v>4073</v>
      </c>
      <c r="F3450" t="s">
        <v>4051</v>
      </c>
      <c r="G3450">
        <v>0.25</v>
      </c>
      <c r="H3450" s="2">
        <v>15517.89</v>
      </c>
      <c r="I3450" s="2">
        <v>3879.47</v>
      </c>
    </row>
    <row r="3451" spans="1:9" x14ac:dyDescent="0.25">
      <c r="A3451" t="s">
        <v>1791</v>
      </c>
      <c r="B3451" t="s">
        <v>1792</v>
      </c>
      <c r="C3451" t="s">
        <v>63</v>
      </c>
      <c r="D3451" t="s">
        <v>4052</v>
      </c>
      <c r="E3451" t="s">
        <v>5729</v>
      </c>
      <c r="F3451" t="s">
        <v>287</v>
      </c>
      <c r="G3451">
        <v>0.2</v>
      </c>
      <c r="H3451" s="2">
        <v>3510.83</v>
      </c>
      <c r="I3451" s="2">
        <v>702.17</v>
      </c>
    </row>
    <row r="3452" spans="1:9" x14ac:dyDescent="0.25">
      <c r="A3452" t="s">
        <v>1791</v>
      </c>
      <c r="B3452" t="s">
        <v>1792</v>
      </c>
      <c r="C3452" t="s">
        <v>63</v>
      </c>
      <c r="D3452" t="s">
        <v>4052</v>
      </c>
      <c r="E3452" t="s">
        <v>4053</v>
      </c>
      <c r="F3452" t="s">
        <v>4054</v>
      </c>
      <c r="G3452">
        <v>5</v>
      </c>
      <c r="H3452" s="2">
        <v>6138.8</v>
      </c>
      <c r="I3452" s="2">
        <v>306.94</v>
      </c>
    </row>
    <row r="3453" spans="1:9" x14ac:dyDescent="0.25">
      <c r="A3453" t="s">
        <v>1794</v>
      </c>
      <c r="B3453" t="s">
        <v>1795</v>
      </c>
      <c r="C3453" t="s">
        <v>63</v>
      </c>
      <c r="D3453" t="s">
        <v>4062</v>
      </c>
      <c r="E3453" t="s">
        <v>5789</v>
      </c>
      <c r="F3453" t="s">
        <v>63</v>
      </c>
      <c r="G3453">
        <v>1</v>
      </c>
      <c r="H3453" s="2">
        <v>753950</v>
      </c>
      <c r="I3453" s="2">
        <v>753950</v>
      </c>
    </row>
    <row r="3454" spans="1:9" x14ac:dyDescent="0.25">
      <c r="A3454" t="s">
        <v>1794</v>
      </c>
      <c r="B3454" t="s">
        <v>1795</v>
      </c>
      <c r="C3454" t="s">
        <v>63</v>
      </c>
      <c r="D3454" t="s">
        <v>4049</v>
      </c>
      <c r="E3454" t="s">
        <v>4050</v>
      </c>
      <c r="F3454" t="s">
        <v>4051</v>
      </c>
      <c r="G3454">
        <v>0.3</v>
      </c>
      <c r="H3454" s="2">
        <v>9037.33</v>
      </c>
      <c r="I3454" s="2">
        <v>2711.2</v>
      </c>
    </row>
    <row r="3455" spans="1:9" x14ac:dyDescent="0.25">
      <c r="A3455" t="s">
        <v>1794</v>
      </c>
      <c r="B3455" t="s">
        <v>1795</v>
      </c>
      <c r="C3455" t="s">
        <v>63</v>
      </c>
      <c r="D3455" t="s">
        <v>4049</v>
      </c>
      <c r="E3455" t="s">
        <v>4073</v>
      </c>
      <c r="F3455" t="s">
        <v>4051</v>
      </c>
      <c r="G3455">
        <v>0.3</v>
      </c>
      <c r="H3455" s="2">
        <v>15517.89</v>
      </c>
      <c r="I3455" s="2">
        <v>4655.37</v>
      </c>
    </row>
    <row r="3456" spans="1:9" x14ac:dyDescent="0.25">
      <c r="A3456" t="s">
        <v>1794</v>
      </c>
      <c r="B3456" t="s">
        <v>1795</v>
      </c>
      <c r="C3456" t="s">
        <v>63</v>
      </c>
      <c r="D3456" t="s">
        <v>4052</v>
      </c>
      <c r="E3456" t="s">
        <v>5729</v>
      </c>
      <c r="F3456" t="s">
        <v>287</v>
      </c>
      <c r="G3456">
        <v>0.25</v>
      </c>
      <c r="H3456" s="2">
        <v>3510.83</v>
      </c>
      <c r="I3456" s="2">
        <v>877.71</v>
      </c>
    </row>
    <row r="3457" spans="1:9" x14ac:dyDescent="0.25">
      <c r="A3457" t="s">
        <v>1794</v>
      </c>
      <c r="B3457" t="s">
        <v>1795</v>
      </c>
      <c r="C3457" t="s">
        <v>63</v>
      </c>
      <c r="D3457" t="s">
        <v>4052</v>
      </c>
      <c r="E3457" t="s">
        <v>4053</v>
      </c>
      <c r="F3457" t="s">
        <v>4054</v>
      </c>
      <c r="G3457">
        <v>5</v>
      </c>
      <c r="H3457" s="2">
        <v>7366.57</v>
      </c>
      <c r="I3457" s="2">
        <v>368.33</v>
      </c>
    </row>
    <row r="3458" spans="1:9" x14ac:dyDescent="0.25">
      <c r="A3458" t="s">
        <v>1797</v>
      </c>
      <c r="B3458" t="s">
        <v>1798</v>
      </c>
      <c r="C3458" t="s">
        <v>63</v>
      </c>
      <c r="D3458" t="s">
        <v>4062</v>
      </c>
      <c r="E3458" t="s">
        <v>5792</v>
      </c>
      <c r="F3458" t="s">
        <v>63</v>
      </c>
      <c r="G3458">
        <v>1</v>
      </c>
      <c r="H3458" s="2">
        <v>117900</v>
      </c>
      <c r="I3458" s="2">
        <v>117900</v>
      </c>
    </row>
    <row r="3459" spans="1:9" x14ac:dyDescent="0.25">
      <c r="A3459" t="s">
        <v>1797</v>
      </c>
      <c r="B3459" t="s">
        <v>1798</v>
      </c>
      <c r="C3459" t="s">
        <v>63</v>
      </c>
      <c r="D3459" t="s">
        <v>4049</v>
      </c>
      <c r="E3459" t="s">
        <v>4050</v>
      </c>
      <c r="F3459" t="s">
        <v>4051</v>
      </c>
      <c r="G3459">
        <v>0.2</v>
      </c>
      <c r="H3459" s="2">
        <v>9037.33</v>
      </c>
      <c r="I3459" s="2">
        <v>1807.47</v>
      </c>
    </row>
    <row r="3460" spans="1:9" x14ac:dyDescent="0.25">
      <c r="A3460" t="s">
        <v>1797</v>
      </c>
      <c r="B3460" t="s">
        <v>1798</v>
      </c>
      <c r="C3460" t="s">
        <v>63</v>
      </c>
      <c r="D3460" t="s">
        <v>4049</v>
      </c>
      <c r="E3460" t="s">
        <v>4073</v>
      </c>
      <c r="F3460" t="s">
        <v>4051</v>
      </c>
      <c r="G3460">
        <v>0.2</v>
      </c>
      <c r="H3460" s="2">
        <v>15517.89</v>
      </c>
      <c r="I3460" s="2">
        <v>3103.58</v>
      </c>
    </row>
    <row r="3461" spans="1:9" x14ac:dyDescent="0.25">
      <c r="A3461" t="s">
        <v>1797</v>
      </c>
      <c r="B3461" t="s">
        <v>1798</v>
      </c>
      <c r="C3461" t="s">
        <v>63</v>
      </c>
      <c r="D3461" t="s">
        <v>4052</v>
      </c>
      <c r="E3461" t="s">
        <v>5729</v>
      </c>
      <c r="F3461" t="s">
        <v>287</v>
      </c>
      <c r="G3461">
        <v>0.15</v>
      </c>
      <c r="H3461" s="2">
        <v>3510.83</v>
      </c>
      <c r="I3461" s="2">
        <v>526.62</v>
      </c>
    </row>
    <row r="3462" spans="1:9" x14ac:dyDescent="0.25">
      <c r="A3462" t="s">
        <v>1797</v>
      </c>
      <c r="B3462" t="s">
        <v>1798</v>
      </c>
      <c r="C3462" t="s">
        <v>63</v>
      </c>
      <c r="D3462" t="s">
        <v>4052</v>
      </c>
      <c r="E3462" t="s">
        <v>4053</v>
      </c>
      <c r="F3462" t="s">
        <v>4054</v>
      </c>
      <c r="G3462">
        <v>5</v>
      </c>
      <c r="H3462" s="2">
        <v>4911.05</v>
      </c>
      <c r="I3462" s="2">
        <v>245.55</v>
      </c>
    </row>
    <row r="3463" spans="1:9" x14ac:dyDescent="0.25">
      <c r="A3463" t="s">
        <v>1800</v>
      </c>
      <c r="B3463" t="s">
        <v>1802</v>
      </c>
      <c r="C3463" t="s">
        <v>63</v>
      </c>
      <c r="D3463" t="s">
        <v>4062</v>
      </c>
      <c r="E3463" t="s">
        <v>5797</v>
      </c>
      <c r="F3463" t="s">
        <v>63</v>
      </c>
      <c r="G3463">
        <v>1</v>
      </c>
      <c r="H3463" s="2">
        <v>30567</v>
      </c>
      <c r="I3463" s="2">
        <v>30567</v>
      </c>
    </row>
    <row r="3464" spans="1:9" x14ac:dyDescent="0.25">
      <c r="A3464" t="s">
        <v>1800</v>
      </c>
      <c r="B3464" t="s">
        <v>1802</v>
      </c>
      <c r="C3464" t="s">
        <v>63</v>
      </c>
      <c r="D3464" t="s">
        <v>4049</v>
      </c>
      <c r="E3464" t="s">
        <v>4050</v>
      </c>
      <c r="F3464" t="s">
        <v>4051</v>
      </c>
      <c r="G3464">
        <v>0.75</v>
      </c>
      <c r="H3464" s="2">
        <v>9037.33</v>
      </c>
      <c r="I3464" s="2">
        <v>6778</v>
      </c>
    </row>
    <row r="3465" spans="1:9" x14ac:dyDescent="0.25">
      <c r="A3465" t="s">
        <v>1800</v>
      </c>
      <c r="B3465" t="s">
        <v>1802</v>
      </c>
      <c r="C3465" t="s">
        <v>63</v>
      </c>
      <c r="D3465" t="s">
        <v>4049</v>
      </c>
      <c r="E3465" t="s">
        <v>4073</v>
      </c>
      <c r="F3465" t="s">
        <v>4051</v>
      </c>
      <c r="G3465">
        <v>0.75</v>
      </c>
      <c r="H3465" s="2">
        <v>15517.89</v>
      </c>
      <c r="I3465" s="2">
        <v>11638.42</v>
      </c>
    </row>
    <row r="3466" spans="1:9" x14ac:dyDescent="0.25">
      <c r="A3466" t="s">
        <v>1800</v>
      </c>
      <c r="B3466" t="s">
        <v>1802</v>
      </c>
      <c r="C3466" t="s">
        <v>63</v>
      </c>
      <c r="D3466" t="s">
        <v>4052</v>
      </c>
      <c r="E3466" t="s">
        <v>4053</v>
      </c>
      <c r="F3466" t="s">
        <v>4054</v>
      </c>
      <c r="G3466">
        <v>1.1</v>
      </c>
      <c r="H3466" s="2">
        <v>18416.42</v>
      </c>
      <c r="I3466" s="2">
        <v>202.58</v>
      </c>
    </row>
    <row r="3467" spans="1:9" x14ac:dyDescent="0.25">
      <c r="A3467" t="s">
        <v>1804</v>
      </c>
      <c r="B3467" t="s">
        <v>1805</v>
      </c>
      <c r="C3467" t="s">
        <v>63</v>
      </c>
      <c r="D3467" t="s">
        <v>4062</v>
      </c>
      <c r="E3467" t="s">
        <v>5800</v>
      </c>
      <c r="F3467" t="s">
        <v>63</v>
      </c>
      <c r="G3467">
        <v>1</v>
      </c>
      <c r="H3467" s="2">
        <v>29701</v>
      </c>
      <c r="I3467" s="2">
        <v>29701</v>
      </c>
    </row>
    <row r="3468" spans="1:9" x14ac:dyDescent="0.25">
      <c r="A3468" t="s">
        <v>1804</v>
      </c>
      <c r="B3468" t="s">
        <v>1805</v>
      </c>
      <c r="C3468" t="s">
        <v>63</v>
      </c>
      <c r="D3468" t="s">
        <v>4049</v>
      </c>
      <c r="E3468" t="s">
        <v>4050</v>
      </c>
      <c r="F3468" t="s">
        <v>4051</v>
      </c>
      <c r="G3468">
        <v>0.75</v>
      </c>
      <c r="H3468" s="2">
        <v>9037.33</v>
      </c>
      <c r="I3468" s="2">
        <v>6778</v>
      </c>
    </row>
    <row r="3469" spans="1:9" x14ac:dyDescent="0.25">
      <c r="A3469" t="s">
        <v>1804</v>
      </c>
      <c r="B3469" t="s">
        <v>1805</v>
      </c>
      <c r="C3469" t="s">
        <v>63</v>
      </c>
      <c r="D3469" t="s">
        <v>4049</v>
      </c>
      <c r="E3469" t="s">
        <v>4073</v>
      </c>
      <c r="F3469" t="s">
        <v>4051</v>
      </c>
      <c r="G3469">
        <v>0.75</v>
      </c>
      <c r="H3469" s="2">
        <v>15517.89</v>
      </c>
      <c r="I3469" s="2">
        <v>11638.42</v>
      </c>
    </row>
    <row r="3470" spans="1:9" x14ac:dyDescent="0.25">
      <c r="A3470" t="s">
        <v>1804</v>
      </c>
      <c r="B3470" t="s">
        <v>1805</v>
      </c>
      <c r="C3470" t="s">
        <v>63</v>
      </c>
      <c r="D3470" t="s">
        <v>4052</v>
      </c>
      <c r="E3470" t="s">
        <v>4053</v>
      </c>
      <c r="F3470" t="s">
        <v>4054</v>
      </c>
      <c r="G3470">
        <v>1.1</v>
      </c>
      <c r="H3470" s="2">
        <v>18416.42</v>
      </c>
      <c r="I3470" s="2">
        <v>202.58</v>
      </c>
    </row>
    <row r="3471" spans="1:9" x14ac:dyDescent="0.25">
      <c r="A3471" t="s">
        <v>1807</v>
      </c>
      <c r="B3471" t="s">
        <v>1808</v>
      </c>
      <c r="C3471" t="s">
        <v>63</v>
      </c>
      <c r="D3471" t="s">
        <v>4062</v>
      </c>
      <c r="E3471" t="s">
        <v>5803</v>
      </c>
      <c r="F3471" t="s">
        <v>63</v>
      </c>
      <c r="G3471">
        <v>1</v>
      </c>
      <c r="H3471" s="2">
        <v>86752</v>
      </c>
      <c r="I3471" s="2">
        <v>86752</v>
      </c>
    </row>
    <row r="3472" spans="1:9" x14ac:dyDescent="0.25">
      <c r="A3472" t="s">
        <v>1807</v>
      </c>
      <c r="B3472" t="s">
        <v>1808</v>
      </c>
      <c r="C3472" t="s">
        <v>63</v>
      </c>
      <c r="D3472" t="s">
        <v>4049</v>
      </c>
      <c r="E3472" t="s">
        <v>4182</v>
      </c>
      <c r="F3472" t="s">
        <v>4051</v>
      </c>
      <c r="G3472">
        <v>0.75</v>
      </c>
      <c r="H3472" s="2">
        <v>10845.1</v>
      </c>
      <c r="I3472" s="2">
        <v>8133.83</v>
      </c>
    </row>
    <row r="3473" spans="1:9" x14ac:dyDescent="0.25">
      <c r="A3473" t="s">
        <v>1807</v>
      </c>
      <c r="B3473" t="s">
        <v>1808</v>
      </c>
      <c r="C3473" t="s">
        <v>63</v>
      </c>
      <c r="D3473" t="s">
        <v>4049</v>
      </c>
      <c r="E3473" t="s">
        <v>4183</v>
      </c>
      <c r="F3473" t="s">
        <v>4051</v>
      </c>
      <c r="G3473">
        <v>0.75</v>
      </c>
      <c r="H3473" s="2">
        <v>18621.17</v>
      </c>
      <c r="I3473" s="2">
        <v>13965.88</v>
      </c>
    </row>
    <row r="3474" spans="1:9" x14ac:dyDescent="0.25">
      <c r="A3474" t="s">
        <v>1807</v>
      </c>
      <c r="B3474" t="s">
        <v>1808</v>
      </c>
      <c r="C3474" t="s">
        <v>63</v>
      </c>
      <c r="D3474" t="s">
        <v>4052</v>
      </c>
      <c r="E3474" t="s">
        <v>4053</v>
      </c>
      <c r="F3474" t="s">
        <v>4054</v>
      </c>
      <c r="G3474">
        <v>3</v>
      </c>
      <c r="H3474" s="2">
        <v>22099.71</v>
      </c>
      <c r="I3474" s="2">
        <v>662.99</v>
      </c>
    </row>
    <row r="3475" spans="1:9" x14ac:dyDescent="0.25">
      <c r="A3475" t="s">
        <v>1810</v>
      </c>
      <c r="B3475" t="s">
        <v>1811</v>
      </c>
      <c r="C3475" t="s">
        <v>21</v>
      </c>
      <c r="D3475" t="s">
        <v>4062</v>
      </c>
      <c r="E3475" t="s">
        <v>5806</v>
      </c>
      <c r="F3475" t="s">
        <v>21</v>
      </c>
      <c r="G3475">
        <v>1.1</v>
      </c>
      <c r="H3475" s="2">
        <v>63500</v>
      </c>
      <c r="I3475" s="2">
        <v>69850</v>
      </c>
    </row>
    <row r="3476" spans="1:9" x14ac:dyDescent="0.25">
      <c r="A3476" t="s">
        <v>1810</v>
      </c>
      <c r="B3476" t="s">
        <v>1811</v>
      </c>
      <c r="C3476" t="s">
        <v>21</v>
      </c>
      <c r="D3476" t="s">
        <v>4049</v>
      </c>
      <c r="E3476" t="s">
        <v>4050</v>
      </c>
      <c r="F3476" t="s">
        <v>4051</v>
      </c>
      <c r="G3476">
        <v>0.25</v>
      </c>
      <c r="H3476" s="2">
        <v>9037.33</v>
      </c>
      <c r="I3476" s="2">
        <v>2259.33</v>
      </c>
    </row>
    <row r="3477" spans="1:9" x14ac:dyDescent="0.25">
      <c r="A3477" t="s">
        <v>1810</v>
      </c>
      <c r="B3477" t="s">
        <v>1811</v>
      </c>
      <c r="C3477" t="s">
        <v>21</v>
      </c>
      <c r="D3477" t="s">
        <v>4049</v>
      </c>
      <c r="E3477" t="s">
        <v>4073</v>
      </c>
      <c r="F3477" t="s">
        <v>4051</v>
      </c>
      <c r="G3477">
        <v>0.25</v>
      </c>
      <c r="H3477" s="2">
        <v>15517.89</v>
      </c>
      <c r="I3477" s="2">
        <v>3879.47</v>
      </c>
    </row>
    <row r="3478" spans="1:9" x14ac:dyDescent="0.25">
      <c r="A3478" t="s">
        <v>1810</v>
      </c>
      <c r="B3478" t="s">
        <v>1811</v>
      </c>
      <c r="C3478" t="s">
        <v>21</v>
      </c>
      <c r="D3478" t="s">
        <v>4052</v>
      </c>
      <c r="E3478" t="s">
        <v>4053</v>
      </c>
      <c r="F3478" t="s">
        <v>4054</v>
      </c>
      <c r="G3478">
        <v>0.9</v>
      </c>
      <c r="H3478" s="2">
        <v>6138.8</v>
      </c>
      <c r="I3478" s="2">
        <v>55.25</v>
      </c>
    </row>
    <row r="3479" spans="1:9" x14ac:dyDescent="0.25">
      <c r="A3479" t="s">
        <v>1813</v>
      </c>
      <c r="B3479" t="s">
        <v>1814</v>
      </c>
      <c r="C3479" t="s">
        <v>21</v>
      </c>
      <c r="D3479" t="s">
        <v>4062</v>
      </c>
      <c r="E3479" t="s">
        <v>5809</v>
      </c>
      <c r="F3479" t="s">
        <v>21</v>
      </c>
      <c r="G3479">
        <v>1.1</v>
      </c>
      <c r="H3479" s="2">
        <v>31550.33</v>
      </c>
      <c r="I3479" s="2">
        <v>34705.36</v>
      </c>
    </row>
    <row r="3480" spans="1:9" x14ac:dyDescent="0.25">
      <c r="A3480" t="s">
        <v>1813</v>
      </c>
      <c r="B3480" t="s">
        <v>1814</v>
      </c>
      <c r="C3480" t="s">
        <v>21</v>
      </c>
      <c r="D3480" t="s">
        <v>4049</v>
      </c>
      <c r="E3480" t="s">
        <v>4050</v>
      </c>
      <c r="F3480" t="s">
        <v>4051</v>
      </c>
      <c r="G3480">
        <v>0.25</v>
      </c>
      <c r="H3480" s="2">
        <v>9037.33</v>
      </c>
      <c r="I3480" s="2">
        <v>2259.33</v>
      </c>
    </row>
    <row r="3481" spans="1:9" x14ac:dyDescent="0.25">
      <c r="A3481" t="s">
        <v>1813</v>
      </c>
      <c r="B3481" t="s">
        <v>1814</v>
      </c>
      <c r="C3481" t="s">
        <v>21</v>
      </c>
      <c r="D3481" t="s">
        <v>4049</v>
      </c>
      <c r="E3481" t="s">
        <v>4073</v>
      </c>
      <c r="F3481" t="s">
        <v>4051</v>
      </c>
      <c r="G3481">
        <v>0.25</v>
      </c>
      <c r="H3481" s="2">
        <v>15517.89</v>
      </c>
      <c r="I3481" s="2">
        <v>3879.47</v>
      </c>
    </row>
    <row r="3482" spans="1:9" x14ac:dyDescent="0.25">
      <c r="A3482" t="s">
        <v>1813</v>
      </c>
      <c r="B3482" t="s">
        <v>1814</v>
      </c>
      <c r="C3482" t="s">
        <v>21</v>
      </c>
      <c r="D3482" t="s">
        <v>4052</v>
      </c>
      <c r="E3482" t="s">
        <v>4053</v>
      </c>
      <c r="F3482" t="s">
        <v>4054</v>
      </c>
      <c r="G3482">
        <v>1.8</v>
      </c>
      <c r="H3482" s="2">
        <v>6138.8</v>
      </c>
      <c r="I3482" s="2">
        <v>110.5</v>
      </c>
    </row>
    <row r="3483" spans="1:9" x14ac:dyDescent="0.25">
      <c r="A3483" t="s">
        <v>1816</v>
      </c>
      <c r="B3483" t="s">
        <v>1817</v>
      </c>
      <c r="C3483" t="s">
        <v>21</v>
      </c>
      <c r="D3483" t="s">
        <v>4062</v>
      </c>
      <c r="E3483" t="s">
        <v>5699</v>
      </c>
      <c r="F3483" t="s">
        <v>21</v>
      </c>
      <c r="G3483">
        <v>1.1</v>
      </c>
      <c r="H3483" s="2">
        <v>38108.33</v>
      </c>
      <c r="I3483" s="2">
        <v>41919.16</v>
      </c>
    </row>
    <row r="3484" spans="1:9" x14ac:dyDescent="0.25">
      <c r="A3484" t="s">
        <v>1816</v>
      </c>
      <c r="B3484" t="s">
        <v>1817</v>
      </c>
      <c r="C3484" t="s">
        <v>21</v>
      </c>
      <c r="D3484" t="s">
        <v>4049</v>
      </c>
      <c r="E3484" t="s">
        <v>4050</v>
      </c>
      <c r="F3484" t="s">
        <v>4051</v>
      </c>
      <c r="G3484">
        <v>0.25</v>
      </c>
      <c r="H3484" s="2">
        <v>9037.33</v>
      </c>
      <c r="I3484" s="2">
        <v>2259.33</v>
      </c>
    </row>
    <row r="3485" spans="1:9" x14ac:dyDescent="0.25">
      <c r="A3485" t="s">
        <v>1816</v>
      </c>
      <c r="B3485" t="s">
        <v>1817</v>
      </c>
      <c r="C3485" t="s">
        <v>21</v>
      </c>
      <c r="D3485" t="s">
        <v>4049</v>
      </c>
      <c r="E3485" t="s">
        <v>4073</v>
      </c>
      <c r="F3485" t="s">
        <v>4051</v>
      </c>
      <c r="G3485">
        <v>0.25</v>
      </c>
      <c r="H3485" s="2">
        <v>15517.89</v>
      </c>
      <c r="I3485" s="2">
        <v>3879.47</v>
      </c>
    </row>
    <row r="3486" spans="1:9" x14ac:dyDescent="0.25">
      <c r="A3486" t="s">
        <v>1816</v>
      </c>
      <c r="B3486" t="s">
        <v>1817</v>
      </c>
      <c r="C3486" t="s">
        <v>21</v>
      </c>
      <c r="D3486" t="s">
        <v>4052</v>
      </c>
      <c r="E3486" t="s">
        <v>4053</v>
      </c>
      <c r="F3486" t="s">
        <v>4054</v>
      </c>
      <c r="G3486">
        <v>1.8</v>
      </c>
      <c r="H3486" s="2">
        <v>6138.8</v>
      </c>
      <c r="I3486" s="2">
        <v>110.5</v>
      </c>
    </row>
    <row r="3487" spans="1:9" x14ac:dyDescent="0.25">
      <c r="A3487" t="s">
        <v>1819</v>
      </c>
      <c r="B3487" t="s">
        <v>1821</v>
      </c>
      <c r="C3487" t="s">
        <v>21</v>
      </c>
      <c r="D3487" t="s">
        <v>4062</v>
      </c>
      <c r="E3487" t="s">
        <v>5816</v>
      </c>
      <c r="F3487" t="s">
        <v>34</v>
      </c>
      <c r="G3487">
        <v>0.07</v>
      </c>
      <c r="H3487" s="2">
        <v>93966.67</v>
      </c>
      <c r="I3487" s="2">
        <v>6577.67</v>
      </c>
    </row>
    <row r="3488" spans="1:9" x14ac:dyDescent="0.25">
      <c r="A3488" t="s">
        <v>1819</v>
      </c>
      <c r="B3488" t="s">
        <v>1821</v>
      </c>
      <c r="C3488" t="s">
        <v>21</v>
      </c>
      <c r="D3488" t="s">
        <v>4062</v>
      </c>
      <c r="E3488" t="s">
        <v>5817</v>
      </c>
      <c r="F3488" t="s">
        <v>63</v>
      </c>
      <c r="G3488">
        <v>52</v>
      </c>
      <c r="H3488" s="2">
        <v>732</v>
      </c>
      <c r="I3488" s="2">
        <v>38064</v>
      </c>
    </row>
    <row r="3489" spans="1:9" x14ac:dyDescent="0.25">
      <c r="A3489" t="s">
        <v>1819</v>
      </c>
      <c r="B3489" t="s">
        <v>1821</v>
      </c>
      <c r="C3489" t="s">
        <v>21</v>
      </c>
      <c r="D3489" t="s">
        <v>4049</v>
      </c>
      <c r="E3489" t="s">
        <v>5818</v>
      </c>
      <c r="F3489" t="s">
        <v>4236</v>
      </c>
      <c r="G3489">
        <v>0.7</v>
      </c>
      <c r="H3489" s="2">
        <v>24555.22</v>
      </c>
      <c r="I3489" s="2">
        <v>17188.65</v>
      </c>
    </row>
    <row r="3490" spans="1:9" x14ac:dyDescent="0.25">
      <c r="A3490" t="s">
        <v>1819</v>
      </c>
      <c r="B3490" t="s">
        <v>1821</v>
      </c>
      <c r="C3490" t="s">
        <v>21</v>
      </c>
      <c r="D3490" t="s">
        <v>4052</v>
      </c>
      <c r="E3490" t="s">
        <v>4053</v>
      </c>
      <c r="F3490" t="s">
        <v>4054</v>
      </c>
      <c r="G3490">
        <v>5</v>
      </c>
      <c r="H3490" s="2">
        <v>17188.65</v>
      </c>
      <c r="I3490" s="2">
        <v>859.43</v>
      </c>
    </row>
    <row r="3491" spans="1:9" x14ac:dyDescent="0.25">
      <c r="A3491" t="s">
        <v>1826</v>
      </c>
      <c r="B3491" t="s">
        <v>1827</v>
      </c>
      <c r="C3491" t="s">
        <v>21</v>
      </c>
      <c r="D3491" t="s">
        <v>4062</v>
      </c>
      <c r="E3491" t="s">
        <v>5821</v>
      </c>
      <c r="F3491" t="s">
        <v>34</v>
      </c>
      <c r="G3491">
        <v>0.06</v>
      </c>
      <c r="H3491" s="2">
        <v>93966.67</v>
      </c>
      <c r="I3491" s="2">
        <v>5638</v>
      </c>
    </row>
    <row r="3492" spans="1:9" x14ac:dyDescent="0.25">
      <c r="A3492" t="s">
        <v>1826</v>
      </c>
      <c r="B3492" t="s">
        <v>1827</v>
      </c>
      <c r="C3492" t="s">
        <v>21</v>
      </c>
      <c r="D3492" t="s">
        <v>4062</v>
      </c>
      <c r="E3492" t="s">
        <v>5822</v>
      </c>
      <c r="F3492" t="s">
        <v>34</v>
      </c>
      <c r="G3492">
        <v>0.21</v>
      </c>
      <c r="H3492" s="2">
        <v>66452</v>
      </c>
      <c r="I3492" s="2">
        <v>13954.92</v>
      </c>
    </row>
    <row r="3493" spans="1:9" x14ac:dyDescent="0.25">
      <c r="A3493" t="s">
        <v>1826</v>
      </c>
      <c r="B3493" t="s">
        <v>1827</v>
      </c>
      <c r="C3493" t="s">
        <v>21</v>
      </c>
      <c r="D3493" t="s">
        <v>4062</v>
      </c>
      <c r="E3493" t="s">
        <v>5823</v>
      </c>
      <c r="F3493" t="s">
        <v>42</v>
      </c>
      <c r="G3493">
        <v>1</v>
      </c>
      <c r="H3493" s="2">
        <v>15765</v>
      </c>
      <c r="I3493" s="2">
        <v>15765</v>
      </c>
    </row>
    <row r="3494" spans="1:9" x14ac:dyDescent="0.25">
      <c r="A3494" t="s">
        <v>1826</v>
      </c>
      <c r="B3494" t="s">
        <v>1827</v>
      </c>
      <c r="C3494" t="s">
        <v>21</v>
      </c>
      <c r="D3494" t="s">
        <v>4062</v>
      </c>
      <c r="E3494" t="s">
        <v>5824</v>
      </c>
      <c r="F3494" t="s">
        <v>21</v>
      </c>
      <c r="G3494">
        <v>0.8</v>
      </c>
      <c r="H3494" s="2">
        <v>30980.01</v>
      </c>
      <c r="I3494" s="2">
        <v>24784.01</v>
      </c>
    </row>
    <row r="3495" spans="1:9" x14ac:dyDescent="0.25">
      <c r="A3495" t="s">
        <v>1826</v>
      </c>
      <c r="B3495" t="s">
        <v>1827</v>
      </c>
      <c r="C3495" t="s">
        <v>21</v>
      </c>
      <c r="D3495" t="s">
        <v>4062</v>
      </c>
      <c r="E3495" t="s">
        <v>5825</v>
      </c>
      <c r="F3495" t="s">
        <v>63</v>
      </c>
      <c r="G3495">
        <v>52</v>
      </c>
      <c r="H3495" s="2">
        <v>510</v>
      </c>
      <c r="I3495" s="2">
        <v>26520</v>
      </c>
    </row>
    <row r="3496" spans="1:9" x14ac:dyDescent="0.25">
      <c r="A3496" t="s">
        <v>1826</v>
      </c>
      <c r="B3496" t="s">
        <v>1827</v>
      </c>
      <c r="C3496" t="s">
        <v>21</v>
      </c>
      <c r="D3496" t="s">
        <v>4062</v>
      </c>
      <c r="E3496" t="s">
        <v>3978</v>
      </c>
      <c r="F3496" t="s">
        <v>34</v>
      </c>
      <c r="G3496">
        <v>0.02</v>
      </c>
      <c r="H3496" s="2">
        <v>409741.65</v>
      </c>
      <c r="I3496" s="2">
        <v>8194.83</v>
      </c>
    </row>
    <row r="3497" spans="1:9" x14ac:dyDescent="0.25">
      <c r="A3497" t="s">
        <v>1826</v>
      </c>
      <c r="B3497" t="s">
        <v>1827</v>
      </c>
      <c r="C3497" t="s">
        <v>21</v>
      </c>
      <c r="D3497" t="s">
        <v>4062</v>
      </c>
      <c r="E3497" t="s">
        <v>5818</v>
      </c>
      <c r="F3497" t="s">
        <v>4236</v>
      </c>
      <c r="G3497">
        <v>1</v>
      </c>
      <c r="H3497" s="2">
        <v>24555.22</v>
      </c>
      <c r="I3497" s="2">
        <v>24555.22</v>
      </c>
    </row>
    <row r="3498" spans="1:9" x14ac:dyDescent="0.25">
      <c r="A3498" t="s">
        <v>1830</v>
      </c>
      <c r="B3498" t="s">
        <v>1831</v>
      </c>
      <c r="C3498" t="s">
        <v>21</v>
      </c>
      <c r="D3498" t="s">
        <v>4049</v>
      </c>
      <c r="E3498" t="s">
        <v>4050</v>
      </c>
      <c r="F3498" t="s">
        <v>4051</v>
      </c>
      <c r="G3498">
        <v>0.2</v>
      </c>
      <c r="H3498" s="2">
        <v>9037.33</v>
      </c>
      <c r="I3498" s="2">
        <v>1807.47</v>
      </c>
    </row>
    <row r="3499" spans="1:9" x14ac:dyDescent="0.25">
      <c r="A3499" t="s">
        <v>1830</v>
      </c>
      <c r="B3499" t="s">
        <v>1831</v>
      </c>
      <c r="C3499" t="s">
        <v>21</v>
      </c>
      <c r="D3499" t="s">
        <v>4049</v>
      </c>
      <c r="E3499" t="s">
        <v>4073</v>
      </c>
      <c r="F3499" t="s">
        <v>4051</v>
      </c>
      <c r="G3499">
        <v>0.2</v>
      </c>
      <c r="H3499" s="2">
        <v>15517.89</v>
      </c>
      <c r="I3499" s="2">
        <v>3103.58</v>
      </c>
    </row>
    <row r="3500" spans="1:9" x14ac:dyDescent="0.25">
      <c r="A3500" t="s">
        <v>1830</v>
      </c>
      <c r="B3500" t="s">
        <v>1831</v>
      </c>
      <c r="C3500" t="s">
        <v>21</v>
      </c>
      <c r="D3500" t="s">
        <v>4052</v>
      </c>
      <c r="E3500" t="s">
        <v>4053</v>
      </c>
      <c r="F3500" t="s">
        <v>4054</v>
      </c>
      <c r="G3500">
        <v>10</v>
      </c>
      <c r="H3500" s="2">
        <v>4911.05</v>
      </c>
      <c r="I3500" s="2">
        <v>491.11</v>
      </c>
    </row>
    <row r="3501" spans="1:9" x14ac:dyDescent="0.25">
      <c r="A3501" t="s">
        <v>1836</v>
      </c>
      <c r="B3501" t="s">
        <v>1837</v>
      </c>
      <c r="C3501" t="s">
        <v>21</v>
      </c>
      <c r="D3501" t="s">
        <v>4062</v>
      </c>
      <c r="E3501" t="s">
        <v>4001</v>
      </c>
      <c r="F3501" t="s">
        <v>34</v>
      </c>
      <c r="G3501">
        <v>0.16</v>
      </c>
      <c r="H3501" s="2">
        <v>450245.66</v>
      </c>
      <c r="I3501" s="2">
        <v>72039.31</v>
      </c>
    </row>
    <row r="3502" spans="1:9" x14ac:dyDescent="0.25">
      <c r="A3502" t="s">
        <v>1836</v>
      </c>
      <c r="B3502" t="s">
        <v>1837</v>
      </c>
      <c r="C3502" t="s">
        <v>21</v>
      </c>
      <c r="D3502" t="s">
        <v>4062</v>
      </c>
      <c r="E3502" t="s">
        <v>4476</v>
      </c>
      <c r="F3502" t="s">
        <v>42</v>
      </c>
      <c r="G3502">
        <v>1.1</v>
      </c>
      <c r="H3502" s="2">
        <v>3472</v>
      </c>
      <c r="I3502" s="2">
        <v>3819.2</v>
      </c>
    </row>
    <row r="3503" spans="1:9" x14ac:dyDescent="0.25">
      <c r="A3503" t="s">
        <v>1836</v>
      </c>
      <c r="B3503" t="s">
        <v>1837</v>
      </c>
      <c r="C3503" t="s">
        <v>21</v>
      </c>
      <c r="D3503" t="s">
        <v>4049</v>
      </c>
      <c r="E3503" t="s">
        <v>4050</v>
      </c>
      <c r="F3503" t="s">
        <v>4051</v>
      </c>
      <c r="G3503">
        <v>1.2</v>
      </c>
      <c r="H3503" s="2">
        <v>9037.33</v>
      </c>
      <c r="I3503" s="2">
        <v>10844.8</v>
      </c>
    </row>
    <row r="3504" spans="1:9" x14ac:dyDescent="0.25">
      <c r="A3504" t="s">
        <v>1836</v>
      </c>
      <c r="B3504" t="s">
        <v>1837</v>
      </c>
      <c r="C3504" t="s">
        <v>21</v>
      </c>
      <c r="D3504" t="s">
        <v>4049</v>
      </c>
      <c r="E3504" t="s">
        <v>4073</v>
      </c>
      <c r="F3504" t="s">
        <v>4051</v>
      </c>
      <c r="G3504">
        <v>1.2</v>
      </c>
      <c r="H3504" s="2">
        <v>15517.89</v>
      </c>
      <c r="I3504" s="2">
        <v>18621.47</v>
      </c>
    </row>
    <row r="3505" spans="1:9" x14ac:dyDescent="0.25">
      <c r="A3505" t="s">
        <v>1836</v>
      </c>
      <c r="B3505" t="s">
        <v>1837</v>
      </c>
      <c r="C3505" t="s">
        <v>21</v>
      </c>
      <c r="D3505" t="s">
        <v>4052</v>
      </c>
      <c r="E3505" t="s">
        <v>4053</v>
      </c>
      <c r="F3505" t="s">
        <v>4054</v>
      </c>
      <c r="G3505">
        <v>1</v>
      </c>
      <c r="H3505" s="2">
        <v>29466.27</v>
      </c>
      <c r="I3505" s="2">
        <v>294.66</v>
      </c>
    </row>
    <row r="3506" spans="1:9" x14ac:dyDescent="0.25">
      <c r="A3506" t="s">
        <v>1840</v>
      </c>
      <c r="B3506" t="s">
        <v>1841</v>
      </c>
      <c r="C3506" t="s">
        <v>21</v>
      </c>
      <c r="D3506" t="s">
        <v>4062</v>
      </c>
      <c r="E3506" t="s">
        <v>4289</v>
      </c>
      <c r="F3506" t="s">
        <v>63</v>
      </c>
      <c r="G3506">
        <v>0.1</v>
      </c>
      <c r="H3506" s="2">
        <v>5028.78</v>
      </c>
      <c r="I3506" s="2">
        <v>502.88</v>
      </c>
    </row>
    <row r="3507" spans="1:9" x14ac:dyDescent="0.25">
      <c r="A3507" t="s">
        <v>1840</v>
      </c>
      <c r="B3507" t="s">
        <v>1841</v>
      </c>
      <c r="C3507" t="s">
        <v>21</v>
      </c>
      <c r="D3507" t="s">
        <v>4062</v>
      </c>
      <c r="E3507" t="s">
        <v>4001</v>
      </c>
      <c r="F3507" t="s">
        <v>34</v>
      </c>
      <c r="G3507">
        <v>0.1</v>
      </c>
      <c r="H3507" s="2">
        <v>450245.66</v>
      </c>
      <c r="I3507" s="2">
        <v>45024.57</v>
      </c>
    </row>
    <row r="3508" spans="1:9" x14ac:dyDescent="0.25">
      <c r="A3508" t="s">
        <v>1840</v>
      </c>
      <c r="B3508" t="s">
        <v>1841</v>
      </c>
      <c r="C3508" t="s">
        <v>21</v>
      </c>
      <c r="D3508" t="s">
        <v>4062</v>
      </c>
      <c r="E3508" t="s">
        <v>5832</v>
      </c>
      <c r="F3508" t="s">
        <v>42</v>
      </c>
      <c r="G3508">
        <v>1</v>
      </c>
      <c r="H3508" s="2">
        <v>9864.67</v>
      </c>
      <c r="I3508" s="2">
        <v>9864.67</v>
      </c>
    </row>
    <row r="3509" spans="1:9" x14ac:dyDescent="0.25">
      <c r="A3509" t="s">
        <v>1840</v>
      </c>
      <c r="B3509" t="s">
        <v>1841</v>
      </c>
      <c r="C3509" t="s">
        <v>21</v>
      </c>
      <c r="D3509" t="s">
        <v>4062</v>
      </c>
      <c r="E3509" t="s">
        <v>4065</v>
      </c>
      <c r="F3509" t="s">
        <v>4066</v>
      </c>
      <c r="G3509">
        <v>0.1</v>
      </c>
      <c r="H3509" s="2">
        <v>3433</v>
      </c>
      <c r="I3509" s="2">
        <v>343.3</v>
      </c>
    </row>
    <row r="3510" spans="1:9" x14ac:dyDescent="0.25">
      <c r="A3510" t="s">
        <v>1840</v>
      </c>
      <c r="B3510" t="s">
        <v>1841</v>
      </c>
      <c r="C3510" t="s">
        <v>21</v>
      </c>
      <c r="D3510" t="s">
        <v>4049</v>
      </c>
      <c r="E3510" t="s">
        <v>4176</v>
      </c>
      <c r="F3510" t="s">
        <v>4177</v>
      </c>
      <c r="G3510">
        <v>0.02</v>
      </c>
      <c r="H3510" s="2">
        <v>72300.17</v>
      </c>
      <c r="I3510" s="2">
        <v>1084.5</v>
      </c>
    </row>
    <row r="3511" spans="1:9" x14ac:dyDescent="0.25">
      <c r="A3511" t="s">
        <v>1840</v>
      </c>
      <c r="B3511" t="s">
        <v>1841</v>
      </c>
      <c r="C3511" t="s">
        <v>21</v>
      </c>
      <c r="D3511" t="s">
        <v>4049</v>
      </c>
      <c r="E3511" t="s">
        <v>4313</v>
      </c>
      <c r="F3511" t="s">
        <v>4177</v>
      </c>
      <c r="G3511">
        <v>0.02</v>
      </c>
      <c r="H3511" s="2">
        <v>124137.15</v>
      </c>
      <c r="I3511" s="2">
        <v>1862.06</v>
      </c>
    </row>
    <row r="3512" spans="1:9" x14ac:dyDescent="0.25">
      <c r="A3512" t="s">
        <v>1840</v>
      </c>
      <c r="B3512" t="s">
        <v>1841</v>
      </c>
      <c r="C3512" t="s">
        <v>21</v>
      </c>
      <c r="D3512" t="s">
        <v>4052</v>
      </c>
      <c r="E3512" t="s">
        <v>4053</v>
      </c>
      <c r="F3512" t="s">
        <v>4054</v>
      </c>
      <c r="G3512">
        <v>2</v>
      </c>
      <c r="H3512" s="2">
        <v>2946.56</v>
      </c>
      <c r="I3512" s="2">
        <v>58.93</v>
      </c>
    </row>
    <row r="3513" spans="1:9" x14ac:dyDescent="0.25">
      <c r="A3513" t="s">
        <v>1843</v>
      </c>
      <c r="B3513" t="s">
        <v>1844</v>
      </c>
      <c r="C3513" t="s">
        <v>21</v>
      </c>
      <c r="D3513" t="s">
        <v>4062</v>
      </c>
      <c r="E3513" t="s">
        <v>5835</v>
      </c>
      <c r="F3513" t="s">
        <v>5090</v>
      </c>
      <c r="G3513">
        <v>0.01</v>
      </c>
      <c r="H3513" s="2">
        <v>36000</v>
      </c>
      <c r="I3513" s="2">
        <v>360</v>
      </c>
    </row>
    <row r="3514" spans="1:9" x14ac:dyDescent="0.25">
      <c r="A3514" t="s">
        <v>1843</v>
      </c>
      <c r="B3514" t="s">
        <v>1844</v>
      </c>
      <c r="C3514" t="s">
        <v>21</v>
      </c>
      <c r="D3514" t="s">
        <v>4062</v>
      </c>
      <c r="E3514" t="s">
        <v>5091</v>
      </c>
      <c r="F3514" t="s">
        <v>5090</v>
      </c>
      <c r="G3514">
        <v>0.09</v>
      </c>
      <c r="H3514" s="2">
        <v>20894.67</v>
      </c>
      <c r="I3514" s="2">
        <v>1880.52</v>
      </c>
    </row>
    <row r="3515" spans="1:9" x14ac:dyDescent="0.25">
      <c r="A3515" t="s">
        <v>1843</v>
      </c>
      <c r="B3515" t="s">
        <v>1844</v>
      </c>
      <c r="C3515" t="s">
        <v>21</v>
      </c>
      <c r="D3515" t="s">
        <v>4062</v>
      </c>
      <c r="E3515" t="s">
        <v>4475</v>
      </c>
      <c r="F3515" t="s">
        <v>231</v>
      </c>
      <c r="G3515">
        <v>0.26</v>
      </c>
      <c r="H3515" s="2">
        <v>730</v>
      </c>
      <c r="I3515" s="2">
        <v>189.8</v>
      </c>
    </row>
    <row r="3516" spans="1:9" x14ac:dyDescent="0.25">
      <c r="A3516" t="s">
        <v>1843</v>
      </c>
      <c r="B3516" t="s">
        <v>1844</v>
      </c>
      <c r="C3516" t="s">
        <v>21</v>
      </c>
      <c r="D3516" t="s">
        <v>4062</v>
      </c>
      <c r="E3516" t="s">
        <v>4535</v>
      </c>
      <c r="F3516" t="s">
        <v>63</v>
      </c>
      <c r="G3516">
        <v>0.02</v>
      </c>
      <c r="H3516" s="2">
        <v>1180</v>
      </c>
      <c r="I3516" s="2">
        <v>23.6</v>
      </c>
    </row>
    <row r="3517" spans="1:9" x14ac:dyDescent="0.25">
      <c r="A3517" t="s">
        <v>1843</v>
      </c>
      <c r="B3517" t="s">
        <v>1844</v>
      </c>
      <c r="C3517" t="s">
        <v>21</v>
      </c>
      <c r="D3517" t="s">
        <v>4062</v>
      </c>
      <c r="E3517" t="s">
        <v>4602</v>
      </c>
      <c r="F3517" t="s">
        <v>4377</v>
      </c>
      <c r="G3517">
        <v>0.02</v>
      </c>
      <c r="H3517" s="2">
        <v>41112</v>
      </c>
      <c r="I3517" s="2">
        <v>723.57</v>
      </c>
    </row>
    <row r="3518" spans="1:9" x14ac:dyDescent="0.25">
      <c r="A3518" t="s">
        <v>1843</v>
      </c>
      <c r="B3518" t="s">
        <v>1844</v>
      </c>
      <c r="C3518" t="s">
        <v>21</v>
      </c>
      <c r="D3518" t="s">
        <v>4062</v>
      </c>
      <c r="E3518" t="s">
        <v>4076</v>
      </c>
      <c r="F3518" t="s">
        <v>3963</v>
      </c>
      <c r="G3518">
        <v>0.91</v>
      </c>
      <c r="H3518" s="2">
        <v>21</v>
      </c>
      <c r="I3518" s="2">
        <v>19.17</v>
      </c>
    </row>
    <row r="3519" spans="1:9" x14ac:dyDescent="0.25">
      <c r="A3519" t="s">
        <v>1843</v>
      </c>
      <c r="B3519" t="s">
        <v>1844</v>
      </c>
      <c r="C3519" t="s">
        <v>21</v>
      </c>
      <c r="D3519" t="s">
        <v>4049</v>
      </c>
      <c r="E3519" t="s">
        <v>4050</v>
      </c>
      <c r="F3519" t="s">
        <v>4051</v>
      </c>
      <c r="G3519">
        <v>0.31</v>
      </c>
      <c r="H3519" s="2">
        <v>9037.33</v>
      </c>
      <c r="I3519" s="2">
        <v>2801.57</v>
      </c>
    </row>
    <row r="3520" spans="1:9" x14ac:dyDescent="0.25">
      <c r="A3520" t="s">
        <v>1843</v>
      </c>
      <c r="B3520" t="s">
        <v>1844</v>
      </c>
      <c r="C3520" t="s">
        <v>21</v>
      </c>
      <c r="D3520" t="s">
        <v>4049</v>
      </c>
      <c r="E3520" t="s">
        <v>4073</v>
      </c>
      <c r="F3520" t="s">
        <v>4051</v>
      </c>
      <c r="G3520">
        <v>0.31</v>
      </c>
      <c r="H3520" s="2">
        <v>15517.89</v>
      </c>
      <c r="I3520" s="2">
        <v>4810.55</v>
      </c>
    </row>
    <row r="3521" spans="1:9" x14ac:dyDescent="0.25">
      <c r="A3521" t="s">
        <v>1843</v>
      </c>
      <c r="B3521" t="s">
        <v>1844</v>
      </c>
      <c r="C3521" t="s">
        <v>21</v>
      </c>
      <c r="D3521" t="s">
        <v>4052</v>
      </c>
      <c r="E3521" t="s">
        <v>4053</v>
      </c>
      <c r="F3521" t="s">
        <v>4054</v>
      </c>
      <c r="G3521">
        <v>1</v>
      </c>
      <c r="H3521" s="2">
        <v>7612.12</v>
      </c>
      <c r="I3521" s="2">
        <v>76.12</v>
      </c>
    </row>
    <row r="3522" spans="1:9" x14ac:dyDescent="0.25">
      <c r="A3522" t="s">
        <v>1847</v>
      </c>
      <c r="B3522" t="s">
        <v>1848</v>
      </c>
      <c r="C3522" t="s">
        <v>21</v>
      </c>
      <c r="D3522" t="s">
        <v>4062</v>
      </c>
      <c r="E3522" t="s">
        <v>5835</v>
      </c>
      <c r="F3522" t="s">
        <v>5090</v>
      </c>
      <c r="G3522">
        <v>0.01</v>
      </c>
      <c r="H3522" s="2">
        <v>36000</v>
      </c>
      <c r="I3522" s="2">
        <v>360</v>
      </c>
    </row>
    <row r="3523" spans="1:9" x14ac:dyDescent="0.25">
      <c r="A3523" t="s">
        <v>1847</v>
      </c>
      <c r="B3523" t="s">
        <v>1848</v>
      </c>
      <c r="C3523" t="s">
        <v>21</v>
      </c>
      <c r="D3523" t="s">
        <v>4062</v>
      </c>
      <c r="E3523" t="s">
        <v>5091</v>
      </c>
      <c r="F3523" t="s">
        <v>5090</v>
      </c>
      <c r="G3523">
        <v>0.09</v>
      </c>
      <c r="H3523" s="2">
        <v>20894.67</v>
      </c>
      <c r="I3523" s="2">
        <v>1880.52</v>
      </c>
    </row>
    <row r="3524" spans="1:9" x14ac:dyDescent="0.25">
      <c r="A3524" t="s">
        <v>1847</v>
      </c>
      <c r="B3524" t="s">
        <v>1848</v>
      </c>
      <c r="C3524" t="s">
        <v>21</v>
      </c>
      <c r="D3524" t="s">
        <v>4062</v>
      </c>
      <c r="E3524" t="s">
        <v>4475</v>
      </c>
      <c r="F3524" t="s">
        <v>231</v>
      </c>
      <c r="G3524">
        <v>0.26</v>
      </c>
      <c r="H3524" s="2">
        <v>730</v>
      </c>
      <c r="I3524" s="2">
        <v>189.8</v>
      </c>
    </row>
    <row r="3525" spans="1:9" x14ac:dyDescent="0.25">
      <c r="A3525" t="s">
        <v>1847</v>
      </c>
      <c r="B3525" t="s">
        <v>1848</v>
      </c>
      <c r="C3525" t="s">
        <v>21</v>
      </c>
      <c r="D3525" t="s">
        <v>4062</v>
      </c>
      <c r="E3525" t="s">
        <v>4535</v>
      </c>
      <c r="F3525" t="s">
        <v>63</v>
      </c>
      <c r="G3525">
        <v>0.02</v>
      </c>
      <c r="H3525" s="2">
        <v>1180</v>
      </c>
      <c r="I3525" s="2">
        <v>23.6</v>
      </c>
    </row>
    <row r="3526" spans="1:9" x14ac:dyDescent="0.25">
      <c r="A3526" t="s">
        <v>1847</v>
      </c>
      <c r="B3526" t="s">
        <v>1848</v>
      </c>
      <c r="C3526" t="s">
        <v>21</v>
      </c>
      <c r="D3526" t="s">
        <v>4062</v>
      </c>
      <c r="E3526" t="s">
        <v>4602</v>
      </c>
      <c r="F3526" t="s">
        <v>4377</v>
      </c>
      <c r="G3526">
        <v>0.02</v>
      </c>
      <c r="H3526" s="2">
        <v>41112</v>
      </c>
      <c r="I3526" s="2">
        <v>723.57</v>
      </c>
    </row>
    <row r="3527" spans="1:9" x14ac:dyDescent="0.25">
      <c r="A3527" t="s">
        <v>1847</v>
      </c>
      <c r="B3527" t="s">
        <v>1848</v>
      </c>
      <c r="C3527" t="s">
        <v>21</v>
      </c>
      <c r="D3527" t="s">
        <v>4062</v>
      </c>
      <c r="E3527" t="s">
        <v>4076</v>
      </c>
      <c r="F3527" t="s">
        <v>3963</v>
      </c>
      <c r="G3527">
        <v>0.91</v>
      </c>
      <c r="H3527" s="2">
        <v>21</v>
      </c>
      <c r="I3527" s="2">
        <v>19.17</v>
      </c>
    </row>
    <row r="3528" spans="1:9" x14ac:dyDescent="0.25">
      <c r="A3528" t="s">
        <v>1847</v>
      </c>
      <c r="B3528" t="s">
        <v>1848</v>
      </c>
      <c r="C3528" t="s">
        <v>21</v>
      </c>
      <c r="D3528" t="s">
        <v>4049</v>
      </c>
      <c r="E3528" t="s">
        <v>4050</v>
      </c>
      <c r="F3528" t="s">
        <v>4051</v>
      </c>
      <c r="G3528">
        <v>0.31</v>
      </c>
      <c r="H3528" s="2">
        <v>9037.33</v>
      </c>
      <c r="I3528" s="2">
        <v>2801.57</v>
      </c>
    </row>
    <row r="3529" spans="1:9" x14ac:dyDescent="0.25">
      <c r="A3529" t="s">
        <v>1847</v>
      </c>
      <c r="B3529" t="s">
        <v>1848</v>
      </c>
      <c r="C3529" t="s">
        <v>21</v>
      </c>
      <c r="D3529" t="s">
        <v>4049</v>
      </c>
      <c r="E3529" t="s">
        <v>4073</v>
      </c>
      <c r="F3529" t="s">
        <v>4051</v>
      </c>
      <c r="G3529">
        <v>0.31</v>
      </c>
      <c r="H3529" s="2">
        <v>15517.89</v>
      </c>
      <c r="I3529" s="2">
        <v>4810.55</v>
      </c>
    </row>
    <row r="3530" spans="1:9" x14ac:dyDescent="0.25">
      <c r="A3530" t="s">
        <v>1847</v>
      </c>
      <c r="B3530" t="s">
        <v>1848</v>
      </c>
      <c r="C3530" t="s">
        <v>21</v>
      </c>
      <c r="D3530" t="s">
        <v>4052</v>
      </c>
      <c r="E3530" t="s">
        <v>4105</v>
      </c>
      <c r="F3530" t="s">
        <v>4106</v>
      </c>
      <c r="G3530">
        <v>0.2</v>
      </c>
      <c r="H3530" s="2">
        <v>25125</v>
      </c>
      <c r="I3530" s="2">
        <v>5025</v>
      </c>
    </row>
    <row r="3531" spans="1:9" x14ac:dyDescent="0.25">
      <c r="A3531" t="s">
        <v>1847</v>
      </c>
      <c r="B3531" t="s">
        <v>1848</v>
      </c>
      <c r="C3531" t="s">
        <v>21</v>
      </c>
      <c r="D3531" t="s">
        <v>4052</v>
      </c>
      <c r="E3531" t="s">
        <v>4053</v>
      </c>
      <c r="F3531" t="s">
        <v>4054</v>
      </c>
      <c r="G3531">
        <v>1</v>
      </c>
      <c r="H3531" s="2">
        <v>7612.12</v>
      </c>
      <c r="I3531" s="2">
        <v>76.12</v>
      </c>
    </row>
    <row r="3532" spans="1:9" x14ac:dyDescent="0.25">
      <c r="A3532" t="s">
        <v>1850</v>
      </c>
      <c r="B3532" t="s">
        <v>1851</v>
      </c>
      <c r="C3532" t="s">
        <v>21</v>
      </c>
      <c r="D3532" t="s">
        <v>4062</v>
      </c>
      <c r="E3532" t="s">
        <v>5840</v>
      </c>
      <c r="F3532" t="s">
        <v>4377</v>
      </c>
      <c r="G3532">
        <v>0.7</v>
      </c>
      <c r="H3532" s="2">
        <v>25031.03</v>
      </c>
      <c r="I3532" s="2">
        <v>17521.72</v>
      </c>
    </row>
    <row r="3533" spans="1:9" x14ac:dyDescent="0.25">
      <c r="A3533" t="s">
        <v>1850</v>
      </c>
      <c r="B3533" t="s">
        <v>1851</v>
      </c>
      <c r="C3533" t="s">
        <v>21</v>
      </c>
      <c r="D3533" t="s">
        <v>4049</v>
      </c>
      <c r="E3533" t="s">
        <v>4050</v>
      </c>
      <c r="F3533" t="s">
        <v>4051</v>
      </c>
      <c r="G3533">
        <v>0.32</v>
      </c>
      <c r="H3533" s="2">
        <v>9037.33</v>
      </c>
      <c r="I3533" s="2">
        <v>2891.95</v>
      </c>
    </row>
    <row r="3534" spans="1:9" x14ac:dyDescent="0.25">
      <c r="A3534" t="s">
        <v>1850</v>
      </c>
      <c r="B3534" t="s">
        <v>1851</v>
      </c>
      <c r="C3534" t="s">
        <v>21</v>
      </c>
      <c r="D3534" t="s">
        <v>4049</v>
      </c>
      <c r="E3534" t="s">
        <v>4073</v>
      </c>
      <c r="F3534" t="s">
        <v>4051</v>
      </c>
      <c r="G3534">
        <v>0.32</v>
      </c>
      <c r="H3534" s="2">
        <v>15517.89</v>
      </c>
      <c r="I3534" s="2">
        <v>4965.72</v>
      </c>
    </row>
    <row r="3535" spans="1:9" x14ac:dyDescent="0.25">
      <c r="A3535" t="s">
        <v>1850</v>
      </c>
      <c r="B3535" t="s">
        <v>1851</v>
      </c>
      <c r="C3535" t="s">
        <v>21</v>
      </c>
      <c r="D3535" t="s">
        <v>4052</v>
      </c>
      <c r="E3535" t="s">
        <v>4053</v>
      </c>
      <c r="F3535" t="s">
        <v>4054</v>
      </c>
      <c r="G3535">
        <v>4</v>
      </c>
      <c r="H3535" s="2">
        <v>7857.67</v>
      </c>
      <c r="I3535" s="2">
        <v>314.31</v>
      </c>
    </row>
    <row r="3536" spans="1:9" x14ac:dyDescent="0.25">
      <c r="A3536" t="s">
        <v>1854</v>
      </c>
      <c r="B3536" t="s">
        <v>1855</v>
      </c>
      <c r="C3536" t="s">
        <v>21</v>
      </c>
      <c r="D3536" t="s">
        <v>4062</v>
      </c>
      <c r="E3536" t="s">
        <v>4594</v>
      </c>
      <c r="F3536" t="s">
        <v>63</v>
      </c>
      <c r="G3536">
        <v>2</v>
      </c>
      <c r="H3536" s="2">
        <v>336</v>
      </c>
      <c r="I3536" s="2">
        <v>672</v>
      </c>
    </row>
    <row r="3537" spans="1:9" x14ac:dyDescent="0.25">
      <c r="A3537" t="s">
        <v>1854</v>
      </c>
      <c r="B3537" t="s">
        <v>1855</v>
      </c>
      <c r="C3537" t="s">
        <v>21</v>
      </c>
      <c r="D3537" t="s">
        <v>4062</v>
      </c>
      <c r="E3537" t="s">
        <v>4595</v>
      </c>
      <c r="F3537" t="s">
        <v>63</v>
      </c>
      <c r="G3537">
        <v>50</v>
      </c>
      <c r="H3537" s="2">
        <v>26</v>
      </c>
      <c r="I3537" s="2">
        <v>1300</v>
      </c>
    </row>
    <row r="3538" spans="1:9" x14ac:dyDescent="0.25">
      <c r="A3538" t="s">
        <v>1854</v>
      </c>
      <c r="B3538" t="s">
        <v>1855</v>
      </c>
      <c r="C3538" t="s">
        <v>21</v>
      </c>
      <c r="D3538" t="s">
        <v>4062</v>
      </c>
      <c r="E3538" t="s">
        <v>5843</v>
      </c>
      <c r="F3538" t="s">
        <v>63</v>
      </c>
      <c r="G3538">
        <v>60</v>
      </c>
      <c r="H3538" s="2">
        <v>196</v>
      </c>
      <c r="I3538" s="2">
        <v>11760</v>
      </c>
    </row>
    <row r="3539" spans="1:9" x14ac:dyDescent="0.25">
      <c r="A3539" t="s">
        <v>1854</v>
      </c>
      <c r="B3539" t="s">
        <v>1855</v>
      </c>
      <c r="C3539" t="s">
        <v>21</v>
      </c>
      <c r="D3539" t="s">
        <v>4062</v>
      </c>
      <c r="E3539" t="s">
        <v>5844</v>
      </c>
      <c r="F3539" t="s">
        <v>63</v>
      </c>
      <c r="G3539">
        <v>0.23</v>
      </c>
      <c r="H3539" s="2">
        <v>5274</v>
      </c>
      <c r="I3539" s="2">
        <v>1192.45</v>
      </c>
    </row>
    <row r="3540" spans="1:9" x14ac:dyDescent="0.25">
      <c r="A3540" t="s">
        <v>1854</v>
      </c>
      <c r="B3540" t="s">
        <v>1855</v>
      </c>
      <c r="C3540" t="s">
        <v>21</v>
      </c>
      <c r="D3540" t="s">
        <v>4062</v>
      </c>
      <c r="E3540" t="s">
        <v>4598</v>
      </c>
      <c r="F3540" t="s">
        <v>42</v>
      </c>
      <c r="G3540">
        <v>0.16</v>
      </c>
      <c r="H3540" s="2">
        <v>164.11</v>
      </c>
      <c r="I3540" s="2">
        <v>26.26</v>
      </c>
    </row>
    <row r="3541" spans="1:9" x14ac:dyDescent="0.25">
      <c r="A3541" t="s">
        <v>1854</v>
      </c>
      <c r="B3541" t="s">
        <v>1855</v>
      </c>
      <c r="C3541" t="s">
        <v>21</v>
      </c>
      <c r="D3541" t="s">
        <v>4062</v>
      </c>
      <c r="E3541" t="s">
        <v>5845</v>
      </c>
      <c r="F3541" t="s">
        <v>42</v>
      </c>
      <c r="G3541">
        <v>0.2</v>
      </c>
      <c r="H3541" s="2">
        <v>4050</v>
      </c>
      <c r="I3541" s="2">
        <v>826.61</v>
      </c>
    </row>
    <row r="3542" spans="1:9" x14ac:dyDescent="0.25">
      <c r="A3542" t="s">
        <v>1854</v>
      </c>
      <c r="B3542" t="s">
        <v>1855</v>
      </c>
      <c r="C3542" t="s">
        <v>21</v>
      </c>
      <c r="D3542" t="s">
        <v>4062</v>
      </c>
      <c r="E3542" t="s">
        <v>5846</v>
      </c>
      <c r="F3542" t="s">
        <v>5704</v>
      </c>
      <c r="G3542">
        <v>0.08</v>
      </c>
      <c r="H3542" s="2">
        <v>119545</v>
      </c>
      <c r="I3542" s="2">
        <v>9563.6</v>
      </c>
    </row>
    <row r="3543" spans="1:9" x14ac:dyDescent="0.25">
      <c r="A3543" t="s">
        <v>1854</v>
      </c>
      <c r="B3543" t="s">
        <v>1855</v>
      </c>
      <c r="C3543" t="s">
        <v>21</v>
      </c>
      <c r="D3543" t="s">
        <v>4062</v>
      </c>
      <c r="E3543" t="s">
        <v>5847</v>
      </c>
      <c r="F3543" t="s">
        <v>5704</v>
      </c>
      <c r="G3543">
        <v>0.06</v>
      </c>
      <c r="H3543" s="2">
        <v>107098</v>
      </c>
      <c r="I3543" s="2">
        <v>6425.88</v>
      </c>
    </row>
    <row r="3544" spans="1:9" x14ac:dyDescent="0.25">
      <c r="A3544" t="s">
        <v>1854</v>
      </c>
      <c r="B3544" t="s">
        <v>1855</v>
      </c>
      <c r="C3544" t="s">
        <v>21</v>
      </c>
      <c r="D3544" t="s">
        <v>4062</v>
      </c>
      <c r="E3544" t="s">
        <v>4599</v>
      </c>
      <c r="F3544" t="s">
        <v>63</v>
      </c>
      <c r="G3544">
        <v>0.69</v>
      </c>
      <c r="H3544" s="2">
        <v>63949.67</v>
      </c>
      <c r="I3544" s="2">
        <v>44125.27</v>
      </c>
    </row>
    <row r="3545" spans="1:9" x14ac:dyDescent="0.25">
      <c r="A3545" t="s">
        <v>1854</v>
      </c>
      <c r="B3545" t="s">
        <v>1855</v>
      </c>
      <c r="C3545" t="s">
        <v>21</v>
      </c>
      <c r="D3545" t="s">
        <v>4062</v>
      </c>
      <c r="E3545" t="s">
        <v>4600</v>
      </c>
      <c r="F3545" t="s">
        <v>63</v>
      </c>
      <c r="G3545">
        <v>0.26</v>
      </c>
      <c r="H3545" s="2">
        <v>1195</v>
      </c>
      <c r="I3545" s="2">
        <v>310.7</v>
      </c>
    </row>
    <row r="3546" spans="1:9" x14ac:dyDescent="0.25">
      <c r="A3546" t="s">
        <v>1854</v>
      </c>
      <c r="B3546" t="s">
        <v>1855</v>
      </c>
      <c r="C3546" t="s">
        <v>21</v>
      </c>
      <c r="D3546" t="s">
        <v>4062</v>
      </c>
      <c r="E3546" t="s">
        <v>4601</v>
      </c>
      <c r="F3546" t="s">
        <v>63</v>
      </c>
      <c r="G3546">
        <v>2</v>
      </c>
      <c r="H3546" s="2">
        <v>199</v>
      </c>
      <c r="I3546" s="2">
        <v>398</v>
      </c>
    </row>
    <row r="3547" spans="1:9" x14ac:dyDescent="0.25">
      <c r="A3547" t="s">
        <v>1854</v>
      </c>
      <c r="B3547" t="s">
        <v>1855</v>
      </c>
      <c r="C3547" t="s">
        <v>21</v>
      </c>
      <c r="D3547" t="s">
        <v>4062</v>
      </c>
      <c r="E3547" t="s">
        <v>4602</v>
      </c>
      <c r="F3547" t="s">
        <v>4377</v>
      </c>
      <c r="G3547">
        <v>0.08</v>
      </c>
      <c r="H3547" s="2">
        <v>41112</v>
      </c>
      <c r="I3547" s="2">
        <v>3288.96</v>
      </c>
    </row>
    <row r="3548" spans="1:9" x14ac:dyDescent="0.25">
      <c r="A3548" t="s">
        <v>1854</v>
      </c>
      <c r="B3548" t="s">
        <v>1855</v>
      </c>
      <c r="C3548" t="s">
        <v>21</v>
      </c>
      <c r="D3548" t="s">
        <v>4049</v>
      </c>
      <c r="E3548" t="s">
        <v>4603</v>
      </c>
      <c r="F3548" t="s">
        <v>21</v>
      </c>
      <c r="G3548">
        <v>1</v>
      </c>
      <c r="H3548" s="2">
        <v>29781.96</v>
      </c>
      <c r="I3548" s="2">
        <v>29781.96</v>
      </c>
    </row>
    <row r="3549" spans="1:9" x14ac:dyDescent="0.25">
      <c r="A3549" t="s">
        <v>1854</v>
      </c>
      <c r="B3549" t="s">
        <v>1855</v>
      </c>
      <c r="C3549" t="s">
        <v>21</v>
      </c>
      <c r="D3549" t="s">
        <v>4052</v>
      </c>
      <c r="E3549" t="s">
        <v>5848</v>
      </c>
      <c r="F3549" t="s">
        <v>42</v>
      </c>
      <c r="G3549">
        <v>2</v>
      </c>
      <c r="H3549" s="2">
        <v>6074</v>
      </c>
      <c r="I3549" s="2">
        <v>12148</v>
      </c>
    </row>
    <row r="3550" spans="1:9" x14ac:dyDescent="0.25">
      <c r="A3550" t="s">
        <v>1854</v>
      </c>
      <c r="B3550" t="s">
        <v>1855</v>
      </c>
      <c r="C3550" t="s">
        <v>21</v>
      </c>
      <c r="D3550" t="s">
        <v>4052</v>
      </c>
      <c r="E3550" t="s">
        <v>4105</v>
      </c>
      <c r="F3550" t="s">
        <v>4106</v>
      </c>
      <c r="G3550">
        <v>0.8</v>
      </c>
      <c r="H3550" s="2">
        <v>25125</v>
      </c>
      <c r="I3550" s="2">
        <v>20100</v>
      </c>
    </row>
    <row r="3551" spans="1:9" x14ac:dyDescent="0.25">
      <c r="A3551" t="s">
        <v>1854</v>
      </c>
      <c r="B3551" t="s">
        <v>1855</v>
      </c>
      <c r="C3551" t="s">
        <v>21</v>
      </c>
      <c r="D3551" t="s">
        <v>4052</v>
      </c>
      <c r="E3551" t="s">
        <v>4053</v>
      </c>
      <c r="F3551" t="s">
        <v>4054</v>
      </c>
      <c r="G3551">
        <v>6.7</v>
      </c>
      <c r="H3551" s="2">
        <v>29781.96</v>
      </c>
      <c r="I3551" s="2">
        <v>1995.39</v>
      </c>
    </row>
    <row r="3552" spans="1:9" x14ac:dyDescent="0.25">
      <c r="A3552" t="s">
        <v>1858</v>
      </c>
      <c r="B3552" t="s">
        <v>1859</v>
      </c>
      <c r="C3552" t="s">
        <v>21</v>
      </c>
      <c r="D3552" t="s">
        <v>4062</v>
      </c>
      <c r="E3552" t="s">
        <v>4547</v>
      </c>
      <c r="F3552" t="s">
        <v>34</v>
      </c>
      <c r="G3552">
        <v>0.3</v>
      </c>
      <c r="H3552" s="2">
        <v>57129.33</v>
      </c>
      <c r="I3552" s="2">
        <v>17138.8</v>
      </c>
    </row>
    <row r="3553" spans="1:9" x14ac:dyDescent="0.25">
      <c r="A3553" t="s">
        <v>1858</v>
      </c>
      <c r="B3553" t="s">
        <v>1859</v>
      </c>
      <c r="C3553" t="s">
        <v>21</v>
      </c>
      <c r="D3553" t="s">
        <v>4062</v>
      </c>
      <c r="E3553" t="s">
        <v>5851</v>
      </c>
      <c r="F3553" t="s">
        <v>21</v>
      </c>
      <c r="G3553">
        <v>1.1</v>
      </c>
      <c r="H3553" s="2">
        <v>8033.33</v>
      </c>
      <c r="I3553" s="2">
        <v>8836.66</v>
      </c>
    </row>
    <row r="3554" spans="1:9" x14ac:dyDescent="0.25">
      <c r="A3554" t="s">
        <v>1858</v>
      </c>
      <c r="B3554" t="s">
        <v>1859</v>
      </c>
      <c r="C3554" t="s">
        <v>21</v>
      </c>
      <c r="D3554" t="s">
        <v>4049</v>
      </c>
      <c r="E3554" t="s">
        <v>4050</v>
      </c>
      <c r="F3554" t="s">
        <v>4051</v>
      </c>
      <c r="G3554">
        <v>0.1</v>
      </c>
      <c r="H3554" s="2">
        <v>9037.33</v>
      </c>
      <c r="I3554" s="2">
        <v>903.73</v>
      </c>
    </row>
    <row r="3555" spans="1:9" x14ac:dyDescent="0.25">
      <c r="A3555" t="s">
        <v>1858</v>
      </c>
      <c r="B3555" t="s">
        <v>1859</v>
      </c>
      <c r="C3555" t="s">
        <v>21</v>
      </c>
      <c r="D3555" t="s">
        <v>4049</v>
      </c>
      <c r="E3555" t="s">
        <v>4073</v>
      </c>
      <c r="F3555" t="s">
        <v>4051</v>
      </c>
      <c r="G3555">
        <v>0.1</v>
      </c>
      <c r="H3555" s="2">
        <v>15517.89</v>
      </c>
      <c r="I3555" s="2">
        <v>1551.79</v>
      </c>
    </row>
    <row r="3556" spans="1:9" x14ac:dyDescent="0.25">
      <c r="A3556" t="s">
        <v>1858</v>
      </c>
      <c r="B3556" t="s">
        <v>1859</v>
      </c>
      <c r="C3556" t="s">
        <v>21</v>
      </c>
      <c r="D3556" t="s">
        <v>4052</v>
      </c>
      <c r="E3556" t="s">
        <v>4053</v>
      </c>
      <c r="F3556" t="s">
        <v>4054</v>
      </c>
      <c r="G3556">
        <v>3.5</v>
      </c>
      <c r="H3556" s="2">
        <v>2455.52</v>
      </c>
      <c r="I3556" s="2">
        <v>85.94</v>
      </c>
    </row>
    <row r="3557" spans="1:9" x14ac:dyDescent="0.25">
      <c r="A3557" t="s">
        <v>1861</v>
      </c>
      <c r="B3557" t="s">
        <v>1862</v>
      </c>
      <c r="C3557" t="s">
        <v>21</v>
      </c>
      <c r="D3557" t="s">
        <v>4062</v>
      </c>
      <c r="E3557" t="s">
        <v>4547</v>
      </c>
      <c r="F3557" t="s">
        <v>34</v>
      </c>
      <c r="G3557">
        <v>0.3</v>
      </c>
      <c r="H3557" s="2">
        <v>57129.33</v>
      </c>
      <c r="I3557" s="2">
        <v>17138.8</v>
      </c>
    </row>
    <row r="3558" spans="1:9" x14ac:dyDescent="0.25">
      <c r="A3558" t="s">
        <v>1861</v>
      </c>
      <c r="B3558" t="s">
        <v>1862</v>
      </c>
      <c r="C3558" t="s">
        <v>21</v>
      </c>
      <c r="D3558" t="s">
        <v>4062</v>
      </c>
      <c r="E3558" t="s">
        <v>5854</v>
      </c>
      <c r="F3558" t="s">
        <v>21</v>
      </c>
      <c r="G3558">
        <v>1</v>
      </c>
      <c r="H3558" s="2">
        <v>4750</v>
      </c>
      <c r="I3558" s="2">
        <v>4750</v>
      </c>
    </row>
    <row r="3559" spans="1:9" x14ac:dyDescent="0.25">
      <c r="A3559" t="s">
        <v>1861</v>
      </c>
      <c r="B3559" t="s">
        <v>1862</v>
      </c>
      <c r="C3559" t="s">
        <v>21</v>
      </c>
      <c r="D3559" t="s">
        <v>4049</v>
      </c>
      <c r="E3559" t="s">
        <v>4050</v>
      </c>
      <c r="F3559" t="s">
        <v>4051</v>
      </c>
      <c r="G3559">
        <v>0.1</v>
      </c>
      <c r="H3559" s="2">
        <v>9037.33</v>
      </c>
      <c r="I3559" s="2">
        <v>903.73</v>
      </c>
    </row>
    <row r="3560" spans="1:9" x14ac:dyDescent="0.25">
      <c r="A3560" t="s">
        <v>1861</v>
      </c>
      <c r="B3560" t="s">
        <v>1862</v>
      </c>
      <c r="C3560" t="s">
        <v>21</v>
      </c>
      <c r="D3560" t="s">
        <v>4049</v>
      </c>
      <c r="E3560" t="s">
        <v>4073</v>
      </c>
      <c r="F3560" t="s">
        <v>4051</v>
      </c>
      <c r="G3560">
        <v>0.1</v>
      </c>
      <c r="H3560" s="2">
        <v>15517.89</v>
      </c>
      <c r="I3560" s="2">
        <v>1551.79</v>
      </c>
    </row>
    <row r="3561" spans="1:9" x14ac:dyDescent="0.25">
      <c r="A3561" t="s">
        <v>1864</v>
      </c>
      <c r="B3561" t="s">
        <v>1865</v>
      </c>
      <c r="C3561" t="s">
        <v>42</v>
      </c>
      <c r="D3561" t="s">
        <v>4062</v>
      </c>
      <c r="E3561" t="s">
        <v>4001</v>
      </c>
      <c r="F3561" t="s">
        <v>34</v>
      </c>
      <c r="G3561">
        <v>0.08</v>
      </c>
      <c r="H3561" s="2">
        <v>450245.66</v>
      </c>
      <c r="I3561" s="2">
        <v>36019.65</v>
      </c>
    </row>
    <row r="3562" spans="1:9" x14ac:dyDescent="0.25">
      <c r="A3562" t="s">
        <v>1864</v>
      </c>
      <c r="B3562" t="s">
        <v>1865</v>
      </c>
      <c r="C3562" t="s">
        <v>42</v>
      </c>
      <c r="D3562" t="s">
        <v>4049</v>
      </c>
      <c r="E3562" t="s">
        <v>5857</v>
      </c>
      <c r="F3562" t="s">
        <v>4106</v>
      </c>
      <c r="G3562">
        <v>0.82</v>
      </c>
      <c r="H3562" s="2">
        <v>1250</v>
      </c>
      <c r="I3562" s="2">
        <v>1025</v>
      </c>
    </row>
    <row r="3563" spans="1:9" x14ac:dyDescent="0.25">
      <c r="A3563" t="s">
        <v>1864</v>
      </c>
      <c r="B3563" t="s">
        <v>1865</v>
      </c>
      <c r="C3563" t="s">
        <v>42</v>
      </c>
      <c r="D3563" t="s">
        <v>4049</v>
      </c>
      <c r="E3563" t="s">
        <v>5818</v>
      </c>
      <c r="F3563" t="s">
        <v>4236</v>
      </c>
      <c r="G3563">
        <v>0.46</v>
      </c>
      <c r="H3563" s="2">
        <v>24555.22</v>
      </c>
      <c r="I3563" s="2">
        <v>11295.4</v>
      </c>
    </row>
    <row r="3564" spans="1:9" x14ac:dyDescent="0.25">
      <c r="A3564" t="s">
        <v>1867</v>
      </c>
      <c r="B3564" t="s">
        <v>1869</v>
      </c>
      <c r="C3564" t="s">
        <v>63</v>
      </c>
      <c r="D3564" t="s">
        <v>4062</v>
      </c>
      <c r="E3564" t="s">
        <v>5861</v>
      </c>
      <c r="F3564" t="s">
        <v>1894</v>
      </c>
      <c r="G3564">
        <v>1</v>
      </c>
      <c r="H3564" s="2">
        <v>1731000.35</v>
      </c>
      <c r="I3564" s="2">
        <v>1731000.35</v>
      </c>
    </row>
    <row r="3565" spans="1:9" x14ac:dyDescent="0.25">
      <c r="A3565" t="s">
        <v>1872</v>
      </c>
      <c r="B3565" t="s">
        <v>1873</v>
      </c>
      <c r="C3565" t="s">
        <v>1151</v>
      </c>
      <c r="D3565" t="s">
        <v>4062</v>
      </c>
      <c r="E3565" t="s">
        <v>5864</v>
      </c>
      <c r="F3565" t="s">
        <v>1894</v>
      </c>
      <c r="G3565">
        <v>1</v>
      </c>
      <c r="H3565" s="2">
        <v>4039614.1</v>
      </c>
      <c r="I3565" s="2">
        <v>4039614.1</v>
      </c>
    </row>
    <row r="3566" spans="1:9" x14ac:dyDescent="0.25">
      <c r="A3566" t="s">
        <v>1876</v>
      </c>
      <c r="B3566" t="s">
        <v>1877</v>
      </c>
      <c r="C3566" t="s">
        <v>1151</v>
      </c>
      <c r="D3566" t="s">
        <v>4062</v>
      </c>
      <c r="E3566" t="s">
        <v>5867</v>
      </c>
      <c r="F3566" t="s">
        <v>63</v>
      </c>
      <c r="G3566">
        <v>1</v>
      </c>
      <c r="H3566" s="2">
        <v>360100</v>
      </c>
      <c r="I3566" s="2">
        <v>360100</v>
      </c>
    </row>
    <row r="3567" spans="1:9" x14ac:dyDescent="0.25">
      <c r="A3567" t="s">
        <v>1876</v>
      </c>
      <c r="B3567" t="s">
        <v>1877</v>
      </c>
      <c r="C3567" t="s">
        <v>1151</v>
      </c>
      <c r="D3567" t="s">
        <v>4062</v>
      </c>
      <c r="E3567" t="s">
        <v>5868</v>
      </c>
      <c r="F3567" t="s">
        <v>1894</v>
      </c>
      <c r="G3567">
        <v>1</v>
      </c>
      <c r="H3567" s="2">
        <v>3649820.02</v>
      </c>
      <c r="I3567" s="2">
        <v>3649820.02</v>
      </c>
    </row>
    <row r="3568" spans="1:9" x14ac:dyDescent="0.25">
      <c r="A3568" t="s">
        <v>1879</v>
      </c>
      <c r="B3568" t="s">
        <v>1880</v>
      </c>
      <c r="C3568" t="s">
        <v>1151</v>
      </c>
      <c r="D3568" t="s">
        <v>4062</v>
      </c>
      <c r="E3568" t="s">
        <v>5871</v>
      </c>
      <c r="F3568" t="s">
        <v>1894</v>
      </c>
      <c r="G3568">
        <v>1</v>
      </c>
      <c r="H3568" s="2">
        <v>1333666.67</v>
      </c>
      <c r="I3568" s="2">
        <v>1333666.67</v>
      </c>
    </row>
    <row r="3569" spans="1:9" x14ac:dyDescent="0.25">
      <c r="A3569" t="s">
        <v>1882</v>
      </c>
      <c r="B3569" t="s">
        <v>1883</v>
      </c>
      <c r="C3569" t="s">
        <v>1151</v>
      </c>
      <c r="D3569" t="s">
        <v>4062</v>
      </c>
      <c r="E3569" t="s">
        <v>5874</v>
      </c>
      <c r="F3569" t="s">
        <v>1894</v>
      </c>
      <c r="G3569">
        <v>1</v>
      </c>
      <c r="H3569" s="2">
        <v>3847667</v>
      </c>
      <c r="I3569" s="2">
        <v>3847667</v>
      </c>
    </row>
    <row r="3570" spans="1:9" x14ac:dyDescent="0.25">
      <c r="A3570" t="s">
        <v>1885</v>
      </c>
      <c r="B3570" t="s">
        <v>1886</v>
      </c>
      <c r="C3570" t="s">
        <v>1151</v>
      </c>
      <c r="D3570" t="s">
        <v>4062</v>
      </c>
      <c r="E3570" t="s">
        <v>5877</v>
      </c>
      <c r="F3570" t="s">
        <v>1894</v>
      </c>
      <c r="G3570">
        <v>1</v>
      </c>
      <c r="H3570" s="2">
        <v>3441083.33</v>
      </c>
      <c r="I3570" s="2">
        <v>3441083.33</v>
      </c>
    </row>
    <row r="3571" spans="1:9" x14ac:dyDescent="0.25">
      <c r="A3571" t="s">
        <v>1888</v>
      </c>
      <c r="B3571" t="s">
        <v>1889</v>
      </c>
      <c r="C3571" t="s">
        <v>42</v>
      </c>
      <c r="D3571" t="s">
        <v>4062</v>
      </c>
      <c r="E3571" t="s">
        <v>5880</v>
      </c>
      <c r="F3571" t="s">
        <v>4377</v>
      </c>
      <c r="G3571">
        <v>0.02</v>
      </c>
      <c r="H3571" s="2">
        <v>87340</v>
      </c>
      <c r="I3571" s="2">
        <v>1746.8</v>
      </c>
    </row>
    <row r="3572" spans="1:9" x14ac:dyDescent="0.25">
      <c r="A3572" t="s">
        <v>1888</v>
      </c>
      <c r="B3572" t="s">
        <v>1889</v>
      </c>
      <c r="C3572" t="s">
        <v>42</v>
      </c>
      <c r="D3572" t="s">
        <v>4049</v>
      </c>
      <c r="E3572" t="s">
        <v>4050</v>
      </c>
      <c r="F3572" t="s">
        <v>4051</v>
      </c>
      <c r="G3572">
        <v>0.15</v>
      </c>
      <c r="H3572" s="2">
        <v>9037.33</v>
      </c>
      <c r="I3572" s="2">
        <v>1355.6</v>
      </c>
    </row>
    <row r="3573" spans="1:9" x14ac:dyDescent="0.25">
      <c r="A3573" t="s">
        <v>1888</v>
      </c>
      <c r="B3573" t="s">
        <v>1889</v>
      </c>
      <c r="C3573" t="s">
        <v>42</v>
      </c>
      <c r="D3573" t="s">
        <v>4049</v>
      </c>
      <c r="E3573" t="s">
        <v>4073</v>
      </c>
      <c r="F3573" t="s">
        <v>4051</v>
      </c>
      <c r="G3573">
        <v>0.15</v>
      </c>
      <c r="H3573" s="2">
        <v>15517.89</v>
      </c>
      <c r="I3573" s="2">
        <v>2327.68</v>
      </c>
    </row>
    <row r="3574" spans="1:9" x14ac:dyDescent="0.25">
      <c r="A3574" t="s">
        <v>1888</v>
      </c>
      <c r="B3574" t="s">
        <v>1889</v>
      </c>
      <c r="C3574" t="s">
        <v>42</v>
      </c>
      <c r="D3574" t="s">
        <v>4052</v>
      </c>
      <c r="E3574" t="s">
        <v>4053</v>
      </c>
      <c r="F3574" t="s">
        <v>4054</v>
      </c>
      <c r="G3574">
        <v>5</v>
      </c>
      <c r="H3574" s="2">
        <v>3683.28</v>
      </c>
      <c r="I3574" s="2">
        <v>184.16</v>
      </c>
    </row>
    <row r="3575" spans="1:9" x14ac:dyDescent="0.25">
      <c r="A3575" t="s">
        <v>1892</v>
      </c>
      <c r="B3575" t="s">
        <v>1893</v>
      </c>
      <c r="C3575" t="s">
        <v>1894</v>
      </c>
      <c r="D3575" t="s">
        <v>4062</v>
      </c>
      <c r="E3575" t="s">
        <v>3180</v>
      </c>
      <c r="F3575" t="s">
        <v>34</v>
      </c>
      <c r="G3575">
        <v>1.72</v>
      </c>
      <c r="H3575" s="2">
        <v>48843.35</v>
      </c>
      <c r="I3575" s="2">
        <v>84010.56</v>
      </c>
    </row>
    <row r="3576" spans="1:9" x14ac:dyDescent="0.25">
      <c r="A3576" t="s">
        <v>1892</v>
      </c>
      <c r="B3576" t="s">
        <v>1893</v>
      </c>
      <c r="C3576" t="s">
        <v>1894</v>
      </c>
      <c r="D3576" t="s">
        <v>4062</v>
      </c>
      <c r="E3576" t="s">
        <v>5883</v>
      </c>
      <c r="F3576" t="s">
        <v>63</v>
      </c>
      <c r="G3576">
        <v>2</v>
      </c>
      <c r="H3576" s="2">
        <v>189000</v>
      </c>
      <c r="I3576" s="2">
        <v>378000</v>
      </c>
    </row>
    <row r="3577" spans="1:9" x14ac:dyDescent="0.25">
      <c r="A3577" t="s">
        <v>1892</v>
      </c>
      <c r="B3577" t="s">
        <v>1893</v>
      </c>
      <c r="C3577" t="s">
        <v>1894</v>
      </c>
      <c r="D3577" t="s">
        <v>4062</v>
      </c>
      <c r="E3577" t="s">
        <v>5884</v>
      </c>
      <c r="F3577" t="s">
        <v>63</v>
      </c>
      <c r="G3577">
        <v>1</v>
      </c>
      <c r="H3577" s="2">
        <v>6628300</v>
      </c>
      <c r="I3577" s="2">
        <v>6628300</v>
      </c>
    </row>
    <row r="3578" spans="1:9" x14ac:dyDescent="0.25">
      <c r="A3578" t="s">
        <v>1897</v>
      </c>
      <c r="B3578" t="s">
        <v>1898</v>
      </c>
      <c r="C3578" t="s">
        <v>63</v>
      </c>
      <c r="D3578" t="s">
        <v>4062</v>
      </c>
      <c r="E3578" t="s">
        <v>5867</v>
      </c>
      <c r="F3578" t="s">
        <v>63</v>
      </c>
      <c r="G3578">
        <v>1</v>
      </c>
      <c r="H3578" s="2">
        <v>360100</v>
      </c>
      <c r="I3578" s="2">
        <v>360100</v>
      </c>
    </row>
    <row r="3579" spans="1:9" x14ac:dyDescent="0.25">
      <c r="A3579" t="s">
        <v>1897</v>
      </c>
      <c r="B3579" t="s">
        <v>1898</v>
      </c>
      <c r="C3579" t="s">
        <v>63</v>
      </c>
      <c r="D3579" t="s">
        <v>4062</v>
      </c>
      <c r="E3579" t="s">
        <v>5887</v>
      </c>
      <c r="F3579" t="s">
        <v>42</v>
      </c>
      <c r="G3579">
        <v>3</v>
      </c>
      <c r="H3579" s="2">
        <v>22370</v>
      </c>
      <c r="I3579" s="2">
        <v>67110</v>
      </c>
    </row>
    <row r="3580" spans="1:9" x14ac:dyDescent="0.25">
      <c r="A3580" t="s">
        <v>1897</v>
      </c>
      <c r="B3580" t="s">
        <v>1898</v>
      </c>
      <c r="C3580" t="s">
        <v>63</v>
      </c>
      <c r="D3580" t="s">
        <v>4062</v>
      </c>
      <c r="E3580" t="s">
        <v>4004</v>
      </c>
      <c r="F3580" t="s">
        <v>34</v>
      </c>
      <c r="G3580">
        <v>0.01</v>
      </c>
      <c r="H3580" s="2">
        <v>426702.51</v>
      </c>
      <c r="I3580" s="2">
        <v>4267.03</v>
      </c>
    </row>
    <row r="3581" spans="1:9" x14ac:dyDescent="0.25">
      <c r="A3581" t="s">
        <v>1897</v>
      </c>
      <c r="B3581" t="s">
        <v>1898</v>
      </c>
      <c r="C3581" t="s">
        <v>63</v>
      </c>
      <c r="D3581" t="s">
        <v>4062</v>
      </c>
      <c r="E3581" t="s">
        <v>4487</v>
      </c>
      <c r="F3581" t="s">
        <v>4236</v>
      </c>
      <c r="G3581">
        <v>1</v>
      </c>
      <c r="H3581" s="2">
        <v>24555.22</v>
      </c>
      <c r="I3581" s="2">
        <v>24555.22</v>
      </c>
    </row>
    <row r="3582" spans="1:9" x14ac:dyDescent="0.25">
      <c r="A3582" t="s">
        <v>1901</v>
      </c>
      <c r="B3582" t="s">
        <v>1903</v>
      </c>
      <c r="C3582" t="s">
        <v>42</v>
      </c>
      <c r="D3582" t="s">
        <v>4062</v>
      </c>
      <c r="E3582" t="s">
        <v>5471</v>
      </c>
      <c r="F3582" t="s">
        <v>4377</v>
      </c>
      <c r="G3582">
        <v>0.04</v>
      </c>
      <c r="H3582" s="2">
        <v>37000</v>
      </c>
      <c r="I3582" s="2">
        <v>1480</v>
      </c>
    </row>
    <row r="3583" spans="1:9" x14ac:dyDescent="0.25">
      <c r="A3583" t="s">
        <v>1901</v>
      </c>
      <c r="B3583" t="s">
        <v>1903</v>
      </c>
      <c r="C3583" t="s">
        <v>42</v>
      </c>
      <c r="D3583" t="s">
        <v>4062</v>
      </c>
      <c r="E3583" t="s">
        <v>4600</v>
      </c>
      <c r="F3583" t="s">
        <v>63</v>
      </c>
      <c r="G3583">
        <v>1</v>
      </c>
      <c r="H3583" s="2">
        <v>1195</v>
      </c>
      <c r="I3583" s="2">
        <v>1195</v>
      </c>
    </row>
    <row r="3584" spans="1:9" x14ac:dyDescent="0.25">
      <c r="A3584" t="s">
        <v>1901</v>
      </c>
      <c r="B3584" t="s">
        <v>1903</v>
      </c>
      <c r="C3584" t="s">
        <v>42</v>
      </c>
      <c r="D3584" t="s">
        <v>4062</v>
      </c>
      <c r="E3584" t="s">
        <v>5703</v>
      </c>
      <c r="F3584" t="s">
        <v>5704</v>
      </c>
      <c r="G3584">
        <v>0</v>
      </c>
      <c r="H3584" s="2">
        <v>44800</v>
      </c>
      <c r="I3584" s="2">
        <v>197.12</v>
      </c>
    </row>
    <row r="3585" spans="1:9" x14ac:dyDescent="0.25">
      <c r="A3585" t="s">
        <v>1901</v>
      </c>
      <c r="B3585" t="s">
        <v>1903</v>
      </c>
      <c r="C3585" t="s">
        <v>42</v>
      </c>
      <c r="D3585" t="s">
        <v>4062</v>
      </c>
      <c r="E3585" t="s">
        <v>5891</v>
      </c>
      <c r="F3585" t="s">
        <v>42</v>
      </c>
      <c r="G3585">
        <v>1</v>
      </c>
      <c r="H3585" s="2">
        <v>473067</v>
      </c>
      <c r="I3585" s="2">
        <v>473067</v>
      </c>
    </row>
    <row r="3586" spans="1:9" x14ac:dyDescent="0.25">
      <c r="A3586" t="s">
        <v>1901</v>
      </c>
      <c r="B3586" t="s">
        <v>1903</v>
      </c>
      <c r="C3586" t="s">
        <v>42</v>
      </c>
      <c r="D3586" t="s">
        <v>4062</v>
      </c>
      <c r="E3586" t="s">
        <v>5892</v>
      </c>
      <c r="F3586" t="s">
        <v>231</v>
      </c>
      <c r="G3586">
        <v>0.4</v>
      </c>
      <c r="H3586" s="2">
        <v>10750</v>
      </c>
      <c r="I3586" s="2">
        <v>4300</v>
      </c>
    </row>
    <row r="3587" spans="1:9" x14ac:dyDescent="0.25">
      <c r="A3587" t="s">
        <v>1901</v>
      </c>
      <c r="B3587" t="s">
        <v>1903</v>
      </c>
      <c r="C3587" t="s">
        <v>42</v>
      </c>
      <c r="D3587" t="s">
        <v>4049</v>
      </c>
      <c r="E3587" t="s">
        <v>4050</v>
      </c>
      <c r="F3587" t="s">
        <v>4051</v>
      </c>
      <c r="G3587">
        <v>3.3</v>
      </c>
      <c r="H3587" s="2">
        <v>9037.33</v>
      </c>
      <c r="I3587" s="2">
        <v>29823.19</v>
      </c>
    </row>
    <row r="3588" spans="1:9" x14ac:dyDescent="0.25">
      <c r="A3588" t="s">
        <v>1901</v>
      </c>
      <c r="B3588" t="s">
        <v>1903</v>
      </c>
      <c r="C3588" t="s">
        <v>42</v>
      </c>
      <c r="D3588" t="s">
        <v>4049</v>
      </c>
      <c r="E3588" t="s">
        <v>4073</v>
      </c>
      <c r="F3588" t="s">
        <v>4051</v>
      </c>
      <c r="G3588">
        <v>1.65</v>
      </c>
      <c r="H3588" s="2">
        <v>15517.89</v>
      </c>
      <c r="I3588" s="2">
        <v>25604.52</v>
      </c>
    </row>
    <row r="3589" spans="1:9" x14ac:dyDescent="0.25">
      <c r="A3589" t="s">
        <v>1901</v>
      </c>
      <c r="B3589" t="s">
        <v>1903</v>
      </c>
      <c r="C3589" t="s">
        <v>42</v>
      </c>
      <c r="D3589" t="s">
        <v>4052</v>
      </c>
      <c r="E3589" t="s">
        <v>4206</v>
      </c>
      <c r="F3589" t="s">
        <v>4106</v>
      </c>
      <c r="G3589">
        <v>0.5</v>
      </c>
      <c r="H3589" s="2">
        <v>34243</v>
      </c>
      <c r="I3589" s="2">
        <v>17121.5</v>
      </c>
    </row>
    <row r="3590" spans="1:9" x14ac:dyDescent="0.25">
      <c r="A3590" t="s">
        <v>1901</v>
      </c>
      <c r="B3590" t="s">
        <v>1903</v>
      </c>
      <c r="C3590" t="s">
        <v>42</v>
      </c>
      <c r="D3590" t="s">
        <v>4052</v>
      </c>
      <c r="E3590" t="s">
        <v>4113</v>
      </c>
      <c r="F3590" t="s">
        <v>4106</v>
      </c>
      <c r="G3590">
        <v>1</v>
      </c>
      <c r="H3590" s="2">
        <v>43805.88</v>
      </c>
      <c r="I3590" s="2">
        <v>43805.88</v>
      </c>
    </row>
    <row r="3591" spans="1:9" x14ac:dyDescent="0.25">
      <c r="A3591" t="s">
        <v>1901</v>
      </c>
      <c r="B3591" t="s">
        <v>1903</v>
      </c>
      <c r="C3591" t="s">
        <v>42</v>
      </c>
      <c r="D3591" t="s">
        <v>4052</v>
      </c>
      <c r="E3591" t="s">
        <v>4053</v>
      </c>
      <c r="F3591" t="s">
        <v>4054</v>
      </c>
      <c r="G3591">
        <v>10</v>
      </c>
      <c r="H3591" s="2">
        <v>55427.71</v>
      </c>
      <c r="I3591" s="2">
        <v>5542.77</v>
      </c>
    </row>
    <row r="3592" spans="1:9" x14ac:dyDescent="0.25">
      <c r="A3592" t="s">
        <v>1905</v>
      </c>
      <c r="B3592" t="s">
        <v>1906</v>
      </c>
      <c r="C3592" t="s">
        <v>42</v>
      </c>
      <c r="D3592" t="s">
        <v>4062</v>
      </c>
      <c r="E3592" t="s">
        <v>5895</v>
      </c>
      <c r="F3592" t="s">
        <v>42</v>
      </c>
      <c r="G3592">
        <v>1</v>
      </c>
      <c r="H3592" s="2">
        <v>261992</v>
      </c>
      <c r="I3592" s="2">
        <v>261992</v>
      </c>
    </row>
    <row r="3593" spans="1:9" x14ac:dyDescent="0.25">
      <c r="A3593" t="s">
        <v>1905</v>
      </c>
      <c r="B3593" t="s">
        <v>1906</v>
      </c>
      <c r="C3593" t="s">
        <v>42</v>
      </c>
      <c r="D3593" t="s">
        <v>4049</v>
      </c>
      <c r="E3593" t="s">
        <v>4050</v>
      </c>
      <c r="F3593" t="s">
        <v>4051</v>
      </c>
      <c r="G3593">
        <v>3.3</v>
      </c>
      <c r="H3593" s="2">
        <v>9037.33</v>
      </c>
      <c r="I3593" s="2">
        <v>29823.19</v>
      </c>
    </row>
    <row r="3594" spans="1:9" x14ac:dyDescent="0.25">
      <c r="A3594" t="s">
        <v>1905</v>
      </c>
      <c r="B3594" t="s">
        <v>1906</v>
      </c>
      <c r="C3594" t="s">
        <v>42</v>
      </c>
      <c r="D3594" t="s">
        <v>4049</v>
      </c>
      <c r="E3594" t="s">
        <v>4073</v>
      </c>
      <c r="F3594" t="s">
        <v>4051</v>
      </c>
      <c r="G3594">
        <v>1.65</v>
      </c>
      <c r="H3594" s="2">
        <v>15517.89</v>
      </c>
      <c r="I3594" s="2">
        <v>25604.52</v>
      </c>
    </row>
    <row r="3595" spans="1:9" x14ac:dyDescent="0.25">
      <c r="A3595" t="s">
        <v>1905</v>
      </c>
      <c r="B3595" t="s">
        <v>1906</v>
      </c>
      <c r="C3595" t="s">
        <v>42</v>
      </c>
      <c r="D3595" t="s">
        <v>4052</v>
      </c>
      <c r="E3595" t="s">
        <v>4113</v>
      </c>
      <c r="F3595" t="s">
        <v>4106</v>
      </c>
      <c r="G3595">
        <v>1</v>
      </c>
      <c r="H3595" s="2">
        <v>43805.88</v>
      </c>
      <c r="I3595" s="2">
        <v>43805.88</v>
      </c>
    </row>
    <row r="3596" spans="1:9" x14ac:dyDescent="0.25">
      <c r="A3596" t="s">
        <v>1905</v>
      </c>
      <c r="B3596" t="s">
        <v>1906</v>
      </c>
      <c r="C3596" t="s">
        <v>42</v>
      </c>
      <c r="D3596" t="s">
        <v>4052</v>
      </c>
      <c r="E3596" t="s">
        <v>4053</v>
      </c>
      <c r="F3596" t="s">
        <v>4054</v>
      </c>
      <c r="G3596">
        <v>3</v>
      </c>
      <c r="H3596" s="2">
        <v>55427.71</v>
      </c>
      <c r="I3596" s="2">
        <v>1662.83</v>
      </c>
    </row>
    <row r="3597" spans="1:9" x14ac:dyDescent="0.25">
      <c r="A3597" t="s">
        <v>1908</v>
      </c>
      <c r="B3597" t="s">
        <v>1909</v>
      </c>
      <c r="C3597" t="s">
        <v>21</v>
      </c>
      <c r="D3597" t="s">
        <v>4062</v>
      </c>
      <c r="E3597" t="s">
        <v>4293</v>
      </c>
      <c r="F3597" t="s">
        <v>63</v>
      </c>
      <c r="G3597">
        <v>1.25</v>
      </c>
      <c r="H3597" s="2">
        <v>4718.97</v>
      </c>
      <c r="I3597" s="2">
        <v>5898.71</v>
      </c>
    </row>
    <row r="3598" spans="1:9" x14ac:dyDescent="0.25">
      <c r="A3598" t="s">
        <v>1908</v>
      </c>
      <c r="B3598" t="s">
        <v>1909</v>
      </c>
      <c r="C3598" t="s">
        <v>21</v>
      </c>
      <c r="D3598" t="s">
        <v>4062</v>
      </c>
      <c r="E3598" t="s">
        <v>4690</v>
      </c>
      <c r="F3598" t="s">
        <v>231</v>
      </c>
      <c r="G3598">
        <v>12.31</v>
      </c>
      <c r="H3598" s="2">
        <v>2025</v>
      </c>
      <c r="I3598" s="2">
        <v>24937.47</v>
      </c>
    </row>
    <row r="3599" spans="1:9" x14ac:dyDescent="0.25">
      <c r="A3599" t="s">
        <v>1908</v>
      </c>
      <c r="B3599" t="s">
        <v>1909</v>
      </c>
      <c r="C3599" t="s">
        <v>21</v>
      </c>
      <c r="D3599" t="s">
        <v>4062</v>
      </c>
      <c r="E3599" t="s">
        <v>5273</v>
      </c>
      <c r="F3599" t="s">
        <v>4377</v>
      </c>
      <c r="G3599">
        <v>0.08</v>
      </c>
      <c r="H3599" s="2">
        <v>37750</v>
      </c>
      <c r="I3599" s="2">
        <v>3020</v>
      </c>
    </row>
    <row r="3600" spans="1:9" x14ac:dyDescent="0.25">
      <c r="A3600" t="s">
        <v>1908</v>
      </c>
      <c r="B3600" t="s">
        <v>1909</v>
      </c>
      <c r="C3600" t="s">
        <v>21</v>
      </c>
      <c r="D3600" t="s">
        <v>4062</v>
      </c>
      <c r="E3600" t="s">
        <v>5209</v>
      </c>
      <c r="F3600" t="s">
        <v>5090</v>
      </c>
      <c r="G3600">
        <v>1.04</v>
      </c>
      <c r="H3600" s="2">
        <v>20230</v>
      </c>
      <c r="I3600" s="2">
        <v>21039.2</v>
      </c>
    </row>
    <row r="3601" spans="1:9" x14ac:dyDescent="0.25">
      <c r="A3601" t="s">
        <v>1908</v>
      </c>
      <c r="B3601" t="s">
        <v>1909</v>
      </c>
      <c r="C3601" t="s">
        <v>21</v>
      </c>
      <c r="D3601" t="s">
        <v>4062</v>
      </c>
      <c r="E3601" t="s">
        <v>5898</v>
      </c>
      <c r="F3601" t="s">
        <v>4532</v>
      </c>
      <c r="G3601">
        <v>0.02</v>
      </c>
      <c r="H3601" s="2">
        <v>69569</v>
      </c>
      <c r="I3601" s="2">
        <v>1391.38</v>
      </c>
    </row>
    <row r="3602" spans="1:9" x14ac:dyDescent="0.25">
      <c r="A3602" t="s">
        <v>1908</v>
      </c>
      <c r="B3602" t="s">
        <v>1909</v>
      </c>
      <c r="C3602" t="s">
        <v>21</v>
      </c>
      <c r="D3602" t="s">
        <v>4062</v>
      </c>
      <c r="E3602" t="s">
        <v>5103</v>
      </c>
      <c r="F3602" t="s">
        <v>5090</v>
      </c>
      <c r="G3602">
        <v>0.2</v>
      </c>
      <c r="H3602" s="2">
        <v>16597</v>
      </c>
      <c r="I3602" s="2">
        <v>3319.4</v>
      </c>
    </row>
    <row r="3603" spans="1:9" x14ac:dyDescent="0.25">
      <c r="A3603" t="s">
        <v>1908</v>
      </c>
      <c r="B3603" t="s">
        <v>1909</v>
      </c>
      <c r="C3603" t="s">
        <v>21</v>
      </c>
      <c r="D3603" t="s">
        <v>4062</v>
      </c>
      <c r="E3603" t="s">
        <v>5899</v>
      </c>
      <c r="F3603" t="s">
        <v>42</v>
      </c>
      <c r="G3603">
        <v>2</v>
      </c>
      <c r="H3603" s="2">
        <v>25334</v>
      </c>
      <c r="I3603" s="2">
        <v>50668</v>
      </c>
    </row>
    <row r="3604" spans="1:9" x14ac:dyDescent="0.25">
      <c r="A3604" t="s">
        <v>1908</v>
      </c>
      <c r="B3604" t="s">
        <v>1909</v>
      </c>
      <c r="C3604" t="s">
        <v>21</v>
      </c>
      <c r="D3604" t="s">
        <v>4049</v>
      </c>
      <c r="E3604" t="s">
        <v>4050</v>
      </c>
      <c r="F3604" t="s">
        <v>4051</v>
      </c>
      <c r="G3604">
        <v>6</v>
      </c>
      <c r="H3604" s="2">
        <v>9037.33</v>
      </c>
      <c r="I3604" s="2">
        <v>54223.98</v>
      </c>
    </row>
    <row r="3605" spans="1:9" x14ac:dyDescent="0.25">
      <c r="A3605" t="s">
        <v>1908</v>
      </c>
      <c r="B3605" t="s">
        <v>1909</v>
      </c>
      <c r="C3605" t="s">
        <v>21</v>
      </c>
      <c r="D3605" t="s">
        <v>4049</v>
      </c>
      <c r="E3605" t="s">
        <v>4073</v>
      </c>
      <c r="F3605" t="s">
        <v>4051</v>
      </c>
      <c r="G3605">
        <v>4.6</v>
      </c>
      <c r="H3605" s="2">
        <v>15517.89</v>
      </c>
      <c r="I3605" s="2">
        <v>71382.29</v>
      </c>
    </row>
    <row r="3606" spans="1:9" x14ac:dyDescent="0.25">
      <c r="A3606" t="s">
        <v>1908</v>
      </c>
      <c r="B3606" t="s">
        <v>1909</v>
      </c>
      <c r="C3606" t="s">
        <v>21</v>
      </c>
      <c r="D3606" t="s">
        <v>4052</v>
      </c>
      <c r="E3606" t="s">
        <v>4113</v>
      </c>
      <c r="F3606" t="s">
        <v>4106</v>
      </c>
      <c r="G3606">
        <v>0.1</v>
      </c>
      <c r="H3606" s="2">
        <v>43805.88</v>
      </c>
      <c r="I3606" s="2">
        <v>4380.59</v>
      </c>
    </row>
    <row r="3607" spans="1:9" x14ac:dyDescent="0.25">
      <c r="A3607" t="s">
        <v>1908</v>
      </c>
      <c r="B3607" t="s">
        <v>1909</v>
      </c>
      <c r="C3607" t="s">
        <v>21</v>
      </c>
      <c r="D3607" t="s">
        <v>4052</v>
      </c>
      <c r="E3607" t="s">
        <v>4053</v>
      </c>
      <c r="F3607" t="s">
        <v>4054</v>
      </c>
      <c r="G3607">
        <v>0.7</v>
      </c>
      <c r="H3607" s="2">
        <v>125606.27</v>
      </c>
      <c r="I3607" s="2">
        <v>879.24</v>
      </c>
    </row>
    <row r="3608" spans="1:9" x14ac:dyDescent="0.25">
      <c r="A3608" t="s">
        <v>1911</v>
      </c>
      <c r="B3608" t="s">
        <v>1912</v>
      </c>
      <c r="C3608" t="s">
        <v>21</v>
      </c>
      <c r="D3608" t="s">
        <v>4062</v>
      </c>
      <c r="E3608" t="s">
        <v>4690</v>
      </c>
      <c r="F3608" t="s">
        <v>231</v>
      </c>
      <c r="G3608">
        <v>12.31</v>
      </c>
      <c r="H3608" s="2">
        <v>2025</v>
      </c>
      <c r="I3608" s="2">
        <v>24937.47</v>
      </c>
    </row>
    <row r="3609" spans="1:9" x14ac:dyDescent="0.25">
      <c r="A3609" t="s">
        <v>1911</v>
      </c>
      <c r="B3609" t="s">
        <v>1912</v>
      </c>
      <c r="C3609" t="s">
        <v>21</v>
      </c>
      <c r="D3609" t="s">
        <v>4062</v>
      </c>
      <c r="E3609" t="s">
        <v>5902</v>
      </c>
      <c r="F3609" t="s">
        <v>5090</v>
      </c>
      <c r="G3609">
        <v>0.8</v>
      </c>
      <c r="H3609" s="2">
        <v>18362</v>
      </c>
      <c r="I3609" s="2">
        <v>14689.6</v>
      </c>
    </row>
    <row r="3610" spans="1:9" x14ac:dyDescent="0.25">
      <c r="A3610" t="s">
        <v>1911</v>
      </c>
      <c r="B3610" t="s">
        <v>1912</v>
      </c>
      <c r="C3610" t="s">
        <v>21</v>
      </c>
      <c r="D3610" t="s">
        <v>4062</v>
      </c>
      <c r="E3610" t="s">
        <v>5103</v>
      </c>
      <c r="F3610" t="s">
        <v>5090</v>
      </c>
      <c r="G3610">
        <v>0.2</v>
      </c>
      <c r="H3610" s="2">
        <v>16597</v>
      </c>
      <c r="I3610" s="2">
        <v>3319.4</v>
      </c>
    </row>
    <row r="3611" spans="1:9" x14ac:dyDescent="0.25">
      <c r="A3611" t="s">
        <v>1911</v>
      </c>
      <c r="B3611" t="s">
        <v>1912</v>
      </c>
      <c r="C3611" t="s">
        <v>21</v>
      </c>
      <c r="D3611" t="s">
        <v>4062</v>
      </c>
      <c r="E3611" t="s">
        <v>5899</v>
      </c>
      <c r="F3611" t="s">
        <v>42</v>
      </c>
      <c r="G3611">
        <v>2</v>
      </c>
      <c r="H3611" s="2">
        <v>25334</v>
      </c>
      <c r="I3611" s="2">
        <v>50668</v>
      </c>
    </row>
    <row r="3612" spans="1:9" x14ac:dyDescent="0.25">
      <c r="A3612" t="s">
        <v>1911</v>
      </c>
      <c r="B3612" t="s">
        <v>1912</v>
      </c>
      <c r="C3612" t="s">
        <v>21</v>
      </c>
      <c r="D3612" t="s">
        <v>4049</v>
      </c>
      <c r="E3612" t="s">
        <v>4050</v>
      </c>
      <c r="F3612" t="s">
        <v>4051</v>
      </c>
      <c r="G3612">
        <v>2.6</v>
      </c>
      <c r="H3612" s="2">
        <v>9037.33</v>
      </c>
      <c r="I3612" s="2">
        <v>23497.06</v>
      </c>
    </row>
    <row r="3613" spans="1:9" x14ac:dyDescent="0.25">
      <c r="A3613" t="s">
        <v>1911</v>
      </c>
      <c r="B3613" t="s">
        <v>1912</v>
      </c>
      <c r="C3613" t="s">
        <v>21</v>
      </c>
      <c r="D3613" t="s">
        <v>4049</v>
      </c>
      <c r="E3613" t="s">
        <v>4073</v>
      </c>
      <c r="F3613" t="s">
        <v>4051</v>
      </c>
      <c r="G3613">
        <v>1.3</v>
      </c>
      <c r="H3613" s="2">
        <v>15517.89</v>
      </c>
      <c r="I3613" s="2">
        <v>20173.26</v>
      </c>
    </row>
    <row r="3614" spans="1:9" x14ac:dyDescent="0.25">
      <c r="A3614" t="s">
        <v>1911</v>
      </c>
      <c r="B3614" t="s">
        <v>1912</v>
      </c>
      <c r="C3614" t="s">
        <v>21</v>
      </c>
      <c r="D3614" t="s">
        <v>4052</v>
      </c>
      <c r="E3614" t="s">
        <v>4113</v>
      </c>
      <c r="F3614" t="s">
        <v>4106</v>
      </c>
      <c r="G3614">
        <v>0.15</v>
      </c>
      <c r="H3614" s="2">
        <v>43805.88</v>
      </c>
      <c r="I3614" s="2">
        <v>6570.88</v>
      </c>
    </row>
    <row r="3615" spans="1:9" x14ac:dyDescent="0.25">
      <c r="A3615" t="s">
        <v>1911</v>
      </c>
      <c r="B3615" t="s">
        <v>1912</v>
      </c>
      <c r="C3615" t="s">
        <v>21</v>
      </c>
      <c r="D3615" t="s">
        <v>4052</v>
      </c>
      <c r="E3615" t="s">
        <v>4053</v>
      </c>
      <c r="F3615" t="s">
        <v>4054</v>
      </c>
      <c r="G3615">
        <v>0.7</v>
      </c>
      <c r="H3615" s="2">
        <v>43670.32</v>
      </c>
      <c r="I3615" s="2">
        <v>305.69</v>
      </c>
    </row>
    <row r="3616" spans="1:9" x14ac:dyDescent="0.25">
      <c r="A3616" t="s">
        <v>1914</v>
      </c>
      <c r="B3616" t="s">
        <v>1915</v>
      </c>
      <c r="C3616" t="s">
        <v>42</v>
      </c>
      <c r="D3616" t="s">
        <v>4062</v>
      </c>
      <c r="E3616" t="s">
        <v>5905</v>
      </c>
      <c r="F3616" t="s">
        <v>42</v>
      </c>
      <c r="G3616">
        <v>1</v>
      </c>
      <c r="H3616" s="2">
        <v>20466.67</v>
      </c>
      <c r="I3616" s="2">
        <v>20466.67</v>
      </c>
    </row>
    <row r="3617" spans="1:9" x14ac:dyDescent="0.25">
      <c r="A3617" t="s">
        <v>1914</v>
      </c>
      <c r="B3617" t="s">
        <v>1915</v>
      </c>
      <c r="C3617" t="s">
        <v>42</v>
      </c>
      <c r="D3617" t="s">
        <v>4062</v>
      </c>
      <c r="E3617" t="s">
        <v>3978</v>
      </c>
      <c r="F3617" t="s">
        <v>34</v>
      </c>
      <c r="G3617">
        <v>0.04</v>
      </c>
      <c r="H3617" s="2">
        <v>409741.65</v>
      </c>
      <c r="I3617" s="2">
        <v>16389.67</v>
      </c>
    </row>
    <row r="3618" spans="1:9" x14ac:dyDescent="0.25">
      <c r="A3618" t="s">
        <v>1914</v>
      </c>
      <c r="B3618" t="s">
        <v>1915</v>
      </c>
      <c r="C3618" t="s">
        <v>42</v>
      </c>
      <c r="D3618" t="s">
        <v>4062</v>
      </c>
      <c r="E3618" t="s">
        <v>5818</v>
      </c>
      <c r="F3618" t="s">
        <v>4236</v>
      </c>
      <c r="G3618">
        <v>1</v>
      </c>
      <c r="H3618" s="2">
        <v>24555.22</v>
      </c>
      <c r="I3618" s="2">
        <v>24555.22</v>
      </c>
    </row>
    <row r="3619" spans="1:9" x14ac:dyDescent="0.25">
      <c r="A3619" t="s">
        <v>1917</v>
      </c>
      <c r="B3619" t="s">
        <v>1918</v>
      </c>
      <c r="C3619" t="s">
        <v>42</v>
      </c>
      <c r="D3619" t="s">
        <v>4062</v>
      </c>
      <c r="E3619" t="s">
        <v>5908</v>
      </c>
      <c r="F3619" t="s">
        <v>34</v>
      </c>
      <c r="G3619">
        <v>0</v>
      </c>
      <c r="H3619" s="2">
        <v>441026.22</v>
      </c>
      <c r="I3619" s="2">
        <v>1323.08</v>
      </c>
    </row>
    <row r="3620" spans="1:9" x14ac:dyDescent="0.25">
      <c r="A3620" t="s">
        <v>1917</v>
      </c>
      <c r="B3620" t="s">
        <v>1918</v>
      </c>
      <c r="C3620" t="s">
        <v>42</v>
      </c>
      <c r="D3620" t="s">
        <v>4062</v>
      </c>
      <c r="E3620" t="s">
        <v>4261</v>
      </c>
      <c r="F3620" t="s">
        <v>231</v>
      </c>
      <c r="G3620">
        <v>0.6</v>
      </c>
      <c r="H3620" s="2">
        <v>2982</v>
      </c>
      <c r="I3620" s="2">
        <v>1789.2</v>
      </c>
    </row>
    <row r="3621" spans="1:9" x14ac:dyDescent="0.25">
      <c r="A3621" t="s">
        <v>1917</v>
      </c>
      <c r="B3621" t="s">
        <v>1918</v>
      </c>
      <c r="C3621" t="s">
        <v>42</v>
      </c>
      <c r="D3621" t="s">
        <v>4062</v>
      </c>
      <c r="E3621" t="s">
        <v>5909</v>
      </c>
      <c r="F3621" t="s">
        <v>231</v>
      </c>
      <c r="G3621">
        <v>0.12</v>
      </c>
      <c r="H3621" s="2">
        <v>3262</v>
      </c>
      <c r="I3621" s="2">
        <v>391.44</v>
      </c>
    </row>
    <row r="3622" spans="1:9" x14ac:dyDescent="0.25">
      <c r="A3622" t="s">
        <v>1917</v>
      </c>
      <c r="B3622" t="s">
        <v>1918</v>
      </c>
      <c r="C3622" t="s">
        <v>42</v>
      </c>
      <c r="D3622" t="s">
        <v>4062</v>
      </c>
      <c r="E3622" t="s">
        <v>5910</v>
      </c>
      <c r="F3622" t="s">
        <v>34</v>
      </c>
      <c r="G3622">
        <v>0</v>
      </c>
      <c r="H3622" s="2">
        <v>448939.08</v>
      </c>
      <c r="I3622" s="2">
        <v>1795.76</v>
      </c>
    </row>
    <row r="3623" spans="1:9" x14ac:dyDescent="0.25">
      <c r="A3623" t="s">
        <v>1917</v>
      </c>
      <c r="B3623" t="s">
        <v>1918</v>
      </c>
      <c r="C3623" t="s">
        <v>42</v>
      </c>
      <c r="D3623" t="s">
        <v>4062</v>
      </c>
      <c r="E3623" t="s">
        <v>3978</v>
      </c>
      <c r="F3623" t="s">
        <v>34</v>
      </c>
      <c r="G3623">
        <v>0.01</v>
      </c>
      <c r="H3623" s="2">
        <v>409741.65</v>
      </c>
      <c r="I3623" s="2">
        <v>4916.9</v>
      </c>
    </row>
    <row r="3624" spans="1:9" x14ac:dyDescent="0.25">
      <c r="A3624" t="s">
        <v>1917</v>
      </c>
      <c r="B3624" t="s">
        <v>1918</v>
      </c>
      <c r="C3624" t="s">
        <v>42</v>
      </c>
      <c r="D3624" t="s">
        <v>4062</v>
      </c>
      <c r="E3624" t="s">
        <v>5911</v>
      </c>
      <c r="F3624" t="s">
        <v>63</v>
      </c>
      <c r="G3624">
        <v>22</v>
      </c>
      <c r="H3624" s="2">
        <v>985</v>
      </c>
      <c r="I3624" s="2">
        <v>21670</v>
      </c>
    </row>
    <row r="3625" spans="1:9" x14ac:dyDescent="0.25">
      <c r="A3625" t="s">
        <v>1917</v>
      </c>
      <c r="B3625" t="s">
        <v>1918</v>
      </c>
      <c r="C3625" t="s">
        <v>42</v>
      </c>
      <c r="D3625" t="s">
        <v>4049</v>
      </c>
      <c r="E3625" t="s">
        <v>4050</v>
      </c>
      <c r="F3625" t="s">
        <v>4051</v>
      </c>
      <c r="G3625">
        <v>2.5</v>
      </c>
      <c r="H3625" s="2">
        <v>9037.33</v>
      </c>
      <c r="I3625" s="2">
        <v>22593.33</v>
      </c>
    </row>
    <row r="3626" spans="1:9" x14ac:dyDescent="0.25">
      <c r="A3626" t="s">
        <v>1917</v>
      </c>
      <c r="B3626" t="s">
        <v>1918</v>
      </c>
      <c r="C3626" t="s">
        <v>42</v>
      </c>
      <c r="D3626" t="s">
        <v>4049</v>
      </c>
      <c r="E3626" t="s">
        <v>4073</v>
      </c>
      <c r="F3626" t="s">
        <v>4051</v>
      </c>
      <c r="G3626">
        <v>1.6</v>
      </c>
      <c r="H3626" s="2">
        <v>15517.89</v>
      </c>
      <c r="I3626" s="2">
        <v>24828.62</v>
      </c>
    </row>
    <row r="3627" spans="1:9" x14ac:dyDescent="0.25">
      <c r="A3627" t="s">
        <v>1917</v>
      </c>
      <c r="B3627" t="s">
        <v>1918</v>
      </c>
      <c r="C3627" t="s">
        <v>42</v>
      </c>
      <c r="D3627" t="s">
        <v>4052</v>
      </c>
      <c r="E3627" t="s">
        <v>4495</v>
      </c>
      <c r="F3627" t="s">
        <v>4106</v>
      </c>
      <c r="G3627">
        <v>0</v>
      </c>
      <c r="H3627" s="2">
        <v>67900</v>
      </c>
      <c r="I3627" s="2">
        <v>325.92</v>
      </c>
    </row>
    <row r="3628" spans="1:9" x14ac:dyDescent="0.25">
      <c r="A3628" t="s">
        <v>1917</v>
      </c>
      <c r="B3628" t="s">
        <v>1918</v>
      </c>
      <c r="C3628" t="s">
        <v>42</v>
      </c>
      <c r="D3628" t="s">
        <v>4052</v>
      </c>
      <c r="E3628" t="s">
        <v>4053</v>
      </c>
      <c r="F3628" t="s">
        <v>4054</v>
      </c>
      <c r="G3628">
        <v>1</v>
      </c>
      <c r="H3628" s="2">
        <v>47421.95</v>
      </c>
      <c r="I3628" s="2">
        <v>474.22</v>
      </c>
    </row>
    <row r="3629" spans="1:9" x14ac:dyDescent="0.25">
      <c r="A3629" t="s">
        <v>1917</v>
      </c>
      <c r="B3629" t="s">
        <v>1918</v>
      </c>
      <c r="C3629" t="s">
        <v>42</v>
      </c>
      <c r="D3629" t="s">
        <v>4058</v>
      </c>
      <c r="E3629" t="s">
        <v>4314</v>
      </c>
      <c r="F3629" t="s">
        <v>34</v>
      </c>
      <c r="G3629">
        <v>0.03</v>
      </c>
      <c r="H3629" s="2">
        <v>63714</v>
      </c>
      <c r="I3629" s="2">
        <v>1911.42</v>
      </c>
    </row>
    <row r="3630" spans="1:9" x14ac:dyDescent="0.25">
      <c r="A3630" t="s">
        <v>1921</v>
      </c>
      <c r="B3630" t="s">
        <v>1922</v>
      </c>
      <c r="C3630" t="s">
        <v>42</v>
      </c>
      <c r="D3630" t="s">
        <v>4062</v>
      </c>
      <c r="E3630" t="s">
        <v>4063</v>
      </c>
      <c r="F3630" t="s">
        <v>231</v>
      </c>
      <c r="G3630">
        <v>0.05</v>
      </c>
      <c r="H3630" s="2">
        <v>7400</v>
      </c>
      <c r="I3630" s="2">
        <v>370</v>
      </c>
    </row>
    <row r="3631" spans="1:9" x14ac:dyDescent="0.25">
      <c r="A3631" t="s">
        <v>1921</v>
      </c>
      <c r="B3631" t="s">
        <v>1922</v>
      </c>
      <c r="C3631" t="s">
        <v>42</v>
      </c>
      <c r="D3631" t="s">
        <v>4062</v>
      </c>
      <c r="E3631" t="s">
        <v>4064</v>
      </c>
      <c r="F3631" t="s">
        <v>63</v>
      </c>
      <c r="G3631">
        <v>0.5</v>
      </c>
      <c r="H3631" s="2">
        <v>17200</v>
      </c>
      <c r="I3631" s="2">
        <v>8600</v>
      </c>
    </row>
    <row r="3632" spans="1:9" x14ac:dyDescent="0.25">
      <c r="A3632" t="s">
        <v>1921</v>
      </c>
      <c r="B3632" t="s">
        <v>1922</v>
      </c>
      <c r="C3632" t="s">
        <v>42</v>
      </c>
      <c r="D3632" t="s">
        <v>4062</v>
      </c>
      <c r="E3632" t="s">
        <v>4067</v>
      </c>
      <c r="F3632" t="s">
        <v>231</v>
      </c>
      <c r="G3632">
        <v>0.6</v>
      </c>
      <c r="H3632" s="2">
        <v>7080</v>
      </c>
      <c r="I3632" s="2">
        <v>4248</v>
      </c>
    </row>
    <row r="3633" spans="1:9" x14ac:dyDescent="0.25">
      <c r="A3633" t="s">
        <v>1921</v>
      </c>
      <c r="B3633" t="s">
        <v>1922</v>
      </c>
      <c r="C3633" t="s">
        <v>42</v>
      </c>
      <c r="D3633" t="s">
        <v>4049</v>
      </c>
      <c r="E3633" t="s">
        <v>4050</v>
      </c>
      <c r="F3633" t="s">
        <v>4051</v>
      </c>
      <c r="G3633">
        <v>0.7</v>
      </c>
      <c r="H3633" s="2">
        <v>9037.33</v>
      </c>
      <c r="I3633" s="2">
        <v>6326.13</v>
      </c>
    </row>
    <row r="3634" spans="1:9" x14ac:dyDescent="0.25">
      <c r="A3634" t="s">
        <v>1921</v>
      </c>
      <c r="B3634" t="s">
        <v>1922</v>
      </c>
      <c r="C3634" t="s">
        <v>42</v>
      </c>
      <c r="D3634" t="s">
        <v>4049</v>
      </c>
      <c r="E3634" t="s">
        <v>4073</v>
      </c>
      <c r="F3634" t="s">
        <v>4051</v>
      </c>
      <c r="G3634">
        <v>0.7</v>
      </c>
      <c r="H3634" s="2">
        <v>15517.89</v>
      </c>
      <c r="I3634" s="2">
        <v>10862.52</v>
      </c>
    </row>
    <row r="3635" spans="1:9" x14ac:dyDescent="0.25">
      <c r="A3635" t="s">
        <v>1921</v>
      </c>
      <c r="B3635" t="s">
        <v>1922</v>
      </c>
      <c r="C3635" t="s">
        <v>42</v>
      </c>
      <c r="D3635" t="s">
        <v>4052</v>
      </c>
      <c r="E3635" t="s">
        <v>4053</v>
      </c>
      <c r="F3635" t="s">
        <v>4054</v>
      </c>
      <c r="G3635">
        <v>5</v>
      </c>
      <c r="H3635" s="2">
        <v>17188.65</v>
      </c>
      <c r="I3635" s="2">
        <v>859.43</v>
      </c>
    </row>
    <row r="3636" spans="1:9" x14ac:dyDescent="0.25">
      <c r="A3636" t="s">
        <v>1925</v>
      </c>
      <c r="B3636" t="s">
        <v>1926</v>
      </c>
      <c r="C3636" t="s">
        <v>21</v>
      </c>
      <c r="D3636" t="s">
        <v>4062</v>
      </c>
      <c r="E3636" t="s">
        <v>5916</v>
      </c>
      <c r="F3636" t="s">
        <v>42</v>
      </c>
      <c r="G3636">
        <v>1.2</v>
      </c>
      <c r="H3636" s="2">
        <v>18300</v>
      </c>
      <c r="I3636" s="2">
        <v>21960</v>
      </c>
    </row>
    <row r="3637" spans="1:9" x14ac:dyDescent="0.25">
      <c r="A3637" t="s">
        <v>1925</v>
      </c>
      <c r="B3637" t="s">
        <v>1926</v>
      </c>
      <c r="C3637" t="s">
        <v>21</v>
      </c>
      <c r="D3637" t="s">
        <v>4062</v>
      </c>
      <c r="E3637" t="s">
        <v>5917</v>
      </c>
      <c r="F3637" t="s">
        <v>21</v>
      </c>
      <c r="G3637">
        <v>1</v>
      </c>
      <c r="H3637" s="2">
        <v>14954.33</v>
      </c>
      <c r="I3637" s="2">
        <v>14954.33</v>
      </c>
    </row>
    <row r="3638" spans="1:9" x14ac:dyDescent="0.25">
      <c r="A3638" t="s">
        <v>1925</v>
      </c>
      <c r="B3638" t="s">
        <v>1926</v>
      </c>
      <c r="C3638" t="s">
        <v>21</v>
      </c>
      <c r="D3638" t="s">
        <v>4062</v>
      </c>
      <c r="E3638" t="s">
        <v>5673</v>
      </c>
      <c r="F3638" t="s">
        <v>4377</v>
      </c>
      <c r="G3638">
        <v>0.16</v>
      </c>
      <c r="H3638" s="2">
        <v>38633</v>
      </c>
      <c r="I3638" s="2">
        <v>6181.28</v>
      </c>
    </row>
    <row r="3639" spans="1:9" x14ac:dyDescent="0.25">
      <c r="A3639" t="s">
        <v>1925</v>
      </c>
      <c r="B3639" t="s">
        <v>1926</v>
      </c>
      <c r="C3639" t="s">
        <v>21</v>
      </c>
      <c r="D3639" t="s">
        <v>4062</v>
      </c>
      <c r="E3639" t="s">
        <v>5918</v>
      </c>
      <c r="F3639" t="s">
        <v>4377</v>
      </c>
      <c r="G3639">
        <v>0.31</v>
      </c>
      <c r="H3639" s="2">
        <v>50093</v>
      </c>
      <c r="I3639" s="2">
        <v>15528.83</v>
      </c>
    </row>
    <row r="3640" spans="1:9" x14ac:dyDescent="0.25">
      <c r="A3640" t="s">
        <v>1925</v>
      </c>
      <c r="B3640" t="s">
        <v>1926</v>
      </c>
      <c r="C3640" t="s">
        <v>21</v>
      </c>
      <c r="D3640" t="s">
        <v>4062</v>
      </c>
      <c r="E3640" t="s">
        <v>4067</v>
      </c>
      <c r="F3640" t="s">
        <v>231</v>
      </c>
      <c r="G3640">
        <v>0.6</v>
      </c>
      <c r="H3640" s="2">
        <v>7080</v>
      </c>
      <c r="I3640" s="2">
        <v>4248</v>
      </c>
    </row>
    <row r="3641" spans="1:9" x14ac:dyDescent="0.25">
      <c r="A3641" t="s">
        <v>1925</v>
      </c>
      <c r="B3641" t="s">
        <v>1926</v>
      </c>
      <c r="C3641" t="s">
        <v>21</v>
      </c>
      <c r="D3641" t="s">
        <v>4062</v>
      </c>
      <c r="E3641" t="s">
        <v>4301</v>
      </c>
      <c r="F3641" t="s">
        <v>231</v>
      </c>
      <c r="G3641">
        <v>0.13</v>
      </c>
      <c r="H3641" s="2">
        <v>4850</v>
      </c>
      <c r="I3641" s="2">
        <v>630.5</v>
      </c>
    </row>
    <row r="3642" spans="1:9" x14ac:dyDescent="0.25">
      <c r="A3642" t="s">
        <v>1925</v>
      </c>
      <c r="B3642" t="s">
        <v>1926</v>
      </c>
      <c r="C3642" t="s">
        <v>21</v>
      </c>
      <c r="D3642" t="s">
        <v>4062</v>
      </c>
      <c r="E3642" t="s">
        <v>5919</v>
      </c>
      <c r="F3642" t="s">
        <v>231</v>
      </c>
      <c r="G3642">
        <v>0.35</v>
      </c>
      <c r="H3642" s="2">
        <v>9075.86</v>
      </c>
      <c r="I3642" s="2">
        <v>3176.55</v>
      </c>
    </row>
    <row r="3643" spans="1:9" x14ac:dyDescent="0.25">
      <c r="A3643" t="s">
        <v>1925</v>
      </c>
      <c r="B3643" t="s">
        <v>1926</v>
      </c>
      <c r="C3643" t="s">
        <v>21</v>
      </c>
      <c r="D3643" t="s">
        <v>4049</v>
      </c>
      <c r="E3643" t="s">
        <v>4050</v>
      </c>
      <c r="F3643" t="s">
        <v>4051</v>
      </c>
      <c r="G3643">
        <v>1.5</v>
      </c>
      <c r="H3643" s="2">
        <v>9037.33</v>
      </c>
      <c r="I3643" s="2">
        <v>13555.99</v>
      </c>
    </row>
    <row r="3644" spans="1:9" x14ac:dyDescent="0.25">
      <c r="A3644" t="s">
        <v>1925</v>
      </c>
      <c r="B3644" t="s">
        <v>1926</v>
      </c>
      <c r="C3644" t="s">
        <v>21</v>
      </c>
      <c r="D3644" t="s">
        <v>4049</v>
      </c>
      <c r="E3644" t="s">
        <v>4073</v>
      </c>
      <c r="F3644" t="s">
        <v>4051</v>
      </c>
      <c r="G3644">
        <v>1.5</v>
      </c>
      <c r="H3644" s="2">
        <v>15517.89</v>
      </c>
      <c r="I3644" s="2">
        <v>23276.83</v>
      </c>
    </row>
    <row r="3645" spans="1:9" x14ac:dyDescent="0.25">
      <c r="A3645" t="s">
        <v>1925</v>
      </c>
      <c r="B3645" t="s">
        <v>1926</v>
      </c>
      <c r="C3645" t="s">
        <v>21</v>
      </c>
      <c r="D3645" t="s">
        <v>4052</v>
      </c>
      <c r="E3645" t="s">
        <v>4053</v>
      </c>
      <c r="F3645" t="s">
        <v>4054</v>
      </c>
      <c r="G3645">
        <v>6.7</v>
      </c>
      <c r="H3645" s="2">
        <v>36832.82</v>
      </c>
      <c r="I3645" s="2">
        <v>2467.8</v>
      </c>
    </row>
    <row r="3646" spans="1:9" x14ac:dyDescent="0.25">
      <c r="A3646" t="s">
        <v>1928</v>
      </c>
      <c r="B3646" t="s">
        <v>1929</v>
      </c>
      <c r="C3646" t="s">
        <v>21</v>
      </c>
      <c r="D3646" t="s">
        <v>4062</v>
      </c>
      <c r="E3646" t="s">
        <v>5686</v>
      </c>
      <c r="F3646" t="s">
        <v>42</v>
      </c>
      <c r="G3646">
        <v>2.3</v>
      </c>
      <c r="H3646" s="2">
        <v>3517.99</v>
      </c>
      <c r="I3646" s="2">
        <v>8091.38</v>
      </c>
    </row>
    <row r="3647" spans="1:9" x14ac:dyDescent="0.25">
      <c r="A3647" t="s">
        <v>1928</v>
      </c>
      <c r="B3647" t="s">
        <v>1929</v>
      </c>
      <c r="C3647" t="s">
        <v>21</v>
      </c>
      <c r="D3647" t="s">
        <v>4062</v>
      </c>
      <c r="E3647" t="s">
        <v>5922</v>
      </c>
      <c r="F3647" t="s">
        <v>42</v>
      </c>
      <c r="G3647">
        <v>1.2</v>
      </c>
      <c r="H3647" s="2">
        <v>18050</v>
      </c>
      <c r="I3647" s="2">
        <v>21660</v>
      </c>
    </row>
    <row r="3648" spans="1:9" x14ac:dyDescent="0.25">
      <c r="A3648" t="s">
        <v>1928</v>
      </c>
      <c r="B3648" t="s">
        <v>1929</v>
      </c>
      <c r="C3648" t="s">
        <v>21</v>
      </c>
      <c r="D3648" t="s">
        <v>4062</v>
      </c>
      <c r="E3648" t="s">
        <v>5923</v>
      </c>
      <c r="F3648" t="s">
        <v>21</v>
      </c>
      <c r="G3648">
        <v>1</v>
      </c>
      <c r="H3648" s="2">
        <v>19693</v>
      </c>
      <c r="I3648" s="2">
        <v>19693</v>
      </c>
    </row>
    <row r="3649" spans="1:9" x14ac:dyDescent="0.25">
      <c r="A3649" t="s">
        <v>1928</v>
      </c>
      <c r="B3649" t="s">
        <v>1929</v>
      </c>
      <c r="C3649" t="s">
        <v>21</v>
      </c>
      <c r="D3649" t="s">
        <v>4062</v>
      </c>
      <c r="E3649" t="s">
        <v>5673</v>
      </c>
      <c r="F3649" t="s">
        <v>4377</v>
      </c>
      <c r="G3649">
        <v>0.16</v>
      </c>
      <c r="H3649" s="2">
        <v>38633</v>
      </c>
      <c r="I3649" s="2">
        <v>6181.28</v>
      </c>
    </row>
    <row r="3650" spans="1:9" x14ac:dyDescent="0.25">
      <c r="A3650" t="s">
        <v>1928</v>
      </c>
      <c r="B3650" t="s">
        <v>1929</v>
      </c>
      <c r="C3650" t="s">
        <v>21</v>
      </c>
      <c r="D3650" t="s">
        <v>4062</v>
      </c>
      <c r="E3650" t="s">
        <v>5918</v>
      </c>
      <c r="F3650" t="s">
        <v>4377</v>
      </c>
      <c r="G3650">
        <v>0.31</v>
      </c>
      <c r="H3650" s="2">
        <v>50093</v>
      </c>
      <c r="I3650" s="2">
        <v>15528.83</v>
      </c>
    </row>
    <row r="3651" spans="1:9" x14ac:dyDescent="0.25">
      <c r="A3651" t="s">
        <v>1928</v>
      </c>
      <c r="B3651" t="s">
        <v>1929</v>
      </c>
      <c r="C3651" t="s">
        <v>21</v>
      </c>
      <c r="D3651" t="s">
        <v>4062</v>
      </c>
      <c r="E3651" t="s">
        <v>5013</v>
      </c>
      <c r="F3651" t="s">
        <v>231</v>
      </c>
      <c r="G3651">
        <v>0.5</v>
      </c>
      <c r="H3651" s="2">
        <v>11906</v>
      </c>
      <c r="I3651" s="2">
        <v>5953</v>
      </c>
    </row>
    <row r="3652" spans="1:9" x14ac:dyDescent="0.25">
      <c r="A3652" t="s">
        <v>1928</v>
      </c>
      <c r="B3652" t="s">
        <v>1929</v>
      </c>
      <c r="C3652" t="s">
        <v>21</v>
      </c>
      <c r="D3652" t="s">
        <v>4049</v>
      </c>
      <c r="E3652" t="s">
        <v>4050</v>
      </c>
      <c r="F3652" t="s">
        <v>4051</v>
      </c>
      <c r="G3652">
        <v>1</v>
      </c>
      <c r="H3652" s="2">
        <v>9037.33</v>
      </c>
      <c r="I3652" s="2">
        <v>9037.33</v>
      </c>
    </row>
    <row r="3653" spans="1:9" x14ac:dyDescent="0.25">
      <c r="A3653" t="s">
        <v>1928</v>
      </c>
      <c r="B3653" t="s">
        <v>1929</v>
      </c>
      <c r="C3653" t="s">
        <v>21</v>
      </c>
      <c r="D3653" t="s">
        <v>4049</v>
      </c>
      <c r="E3653" t="s">
        <v>4073</v>
      </c>
      <c r="F3653" t="s">
        <v>4051</v>
      </c>
      <c r="G3653">
        <v>1</v>
      </c>
      <c r="H3653" s="2">
        <v>15517.89</v>
      </c>
      <c r="I3653" s="2">
        <v>15517.89</v>
      </c>
    </row>
    <row r="3654" spans="1:9" x14ac:dyDescent="0.25">
      <c r="A3654" t="s">
        <v>1928</v>
      </c>
      <c r="B3654" t="s">
        <v>1929</v>
      </c>
      <c r="C3654" t="s">
        <v>21</v>
      </c>
      <c r="D3654" t="s">
        <v>4052</v>
      </c>
      <c r="E3654" t="s">
        <v>5674</v>
      </c>
      <c r="F3654" t="s">
        <v>287</v>
      </c>
      <c r="G3654">
        <v>0.5</v>
      </c>
      <c r="H3654" s="2">
        <v>101823</v>
      </c>
      <c r="I3654" s="2">
        <v>50911.5</v>
      </c>
    </row>
    <row r="3655" spans="1:9" x14ac:dyDescent="0.25">
      <c r="A3655" t="s">
        <v>1931</v>
      </c>
      <c r="B3655" t="s">
        <v>1932</v>
      </c>
      <c r="C3655" t="s">
        <v>63</v>
      </c>
      <c r="D3655" t="s">
        <v>4062</v>
      </c>
      <c r="E3655" t="s">
        <v>5926</v>
      </c>
      <c r="F3655" t="s">
        <v>63</v>
      </c>
      <c r="G3655">
        <v>1</v>
      </c>
      <c r="H3655" s="2">
        <v>439416.67</v>
      </c>
      <c r="I3655" s="2">
        <v>439416.67</v>
      </c>
    </row>
    <row r="3656" spans="1:9" x14ac:dyDescent="0.25">
      <c r="A3656" t="s">
        <v>1931</v>
      </c>
      <c r="B3656" t="s">
        <v>1932</v>
      </c>
      <c r="C3656" t="s">
        <v>63</v>
      </c>
      <c r="D3656" t="s">
        <v>4062</v>
      </c>
      <c r="E3656" t="s">
        <v>3981</v>
      </c>
      <c r="F3656" t="s">
        <v>34</v>
      </c>
      <c r="G3656">
        <v>0.01</v>
      </c>
      <c r="H3656" s="2">
        <v>365704.15</v>
      </c>
      <c r="I3656" s="2">
        <v>3657.04</v>
      </c>
    </row>
    <row r="3657" spans="1:9" x14ac:dyDescent="0.25">
      <c r="A3657" t="s">
        <v>1931</v>
      </c>
      <c r="B3657" t="s">
        <v>1932</v>
      </c>
      <c r="C3657" t="s">
        <v>63</v>
      </c>
      <c r="D3657" t="s">
        <v>4049</v>
      </c>
      <c r="E3657" t="s">
        <v>4050</v>
      </c>
      <c r="F3657" t="s">
        <v>4051</v>
      </c>
      <c r="G3657">
        <v>1.72</v>
      </c>
      <c r="H3657" s="2">
        <v>9037.33</v>
      </c>
      <c r="I3657" s="2">
        <v>15544.21</v>
      </c>
    </row>
    <row r="3658" spans="1:9" x14ac:dyDescent="0.25">
      <c r="A3658" t="s">
        <v>1931</v>
      </c>
      <c r="B3658" t="s">
        <v>1932</v>
      </c>
      <c r="C3658" t="s">
        <v>63</v>
      </c>
      <c r="D3658" t="s">
        <v>4049</v>
      </c>
      <c r="E3658" t="s">
        <v>4073</v>
      </c>
      <c r="F3658" t="s">
        <v>4051</v>
      </c>
      <c r="G3658">
        <v>0.86</v>
      </c>
      <c r="H3658" s="2">
        <v>15517.89</v>
      </c>
      <c r="I3658" s="2">
        <v>13345.39</v>
      </c>
    </row>
    <row r="3659" spans="1:9" x14ac:dyDescent="0.25">
      <c r="A3659" t="s">
        <v>1934</v>
      </c>
      <c r="B3659" t="s">
        <v>1935</v>
      </c>
      <c r="C3659" t="s">
        <v>42</v>
      </c>
      <c r="D3659" t="s">
        <v>4062</v>
      </c>
      <c r="E3659" t="s">
        <v>5929</v>
      </c>
      <c r="F3659" t="s">
        <v>42</v>
      </c>
      <c r="G3659">
        <v>1.05</v>
      </c>
      <c r="H3659" s="2">
        <v>9479</v>
      </c>
      <c r="I3659" s="2">
        <v>9952.95</v>
      </c>
    </row>
    <row r="3660" spans="1:9" x14ac:dyDescent="0.25">
      <c r="A3660" t="s">
        <v>1934</v>
      </c>
      <c r="B3660" t="s">
        <v>1935</v>
      </c>
      <c r="C3660" t="s">
        <v>42</v>
      </c>
      <c r="D3660" t="s">
        <v>4062</v>
      </c>
      <c r="E3660" t="s">
        <v>5471</v>
      </c>
      <c r="F3660" t="s">
        <v>4377</v>
      </c>
      <c r="G3660">
        <v>0.15</v>
      </c>
      <c r="H3660" s="2">
        <v>37000</v>
      </c>
      <c r="I3660" s="2">
        <v>5550</v>
      </c>
    </row>
    <row r="3661" spans="1:9" x14ac:dyDescent="0.25">
      <c r="A3661" t="s">
        <v>1934</v>
      </c>
      <c r="B3661" t="s">
        <v>1935</v>
      </c>
      <c r="C3661" t="s">
        <v>42</v>
      </c>
      <c r="D3661" t="s">
        <v>4062</v>
      </c>
      <c r="E3661" t="s">
        <v>4391</v>
      </c>
      <c r="F3661" t="s">
        <v>231</v>
      </c>
      <c r="G3661">
        <v>0.6</v>
      </c>
      <c r="H3661" s="2">
        <v>2930</v>
      </c>
      <c r="I3661" s="2">
        <v>1758</v>
      </c>
    </row>
    <row r="3662" spans="1:9" x14ac:dyDescent="0.25">
      <c r="A3662" t="s">
        <v>1934</v>
      </c>
      <c r="B3662" t="s">
        <v>1935</v>
      </c>
      <c r="C3662" t="s">
        <v>42</v>
      </c>
      <c r="D3662" t="s">
        <v>4062</v>
      </c>
      <c r="E3662" t="s">
        <v>5073</v>
      </c>
      <c r="F3662" t="s">
        <v>4377</v>
      </c>
      <c r="G3662">
        <v>0.01</v>
      </c>
      <c r="H3662" s="2">
        <v>20966.67</v>
      </c>
      <c r="I3662" s="2">
        <v>209.67</v>
      </c>
    </row>
    <row r="3663" spans="1:9" x14ac:dyDescent="0.25">
      <c r="A3663" t="s">
        <v>1934</v>
      </c>
      <c r="B3663" t="s">
        <v>1935</v>
      </c>
      <c r="C3663" t="s">
        <v>42</v>
      </c>
      <c r="D3663" t="s">
        <v>4062</v>
      </c>
      <c r="E3663" t="s">
        <v>5918</v>
      </c>
      <c r="F3663" t="s">
        <v>4377</v>
      </c>
      <c r="G3663">
        <v>0.02</v>
      </c>
      <c r="H3663" s="2">
        <v>50093</v>
      </c>
      <c r="I3663" s="2">
        <v>751.39</v>
      </c>
    </row>
    <row r="3664" spans="1:9" x14ac:dyDescent="0.25">
      <c r="A3664" t="s">
        <v>1934</v>
      </c>
      <c r="B3664" t="s">
        <v>1935</v>
      </c>
      <c r="C3664" t="s">
        <v>42</v>
      </c>
      <c r="D3664" t="s">
        <v>4062</v>
      </c>
      <c r="E3664" t="s">
        <v>5892</v>
      </c>
      <c r="F3664" t="s">
        <v>231</v>
      </c>
      <c r="G3664">
        <v>0.05</v>
      </c>
      <c r="H3664" s="2">
        <v>10750</v>
      </c>
      <c r="I3664" s="2">
        <v>537.5</v>
      </c>
    </row>
    <row r="3665" spans="1:9" x14ac:dyDescent="0.25">
      <c r="A3665" t="s">
        <v>1934</v>
      </c>
      <c r="B3665" t="s">
        <v>1935</v>
      </c>
      <c r="C3665" t="s">
        <v>42</v>
      </c>
      <c r="D3665" t="s">
        <v>4049</v>
      </c>
      <c r="E3665" t="s">
        <v>4182</v>
      </c>
      <c r="F3665" t="s">
        <v>4051</v>
      </c>
      <c r="G3665">
        <v>0.2</v>
      </c>
      <c r="H3665" s="2">
        <v>10845.1</v>
      </c>
      <c r="I3665" s="2">
        <v>2169.02</v>
      </c>
    </row>
    <row r="3666" spans="1:9" x14ac:dyDescent="0.25">
      <c r="A3666" t="s">
        <v>1934</v>
      </c>
      <c r="B3666" t="s">
        <v>1935</v>
      </c>
      <c r="C3666" t="s">
        <v>42</v>
      </c>
      <c r="D3666" t="s">
        <v>4049</v>
      </c>
      <c r="E3666" t="s">
        <v>4183</v>
      </c>
      <c r="F3666" t="s">
        <v>4051</v>
      </c>
      <c r="G3666">
        <v>0.2</v>
      </c>
      <c r="H3666" s="2">
        <v>18621.17</v>
      </c>
      <c r="I3666" s="2">
        <v>3724.23</v>
      </c>
    </row>
    <row r="3667" spans="1:9" x14ac:dyDescent="0.25">
      <c r="A3667" t="s">
        <v>1934</v>
      </c>
      <c r="B3667" t="s">
        <v>1935</v>
      </c>
      <c r="C3667" t="s">
        <v>42</v>
      </c>
      <c r="D3667" t="s">
        <v>4052</v>
      </c>
      <c r="E3667" t="s">
        <v>4053</v>
      </c>
      <c r="F3667" t="s">
        <v>4054</v>
      </c>
      <c r="G3667">
        <v>10</v>
      </c>
      <c r="H3667" s="2">
        <v>5893.25</v>
      </c>
      <c r="I3667" s="2">
        <v>589.33</v>
      </c>
    </row>
    <row r="3668" spans="1:9" x14ac:dyDescent="0.25">
      <c r="A3668" t="s">
        <v>1937</v>
      </c>
      <c r="B3668" t="s">
        <v>1938</v>
      </c>
      <c r="C3668" t="s">
        <v>63</v>
      </c>
      <c r="D3668" t="s">
        <v>4062</v>
      </c>
      <c r="E3668" t="s">
        <v>5710</v>
      </c>
      <c r="F3668" t="s">
        <v>42</v>
      </c>
      <c r="G3668">
        <v>0.5</v>
      </c>
      <c r="H3668" s="2">
        <v>3089.68</v>
      </c>
      <c r="I3668" s="2">
        <v>1544.84</v>
      </c>
    </row>
    <row r="3669" spans="1:9" x14ac:dyDescent="0.25">
      <c r="A3669" t="s">
        <v>1937</v>
      </c>
      <c r="B3669" t="s">
        <v>1938</v>
      </c>
      <c r="C3669" t="s">
        <v>63</v>
      </c>
      <c r="D3669" t="s">
        <v>4062</v>
      </c>
      <c r="E3669" t="s">
        <v>5932</v>
      </c>
      <c r="F3669" t="s">
        <v>63</v>
      </c>
      <c r="G3669">
        <v>1</v>
      </c>
      <c r="H3669" s="2">
        <v>52360</v>
      </c>
      <c r="I3669" s="2">
        <v>52360</v>
      </c>
    </row>
    <row r="3670" spans="1:9" x14ac:dyDescent="0.25">
      <c r="A3670" t="s">
        <v>1937</v>
      </c>
      <c r="B3670" t="s">
        <v>1938</v>
      </c>
      <c r="C3670" t="s">
        <v>63</v>
      </c>
      <c r="D3670" t="s">
        <v>4049</v>
      </c>
      <c r="E3670" t="s">
        <v>4050</v>
      </c>
      <c r="F3670" t="s">
        <v>4051</v>
      </c>
      <c r="G3670">
        <v>0.5</v>
      </c>
      <c r="H3670" s="2">
        <v>9037.33</v>
      </c>
      <c r="I3670" s="2">
        <v>4518.66</v>
      </c>
    </row>
    <row r="3671" spans="1:9" x14ac:dyDescent="0.25">
      <c r="A3671" t="s">
        <v>1937</v>
      </c>
      <c r="B3671" t="s">
        <v>1938</v>
      </c>
      <c r="C3671" t="s">
        <v>63</v>
      </c>
      <c r="D3671" t="s">
        <v>4049</v>
      </c>
      <c r="E3671" t="s">
        <v>4242</v>
      </c>
      <c r="F3671" t="s">
        <v>4051</v>
      </c>
      <c r="G3671">
        <v>0.5</v>
      </c>
      <c r="H3671" s="2">
        <v>17069.53</v>
      </c>
      <c r="I3671" s="2">
        <v>8534.76</v>
      </c>
    </row>
    <row r="3672" spans="1:9" x14ac:dyDescent="0.25">
      <c r="A3672" t="s">
        <v>1937</v>
      </c>
      <c r="B3672" t="s">
        <v>1938</v>
      </c>
      <c r="C3672" t="s">
        <v>63</v>
      </c>
      <c r="D3672" t="s">
        <v>4052</v>
      </c>
      <c r="E3672" t="s">
        <v>5729</v>
      </c>
      <c r="F3672" t="s">
        <v>287</v>
      </c>
      <c r="G3672">
        <v>0.4</v>
      </c>
      <c r="H3672" s="2">
        <v>3510.83</v>
      </c>
      <c r="I3672" s="2">
        <v>1404.33</v>
      </c>
    </row>
    <row r="3673" spans="1:9" x14ac:dyDescent="0.25">
      <c r="A3673" t="s">
        <v>1937</v>
      </c>
      <c r="B3673" t="s">
        <v>1938</v>
      </c>
      <c r="C3673" t="s">
        <v>63</v>
      </c>
      <c r="D3673" t="s">
        <v>4052</v>
      </c>
      <c r="E3673" t="s">
        <v>4053</v>
      </c>
      <c r="F3673" t="s">
        <v>4054</v>
      </c>
      <c r="G3673">
        <v>5</v>
      </c>
      <c r="H3673" s="2">
        <v>13053.42</v>
      </c>
      <c r="I3673" s="2">
        <v>652.67</v>
      </c>
    </row>
    <row r="3674" spans="1:9" x14ac:dyDescent="0.25">
      <c r="A3674" t="s">
        <v>1940</v>
      </c>
      <c r="B3674" t="s">
        <v>1942</v>
      </c>
      <c r="C3674" t="s">
        <v>42</v>
      </c>
      <c r="D3674" t="s">
        <v>4062</v>
      </c>
      <c r="E3674" t="s">
        <v>5936</v>
      </c>
      <c r="F3674" t="s">
        <v>42</v>
      </c>
      <c r="G3674">
        <v>1</v>
      </c>
      <c r="H3674" s="2">
        <v>34234</v>
      </c>
      <c r="I3674" s="2">
        <v>34234</v>
      </c>
    </row>
    <row r="3675" spans="1:9" x14ac:dyDescent="0.25">
      <c r="A3675" t="s">
        <v>1940</v>
      </c>
      <c r="B3675" t="s">
        <v>1942</v>
      </c>
      <c r="C3675" t="s">
        <v>42</v>
      </c>
      <c r="D3675" t="s">
        <v>4062</v>
      </c>
      <c r="E3675" t="s">
        <v>5937</v>
      </c>
      <c r="F3675" t="s">
        <v>63</v>
      </c>
      <c r="G3675">
        <v>1</v>
      </c>
      <c r="H3675" s="2">
        <v>7845</v>
      </c>
      <c r="I3675" s="2">
        <v>7845</v>
      </c>
    </row>
    <row r="3676" spans="1:9" x14ac:dyDescent="0.25">
      <c r="A3676" t="s">
        <v>1940</v>
      </c>
      <c r="B3676" t="s">
        <v>1942</v>
      </c>
      <c r="C3676" t="s">
        <v>42</v>
      </c>
      <c r="D3676" t="s">
        <v>4062</v>
      </c>
      <c r="E3676" t="s">
        <v>5938</v>
      </c>
      <c r="F3676" t="s">
        <v>63</v>
      </c>
      <c r="G3676">
        <v>0.01</v>
      </c>
      <c r="H3676" s="2">
        <v>34621.31</v>
      </c>
      <c r="I3676" s="2">
        <v>173.11</v>
      </c>
    </row>
    <row r="3677" spans="1:9" x14ac:dyDescent="0.25">
      <c r="A3677" t="s">
        <v>1940</v>
      </c>
      <c r="B3677" t="s">
        <v>1942</v>
      </c>
      <c r="C3677" t="s">
        <v>42</v>
      </c>
      <c r="D3677" t="s">
        <v>4062</v>
      </c>
      <c r="E3677" t="s">
        <v>4376</v>
      </c>
      <c r="F3677" t="s">
        <v>4377</v>
      </c>
      <c r="G3677">
        <v>0.01</v>
      </c>
      <c r="H3677" s="2">
        <v>72237.67</v>
      </c>
      <c r="I3677" s="2">
        <v>361.19</v>
      </c>
    </row>
    <row r="3678" spans="1:9" x14ac:dyDescent="0.25">
      <c r="A3678" t="s">
        <v>1940</v>
      </c>
      <c r="B3678" t="s">
        <v>1942</v>
      </c>
      <c r="C3678" t="s">
        <v>42</v>
      </c>
      <c r="D3678" t="s">
        <v>4062</v>
      </c>
      <c r="E3678" t="s">
        <v>4884</v>
      </c>
      <c r="F3678" t="s">
        <v>4236</v>
      </c>
      <c r="G3678">
        <v>0.8</v>
      </c>
      <c r="H3678" s="2">
        <v>27010</v>
      </c>
      <c r="I3678" s="2">
        <v>21608</v>
      </c>
    </row>
    <row r="3679" spans="1:9" x14ac:dyDescent="0.25">
      <c r="A3679" t="s">
        <v>1944</v>
      </c>
      <c r="B3679" t="s">
        <v>1945</v>
      </c>
      <c r="C3679" t="s">
        <v>42</v>
      </c>
      <c r="D3679" t="s">
        <v>4062</v>
      </c>
      <c r="E3679" t="s">
        <v>5941</v>
      </c>
      <c r="F3679" t="s">
        <v>42</v>
      </c>
      <c r="G3679">
        <v>0.5</v>
      </c>
      <c r="H3679" s="2">
        <v>54180</v>
      </c>
      <c r="I3679" s="2">
        <v>27090</v>
      </c>
    </row>
    <row r="3680" spans="1:9" x14ac:dyDescent="0.25">
      <c r="A3680" t="s">
        <v>1944</v>
      </c>
      <c r="B3680" t="s">
        <v>1945</v>
      </c>
      <c r="C3680" t="s">
        <v>42</v>
      </c>
      <c r="D3680" t="s">
        <v>4062</v>
      </c>
      <c r="E3680" t="s">
        <v>5936</v>
      </c>
      <c r="F3680" t="s">
        <v>42</v>
      </c>
      <c r="G3680">
        <v>1</v>
      </c>
      <c r="H3680" s="2">
        <v>34234</v>
      </c>
      <c r="I3680" s="2">
        <v>34234</v>
      </c>
    </row>
    <row r="3681" spans="1:9" x14ac:dyDescent="0.25">
      <c r="A3681" t="s">
        <v>1944</v>
      </c>
      <c r="B3681" t="s">
        <v>1945</v>
      </c>
      <c r="C3681" t="s">
        <v>42</v>
      </c>
      <c r="D3681" t="s">
        <v>4062</v>
      </c>
      <c r="E3681" t="s">
        <v>5942</v>
      </c>
      <c r="F3681" t="s">
        <v>63</v>
      </c>
      <c r="G3681">
        <v>1</v>
      </c>
      <c r="H3681" s="2">
        <v>200</v>
      </c>
      <c r="I3681" s="2">
        <v>200</v>
      </c>
    </row>
    <row r="3682" spans="1:9" x14ac:dyDescent="0.25">
      <c r="A3682" t="s">
        <v>1944</v>
      </c>
      <c r="B3682" t="s">
        <v>1945</v>
      </c>
      <c r="C3682" t="s">
        <v>42</v>
      </c>
      <c r="D3682" t="s">
        <v>4062</v>
      </c>
      <c r="E3682" t="s">
        <v>5943</v>
      </c>
      <c r="F3682" t="s">
        <v>231</v>
      </c>
      <c r="G3682">
        <v>0.6</v>
      </c>
      <c r="H3682" s="2">
        <v>15437</v>
      </c>
      <c r="I3682" s="2">
        <v>9262.2</v>
      </c>
    </row>
    <row r="3683" spans="1:9" x14ac:dyDescent="0.25">
      <c r="A3683" t="s">
        <v>1944</v>
      </c>
      <c r="B3683" t="s">
        <v>1945</v>
      </c>
      <c r="C3683" t="s">
        <v>42</v>
      </c>
      <c r="D3683" t="s">
        <v>4062</v>
      </c>
      <c r="E3683" t="s">
        <v>5937</v>
      </c>
      <c r="F3683" t="s">
        <v>63</v>
      </c>
      <c r="G3683">
        <v>1</v>
      </c>
      <c r="H3683" s="2">
        <v>7845</v>
      </c>
      <c r="I3683" s="2">
        <v>7845</v>
      </c>
    </row>
    <row r="3684" spans="1:9" x14ac:dyDescent="0.25">
      <c r="A3684" t="s">
        <v>1944</v>
      </c>
      <c r="B3684" t="s">
        <v>1945</v>
      </c>
      <c r="C3684" t="s">
        <v>42</v>
      </c>
      <c r="D3684" t="s">
        <v>4062</v>
      </c>
      <c r="E3684" t="s">
        <v>5938</v>
      </c>
      <c r="F3684" t="s">
        <v>63</v>
      </c>
      <c r="G3684">
        <v>0.01</v>
      </c>
      <c r="H3684" s="2">
        <v>34621.31</v>
      </c>
      <c r="I3684" s="2">
        <v>346.21</v>
      </c>
    </row>
    <row r="3685" spans="1:9" x14ac:dyDescent="0.25">
      <c r="A3685" t="s">
        <v>1944</v>
      </c>
      <c r="B3685" t="s">
        <v>1945</v>
      </c>
      <c r="C3685" t="s">
        <v>42</v>
      </c>
      <c r="D3685" t="s">
        <v>4062</v>
      </c>
      <c r="E3685" t="s">
        <v>4376</v>
      </c>
      <c r="F3685" t="s">
        <v>4377</v>
      </c>
      <c r="G3685">
        <v>0.01</v>
      </c>
      <c r="H3685" s="2">
        <v>72237.67</v>
      </c>
      <c r="I3685" s="2">
        <v>722.38</v>
      </c>
    </row>
    <row r="3686" spans="1:9" x14ac:dyDescent="0.25">
      <c r="A3686" t="s">
        <v>1944</v>
      </c>
      <c r="B3686" t="s">
        <v>1945</v>
      </c>
      <c r="C3686" t="s">
        <v>42</v>
      </c>
      <c r="D3686" t="s">
        <v>4062</v>
      </c>
      <c r="E3686" t="s">
        <v>4884</v>
      </c>
      <c r="F3686" t="s">
        <v>4236</v>
      </c>
      <c r="G3686">
        <v>0.5</v>
      </c>
      <c r="H3686" s="2">
        <v>27010</v>
      </c>
      <c r="I3686" s="2">
        <v>13505</v>
      </c>
    </row>
    <row r="3687" spans="1:9" x14ac:dyDescent="0.25">
      <c r="A3687" t="s">
        <v>1947</v>
      </c>
      <c r="B3687" t="s">
        <v>1948</v>
      </c>
      <c r="C3687" t="s">
        <v>42</v>
      </c>
      <c r="D3687" t="s">
        <v>4062</v>
      </c>
      <c r="E3687" t="s">
        <v>1948</v>
      </c>
      <c r="F3687" t="s">
        <v>42</v>
      </c>
      <c r="G3687">
        <v>1.05</v>
      </c>
      <c r="H3687" s="2">
        <v>5101</v>
      </c>
      <c r="I3687" s="2">
        <v>5356.05</v>
      </c>
    </row>
    <row r="3688" spans="1:9" x14ac:dyDescent="0.25">
      <c r="A3688" t="s">
        <v>1947</v>
      </c>
      <c r="B3688" t="s">
        <v>1948</v>
      </c>
      <c r="C3688" t="s">
        <v>42</v>
      </c>
      <c r="D3688" t="s">
        <v>4062</v>
      </c>
      <c r="E3688" t="s">
        <v>4884</v>
      </c>
      <c r="F3688" t="s">
        <v>4236</v>
      </c>
      <c r="G3688">
        <v>0.15</v>
      </c>
      <c r="H3688" s="2">
        <v>27010</v>
      </c>
      <c r="I3688" s="2">
        <v>4051.5</v>
      </c>
    </row>
    <row r="3689" spans="1:9" x14ac:dyDescent="0.25">
      <c r="A3689" t="s">
        <v>1950</v>
      </c>
      <c r="B3689" t="s">
        <v>1951</v>
      </c>
      <c r="C3689" t="s">
        <v>42</v>
      </c>
      <c r="D3689" t="s">
        <v>4062</v>
      </c>
      <c r="E3689" t="s">
        <v>1951</v>
      </c>
      <c r="F3689" t="s">
        <v>42</v>
      </c>
      <c r="G3689">
        <v>1.05</v>
      </c>
      <c r="H3689" s="2">
        <v>878</v>
      </c>
      <c r="I3689" s="2">
        <v>921.9</v>
      </c>
    </row>
    <row r="3690" spans="1:9" x14ac:dyDescent="0.25">
      <c r="A3690" t="s">
        <v>1950</v>
      </c>
      <c r="B3690" t="s">
        <v>1951</v>
      </c>
      <c r="C3690" t="s">
        <v>42</v>
      </c>
      <c r="D3690" t="s">
        <v>4062</v>
      </c>
      <c r="E3690" t="s">
        <v>4884</v>
      </c>
      <c r="F3690" t="s">
        <v>4236</v>
      </c>
      <c r="G3690">
        <v>0.03</v>
      </c>
      <c r="H3690" s="2">
        <v>27010</v>
      </c>
      <c r="I3690" s="2">
        <v>810.3</v>
      </c>
    </row>
    <row r="3691" spans="1:9" x14ac:dyDescent="0.25">
      <c r="A3691" t="s">
        <v>1953</v>
      </c>
      <c r="B3691" t="s">
        <v>1954</v>
      </c>
      <c r="C3691" t="s">
        <v>42</v>
      </c>
      <c r="D3691" t="s">
        <v>4062</v>
      </c>
      <c r="E3691" t="s">
        <v>1954</v>
      </c>
      <c r="F3691" t="s">
        <v>42</v>
      </c>
      <c r="G3691">
        <v>1.05</v>
      </c>
      <c r="H3691" s="2">
        <v>8650</v>
      </c>
      <c r="I3691" s="2">
        <v>9082.5</v>
      </c>
    </row>
    <row r="3692" spans="1:9" x14ac:dyDescent="0.25">
      <c r="A3692" t="s">
        <v>1953</v>
      </c>
      <c r="B3692" t="s">
        <v>1954</v>
      </c>
      <c r="C3692" t="s">
        <v>42</v>
      </c>
      <c r="D3692" t="s">
        <v>4062</v>
      </c>
      <c r="E3692" t="s">
        <v>4884</v>
      </c>
      <c r="F3692" t="s">
        <v>4236</v>
      </c>
      <c r="G3692">
        <v>0.15</v>
      </c>
      <c r="H3692" s="2">
        <v>27010</v>
      </c>
      <c r="I3692" s="2">
        <v>4051.5</v>
      </c>
    </row>
    <row r="3693" spans="1:9" x14ac:dyDescent="0.25">
      <c r="A3693" t="s">
        <v>1956</v>
      </c>
      <c r="B3693" t="s">
        <v>1957</v>
      </c>
      <c r="C3693" t="s">
        <v>42</v>
      </c>
      <c r="D3693" t="s">
        <v>4062</v>
      </c>
      <c r="E3693" t="s">
        <v>1957</v>
      </c>
      <c r="F3693" t="s">
        <v>42</v>
      </c>
      <c r="G3693">
        <v>1.05</v>
      </c>
      <c r="H3693" s="2">
        <v>15304</v>
      </c>
      <c r="I3693" s="2">
        <v>16069.2</v>
      </c>
    </row>
    <row r="3694" spans="1:9" x14ac:dyDescent="0.25">
      <c r="A3694" t="s">
        <v>1956</v>
      </c>
      <c r="B3694" t="s">
        <v>1957</v>
      </c>
      <c r="C3694" t="s">
        <v>42</v>
      </c>
      <c r="D3694" t="s">
        <v>4062</v>
      </c>
      <c r="E3694" t="s">
        <v>4884</v>
      </c>
      <c r="F3694" t="s">
        <v>4236</v>
      </c>
      <c r="G3694">
        <v>0.18</v>
      </c>
      <c r="H3694" s="2">
        <v>27010</v>
      </c>
      <c r="I3694" s="2">
        <v>4861.8</v>
      </c>
    </row>
    <row r="3695" spans="1:9" x14ac:dyDescent="0.25">
      <c r="A3695" t="s">
        <v>1959</v>
      </c>
      <c r="B3695" t="s">
        <v>1960</v>
      </c>
      <c r="C3695" t="s">
        <v>42</v>
      </c>
      <c r="D3695" t="s">
        <v>4062</v>
      </c>
      <c r="E3695" t="s">
        <v>5954</v>
      </c>
      <c r="F3695" t="s">
        <v>42</v>
      </c>
      <c r="G3695">
        <v>1</v>
      </c>
      <c r="H3695" s="2">
        <v>21533</v>
      </c>
      <c r="I3695" s="2">
        <v>21533</v>
      </c>
    </row>
    <row r="3696" spans="1:9" x14ac:dyDescent="0.25">
      <c r="A3696" t="s">
        <v>1959</v>
      </c>
      <c r="B3696" t="s">
        <v>1960</v>
      </c>
      <c r="C3696" t="s">
        <v>42</v>
      </c>
      <c r="D3696" t="s">
        <v>4062</v>
      </c>
      <c r="E3696" t="s">
        <v>5955</v>
      </c>
      <c r="F3696" t="s">
        <v>63</v>
      </c>
      <c r="G3696">
        <v>1</v>
      </c>
      <c r="H3696" s="2">
        <v>1675</v>
      </c>
      <c r="I3696" s="2">
        <v>1675</v>
      </c>
    </row>
    <row r="3697" spans="1:9" x14ac:dyDescent="0.25">
      <c r="A3697" t="s">
        <v>1959</v>
      </c>
      <c r="B3697" t="s">
        <v>1960</v>
      </c>
      <c r="C3697" t="s">
        <v>42</v>
      </c>
      <c r="D3697" t="s">
        <v>4062</v>
      </c>
      <c r="E3697" t="s">
        <v>5956</v>
      </c>
      <c r="F3697" t="s">
        <v>42</v>
      </c>
      <c r="G3697">
        <v>1.05</v>
      </c>
      <c r="H3697" s="2">
        <v>18334</v>
      </c>
      <c r="I3697" s="2">
        <v>19250.7</v>
      </c>
    </row>
    <row r="3698" spans="1:9" x14ac:dyDescent="0.25">
      <c r="A3698" t="s">
        <v>1959</v>
      </c>
      <c r="B3698" t="s">
        <v>1960</v>
      </c>
      <c r="C3698" t="s">
        <v>42</v>
      </c>
      <c r="D3698" t="s">
        <v>4062</v>
      </c>
      <c r="E3698" t="s">
        <v>5957</v>
      </c>
      <c r="F3698" t="s">
        <v>63</v>
      </c>
      <c r="G3698">
        <v>1</v>
      </c>
      <c r="H3698" s="2">
        <v>1797</v>
      </c>
      <c r="I3698" s="2">
        <v>1797</v>
      </c>
    </row>
    <row r="3699" spans="1:9" x14ac:dyDescent="0.25">
      <c r="A3699" t="s">
        <v>1959</v>
      </c>
      <c r="B3699" t="s">
        <v>1960</v>
      </c>
      <c r="C3699" t="s">
        <v>42</v>
      </c>
      <c r="D3699" t="s">
        <v>4062</v>
      </c>
      <c r="E3699" t="s">
        <v>4884</v>
      </c>
      <c r="F3699" t="s">
        <v>4236</v>
      </c>
      <c r="G3699">
        <v>4</v>
      </c>
      <c r="H3699" s="2">
        <v>27010</v>
      </c>
      <c r="I3699" s="2">
        <v>108040</v>
      </c>
    </row>
    <row r="3700" spans="1:9" x14ac:dyDescent="0.25">
      <c r="A3700" t="s">
        <v>1962</v>
      </c>
      <c r="B3700" t="s">
        <v>1963</v>
      </c>
      <c r="C3700" t="s">
        <v>63</v>
      </c>
      <c r="D3700" t="s">
        <v>4062</v>
      </c>
      <c r="E3700" t="s">
        <v>4838</v>
      </c>
      <c r="F3700" t="s">
        <v>63</v>
      </c>
      <c r="G3700">
        <v>1</v>
      </c>
      <c r="H3700" s="2">
        <v>1783</v>
      </c>
      <c r="I3700" s="2">
        <v>1783</v>
      </c>
    </row>
    <row r="3701" spans="1:9" x14ac:dyDescent="0.25">
      <c r="A3701" t="s">
        <v>1962</v>
      </c>
      <c r="B3701" t="s">
        <v>1963</v>
      </c>
      <c r="C3701" t="s">
        <v>63</v>
      </c>
      <c r="D3701" t="s">
        <v>4062</v>
      </c>
      <c r="E3701" t="s">
        <v>4840</v>
      </c>
      <c r="F3701" t="s">
        <v>42</v>
      </c>
      <c r="G3701">
        <v>10</v>
      </c>
      <c r="H3701" s="2">
        <v>8451</v>
      </c>
      <c r="I3701" s="2">
        <v>84510</v>
      </c>
    </row>
    <row r="3702" spans="1:9" x14ac:dyDescent="0.25">
      <c r="A3702" t="s">
        <v>1962</v>
      </c>
      <c r="B3702" t="s">
        <v>1963</v>
      </c>
      <c r="C3702" t="s">
        <v>63</v>
      </c>
      <c r="D3702" t="s">
        <v>4062</v>
      </c>
      <c r="E3702" t="s">
        <v>4841</v>
      </c>
      <c r="F3702" t="s">
        <v>63</v>
      </c>
      <c r="G3702">
        <v>3</v>
      </c>
      <c r="H3702" s="2">
        <v>1147</v>
      </c>
      <c r="I3702" s="2">
        <v>3441</v>
      </c>
    </row>
    <row r="3703" spans="1:9" x14ac:dyDescent="0.25">
      <c r="A3703" t="s">
        <v>1962</v>
      </c>
      <c r="B3703" t="s">
        <v>1963</v>
      </c>
      <c r="C3703" t="s">
        <v>63</v>
      </c>
      <c r="D3703" t="s">
        <v>4062</v>
      </c>
      <c r="E3703" t="s">
        <v>1951</v>
      </c>
      <c r="F3703" t="s">
        <v>42</v>
      </c>
      <c r="G3703">
        <v>6</v>
      </c>
      <c r="H3703" s="2">
        <v>878</v>
      </c>
      <c r="I3703" s="2">
        <v>5268</v>
      </c>
    </row>
    <row r="3704" spans="1:9" x14ac:dyDescent="0.25">
      <c r="A3704" t="s">
        <v>1962</v>
      </c>
      <c r="B3704" t="s">
        <v>1963</v>
      </c>
      <c r="C3704" t="s">
        <v>63</v>
      </c>
      <c r="D3704" t="s">
        <v>4062</v>
      </c>
      <c r="E3704" t="s">
        <v>4842</v>
      </c>
      <c r="F3704" t="s">
        <v>63</v>
      </c>
      <c r="G3704">
        <v>1</v>
      </c>
      <c r="H3704" s="2">
        <v>1951</v>
      </c>
      <c r="I3704" s="2">
        <v>1951</v>
      </c>
    </row>
    <row r="3705" spans="1:9" x14ac:dyDescent="0.25">
      <c r="A3705" t="s">
        <v>1962</v>
      </c>
      <c r="B3705" t="s">
        <v>1963</v>
      </c>
      <c r="C3705" t="s">
        <v>63</v>
      </c>
      <c r="D3705" t="s">
        <v>4062</v>
      </c>
      <c r="E3705" t="s">
        <v>5960</v>
      </c>
      <c r="F3705" t="s">
        <v>63</v>
      </c>
      <c r="G3705">
        <v>1</v>
      </c>
      <c r="H3705" s="2">
        <v>25000</v>
      </c>
      <c r="I3705" s="2">
        <v>25000</v>
      </c>
    </row>
    <row r="3706" spans="1:9" x14ac:dyDescent="0.25">
      <c r="A3706" t="s">
        <v>1962</v>
      </c>
      <c r="B3706" t="s">
        <v>1963</v>
      </c>
      <c r="C3706" t="s">
        <v>63</v>
      </c>
      <c r="D3706" t="s">
        <v>4062</v>
      </c>
      <c r="E3706" t="s">
        <v>4844</v>
      </c>
      <c r="F3706" t="s">
        <v>63</v>
      </c>
      <c r="G3706">
        <v>2</v>
      </c>
      <c r="H3706" s="2">
        <v>674</v>
      </c>
      <c r="I3706" s="2">
        <v>1348</v>
      </c>
    </row>
    <row r="3707" spans="1:9" x14ac:dyDescent="0.25">
      <c r="A3707" t="s">
        <v>1962</v>
      </c>
      <c r="B3707" t="s">
        <v>1963</v>
      </c>
      <c r="C3707" t="s">
        <v>63</v>
      </c>
      <c r="D3707" t="s">
        <v>4062</v>
      </c>
      <c r="E3707" t="s">
        <v>4884</v>
      </c>
      <c r="F3707" t="s">
        <v>4236</v>
      </c>
      <c r="G3707">
        <v>3.2</v>
      </c>
      <c r="H3707" s="2">
        <v>27010</v>
      </c>
      <c r="I3707" s="2">
        <v>86432</v>
      </c>
    </row>
    <row r="3708" spans="1:9" x14ac:dyDescent="0.25">
      <c r="A3708" t="s">
        <v>1965</v>
      </c>
      <c r="B3708" t="s">
        <v>1966</v>
      </c>
      <c r="C3708" t="s">
        <v>63</v>
      </c>
      <c r="D3708" t="s">
        <v>4062</v>
      </c>
      <c r="E3708" t="s">
        <v>4838</v>
      </c>
      <c r="F3708" t="s">
        <v>63</v>
      </c>
      <c r="G3708">
        <v>1</v>
      </c>
      <c r="H3708" s="2">
        <v>1783</v>
      </c>
      <c r="I3708" s="2">
        <v>1783</v>
      </c>
    </row>
    <row r="3709" spans="1:9" x14ac:dyDescent="0.25">
      <c r="A3709" t="s">
        <v>1965</v>
      </c>
      <c r="B3709" t="s">
        <v>1966</v>
      </c>
      <c r="C3709" t="s">
        <v>63</v>
      </c>
      <c r="D3709" t="s">
        <v>4062</v>
      </c>
      <c r="E3709" t="s">
        <v>4893</v>
      </c>
      <c r="F3709" t="s">
        <v>42</v>
      </c>
      <c r="G3709">
        <v>10</v>
      </c>
      <c r="H3709" s="2">
        <v>2293</v>
      </c>
      <c r="I3709" s="2">
        <v>22930</v>
      </c>
    </row>
    <row r="3710" spans="1:9" x14ac:dyDescent="0.25">
      <c r="A3710" t="s">
        <v>1965</v>
      </c>
      <c r="B3710" t="s">
        <v>1966</v>
      </c>
      <c r="C3710" t="s">
        <v>63</v>
      </c>
      <c r="D3710" t="s">
        <v>4062</v>
      </c>
      <c r="E3710" t="s">
        <v>1951</v>
      </c>
      <c r="F3710" t="s">
        <v>42</v>
      </c>
      <c r="G3710">
        <v>6</v>
      </c>
      <c r="H3710" s="2">
        <v>878</v>
      </c>
      <c r="I3710" s="2">
        <v>5268</v>
      </c>
    </row>
    <row r="3711" spans="1:9" x14ac:dyDescent="0.25">
      <c r="A3711" t="s">
        <v>1965</v>
      </c>
      <c r="B3711" t="s">
        <v>1966</v>
      </c>
      <c r="C3711" t="s">
        <v>63</v>
      </c>
      <c r="D3711" t="s">
        <v>4062</v>
      </c>
      <c r="E3711" t="s">
        <v>4842</v>
      </c>
      <c r="F3711" t="s">
        <v>63</v>
      </c>
      <c r="G3711">
        <v>1</v>
      </c>
      <c r="H3711" s="2">
        <v>1951</v>
      </c>
      <c r="I3711" s="2">
        <v>1951</v>
      </c>
    </row>
    <row r="3712" spans="1:9" x14ac:dyDescent="0.25">
      <c r="A3712" t="s">
        <v>1965</v>
      </c>
      <c r="B3712" t="s">
        <v>1966</v>
      </c>
      <c r="C3712" t="s">
        <v>63</v>
      </c>
      <c r="D3712" t="s">
        <v>4062</v>
      </c>
      <c r="E3712" t="s">
        <v>5960</v>
      </c>
      <c r="F3712" t="s">
        <v>63</v>
      </c>
      <c r="G3712">
        <v>1</v>
      </c>
      <c r="H3712" s="2">
        <v>25000</v>
      </c>
      <c r="I3712" s="2">
        <v>25000</v>
      </c>
    </row>
    <row r="3713" spans="1:9" x14ac:dyDescent="0.25">
      <c r="A3713" t="s">
        <v>1965</v>
      </c>
      <c r="B3713" t="s">
        <v>1966</v>
      </c>
      <c r="C3713" t="s">
        <v>63</v>
      </c>
      <c r="D3713" t="s">
        <v>4062</v>
      </c>
      <c r="E3713" t="s">
        <v>4833</v>
      </c>
      <c r="F3713" t="s">
        <v>63</v>
      </c>
      <c r="G3713">
        <v>2</v>
      </c>
      <c r="H3713" s="2">
        <v>404</v>
      </c>
      <c r="I3713" s="2">
        <v>808</v>
      </c>
    </row>
    <row r="3714" spans="1:9" x14ac:dyDescent="0.25">
      <c r="A3714" t="s">
        <v>1965</v>
      </c>
      <c r="B3714" t="s">
        <v>1966</v>
      </c>
      <c r="C3714" t="s">
        <v>63</v>
      </c>
      <c r="D3714" t="s">
        <v>4062</v>
      </c>
      <c r="E3714" t="s">
        <v>5938</v>
      </c>
      <c r="F3714" t="s">
        <v>63</v>
      </c>
      <c r="G3714">
        <v>0.01</v>
      </c>
      <c r="H3714" s="2">
        <v>34621.31</v>
      </c>
      <c r="I3714" s="2">
        <v>346.21</v>
      </c>
    </row>
    <row r="3715" spans="1:9" x14ac:dyDescent="0.25">
      <c r="A3715" t="s">
        <v>1965</v>
      </c>
      <c r="B3715" t="s">
        <v>1966</v>
      </c>
      <c r="C3715" t="s">
        <v>63</v>
      </c>
      <c r="D3715" t="s">
        <v>4062</v>
      </c>
      <c r="E3715" t="s">
        <v>4376</v>
      </c>
      <c r="F3715" t="s">
        <v>4377</v>
      </c>
      <c r="G3715">
        <v>0.01</v>
      </c>
      <c r="H3715" s="2">
        <v>72237.67</v>
      </c>
      <c r="I3715" s="2">
        <v>722.38</v>
      </c>
    </row>
    <row r="3716" spans="1:9" x14ac:dyDescent="0.25">
      <c r="A3716" t="s">
        <v>1965</v>
      </c>
      <c r="B3716" t="s">
        <v>1966</v>
      </c>
      <c r="C3716" t="s">
        <v>63</v>
      </c>
      <c r="D3716" t="s">
        <v>4062</v>
      </c>
      <c r="E3716" t="s">
        <v>4884</v>
      </c>
      <c r="F3716" t="s">
        <v>4236</v>
      </c>
      <c r="G3716">
        <v>3.2</v>
      </c>
      <c r="H3716" s="2">
        <v>27010</v>
      </c>
      <c r="I3716" s="2">
        <v>86432</v>
      </c>
    </row>
    <row r="3717" spans="1:9" x14ac:dyDescent="0.25">
      <c r="A3717" t="s">
        <v>1968</v>
      </c>
      <c r="B3717" t="s">
        <v>1969</v>
      </c>
      <c r="C3717" t="s">
        <v>63</v>
      </c>
      <c r="D3717" t="s">
        <v>4062</v>
      </c>
      <c r="E3717" t="s">
        <v>4864</v>
      </c>
      <c r="F3717" t="s">
        <v>42</v>
      </c>
      <c r="G3717">
        <v>6</v>
      </c>
      <c r="H3717" s="2">
        <v>562</v>
      </c>
      <c r="I3717" s="2">
        <v>3372</v>
      </c>
    </row>
    <row r="3718" spans="1:9" x14ac:dyDescent="0.25">
      <c r="A3718" t="s">
        <v>1968</v>
      </c>
      <c r="B3718" t="s">
        <v>1969</v>
      </c>
      <c r="C3718" t="s">
        <v>63</v>
      </c>
      <c r="D3718" t="s">
        <v>4062</v>
      </c>
      <c r="E3718" t="s">
        <v>5965</v>
      </c>
      <c r="F3718" t="s">
        <v>63</v>
      </c>
      <c r="G3718">
        <v>1</v>
      </c>
      <c r="H3718" s="2">
        <v>7657</v>
      </c>
      <c r="I3718" s="2">
        <v>7657</v>
      </c>
    </row>
    <row r="3719" spans="1:9" x14ac:dyDescent="0.25">
      <c r="A3719" t="s">
        <v>1968</v>
      </c>
      <c r="B3719" t="s">
        <v>1969</v>
      </c>
      <c r="C3719" t="s">
        <v>63</v>
      </c>
      <c r="D3719" t="s">
        <v>4062</v>
      </c>
      <c r="E3719" t="s">
        <v>4840</v>
      </c>
      <c r="F3719" t="s">
        <v>42</v>
      </c>
      <c r="G3719">
        <v>10</v>
      </c>
      <c r="H3719" s="2">
        <v>8451</v>
      </c>
      <c r="I3719" s="2">
        <v>84510</v>
      </c>
    </row>
    <row r="3720" spans="1:9" x14ac:dyDescent="0.25">
      <c r="A3720" t="s">
        <v>1968</v>
      </c>
      <c r="B3720" t="s">
        <v>1969</v>
      </c>
      <c r="C3720" t="s">
        <v>63</v>
      </c>
      <c r="D3720" t="s">
        <v>4062</v>
      </c>
      <c r="E3720" t="s">
        <v>4841</v>
      </c>
      <c r="F3720" t="s">
        <v>63</v>
      </c>
      <c r="G3720">
        <v>3</v>
      </c>
      <c r="H3720" s="2">
        <v>1147</v>
      </c>
      <c r="I3720" s="2">
        <v>3441</v>
      </c>
    </row>
    <row r="3721" spans="1:9" x14ac:dyDescent="0.25">
      <c r="A3721" t="s">
        <v>1968</v>
      </c>
      <c r="B3721" t="s">
        <v>1969</v>
      </c>
      <c r="C3721" t="s">
        <v>63</v>
      </c>
      <c r="D3721" t="s">
        <v>4062</v>
      </c>
      <c r="E3721" t="s">
        <v>5966</v>
      </c>
      <c r="F3721" t="s">
        <v>63</v>
      </c>
      <c r="G3721">
        <v>1</v>
      </c>
      <c r="H3721" s="2">
        <v>1646.07</v>
      </c>
      <c r="I3721" s="2">
        <v>1646.07</v>
      </c>
    </row>
    <row r="3722" spans="1:9" x14ac:dyDescent="0.25">
      <c r="A3722" t="s">
        <v>1968</v>
      </c>
      <c r="B3722" t="s">
        <v>1969</v>
      </c>
      <c r="C3722" t="s">
        <v>63</v>
      </c>
      <c r="D3722" t="s">
        <v>4062</v>
      </c>
      <c r="E3722" t="s">
        <v>4844</v>
      </c>
      <c r="F3722" t="s">
        <v>63</v>
      </c>
      <c r="G3722">
        <v>2</v>
      </c>
      <c r="H3722" s="2">
        <v>696</v>
      </c>
      <c r="I3722" s="2">
        <v>1392</v>
      </c>
    </row>
    <row r="3723" spans="1:9" x14ac:dyDescent="0.25">
      <c r="A3723" t="s">
        <v>1968</v>
      </c>
      <c r="B3723" t="s">
        <v>1969</v>
      </c>
      <c r="C3723" t="s">
        <v>63</v>
      </c>
      <c r="D3723" t="s">
        <v>4062</v>
      </c>
      <c r="E3723" t="s">
        <v>4884</v>
      </c>
      <c r="F3723" t="s">
        <v>4236</v>
      </c>
      <c r="G3723">
        <v>3</v>
      </c>
      <c r="H3723" s="2">
        <v>27010</v>
      </c>
      <c r="I3723" s="2">
        <v>81030</v>
      </c>
    </row>
    <row r="3724" spans="1:9" x14ac:dyDescent="0.25">
      <c r="A3724" t="s">
        <v>1971</v>
      </c>
      <c r="B3724" t="s">
        <v>1972</v>
      </c>
      <c r="C3724" t="s">
        <v>63</v>
      </c>
      <c r="D3724" t="s">
        <v>4062</v>
      </c>
      <c r="E3724" t="s">
        <v>4864</v>
      </c>
      <c r="F3724" t="s">
        <v>42</v>
      </c>
      <c r="G3724">
        <v>8</v>
      </c>
      <c r="H3724" s="2">
        <v>562</v>
      </c>
      <c r="I3724" s="2">
        <v>4496</v>
      </c>
    </row>
    <row r="3725" spans="1:9" x14ac:dyDescent="0.25">
      <c r="A3725" t="s">
        <v>1971</v>
      </c>
      <c r="B3725" t="s">
        <v>1972</v>
      </c>
      <c r="C3725" t="s">
        <v>63</v>
      </c>
      <c r="D3725" t="s">
        <v>4062</v>
      </c>
      <c r="E3725" t="s">
        <v>4865</v>
      </c>
      <c r="F3725" t="s">
        <v>42</v>
      </c>
      <c r="G3725">
        <v>8</v>
      </c>
      <c r="H3725" s="2">
        <v>660</v>
      </c>
      <c r="I3725" s="2">
        <v>5280</v>
      </c>
    </row>
    <row r="3726" spans="1:9" x14ac:dyDescent="0.25">
      <c r="A3726" t="s">
        <v>1971</v>
      </c>
      <c r="B3726" t="s">
        <v>1972</v>
      </c>
      <c r="C3726" t="s">
        <v>63</v>
      </c>
      <c r="D3726" t="s">
        <v>4062</v>
      </c>
      <c r="E3726" t="s">
        <v>4893</v>
      </c>
      <c r="F3726" t="s">
        <v>42</v>
      </c>
      <c r="G3726">
        <v>10</v>
      </c>
      <c r="H3726" s="2">
        <v>2293</v>
      </c>
      <c r="I3726" s="2">
        <v>22930</v>
      </c>
    </row>
    <row r="3727" spans="1:9" x14ac:dyDescent="0.25">
      <c r="A3727" t="s">
        <v>1971</v>
      </c>
      <c r="B3727" t="s">
        <v>1972</v>
      </c>
      <c r="C3727" t="s">
        <v>63</v>
      </c>
      <c r="D3727" t="s">
        <v>4062</v>
      </c>
      <c r="E3727" t="s">
        <v>5966</v>
      </c>
      <c r="F3727" t="s">
        <v>63</v>
      </c>
      <c r="G3727">
        <v>1</v>
      </c>
      <c r="H3727" s="2">
        <v>1646.07</v>
      </c>
      <c r="I3727" s="2">
        <v>1646.07</v>
      </c>
    </row>
    <row r="3728" spans="1:9" x14ac:dyDescent="0.25">
      <c r="A3728" t="s">
        <v>1971</v>
      </c>
      <c r="B3728" t="s">
        <v>1972</v>
      </c>
      <c r="C3728" t="s">
        <v>63</v>
      </c>
      <c r="D3728" t="s">
        <v>4062</v>
      </c>
      <c r="E3728" t="s">
        <v>4844</v>
      </c>
      <c r="F3728" t="s">
        <v>63</v>
      </c>
      <c r="G3728">
        <v>2</v>
      </c>
      <c r="H3728" s="2">
        <v>674</v>
      </c>
      <c r="I3728" s="2">
        <v>1348</v>
      </c>
    </row>
    <row r="3729" spans="1:9" x14ac:dyDescent="0.25">
      <c r="A3729" t="s">
        <v>1971</v>
      </c>
      <c r="B3729" t="s">
        <v>1972</v>
      </c>
      <c r="C3729" t="s">
        <v>63</v>
      </c>
      <c r="D3729" t="s">
        <v>4062</v>
      </c>
      <c r="E3729" t="s">
        <v>4884</v>
      </c>
      <c r="F3729" t="s">
        <v>4236</v>
      </c>
      <c r="G3729">
        <v>3.2</v>
      </c>
      <c r="H3729" s="2">
        <v>27010</v>
      </c>
      <c r="I3729" s="2">
        <v>86432</v>
      </c>
    </row>
    <row r="3730" spans="1:9" x14ac:dyDescent="0.25">
      <c r="A3730" t="s">
        <v>1974</v>
      </c>
      <c r="B3730" t="s">
        <v>1975</v>
      </c>
      <c r="C3730" t="s">
        <v>63</v>
      </c>
      <c r="D3730" t="s">
        <v>4062</v>
      </c>
      <c r="E3730" t="s">
        <v>5971</v>
      </c>
      <c r="F3730" t="s">
        <v>63</v>
      </c>
      <c r="G3730">
        <v>1</v>
      </c>
      <c r="H3730" s="2">
        <v>40997</v>
      </c>
      <c r="I3730" s="2">
        <v>40997</v>
      </c>
    </row>
    <row r="3731" spans="1:9" x14ac:dyDescent="0.25">
      <c r="A3731" t="s">
        <v>1974</v>
      </c>
      <c r="B3731" t="s">
        <v>1975</v>
      </c>
      <c r="C3731" t="s">
        <v>63</v>
      </c>
      <c r="D3731" t="s">
        <v>4062</v>
      </c>
      <c r="E3731" t="s">
        <v>4849</v>
      </c>
      <c r="F3731" t="s">
        <v>63</v>
      </c>
      <c r="G3731">
        <v>10</v>
      </c>
      <c r="H3731" s="2">
        <v>2298</v>
      </c>
      <c r="I3731" s="2">
        <v>22980</v>
      </c>
    </row>
    <row r="3732" spans="1:9" x14ac:dyDescent="0.25">
      <c r="A3732" t="s">
        <v>1974</v>
      </c>
      <c r="B3732" t="s">
        <v>1975</v>
      </c>
      <c r="C3732" t="s">
        <v>63</v>
      </c>
      <c r="D3732" t="s">
        <v>4062</v>
      </c>
      <c r="E3732" t="s">
        <v>5012</v>
      </c>
      <c r="F3732" t="s">
        <v>63</v>
      </c>
      <c r="G3732">
        <v>1</v>
      </c>
      <c r="H3732" s="2">
        <v>106379</v>
      </c>
      <c r="I3732" s="2">
        <v>106379</v>
      </c>
    </row>
    <row r="3733" spans="1:9" x14ac:dyDescent="0.25">
      <c r="A3733" t="s">
        <v>1974</v>
      </c>
      <c r="B3733" t="s">
        <v>1975</v>
      </c>
      <c r="C3733" t="s">
        <v>63</v>
      </c>
      <c r="D3733" t="s">
        <v>4062</v>
      </c>
      <c r="E3733" t="s">
        <v>5374</v>
      </c>
      <c r="F3733" t="s">
        <v>231</v>
      </c>
      <c r="G3733">
        <v>0.22</v>
      </c>
      <c r="H3733" s="2">
        <v>11737.67</v>
      </c>
      <c r="I3733" s="2">
        <v>2582.29</v>
      </c>
    </row>
    <row r="3734" spans="1:9" x14ac:dyDescent="0.25">
      <c r="A3734" t="s">
        <v>1974</v>
      </c>
      <c r="B3734" t="s">
        <v>1975</v>
      </c>
      <c r="C3734" t="s">
        <v>63</v>
      </c>
      <c r="D3734" t="s">
        <v>4062</v>
      </c>
      <c r="E3734" t="s">
        <v>4884</v>
      </c>
      <c r="F3734" t="s">
        <v>4236</v>
      </c>
      <c r="G3734">
        <v>4</v>
      </c>
      <c r="H3734" s="2">
        <v>27010</v>
      </c>
      <c r="I3734" s="2">
        <v>108040</v>
      </c>
    </row>
    <row r="3735" spans="1:9" x14ac:dyDescent="0.25">
      <c r="A3735" t="s">
        <v>1977</v>
      </c>
      <c r="B3735" t="s">
        <v>1978</v>
      </c>
      <c r="C3735" t="s">
        <v>63</v>
      </c>
      <c r="D3735" t="s">
        <v>4062</v>
      </c>
      <c r="E3735" t="s">
        <v>5974</v>
      </c>
      <c r="F3735" t="s">
        <v>63</v>
      </c>
      <c r="G3735">
        <v>1</v>
      </c>
      <c r="H3735" s="2">
        <v>11050</v>
      </c>
      <c r="I3735" s="2">
        <v>11050</v>
      </c>
    </row>
    <row r="3736" spans="1:9" x14ac:dyDescent="0.25">
      <c r="A3736" t="s">
        <v>1977</v>
      </c>
      <c r="B3736" t="s">
        <v>1978</v>
      </c>
      <c r="C3736" t="s">
        <v>63</v>
      </c>
      <c r="D3736" t="s">
        <v>4062</v>
      </c>
      <c r="E3736" t="s">
        <v>4849</v>
      </c>
      <c r="F3736" t="s">
        <v>63</v>
      </c>
      <c r="G3736">
        <v>20</v>
      </c>
      <c r="H3736" s="2">
        <v>2298</v>
      </c>
      <c r="I3736" s="2">
        <v>45960</v>
      </c>
    </row>
    <row r="3737" spans="1:9" x14ac:dyDescent="0.25">
      <c r="A3737" t="s">
        <v>1977</v>
      </c>
      <c r="B3737" t="s">
        <v>1978</v>
      </c>
      <c r="C3737" t="s">
        <v>63</v>
      </c>
      <c r="D3737" t="s">
        <v>4062</v>
      </c>
      <c r="E3737" t="s">
        <v>5975</v>
      </c>
      <c r="F3737" t="s">
        <v>63</v>
      </c>
      <c r="G3737">
        <v>1</v>
      </c>
      <c r="H3737" s="2">
        <v>56513</v>
      </c>
      <c r="I3737" s="2">
        <v>56513</v>
      </c>
    </row>
    <row r="3738" spans="1:9" x14ac:dyDescent="0.25">
      <c r="A3738" t="s">
        <v>1977</v>
      </c>
      <c r="B3738" t="s">
        <v>1978</v>
      </c>
      <c r="C3738" t="s">
        <v>63</v>
      </c>
      <c r="D3738" t="s">
        <v>4062</v>
      </c>
      <c r="E3738" t="s">
        <v>5374</v>
      </c>
      <c r="F3738" t="s">
        <v>231</v>
      </c>
      <c r="G3738">
        <v>0.22</v>
      </c>
      <c r="H3738" s="2">
        <v>11737.67</v>
      </c>
      <c r="I3738" s="2">
        <v>2582.29</v>
      </c>
    </row>
    <row r="3739" spans="1:9" x14ac:dyDescent="0.25">
      <c r="A3739" t="s">
        <v>1977</v>
      </c>
      <c r="B3739" t="s">
        <v>1978</v>
      </c>
      <c r="C3739" t="s">
        <v>63</v>
      </c>
      <c r="D3739" t="s">
        <v>4062</v>
      </c>
      <c r="E3739" t="s">
        <v>4884</v>
      </c>
      <c r="F3739" t="s">
        <v>4236</v>
      </c>
      <c r="G3739">
        <v>8</v>
      </c>
      <c r="H3739" s="2">
        <v>27010</v>
      </c>
      <c r="I3739" s="2">
        <v>216080</v>
      </c>
    </row>
    <row r="3740" spans="1:9" x14ac:dyDescent="0.25">
      <c r="A3740" t="s">
        <v>1980</v>
      </c>
      <c r="B3740" t="s">
        <v>1981</v>
      </c>
      <c r="C3740" t="s">
        <v>63</v>
      </c>
      <c r="D3740" t="s">
        <v>4062</v>
      </c>
      <c r="E3740" t="s">
        <v>4864</v>
      </c>
      <c r="F3740" t="s">
        <v>42</v>
      </c>
      <c r="G3740">
        <v>4</v>
      </c>
      <c r="H3740" s="2">
        <v>562</v>
      </c>
      <c r="I3740" s="2">
        <v>2248</v>
      </c>
    </row>
    <row r="3741" spans="1:9" x14ac:dyDescent="0.25">
      <c r="A3741" t="s">
        <v>1980</v>
      </c>
      <c r="B3741" t="s">
        <v>1981</v>
      </c>
      <c r="C3741" t="s">
        <v>63</v>
      </c>
      <c r="D3741" t="s">
        <v>4062</v>
      </c>
      <c r="E3741" t="s">
        <v>5978</v>
      </c>
      <c r="F3741" t="s">
        <v>63</v>
      </c>
      <c r="G3741">
        <v>1</v>
      </c>
      <c r="H3741" s="2">
        <v>6300</v>
      </c>
      <c r="I3741" s="2">
        <v>6300</v>
      </c>
    </row>
    <row r="3742" spans="1:9" x14ac:dyDescent="0.25">
      <c r="A3742" t="s">
        <v>1980</v>
      </c>
      <c r="B3742" t="s">
        <v>1981</v>
      </c>
      <c r="C3742" t="s">
        <v>63</v>
      </c>
      <c r="D3742" t="s">
        <v>4062</v>
      </c>
      <c r="E3742" t="s">
        <v>4893</v>
      </c>
      <c r="F3742" t="s">
        <v>42</v>
      </c>
      <c r="G3742">
        <v>6</v>
      </c>
      <c r="H3742" s="2">
        <v>2293</v>
      </c>
      <c r="I3742" s="2">
        <v>13758</v>
      </c>
    </row>
    <row r="3743" spans="1:9" x14ac:dyDescent="0.25">
      <c r="A3743" t="s">
        <v>1980</v>
      </c>
      <c r="B3743" t="s">
        <v>1981</v>
      </c>
      <c r="C3743" t="s">
        <v>63</v>
      </c>
      <c r="D3743" t="s">
        <v>4062</v>
      </c>
      <c r="E3743" t="s">
        <v>4852</v>
      </c>
      <c r="F3743" t="s">
        <v>63</v>
      </c>
      <c r="G3743">
        <v>1</v>
      </c>
      <c r="H3743" s="2">
        <v>1980</v>
      </c>
      <c r="I3743" s="2">
        <v>1980</v>
      </c>
    </row>
    <row r="3744" spans="1:9" x14ac:dyDescent="0.25">
      <c r="A3744" t="s">
        <v>1980</v>
      </c>
      <c r="B3744" t="s">
        <v>1981</v>
      </c>
      <c r="C3744" t="s">
        <v>63</v>
      </c>
      <c r="D3744" t="s">
        <v>4062</v>
      </c>
      <c r="E3744" t="s">
        <v>4833</v>
      </c>
      <c r="F3744" t="s">
        <v>63</v>
      </c>
      <c r="G3744">
        <v>2</v>
      </c>
      <c r="H3744" s="2">
        <v>404</v>
      </c>
      <c r="I3744" s="2">
        <v>808</v>
      </c>
    </row>
    <row r="3745" spans="1:9" x14ac:dyDescent="0.25">
      <c r="A3745" t="s">
        <v>1980</v>
      </c>
      <c r="B3745" t="s">
        <v>1981</v>
      </c>
      <c r="C3745" t="s">
        <v>63</v>
      </c>
      <c r="D3745" t="s">
        <v>4062</v>
      </c>
      <c r="E3745" t="s">
        <v>4235</v>
      </c>
      <c r="F3745" t="s">
        <v>4236</v>
      </c>
      <c r="G3745">
        <v>2.47</v>
      </c>
      <c r="H3745" s="2">
        <v>27010.74</v>
      </c>
      <c r="I3745" s="2">
        <v>66716.53</v>
      </c>
    </row>
    <row r="3746" spans="1:9" x14ac:dyDescent="0.25">
      <c r="A3746" t="s">
        <v>1983</v>
      </c>
      <c r="B3746" t="s">
        <v>1984</v>
      </c>
      <c r="C3746" t="s">
        <v>63</v>
      </c>
      <c r="D3746" t="s">
        <v>4062</v>
      </c>
      <c r="E3746" t="s">
        <v>5965</v>
      </c>
      <c r="F3746" t="s">
        <v>63</v>
      </c>
      <c r="G3746">
        <v>1</v>
      </c>
      <c r="H3746" s="2">
        <v>7657</v>
      </c>
      <c r="I3746" s="2">
        <v>7657</v>
      </c>
    </row>
    <row r="3747" spans="1:9" x14ac:dyDescent="0.25">
      <c r="A3747" t="s">
        <v>1983</v>
      </c>
      <c r="B3747" t="s">
        <v>1984</v>
      </c>
      <c r="C3747" t="s">
        <v>63</v>
      </c>
      <c r="D3747" t="s">
        <v>4062</v>
      </c>
      <c r="E3747" t="s">
        <v>4884</v>
      </c>
      <c r="F3747" t="s">
        <v>4236</v>
      </c>
      <c r="G3747">
        <v>0.12</v>
      </c>
      <c r="H3747" s="2">
        <v>27010</v>
      </c>
      <c r="I3747" s="2">
        <v>3241.2</v>
      </c>
    </row>
    <row r="3748" spans="1:9" x14ac:dyDescent="0.25">
      <c r="A3748" t="s">
        <v>1986</v>
      </c>
      <c r="B3748" t="s">
        <v>1987</v>
      </c>
      <c r="C3748" t="s">
        <v>63</v>
      </c>
      <c r="D3748" t="s">
        <v>4062</v>
      </c>
      <c r="E3748" t="s">
        <v>5965</v>
      </c>
      <c r="F3748" t="s">
        <v>63</v>
      </c>
      <c r="G3748">
        <v>1</v>
      </c>
      <c r="H3748" s="2">
        <v>7657</v>
      </c>
      <c r="I3748" s="2">
        <v>7657</v>
      </c>
    </row>
    <row r="3749" spans="1:9" x14ac:dyDescent="0.25">
      <c r="A3749" t="s">
        <v>1986</v>
      </c>
      <c r="B3749" t="s">
        <v>1987</v>
      </c>
      <c r="C3749" t="s">
        <v>63</v>
      </c>
      <c r="D3749" t="s">
        <v>4062</v>
      </c>
      <c r="E3749" t="s">
        <v>4884</v>
      </c>
      <c r="F3749" t="s">
        <v>4236</v>
      </c>
      <c r="G3749">
        <v>0.1</v>
      </c>
      <c r="H3749" s="2">
        <v>27010</v>
      </c>
      <c r="I3749" s="2">
        <v>2701</v>
      </c>
    </row>
    <row r="3750" spans="1:9" x14ac:dyDescent="0.25">
      <c r="A3750" t="s">
        <v>1989</v>
      </c>
      <c r="B3750" t="s">
        <v>1991</v>
      </c>
      <c r="C3750" t="s">
        <v>42</v>
      </c>
      <c r="D3750" t="s">
        <v>4062</v>
      </c>
      <c r="E3750" t="s">
        <v>5987</v>
      </c>
      <c r="F3750" t="s">
        <v>63</v>
      </c>
      <c r="G3750">
        <v>1</v>
      </c>
      <c r="H3750" s="2">
        <v>33171</v>
      </c>
      <c r="I3750" s="2">
        <v>33171</v>
      </c>
    </row>
    <row r="3751" spans="1:9" x14ac:dyDescent="0.25">
      <c r="A3751" t="s">
        <v>1989</v>
      </c>
      <c r="B3751" t="s">
        <v>1991</v>
      </c>
      <c r="C3751" t="s">
        <v>42</v>
      </c>
      <c r="D3751" t="s">
        <v>4062</v>
      </c>
      <c r="E3751" t="s">
        <v>5988</v>
      </c>
      <c r="F3751" t="s">
        <v>63</v>
      </c>
      <c r="G3751">
        <v>2</v>
      </c>
      <c r="H3751" s="2">
        <v>5033.33</v>
      </c>
      <c r="I3751" s="2">
        <v>10066.66</v>
      </c>
    </row>
    <row r="3752" spans="1:9" x14ac:dyDescent="0.25">
      <c r="A3752" t="s">
        <v>1989</v>
      </c>
      <c r="B3752" t="s">
        <v>1991</v>
      </c>
      <c r="C3752" t="s">
        <v>42</v>
      </c>
      <c r="D3752" t="s">
        <v>4062</v>
      </c>
      <c r="E3752" t="s">
        <v>5989</v>
      </c>
      <c r="F3752" t="s">
        <v>63</v>
      </c>
      <c r="G3752">
        <v>1.32</v>
      </c>
      <c r="H3752" s="2">
        <v>38855.33</v>
      </c>
      <c r="I3752" s="2">
        <v>51289.04</v>
      </c>
    </row>
    <row r="3753" spans="1:9" x14ac:dyDescent="0.25">
      <c r="A3753" t="s">
        <v>1989</v>
      </c>
      <c r="B3753" t="s">
        <v>1991</v>
      </c>
      <c r="C3753" t="s">
        <v>42</v>
      </c>
      <c r="D3753" t="s">
        <v>4062</v>
      </c>
      <c r="E3753" t="s">
        <v>5990</v>
      </c>
      <c r="F3753" t="s">
        <v>63</v>
      </c>
      <c r="G3753">
        <v>0.5</v>
      </c>
      <c r="H3753" s="2">
        <v>48254</v>
      </c>
      <c r="I3753" s="2">
        <v>24127</v>
      </c>
    </row>
    <row r="3754" spans="1:9" x14ac:dyDescent="0.25">
      <c r="A3754" t="s">
        <v>1989</v>
      </c>
      <c r="B3754" t="s">
        <v>1991</v>
      </c>
      <c r="C3754" t="s">
        <v>42</v>
      </c>
      <c r="D3754" t="s">
        <v>4062</v>
      </c>
      <c r="E3754" t="s">
        <v>4884</v>
      </c>
      <c r="F3754" t="s">
        <v>4236</v>
      </c>
      <c r="G3754">
        <v>0.53</v>
      </c>
      <c r="H3754" s="2">
        <v>27010</v>
      </c>
      <c r="I3754" s="2">
        <v>14315.3</v>
      </c>
    </row>
    <row r="3755" spans="1:9" x14ac:dyDescent="0.25">
      <c r="A3755" t="s">
        <v>1993</v>
      </c>
      <c r="B3755" t="s">
        <v>1994</v>
      </c>
      <c r="C3755" t="s">
        <v>42</v>
      </c>
      <c r="D3755" t="s">
        <v>4062</v>
      </c>
      <c r="E3755" t="s">
        <v>5993</v>
      </c>
      <c r="F3755" t="s">
        <v>63</v>
      </c>
      <c r="G3755">
        <v>1</v>
      </c>
      <c r="H3755" s="2">
        <v>365</v>
      </c>
      <c r="I3755" s="2">
        <v>365</v>
      </c>
    </row>
    <row r="3756" spans="1:9" x14ac:dyDescent="0.25">
      <c r="A3756" t="s">
        <v>1993</v>
      </c>
      <c r="B3756" t="s">
        <v>1994</v>
      </c>
      <c r="C3756" t="s">
        <v>42</v>
      </c>
      <c r="D3756" t="s">
        <v>4062</v>
      </c>
      <c r="E3756" t="s">
        <v>5994</v>
      </c>
      <c r="F3756" t="s">
        <v>42</v>
      </c>
      <c r="G3756">
        <v>1.15</v>
      </c>
      <c r="H3756" s="2">
        <v>2133</v>
      </c>
      <c r="I3756" s="2">
        <v>2452.95</v>
      </c>
    </row>
    <row r="3757" spans="1:9" x14ac:dyDescent="0.25">
      <c r="A3757" t="s">
        <v>1993</v>
      </c>
      <c r="B3757" t="s">
        <v>1994</v>
      </c>
      <c r="C3757" t="s">
        <v>42</v>
      </c>
      <c r="D3757" t="s">
        <v>4062</v>
      </c>
      <c r="E3757" t="s">
        <v>5995</v>
      </c>
      <c r="F3757" t="s">
        <v>42</v>
      </c>
      <c r="G3757">
        <v>1.15</v>
      </c>
      <c r="H3757" s="2">
        <v>1504</v>
      </c>
      <c r="I3757" s="2">
        <v>1729.6</v>
      </c>
    </row>
    <row r="3758" spans="1:9" x14ac:dyDescent="0.25">
      <c r="A3758" t="s">
        <v>1993</v>
      </c>
      <c r="B3758" t="s">
        <v>1994</v>
      </c>
      <c r="C3758" t="s">
        <v>42</v>
      </c>
      <c r="D3758" t="s">
        <v>4062</v>
      </c>
      <c r="E3758" t="s">
        <v>5996</v>
      </c>
      <c r="F3758" t="s">
        <v>42</v>
      </c>
      <c r="G3758">
        <v>1.15</v>
      </c>
      <c r="H3758" s="2">
        <v>4263</v>
      </c>
      <c r="I3758" s="2">
        <v>4902.45</v>
      </c>
    </row>
    <row r="3759" spans="1:9" x14ac:dyDescent="0.25">
      <c r="A3759" t="s">
        <v>1993</v>
      </c>
      <c r="B3759" t="s">
        <v>1994</v>
      </c>
      <c r="C3759" t="s">
        <v>42</v>
      </c>
      <c r="D3759" t="s">
        <v>4062</v>
      </c>
      <c r="E3759" t="s">
        <v>4884</v>
      </c>
      <c r="F3759" t="s">
        <v>4236</v>
      </c>
      <c r="G3759">
        <v>0.1</v>
      </c>
      <c r="H3759" s="2">
        <v>27010</v>
      </c>
      <c r="I3759" s="2">
        <v>2701</v>
      </c>
    </row>
    <row r="3760" spans="1:9" x14ac:dyDescent="0.25">
      <c r="A3760" t="s">
        <v>1996</v>
      </c>
      <c r="B3760" t="s">
        <v>1997</v>
      </c>
      <c r="C3760" t="s">
        <v>42</v>
      </c>
      <c r="D3760" t="s">
        <v>4062</v>
      </c>
      <c r="E3760" t="s">
        <v>5993</v>
      </c>
      <c r="F3760" t="s">
        <v>63</v>
      </c>
      <c r="G3760">
        <v>1</v>
      </c>
      <c r="H3760" s="2">
        <v>365</v>
      </c>
      <c r="I3760" s="2">
        <v>365</v>
      </c>
    </row>
    <row r="3761" spans="1:9" x14ac:dyDescent="0.25">
      <c r="A3761" t="s">
        <v>1996</v>
      </c>
      <c r="B3761" t="s">
        <v>1997</v>
      </c>
      <c r="C3761" t="s">
        <v>42</v>
      </c>
      <c r="D3761" t="s">
        <v>4062</v>
      </c>
      <c r="E3761" t="s">
        <v>5999</v>
      </c>
      <c r="F3761" t="s">
        <v>42</v>
      </c>
      <c r="G3761">
        <v>1</v>
      </c>
      <c r="H3761" s="2">
        <v>1569</v>
      </c>
      <c r="I3761" s="2">
        <v>1569</v>
      </c>
    </row>
    <row r="3762" spans="1:9" x14ac:dyDescent="0.25">
      <c r="A3762" t="s">
        <v>1996</v>
      </c>
      <c r="B3762" t="s">
        <v>1997</v>
      </c>
      <c r="C3762" t="s">
        <v>42</v>
      </c>
      <c r="D3762" t="s">
        <v>4062</v>
      </c>
      <c r="E3762" t="s">
        <v>4884</v>
      </c>
      <c r="F3762" t="s">
        <v>4236</v>
      </c>
      <c r="G3762">
        <v>0.06</v>
      </c>
      <c r="H3762" s="2">
        <v>27010</v>
      </c>
      <c r="I3762" s="2">
        <v>1620.6</v>
      </c>
    </row>
    <row r="3763" spans="1:9" x14ac:dyDescent="0.25">
      <c r="A3763" t="s">
        <v>1999</v>
      </c>
      <c r="B3763" t="s">
        <v>2000</v>
      </c>
      <c r="C3763" t="s">
        <v>63</v>
      </c>
      <c r="D3763" t="s">
        <v>4062</v>
      </c>
      <c r="E3763" t="s">
        <v>6002</v>
      </c>
      <c r="F3763" t="s">
        <v>42</v>
      </c>
      <c r="G3763">
        <v>4.4</v>
      </c>
      <c r="H3763" s="2">
        <v>16133.33</v>
      </c>
      <c r="I3763" s="2">
        <v>70986.65</v>
      </c>
    </row>
    <row r="3764" spans="1:9" x14ac:dyDescent="0.25">
      <c r="A3764" t="s">
        <v>1999</v>
      </c>
      <c r="B3764" t="s">
        <v>2000</v>
      </c>
      <c r="C3764" t="s">
        <v>63</v>
      </c>
      <c r="D3764" t="s">
        <v>4062</v>
      </c>
      <c r="E3764" t="s">
        <v>4004</v>
      </c>
      <c r="F3764" t="s">
        <v>34</v>
      </c>
      <c r="G3764">
        <v>0.05</v>
      </c>
      <c r="H3764" s="2">
        <v>426702.51</v>
      </c>
      <c r="I3764" s="2">
        <v>19201.61</v>
      </c>
    </row>
    <row r="3765" spans="1:9" x14ac:dyDescent="0.25">
      <c r="A3765" t="s">
        <v>1999</v>
      </c>
      <c r="B3765" t="s">
        <v>2000</v>
      </c>
      <c r="C3765" t="s">
        <v>63</v>
      </c>
      <c r="D3765" t="s">
        <v>4062</v>
      </c>
      <c r="E3765" t="s">
        <v>4001</v>
      </c>
      <c r="F3765" t="s">
        <v>34</v>
      </c>
      <c r="G3765">
        <v>0.16</v>
      </c>
      <c r="H3765" s="2">
        <v>450245.66</v>
      </c>
      <c r="I3765" s="2">
        <v>72039.31</v>
      </c>
    </row>
    <row r="3766" spans="1:9" x14ac:dyDescent="0.25">
      <c r="A3766" t="s">
        <v>1999</v>
      </c>
      <c r="B3766" t="s">
        <v>2000</v>
      </c>
      <c r="C3766" t="s">
        <v>63</v>
      </c>
      <c r="D3766" t="s">
        <v>4062</v>
      </c>
      <c r="E3766" t="s">
        <v>6003</v>
      </c>
      <c r="F3766" t="s">
        <v>42</v>
      </c>
      <c r="G3766">
        <v>0.24</v>
      </c>
      <c r="H3766" s="2">
        <v>50000</v>
      </c>
      <c r="I3766" s="2">
        <v>12000</v>
      </c>
    </row>
    <row r="3767" spans="1:9" x14ac:dyDescent="0.25">
      <c r="A3767" t="s">
        <v>1999</v>
      </c>
      <c r="B3767" t="s">
        <v>2000</v>
      </c>
      <c r="C3767" t="s">
        <v>63</v>
      </c>
      <c r="D3767" t="s">
        <v>4062</v>
      </c>
      <c r="E3767" t="s">
        <v>6004</v>
      </c>
      <c r="F3767" t="s">
        <v>63</v>
      </c>
      <c r="G3767">
        <v>2</v>
      </c>
      <c r="H3767" s="2">
        <v>14378</v>
      </c>
      <c r="I3767" s="2">
        <v>28756</v>
      </c>
    </row>
    <row r="3768" spans="1:9" x14ac:dyDescent="0.25">
      <c r="A3768" t="s">
        <v>1999</v>
      </c>
      <c r="B3768" t="s">
        <v>2000</v>
      </c>
      <c r="C3768" t="s">
        <v>63</v>
      </c>
      <c r="D3768" t="s">
        <v>4062</v>
      </c>
      <c r="E3768" t="s">
        <v>4481</v>
      </c>
      <c r="F3768" t="s">
        <v>63</v>
      </c>
      <c r="G3768">
        <v>93</v>
      </c>
      <c r="H3768" s="2">
        <v>708</v>
      </c>
      <c r="I3768" s="2">
        <v>65844</v>
      </c>
    </row>
    <row r="3769" spans="1:9" x14ac:dyDescent="0.25">
      <c r="A3769" t="s">
        <v>1999</v>
      </c>
      <c r="B3769" t="s">
        <v>2000</v>
      </c>
      <c r="C3769" t="s">
        <v>63</v>
      </c>
      <c r="D3769" t="s">
        <v>4062</v>
      </c>
      <c r="E3769" t="s">
        <v>4265</v>
      </c>
      <c r="F3769" t="s">
        <v>34</v>
      </c>
      <c r="G3769">
        <v>0.11</v>
      </c>
      <c r="H3769" s="2">
        <v>35700</v>
      </c>
      <c r="I3769" s="2">
        <v>3927</v>
      </c>
    </row>
    <row r="3770" spans="1:9" x14ac:dyDescent="0.25">
      <c r="A3770" t="s">
        <v>1999</v>
      </c>
      <c r="B3770" t="s">
        <v>2000</v>
      </c>
      <c r="C3770" t="s">
        <v>63</v>
      </c>
      <c r="D3770" t="s">
        <v>4049</v>
      </c>
      <c r="E3770" t="s">
        <v>4241</v>
      </c>
      <c r="F3770" t="s">
        <v>4051</v>
      </c>
      <c r="G3770">
        <v>4.8</v>
      </c>
      <c r="H3770" s="2">
        <v>9941.22</v>
      </c>
      <c r="I3770" s="2">
        <v>47717.86</v>
      </c>
    </row>
    <row r="3771" spans="1:9" x14ac:dyDescent="0.25">
      <c r="A3771" t="s">
        <v>1999</v>
      </c>
      <c r="B3771" t="s">
        <v>2000</v>
      </c>
      <c r="C3771" t="s">
        <v>63</v>
      </c>
      <c r="D3771" t="s">
        <v>4049</v>
      </c>
      <c r="E3771" t="s">
        <v>4242</v>
      </c>
      <c r="F3771" t="s">
        <v>4051</v>
      </c>
      <c r="G3771">
        <v>4.8</v>
      </c>
      <c r="H3771" s="2">
        <v>17069.53</v>
      </c>
      <c r="I3771" s="2">
        <v>81933.74</v>
      </c>
    </row>
    <row r="3772" spans="1:9" x14ac:dyDescent="0.25">
      <c r="A3772" t="s">
        <v>1999</v>
      </c>
      <c r="B3772" t="s">
        <v>2000</v>
      </c>
      <c r="C3772" t="s">
        <v>63</v>
      </c>
      <c r="D3772" t="s">
        <v>4058</v>
      </c>
      <c r="E3772" t="s">
        <v>4314</v>
      </c>
      <c r="F3772" t="s">
        <v>34</v>
      </c>
      <c r="G3772">
        <v>0.91</v>
      </c>
      <c r="H3772" s="2">
        <v>63714</v>
      </c>
      <c r="I3772" s="2">
        <v>57979.74</v>
      </c>
    </row>
    <row r="3773" spans="1:9" x14ac:dyDescent="0.25">
      <c r="A3773" t="s">
        <v>2002</v>
      </c>
      <c r="B3773" t="s">
        <v>2003</v>
      </c>
      <c r="C3773" t="s">
        <v>42</v>
      </c>
      <c r="D3773" t="s">
        <v>4062</v>
      </c>
      <c r="E3773" t="s">
        <v>6007</v>
      </c>
      <c r="F3773" t="s">
        <v>63</v>
      </c>
      <c r="G3773">
        <v>1</v>
      </c>
      <c r="H3773" s="2">
        <v>2057</v>
      </c>
      <c r="I3773" s="2">
        <v>2057</v>
      </c>
    </row>
    <row r="3774" spans="1:9" x14ac:dyDescent="0.25">
      <c r="A3774" t="s">
        <v>2002</v>
      </c>
      <c r="B3774" t="s">
        <v>2003</v>
      </c>
      <c r="C3774" t="s">
        <v>42</v>
      </c>
      <c r="D3774" t="s">
        <v>4062</v>
      </c>
      <c r="E3774" t="s">
        <v>6008</v>
      </c>
      <c r="F3774" t="s">
        <v>63</v>
      </c>
      <c r="G3774">
        <v>0.2</v>
      </c>
      <c r="H3774" s="2">
        <v>8215</v>
      </c>
      <c r="I3774" s="2">
        <v>1643</v>
      </c>
    </row>
    <row r="3775" spans="1:9" x14ac:dyDescent="0.25">
      <c r="A3775" t="s">
        <v>2002</v>
      </c>
      <c r="B3775" t="s">
        <v>2003</v>
      </c>
      <c r="C3775" t="s">
        <v>42</v>
      </c>
      <c r="D3775" t="s">
        <v>4062</v>
      </c>
      <c r="E3775" t="s">
        <v>6009</v>
      </c>
      <c r="F3775" t="s">
        <v>63</v>
      </c>
      <c r="G3775">
        <v>1</v>
      </c>
      <c r="H3775" s="2">
        <v>6434.17</v>
      </c>
      <c r="I3775" s="2">
        <v>6434.17</v>
      </c>
    </row>
    <row r="3776" spans="1:9" x14ac:dyDescent="0.25">
      <c r="A3776" t="s">
        <v>2002</v>
      </c>
      <c r="B3776" t="s">
        <v>2003</v>
      </c>
      <c r="C3776" t="s">
        <v>42</v>
      </c>
      <c r="D3776" t="s">
        <v>4062</v>
      </c>
      <c r="E3776" t="s">
        <v>6010</v>
      </c>
      <c r="F3776" t="s">
        <v>63</v>
      </c>
      <c r="G3776">
        <v>1</v>
      </c>
      <c r="H3776" s="2">
        <v>1130.03</v>
      </c>
      <c r="I3776" s="2">
        <v>1130.03</v>
      </c>
    </row>
    <row r="3777" spans="1:9" x14ac:dyDescent="0.25">
      <c r="A3777" t="s">
        <v>2002</v>
      </c>
      <c r="B3777" t="s">
        <v>2003</v>
      </c>
      <c r="C3777" t="s">
        <v>42</v>
      </c>
      <c r="D3777" t="s">
        <v>4062</v>
      </c>
      <c r="E3777" t="s">
        <v>6011</v>
      </c>
      <c r="F3777" t="s">
        <v>63</v>
      </c>
      <c r="G3777">
        <v>0.1</v>
      </c>
      <c r="H3777" s="2">
        <v>10133.33</v>
      </c>
      <c r="I3777" s="2">
        <v>1013.33</v>
      </c>
    </row>
    <row r="3778" spans="1:9" x14ac:dyDescent="0.25">
      <c r="A3778" t="s">
        <v>2002</v>
      </c>
      <c r="B3778" t="s">
        <v>2003</v>
      </c>
      <c r="C3778" t="s">
        <v>42</v>
      </c>
      <c r="D3778" t="s">
        <v>4062</v>
      </c>
      <c r="E3778" t="s">
        <v>6012</v>
      </c>
      <c r="F3778" t="s">
        <v>63</v>
      </c>
      <c r="G3778">
        <v>1</v>
      </c>
      <c r="H3778" s="2">
        <v>2276.5</v>
      </c>
      <c r="I3778" s="2">
        <v>2276.5</v>
      </c>
    </row>
    <row r="3779" spans="1:9" x14ac:dyDescent="0.25">
      <c r="A3779" t="s">
        <v>2002</v>
      </c>
      <c r="B3779" t="s">
        <v>2003</v>
      </c>
      <c r="C3779" t="s">
        <v>42</v>
      </c>
      <c r="D3779" t="s">
        <v>4062</v>
      </c>
      <c r="E3779" t="s">
        <v>6013</v>
      </c>
      <c r="F3779" t="s">
        <v>63</v>
      </c>
      <c r="G3779">
        <v>1</v>
      </c>
      <c r="H3779" s="2">
        <v>33450</v>
      </c>
      <c r="I3779" s="2">
        <v>33450</v>
      </c>
    </row>
    <row r="3780" spans="1:9" x14ac:dyDescent="0.25">
      <c r="A3780" t="s">
        <v>2002</v>
      </c>
      <c r="B3780" t="s">
        <v>2003</v>
      </c>
      <c r="C3780" t="s">
        <v>42</v>
      </c>
      <c r="D3780" t="s">
        <v>4062</v>
      </c>
      <c r="E3780" t="s">
        <v>6014</v>
      </c>
      <c r="F3780" t="s">
        <v>63</v>
      </c>
      <c r="G3780">
        <v>2</v>
      </c>
      <c r="H3780" s="2">
        <v>60</v>
      </c>
      <c r="I3780" s="2">
        <v>120</v>
      </c>
    </row>
    <row r="3781" spans="1:9" x14ac:dyDescent="0.25">
      <c r="A3781" t="s">
        <v>2002</v>
      </c>
      <c r="B3781" t="s">
        <v>2003</v>
      </c>
      <c r="C3781" t="s">
        <v>42</v>
      </c>
      <c r="D3781" t="s">
        <v>4049</v>
      </c>
      <c r="E3781" t="s">
        <v>4884</v>
      </c>
      <c r="F3781" t="s">
        <v>4236</v>
      </c>
      <c r="G3781">
        <v>0.3</v>
      </c>
      <c r="H3781" s="2">
        <v>27010</v>
      </c>
      <c r="I3781" s="2">
        <v>8103</v>
      </c>
    </row>
    <row r="3782" spans="1:9" x14ac:dyDescent="0.25">
      <c r="A3782" t="s">
        <v>2002</v>
      </c>
      <c r="B3782" t="s">
        <v>2003</v>
      </c>
      <c r="C3782" t="s">
        <v>42</v>
      </c>
      <c r="D3782" t="s">
        <v>4052</v>
      </c>
      <c r="E3782" t="s">
        <v>6015</v>
      </c>
      <c r="F3782" t="s">
        <v>4106</v>
      </c>
      <c r="G3782">
        <v>0.38</v>
      </c>
      <c r="H3782" s="2">
        <v>28512</v>
      </c>
      <c r="I3782" s="2">
        <v>10692</v>
      </c>
    </row>
    <row r="3783" spans="1:9" x14ac:dyDescent="0.25">
      <c r="A3783" t="s">
        <v>2006</v>
      </c>
      <c r="B3783" t="s">
        <v>2007</v>
      </c>
      <c r="C3783" t="s">
        <v>42</v>
      </c>
      <c r="D3783" t="s">
        <v>4062</v>
      </c>
      <c r="E3783" t="s">
        <v>6007</v>
      </c>
      <c r="F3783" t="s">
        <v>63</v>
      </c>
      <c r="G3783">
        <v>1</v>
      </c>
      <c r="H3783" s="2">
        <v>2057</v>
      </c>
      <c r="I3783" s="2">
        <v>2057</v>
      </c>
    </row>
    <row r="3784" spans="1:9" x14ac:dyDescent="0.25">
      <c r="A3784" t="s">
        <v>2006</v>
      </c>
      <c r="B3784" t="s">
        <v>2007</v>
      </c>
      <c r="C3784" t="s">
        <v>42</v>
      </c>
      <c r="D3784" t="s">
        <v>4062</v>
      </c>
      <c r="E3784" t="s">
        <v>6018</v>
      </c>
      <c r="F3784" t="s">
        <v>63</v>
      </c>
      <c r="G3784">
        <v>0.1</v>
      </c>
      <c r="H3784" s="2">
        <v>26581.5</v>
      </c>
      <c r="I3784" s="2">
        <v>2658.15</v>
      </c>
    </row>
    <row r="3785" spans="1:9" x14ac:dyDescent="0.25">
      <c r="A3785" t="s">
        <v>2006</v>
      </c>
      <c r="B3785" t="s">
        <v>2007</v>
      </c>
      <c r="C3785" t="s">
        <v>42</v>
      </c>
      <c r="D3785" t="s">
        <v>4062</v>
      </c>
      <c r="E3785" t="s">
        <v>6019</v>
      </c>
      <c r="F3785" t="s">
        <v>63</v>
      </c>
      <c r="G3785">
        <v>0.2</v>
      </c>
      <c r="H3785" s="2">
        <v>25992.5</v>
      </c>
      <c r="I3785" s="2">
        <v>5198.5</v>
      </c>
    </row>
    <row r="3786" spans="1:9" x14ac:dyDescent="0.25">
      <c r="A3786" t="s">
        <v>2006</v>
      </c>
      <c r="B3786" t="s">
        <v>2007</v>
      </c>
      <c r="C3786" t="s">
        <v>42</v>
      </c>
      <c r="D3786" t="s">
        <v>4062</v>
      </c>
      <c r="E3786" t="s">
        <v>6020</v>
      </c>
      <c r="F3786" t="s">
        <v>63</v>
      </c>
      <c r="G3786">
        <v>1</v>
      </c>
      <c r="H3786" s="2">
        <v>7213.78</v>
      </c>
      <c r="I3786" s="2">
        <v>7213.78</v>
      </c>
    </row>
    <row r="3787" spans="1:9" x14ac:dyDescent="0.25">
      <c r="A3787" t="s">
        <v>2006</v>
      </c>
      <c r="B3787" t="s">
        <v>2007</v>
      </c>
      <c r="C3787" t="s">
        <v>42</v>
      </c>
      <c r="D3787" t="s">
        <v>4062</v>
      </c>
      <c r="E3787" t="s">
        <v>6021</v>
      </c>
      <c r="F3787" t="s">
        <v>63</v>
      </c>
      <c r="G3787">
        <v>1</v>
      </c>
      <c r="H3787" s="2">
        <v>7340.79</v>
      </c>
      <c r="I3787" s="2">
        <v>7340.79</v>
      </c>
    </row>
    <row r="3788" spans="1:9" x14ac:dyDescent="0.25">
      <c r="A3788" t="s">
        <v>2006</v>
      </c>
      <c r="B3788" t="s">
        <v>2007</v>
      </c>
      <c r="C3788" t="s">
        <v>42</v>
      </c>
      <c r="D3788" t="s">
        <v>4062</v>
      </c>
      <c r="E3788" t="s">
        <v>6022</v>
      </c>
      <c r="F3788" t="s">
        <v>63</v>
      </c>
      <c r="G3788">
        <v>0.5</v>
      </c>
      <c r="H3788" s="2">
        <v>17749</v>
      </c>
      <c r="I3788" s="2">
        <v>8874.5</v>
      </c>
    </row>
    <row r="3789" spans="1:9" x14ac:dyDescent="0.25">
      <c r="A3789" t="s">
        <v>2006</v>
      </c>
      <c r="B3789" t="s">
        <v>2007</v>
      </c>
      <c r="C3789" t="s">
        <v>42</v>
      </c>
      <c r="D3789" t="s">
        <v>4062</v>
      </c>
      <c r="E3789" t="s">
        <v>6023</v>
      </c>
      <c r="F3789" t="s">
        <v>63</v>
      </c>
      <c r="G3789">
        <v>1</v>
      </c>
      <c r="H3789" s="2">
        <v>42750</v>
      </c>
      <c r="I3789" s="2">
        <v>42750</v>
      </c>
    </row>
    <row r="3790" spans="1:9" x14ac:dyDescent="0.25">
      <c r="A3790" t="s">
        <v>2006</v>
      </c>
      <c r="B3790" t="s">
        <v>2007</v>
      </c>
      <c r="C3790" t="s">
        <v>42</v>
      </c>
      <c r="D3790" t="s">
        <v>4062</v>
      </c>
      <c r="E3790" t="s">
        <v>6014</v>
      </c>
      <c r="F3790" t="s">
        <v>63</v>
      </c>
      <c r="G3790">
        <v>2</v>
      </c>
      <c r="H3790" s="2">
        <v>60</v>
      </c>
      <c r="I3790" s="2">
        <v>120</v>
      </c>
    </row>
    <row r="3791" spans="1:9" x14ac:dyDescent="0.25">
      <c r="A3791" t="s">
        <v>2006</v>
      </c>
      <c r="B3791" t="s">
        <v>2007</v>
      </c>
      <c r="C3791" t="s">
        <v>42</v>
      </c>
      <c r="D3791" t="s">
        <v>4049</v>
      </c>
      <c r="E3791" t="s">
        <v>4884</v>
      </c>
      <c r="F3791" t="s">
        <v>4236</v>
      </c>
      <c r="G3791">
        <v>0.3</v>
      </c>
      <c r="H3791" s="2">
        <v>27010</v>
      </c>
      <c r="I3791" s="2">
        <v>8103</v>
      </c>
    </row>
    <row r="3792" spans="1:9" x14ac:dyDescent="0.25">
      <c r="A3792" t="s">
        <v>2006</v>
      </c>
      <c r="B3792" t="s">
        <v>2007</v>
      </c>
      <c r="C3792" t="s">
        <v>42</v>
      </c>
      <c r="D3792" t="s">
        <v>4052</v>
      </c>
      <c r="E3792" t="s">
        <v>6015</v>
      </c>
      <c r="F3792" t="s">
        <v>4106</v>
      </c>
      <c r="G3792">
        <v>0.38</v>
      </c>
      <c r="H3792" s="2">
        <v>28512</v>
      </c>
      <c r="I3792" s="2">
        <v>10692</v>
      </c>
    </row>
    <row r="3793" spans="1:9" x14ac:dyDescent="0.25">
      <c r="A3793" t="s">
        <v>2009</v>
      </c>
      <c r="B3793" t="s">
        <v>2010</v>
      </c>
      <c r="C3793" t="s">
        <v>42</v>
      </c>
      <c r="D3793" t="s">
        <v>4062</v>
      </c>
      <c r="E3793" t="s">
        <v>6026</v>
      </c>
      <c r="F3793" t="s">
        <v>63</v>
      </c>
      <c r="G3793">
        <v>1</v>
      </c>
      <c r="H3793" s="2">
        <v>5486.67</v>
      </c>
      <c r="I3793" s="2">
        <v>5486.67</v>
      </c>
    </row>
    <row r="3794" spans="1:9" x14ac:dyDescent="0.25">
      <c r="A3794" t="s">
        <v>2009</v>
      </c>
      <c r="B3794" t="s">
        <v>2010</v>
      </c>
      <c r="C3794" t="s">
        <v>42</v>
      </c>
      <c r="D3794" t="s">
        <v>4062</v>
      </c>
      <c r="E3794" t="s">
        <v>6027</v>
      </c>
      <c r="F3794" t="s">
        <v>63</v>
      </c>
      <c r="G3794">
        <v>6</v>
      </c>
      <c r="H3794" s="2">
        <v>79.5</v>
      </c>
      <c r="I3794" s="2">
        <v>477</v>
      </c>
    </row>
    <row r="3795" spans="1:9" x14ac:dyDescent="0.25">
      <c r="A3795" t="s">
        <v>2009</v>
      </c>
      <c r="B3795" t="s">
        <v>2010</v>
      </c>
      <c r="C3795" t="s">
        <v>42</v>
      </c>
      <c r="D3795" t="s">
        <v>4062</v>
      </c>
      <c r="E3795" t="s">
        <v>6028</v>
      </c>
      <c r="F3795" t="s">
        <v>63</v>
      </c>
      <c r="G3795">
        <v>1</v>
      </c>
      <c r="H3795" s="2">
        <v>28403.05</v>
      </c>
      <c r="I3795" s="2">
        <v>28403.05</v>
      </c>
    </row>
    <row r="3796" spans="1:9" x14ac:dyDescent="0.25">
      <c r="A3796" t="s">
        <v>2009</v>
      </c>
      <c r="B3796" t="s">
        <v>2010</v>
      </c>
      <c r="C3796" t="s">
        <v>42</v>
      </c>
      <c r="D3796" t="s">
        <v>4062</v>
      </c>
      <c r="E3796" t="s">
        <v>6029</v>
      </c>
      <c r="F3796" t="s">
        <v>63</v>
      </c>
      <c r="G3796">
        <v>6</v>
      </c>
      <c r="H3796" s="2">
        <v>946.67</v>
      </c>
      <c r="I3796" s="2">
        <v>5680.02</v>
      </c>
    </row>
    <row r="3797" spans="1:9" x14ac:dyDescent="0.25">
      <c r="A3797" t="s">
        <v>2009</v>
      </c>
      <c r="B3797" t="s">
        <v>2010</v>
      </c>
      <c r="C3797" t="s">
        <v>42</v>
      </c>
      <c r="D3797" t="s">
        <v>4049</v>
      </c>
      <c r="E3797" t="s">
        <v>6015</v>
      </c>
      <c r="F3797" t="s">
        <v>4106</v>
      </c>
      <c r="G3797">
        <v>0.07</v>
      </c>
      <c r="H3797" s="2">
        <v>28512</v>
      </c>
      <c r="I3797" s="2">
        <v>1995.84</v>
      </c>
    </row>
    <row r="3798" spans="1:9" x14ac:dyDescent="0.25">
      <c r="A3798" t="s">
        <v>2009</v>
      </c>
      <c r="B3798" t="s">
        <v>2010</v>
      </c>
      <c r="C3798" t="s">
        <v>42</v>
      </c>
      <c r="D3798" t="s">
        <v>4049</v>
      </c>
      <c r="E3798" t="s">
        <v>4884</v>
      </c>
      <c r="F3798" t="s">
        <v>4236</v>
      </c>
      <c r="G3798">
        <v>1</v>
      </c>
      <c r="H3798" s="2">
        <v>27010</v>
      </c>
      <c r="I3798" s="2">
        <v>27010</v>
      </c>
    </row>
    <row r="3799" spans="1:9" x14ac:dyDescent="0.25">
      <c r="A3799" t="s">
        <v>2012</v>
      </c>
      <c r="B3799" t="s">
        <v>2013</v>
      </c>
      <c r="C3799" t="s">
        <v>42</v>
      </c>
      <c r="D3799" t="s">
        <v>4062</v>
      </c>
      <c r="E3799" t="s">
        <v>6032</v>
      </c>
      <c r="F3799" t="s">
        <v>63</v>
      </c>
      <c r="G3799">
        <v>0.15</v>
      </c>
      <c r="H3799" s="2">
        <v>148560</v>
      </c>
      <c r="I3799" s="2">
        <v>22284</v>
      </c>
    </row>
    <row r="3800" spans="1:9" x14ac:dyDescent="0.25">
      <c r="A3800" t="s">
        <v>2012</v>
      </c>
      <c r="B3800" t="s">
        <v>2013</v>
      </c>
      <c r="C3800" t="s">
        <v>42</v>
      </c>
      <c r="D3800" t="s">
        <v>4062</v>
      </c>
      <c r="E3800" t="s">
        <v>6033</v>
      </c>
      <c r="F3800" t="s">
        <v>63</v>
      </c>
      <c r="G3800">
        <v>1</v>
      </c>
      <c r="H3800" s="2">
        <v>93367</v>
      </c>
      <c r="I3800" s="2">
        <v>93367</v>
      </c>
    </row>
    <row r="3801" spans="1:9" x14ac:dyDescent="0.25">
      <c r="A3801" t="s">
        <v>2012</v>
      </c>
      <c r="B3801" t="s">
        <v>2013</v>
      </c>
      <c r="C3801" t="s">
        <v>42</v>
      </c>
      <c r="D3801" t="s">
        <v>4062</v>
      </c>
      <c r="E3801" t="s">
        <v>6034</v>
      </c>
      <c r="F3801" t="s">
        <v>63</v>
      </c>
      <c r="G3801">
        <v>3</v>
      </c>
      <c r="H3801" s="2">
        <v>600</v>
      </c>
      <c r="I3801" s="2">
        <v>1800</v>
      </c>
    </row>
    <row r="3802" spans="1:9" x14ac:dyDescent="0.25">
      <c r="A3802" t="s">
        <v>2012</v>
      </c>
      <c r="B3802" t="s">
        <v>2013</v>
      </c>
      <c r="C3802" t="s">
        <v>42</v>
      </c>
      <c r="D3802" t="s">
        <v>4049</v>
      </c>
      <c r="E3802" t="s">
        <v>4241</v>
      </c>
      <c r="F3802" t="s">
        <v>4051</v>
      </c>
      <c r="G3802">
        <v>0.54</v>
      </c>
      <c r="H3802" s="2">
        <v>9941.22</v>
      </c>
      <c r="I3802" s="2">
        <v>5368.26</v>
      </c>
    </row>
    <row r="3803" spans="1:9" x14ac:dyDescent="0.25">
      <c r="A3803" t="s">
        <v>2012</v>
      </c>
      <c r="B3803" t="s">
        <v>2013</v>
      </c>
      <c r="C3803" t="s">
        <v>42</v>
      </c>
      <c r="D3803" t="s">
        <v>4049</v>
      </c>
      <c r="E3803" t="s">
        <v>4242</v>
      </c>
      <c r="F3803" t="s">
        <v>4051</v>
      </c>
      <c r="G3803">
        <v>0.54</v>
      </c>
      <c r="H3803" s="2">
        <v>17069.53</v>
      </c>
      <c r="I3803" s="2">
        <v>9217.55</v>
      </c>
    </row>
    <row r="3804" spans="1:9" x14ac:dyDescent="0.25">
      <c r="A3804" t="s">
        <v>2015</v>
      </c>
      <c r="B3804" t="s">
        <v>2016</v>
      </c>
      <c r="C3804" t="s">
        <v>42</v>
      </c>
      <c r="D3804" t="s">
        <v>4062</v>
      </c>
      <c r="E3804" t="s">
        <v>2016</v>
      </c>
      <c r="F3804" t="s">
        <v>42</v>
      </c>
      <c r="G3804">
        <v>1.2</v>
      </c>
      <c r="H3804" s="2">
        <v>40361</v>
      </c>
      <c r="I3804" s="2">
        <v>48433.2</v>
      </c>
    </row>
    <row r="3805" spans="1:9" x14ac:dyDescent="0.25">
      <c r="A3805" t="s">
        <v>2015</v>
      </c>
      <c r="B3805" t="s">
        <v>2016</v>
      </c>
      <c r="C3805" t="s">
        <v>42</v>
      </c>
      <c r="D3805" t="s">
        <v>4062</v>
      </c>
      <c r="E3805" t="s">
        <v>6037</v>
      </c>
      <c r="F3805" t="s">
        <v>63</v>
      </c>
      <c r="G3805">
        <v>1</v>
      </c>
      <c r="H3805" s="2">
        <v>32043.33</v>
      </c>
      <c r="I3805" s="2">
        <v>32043.33</v>
      </c>
    </row>
    <row r="3806" spans="1:9" x14ac:dyDescent="0.25">
      <c r="A3806" t="s">
        <v>2015</v>
      </c>
      <c r="B3806" t="s">
        <v>2016</v>
      </c>
      <c r="C3806" t="s">
        <v>42</v>
      </c>
      <c r="D3806" t="s">
        <v>4062</v>
      </c>
      <c r="E3806" t="s">
        <v>4884</v>
      </c>
      <c r="F3806" t="s">
        <v>4236</v>
      </c>
      <c r="G3806">
        <v>0.56</v>
      </c>
      <c r="H3806" s="2">
        <v>27010</v>
      </c>
      <c r="I3806" s="2">
        <v>15125.6</v>
      </c>
    </row>
    <row r="3807" spans="1:9" x14ac:dyDescent="0.25">
      <c r="A3807" t="s">
        <v>2018</v>
      </c>
      <c r="B3807" t="s">
        <v>2019</v>
      </c>
      <c r="C3807" t="s">
        <v>63</v>
      </c>
      <c r="D3807" t="s">
        <v>4062</v>
      </c>
      <c r="E3807" t="s">
        <v>6040</v>
      </c>
      <c r="F3807" t="s">
        <v>63</v>
      </c>
      <c r="G3807">
        <v>1</v>
      </c>
      <c r="H3807" s="2">
        <v>117360.33</v>
      </c>
      <c r="I3807" s="2">
        <v>117360.33</v>
      </c>
    </row>
    <row r="3808" spans="1:9" x14ac:dyDescent="0.25">
      <c r="A3808" t="s">
        <v>2018</v>
      </c>
      <c r="B3808" t="s">
        <v>2019</v>
      </c>
      <c r="C3808" t="s">
        <v>63</v>
      </c>
      <c r="D3808" t="s">
        <v>4049</v>
      </c>
      <c r="E3808" t="s">
        <v>6041</v>
      </c>
      <c r="F3808" t="s">
        <v>4051</v>
      </c>
      <c r="G3808">
        <v>0.25</v>
      </c>
      <c r="H3808" s="2">
        <v>10340.86</v>
      </c>
      <c r="I3808" s="2">
        <v>2585.22</v>
      </c>
    </row>
    <row r="3809" spans="1:9" x14ac:dyDescent="0.25">
      <c r="A3809" t="s">
        <v>2021</v>
      </c>
      <c r="B3809" t="s">
        <v>2022</v>
      </c>
      <c r="C3809" t="s">
        <v>63</v>
      </c>
      <c r="D3809" t="s">
        <v>4062</v>
      </c>
      <c r="E3809" t="s">
        <v>6044</v>
      </c>
      <c r="F3809" t="s">
        <v>63</v>
      </c>
      <c r="G3809">
        <v>1</v>
      </c>
      <c r="H3809" s="2">
        <v>511697.5</v>
      </c>
      <c r="I3809" s="2">
        <v>511697.5</v>
      </c>
    </row>
    <row r="3810" spans="1:9" x14ac:dyDescent="0.25">
      <c r="A3810" t="s">
        <v>2021</v>
      </c>
      <c r="B3810" t="s">
        <v>2022</v>
      </c>
      <c r="C3810" t="s">
        <v>63</v>
      </c>
      <c r="D3810" t="s">
        <v>4062</v>
      </c>
      <c r="E3810" t="s">
        <v>6045</v>
      </c>
      <c r="F3810" t="s">
        <v>63</v>
      </c>
      <c r="G3810">
        <v>1</v>
      </c>
      <c r="H3810" s="2">
        <v>83059</v>
      </c>
      <c r="I3810" s="2">
        <v>83059</v>
      </c>
    </row>
    <row r="3811" spans="1:9" x14ac:dyDescent="0.25">
      <c r="A3811" t="s">
        <v>2021</v>
      </c>
      <c r="B3811" t="s">
        <v>2022</v>
      </c>
      <c r="C3811" t="s">
        <v>63</v>
      </c>
      <c r="D3811" t="s">
        <v>4062</v>
      </c>
      <c r="E3811" t="s">
        <v>4884</v>
      </c>
      <c r="F3811" t="s">
        <v>4236</v>
      </c>
      <c r="G3811">
        <v>5</v>
      </c>
      <c r="H3811" s="2">
        <v>27010</v>
      </c>
      <c r="I3811" s="2">
        <v>135050</v>
      </c>
    </row>
    <row r="3812" spans="1:9" x14ac:dyDescent="0.25">
      <c r="A3812" t="s">
        <v>2024</v>
      </c>
      <c r="B3812" t="s">
        <v>2025</v>
      </c>
      <c r="C3812" t="s">
        <v>42</v>
      </c>
      <c r="D3812" t="s">
        <v>4062</v>
      </c>
      <c r="E3812" t="s">
        <v>6007</v>
      </c>
      <c r="F3812" t="s">
        <v>63</v>
      </c>
      <c r="G3812">
        <v>2</v>
      </c>
      <c r="H3812" s="2">
        <v>2057</v>
      </c>
      <c r="I3812" s="2">
        <v>4114</v>
      </c>
    </row>
    <row r="3813" spans="1:9" x14ac:dyDescent="0.25">
      <c r="A3813" t="s">
        <v>2024</v>
      </c>
      <c r="B3813" t="s">
        <v>2025</v>
      </c>
      <c r="C3813" t="s">
        <v>42</v>
      </c>
      <c r="D3813" t="s">
        <v>4062</v>
      </c>
      <c r="E3813" t="s">
        <v>6048</v>
      </c>
      <c r="F3813" t="s">
        <v>63</v>
      </c>
      <c r="G3813">
        <v>2</v>
      </c>
      <c r="H3813" s="2">
        <v>5800.11</v>
      </c>
      <c r="I3813" s="2">
        <v>11600.22</v>
      </c>
    </row>
    <row r="3814" spans="1:9" x14ac:dyDescent="0.25">
      <c r="A3814" t="s">
        <v>2024</v>
      </c>
      <c r="B3814" t="s">
        <v>2025</v>
      </c>
      <c r="C3814" t="s">
        <v>42</v>
      </c>
      <c r="D3814" t="s">
        <v>4062</v>
      </c>
      <c r="E3814" t="s">
        <v>6049</v>
      </c>
      <c r="F3814" t="s">
        <v>63</v>
      </c>
      <c r="G3814">
        <v>1</v>
      </c>
      <c r="H3814" s="2">
        <v>28552</v>
      </c>
      <c r="I3814" s="2">
        <v>28552</v>
      </c>
    </row>
    <row r="3815" spans="1:9" x14ac:dyDescent="0.25">
      <c r="A3815" t="s">
        <v>2024</v>
      </c>
      <c r="B3815" t="s">
        <v>2025</v>
      </c>
      <c r="C3815" t="s">
        <v>42</v>
      </c>
      <c r="D3815" t="s">
        <v>4062</v>
      </c>
      <c r="E3815" t="s">
        <v>6050</v>
      </c>
      <c r="F3815" t="s">
        <v>63</v>
      </c>
      <c r="G3815">
        <v>1</v>
      </c>
      <c r="H3815" s="2">
        <v>26381.33</v>
      </c>
      <c r="I3815" s="2">
        <v>26381.33</v>
      </c>
    </row>
    <row r="3816" spans="1:9" x14ac:dyDescent="0.25">
      <c r="A3816" t="s">
        <v>2024</v>
      </c>
      <c r="B3816" t="s">
        <v>2025</v>
      </c>
      <c r="C3816" t="s">
        <v>42</v>
      </c>
      <c r="D3816" t="s">
        <v>4062</v>
      </c>
      <c r="E3816" t="s">
        <v>6051</v>
      </c>
      <c r="F3816" t="s">
        <v>63</v>
      </c>
      <c r="G3816">
        <v>0.1</v>
      </c>
      <c r="H3816" s="2">
        <v>27668.67</v>
      </c>
      <c r="I3816" s="2">
        <v>2766.87</v>
      </c>
    </row>
    <row r="3817" spans="1:9" x14ac:dyDescent="0.25">
      <c r="A3817" t="s">
        <v>2024</v>
      </c>
      <c r="B3817" t="s">
        <v>2025</v>
      </c>
      <c r="C3817" t="s">
        <v>42</v>
      </c>
      <c r="D3817" t="s">
        <v>4062</v>
      </c>
      <c r="E3817" t="s">
        <v>6052</v>
      </c>
      <c r="F3817" t="s">
        <v>63</v>
      </c>
      <c r="G3817">
        <v>0.5</v>
      </c>
      <c r="H3817" s="2">
        <v>7108.67</v>
      </c>
      <c r="I3817" s="2">
        <v>3554.34</v>
      </c>
    </row>
    <row r="3818" spans="1:9" x14ac:dyDescent="0.25">
      <c r="A3818" t="s">
        <v>2024</v>
      </c>
      <c r="B3818" t="s">
        <v>2025</v>
      </c>
      <c r="C3818" t="s">
        <v>42</v>
      </c>
      <c r="D3818" t="s">
        <v>4062</v>
      </c>
      <c r="E3818" t="s">
        <v>6014</v>
      </c>
      <c r="F3818" t="s">
        <v>63</v>
      </c>
      <c r="G3818">
        <v>2</v>
      </c>
      <c r="H3818" s="2">
        <v>60</v>
      </c>
      <c r="I3818" s="2">
        <v>120</v>
      </c>
    </row>
    <row r="3819" spans="1:9" x14ac:dyDescent="0.25">
      <c r="A3819" t="s">
        <v>2024</v>
      </c>
      <c r="B3819" t="s">
        <v>2025</v>
      </c>
      <c r="C3819" t="s">
        <v>42</v>
      </c>
      <c r="D3819" t="s">
        <v>4062</v>
      </c>
      <c r="E3819" t="s">
        <v>6053</v>
      </c>
      <c r="F3819" t="s">
        <v>63</v>
      </c>
      <c r="G3819">
        <v>1</v>
      </c>
      <c r="H3819" s="2">
        <v>35300</v>
      </c>
      <c r="I3819" s="2">
        <v>35300</v>
      </c>
    </row>
    <row r="3820" spans="1:9" x14ac:dyDescent="0.25">
      <c r="A3820" t="s">
        <v>2024</v>
      </c>
      <c r="B3820" t="s">
        <v>2025</v>
      </c>
      <c r="C3820" t="s">
        <v>42</v>
      </c>
      <c r="D3820" t="s">
        <v>4049</v>
      </c>
      <c r="E3820" t="s">
        <v>6015</v>
      </c>
      <c r="F3820" t="s">
        <v>4106</v>
      </c>
      <c r="G3820">
        <v>0.04</v>
      </c>
      <c r="H3820" s="2">
        <v>28512</v>
      </c>
      <c r="I3820" s="2">
        <v>1226.02</v>
      </c>
    </row>
    <row r="3821" spans="1:9" x14ac:dyDescent="0.25">
      <c r="A3821" t="s">
        <v>2024</v>
      </c>
      <c r="B3821" t="s">
        <v>2025</v>
      </c>
      <c r="C3821" t="s">
        <v>42</v>
      </c>
      <c r="D3821" t="s">
        <v>4049</v>
      </c>
      <c r="E3821" t="s">
        <v>4884</v>
      </c>
      <c r="F3821" t="s">
        <v>4236</v>
      </c>
      <c r="G3821">
        <v>0.35</v>
      </c>
      <c r="H3821" s="2">
        <v>27010</v>
      </c>
      <c r="I3821" s="2">
        <v>9453.5</v>
      </c>
    </row>
    <row r="3822" spans="1:9" x14ac:dyDescent="0.25">
      <c r="A3822" t="s">
        <v>2027</v>
      </c>
      <c r="B3822" t="s">
        <v>2028</v>
      </c>
      <c r="C3822" t="s">
        <v>42</v>
      </c>
      <c r="D3822" t="s">
        <v>4062</v>
      </c>
      <c r="E3822" t="s">
        <v>6007</v>
      </c>
      <c r="F3822" t="s">
        <v>63</v>
      </c>
      <c r="G3822">
        <v>1</v>
      </c>
      <c r="H3822" s="2">
        <v>2057</v>
      </c>
      <c r="I3822" s="2">
        <v>2057</v>
      </c>
    </row>
    <row r="3823" spans="1:9" x14ac:dyDescent="0.25">
      <c r="A3823" t="s">
        <v>2027</v>
      </c>
      <c r="B3823" t="s">
        <v>2028</v>
      </c>
      <c r="C3823" t="s">
        <v>42</v>
      </c>
      <c r="D3823" t="s">
        <v>4062</v>
      </c>
      <c r="E3823" t="s">
        <v>6048</v>
      </c>
      <c r="F3823" t="s">
        <v>63</v>
      </c>
      <c r="G3823">
        <v>1</v>
      </c>
      <c r="H3823" s="2">
        <v>5800.11</v>
      </c>
      <c r="I3823" s="2">
        <v>5800.11</v>
      </c>
    </row>
    <row r="3824" spans="1:9" x14ac:dyDescent="0.25">
      <c r="A3824" t="s">
        <v>2027</v>
      </c>
      <c r="B3824" t="s">
        <v>2028</v>
      </c>
      <c r="C3824" t="s">
        <v>42</v>
      </c>
      <c r="D3824" t="s">
        <v>4062</v>
      </c>
      <c r="E3824" t="s">
        <v>6056</v>
      </c>
      <c r="F3824" t="s">
        <v>63</v>
      </c>
      <c r="G3824">
        <v>1</v>
      </c>
      <c r="H3824" s="2">
        <v>1616.33</v>
      </c>
      <c r="I3824" s="2">
        <v>1616.33</v>
      </c>
    </row>
    <row r="3825" spans="1:9" x14ac:dyDescent="0.25">
      <c r="A3825" t="s">
        <v>2027</v>
      </c>
      <c r="B3825" t="s">
        <v>2028</v>
      </c>
      <c r="C3825" t="s">
        <v>42</v>
      </c>
      <c r="D3825" t="s">
        <v>4062</v>
      </c>
      <c r="E3825" t="s">
        <v>6057</v>
      </c>
      <c r="F3825" t="s">
        <v>63</v>
      </c>
      <c r="G3825">
        <v>1</v>
      </c>
      <c r="H3825" s="2">
        <v>6875</v>
      </c>
      <c r="I3825" s="2">
        <v>6875</v>
      </c>
    </row>
    <row r="3826" spans="1:9" x14ac:dyDescent="0.25">
      <c r="A3826" t="s">
        <v>2027</v>
      </c>
      <c r="B3826" t="s">
        <v>2028</v>
      </c>
      <c r="C3826" t="s">
        <v>42</v>
      </c>
      <c r="D3826" t="s">
        <v>4062</v>
      </c>
      <c r="E3826" t="s">
        <v>6058</v>
      </c>
      <c r="F3826" t="s">
        <v>63</v>
      </c>
      <c r="G3826">
        <v>1</v>
      </c>
      <c r="H3826" s="2">
        <v>5137</v>
      </c>
      <c r="I3826" s="2">
        <v>5137</v>
      </c>
    </row>
    <row r="3827" spans="1:9" x14ac:dyDescent="0.25">
      <c r="A3827" t="s">
        <v>2027</v>
      </c>
      <c r="B3827" t="s">
        <v>2028</v>
      </c>
      <c r="C3827" t="s">
        <v>42</v>
      </c>
      <c r="D3827" t="s">
        <v>4062</v>
      </c>
      <c r="E3827" t="s">
        <v>6059</v>
      </c>
      <c r="F3827" t="s">
        <v>63</v>
      </c>
      <c r="G3827">
        <v>1</v>
      </c>
      <c r="H3827" s="2">
        <v>5102</v>
      </c>
      <c r="I3827" s="2">
        <v>5102</v>
      </c>
    </row>
    <row r="3828" spans="1:9" x14ac:dyDescent="0.25">
      <c r="A3828" t="s">
        <v>2027</v>
      </c>
      <c r="B3828" t="s">
        <v>2028</v>
      </c>
      <c r="C3828" t="s">
        <v>42</v>
      </c>
      <c r="D3828" t="s">
        <v>4062</v>
      </c>
      <c r="E3828" t="s">
        <v>6060</v>
      </c>
      <c r="F3828" t="s">
        <v>63</v>
      </c>
      <c r="G3828">
        <v>1</v>
      </c>
      <c r="H3828" s="2">
        <v>1852</v>
      </c>
      <c r="I3828" s="2">
        <v>1852</v>
      </c>
    </row>
    <row r="3829" spans="1:9" x14ac:dyDescent="0.25">
      <c r="A3829" t="s">
        <v>2027</v>
      </c>
      <c r="B3829" t="s">
        <v>2028</v>
      </c>
      <c r="C3829" t="s">
        <v>42</v>
      </c>
      <c r="D3829" t="s">
        <v>4062</v>
      </c>
      <c r="E3829" t="s">
        <v>6014</v>
      </c>
      <c r="F3829" t="s">
        <v>63</v>
      </c>
      <c r="G3829">
        <v>2</v>
      </c>
      <c r="H3829" s="2">
        <v>60</v>
      </c>
      <c r="I3829" s="2">
        <v>120</v>
      </c>
    </row>
    <row r="3830" spans="1:9" x14ac:dyDescent="0.25">
      <c r="A3830" t="s">
        <v>2027</v>
      </c>
      <c r="B3830" t="s">
        <v>2028</v>
      </c>
      <c r="C3830" t="s">
        <v>42</v>
      </c>
      <c r="D3830" t="s">
        <v>4062</v>
      </c>
      <c r="E3830" t="s">
        <v>6061</v>
      </c>
      <c r="F3830" t="s">
        <v>63</v>
      </c>
      <c r="G3830">
        <v>1</v>
      </c>
      <c r="H3830" s="2">
        <v>28648</v>
      </c>
      <c r="I3830" s="2">
        <v>28648</v>
      </c>
    </row>
    <row r="3831" spans="1:9" x14ac:dyDescent="0.25">
      <c r="A3831" t="s">
        <v>2027</v>
      </c>
      <c r="B3831" t="s">
        <v>2028</v>
      </c>
      <c r="C3831" t="s">
        <v>42</v>
      </c>
      <c r="D3831" t="s">
        <v>4049</v>
      </c>
      <c r="E3831" t="s">
        <v>4884</v>
      </c>
      <c r="F3831" t="s">
        <v>4236</v>
      </c>
      <c r="G3831">
        <v>0.35</v>
      </c>
      <c r="H3831" s="2">
        <v>27010</v>
      </c>
      <c r="I3831" s="2">
        <v>9453.5</v>
      </c>
    </row>
    <row r="3832" spans="1:9" x14ac:dyDescent="0.25">
      <c r="A3832" t="s">
        <v>2027</v>
      </c>
      <c r="B3832" t="s">
        <v>2028</v>
      </c>
      <c r="C3832" t="s">
        <v>42</v>
      </c>
      <c r="D3832" t="s">
        <v>4052</v>
      </c>
      <c r="E3832" t="s">
        <v>6015</v>
      </c>
      <c r="F3832" t="s">
        <v>4106</v>
      </c>
      <c r="G3832">
        <v>0.04</v>
      </c>
      <c r="H3832" s="2">
        <v>28512</v>
      </c>
      <c r="I3832" s="2">
        <v>1226.02</v>
      </c>
    </row>
    <row r="3833" spans="1:9" x14ac:dyDescent="0.25">
      <c r="A3833" t="s">
        <v>2030</v>
      </c>
      <c r="B3833" t="s">
        <v>2031</v>
      </c>
      <c r="C3833" t="s">
        <v>42</v>
      </c>
      <c r="D3833" t="s">
        <v>4062</v>
      </c>
      <c r="E3833" t="s">
        <v>5987</v>
      </c>
      <c r="F3833" t="s">
        <v>63</v>
      </c>
      <c r="G3833">
        <v>1</v>
      </c>
      <c r="H3833" s="2">
        <v>33171</v>
      </c>
      <c r="I3833" s="2">
        <v>33171</v>
      </c>
    </row>
    <row r="3834" spans="1:9" x14ac:dyDescent="0.25">
      <c r="A3834" t="s">
        <v>2030</v>
      </c>
      <c r="B3834" t="s">
        <v>2031</v>
      </c>
      <c r="C3834" t="s">
        <v>42</v>
      </c>
      <c r="D3834" t="s">
        <v>4062</v>
      </c>
      <c r="E3834" t="s">
        <v>5988</v>
      </c>
      <c r="F3834" t="s">
        <v>63</v>
      </c>
      <c r="G3834">
        <v>4</v>
      </c>
      <c r="H3834" s="2">
        <v>5033.33</v>
      </c>
      <c r="I3834" s="2">
        <v>20133.32</v>
      </c>
    </row>
    <row r="3835" spans="1:9" x14ac:dyDescent="0.25">
      <c r="A3835" t="s">
        <v>2030</v>
      </c>
      <c r="B3835" t="s">
        <v>2031</v>
      </c>
      <c r="C3835" t="s">
        <v>42</v>
      </c>
      <c r="D3835" t="s">
        <v>4062</v>
      </c>
      <c r="E3835" t="s">
        <v>6064</v>
      </c>
      <c r="F3835" t="s">
        <v>63</v>
      </c>
      <c r="G3835">
        <v>1</v>
      </c>
      <c r="H3835" s="2">
        <v>61100</v>
      </c>
      <c r="I3835" s="2">
        <v>61100</v>
      </c>
    </row>
    <row r="3836" spans="1:9" x14ac:dyDescent="0.25">
      <c r="A3836" t="s">
        <v>2030</v>
      </c>
      <c r="B3836" t="s">
        <v>2031</v>
      </c>
      <c r="C3836" t="s">
        <v>42</v>
      </c>
      <c r="D3836" t="s">
        <v>4049</v>
      </c>
      <c r="E3836" t="s">
        <v>6015</v>
      </c>
      <c r="F3836" t="s">
        <v>4106</v>
      </c>
      <c r="G3836">
        <v>0.07</v>
      </c>
      <c r="H3836" s="2">
        <v>28512</v>
      </c>
      <c r="I3836" s="2">
        <v>1995.84</v>
      </c>
    </row>
    <row r="3837" spans="1:9" x14ac:dyDescent="0.25">
      <c r="A3837" t="s">
        <v>2030</v>
      </c>
      <c r="B3837" t="s">
        <v>2031</v>
      </c>
      <c r="C3837" t="s">
        <v>42</v>
      </c>
      <c r="D3837" t="s">
        <v>4049</v>
      </c>
      <c r="E3837" t="s">
        <v>4884</v>
      </c>
      <c r="F3837" t="s">
        <v>4236</v>
      </c>
      <c r="G3837">
        <v>0.56</v>
      </c>
      <c r="H3837" s="2">
        <v>27010</v>
      </c>
      <c r="I3837" s="2">
        <v>15125.6</v>
      </c>
    </row>
    <row r="3838" spans="1:9" x14ac:dyDescent="0.25">
      <c r="A3838" t="s">
        <v>2033</v>
      </c>
      <c r="B3838" t="s">
        <v>2034</v>
      </c>
      <c r="C3838" t="s">
        <v>63</v>
      </c>
      <c r="D3838" t="s">
        <v>4062</v>
      </c>
      <c r="E3838" t="s">
        <v>6067</v>
      </c>
      <c r="F3838" t="s">
        <v>63</v>
      </c>
      <c r="G3838">
        <v>4</v>
      </c>
      <c r="H3838" s="2">
        <v>6599.37</v>
      </c>
      <c r="I3838" s="2">
        <v>26397.48</v>
      </c>
    </row>
    <row r="3839" spans="1:9" x14ac:dyDescent="0.25">
      <c r="A3839" t="s">
        <v>2033</v>
      </c>
      <c r="B3839" t="s">
        <v>2034</v>
      </c>
      <c r="C3839" t="s">
        <v>63</v>
      </c>
      <c r="D3839" t="s">
        <v>4062</v>
      </c>
      <c r="E3839" t="s">
        <v>6044</v>
      </c>
      <c r="F3839" t="s">
        <v>63</v>
      </c>
      <c r="G3839">
        <v>1</v>
      </c>
      <c r="H3839" s="2">
        <v>511697.5</v>
      </c>
      <c r="I3839" s="2">
        <v>511697.5</v>
      </c>
    </row>
    <row r="3840" spans="1:9" x14ac:dyDescent="0.25">
      <c r="A3840" t="s">
        <v>2033</v>
      </c>
      <c r="B3840" t="s">
        <v>2034</v>
      </c>
      <c r="C3840" t="s">
        <v>63</v>
      </c>
      <c r="D3840" t="s">
        <v>4062</v>
      </c>
      <c r="E3840" t="s">
        <v>6045</v>
      </c>
      <c r="F3840" t="s">
        <v>63</v>
      </c>
      <c r="G3840">
        <v>1</v>
      </c>
      <c r="H3840" s="2">
        <v>83059</v>
      </c>
      <c r="I3840" s="2">
        <v>83059</v>
      </c>
    </row>
    <row r="3841" spans="1:9" x14ac:dyDescent="0.25">
      <c r="A3841" t="s">
        <v>2033</v>
      </c>
      <c r="B3841" t="s">
        <v>2034</v>
      </c>
      <c r="C3841" t="s">
        <v>63</v>
      </c>
      <c r="D3841" t="s">
        <v>4062</v>
      </c>
      <c r="E3841" t="s">
        <v>6068</v>
      </c>
      <c r="F3841" t="s">
        <v>63</v>
      </c>
      <c r="G3841">
        <v>1</v>
      </c>
      <c r="H3841" s="2">
        <v>194622.33</v>
      </c>
      <c r="I3841" s="2">
        <v>194622.33</v>
      </c>
    </row>
    <row r="3842" spans="1:9" x14ac:dyDescent="0.25">
      <c r="A3842" t="s">
        <v>2033</v>
      </c>
      <c r="B3842" t="s">
        <v>2034</v>
      </c>
      <c r="C3842" t="s">
        <v>63</v>
      </c>
      <c r="D3842" t="s">
        <v>4062</v>
      </c>
      <c r="E3842" t="s">
        <v>4884</v>
      </c>
      <c r="F3842" t="s">
        <v>4236</v>
      </c>
      <c r="G3842">
        <v>5</v>
      </c>
      <c r="H3842" s="2">
        <v>27010</v>
      </c>
      <c r="I3842" s="2">
        <v>135050</v>
      </c>
    </row>
    <row r="3843" spans="1:9" x14ac:dyDescent="0.25">
      <c r="A3843" t="s">
        <v>2036</v>
      </c>
      <c r="B3843" t="s">
        <v>2037</v>
      </c>
      <c r="C3843" t="s">
        <v>63</v>
      </c>
      <c r="D3843" t="s">
        <v>4062</v>
      </c>
      <c r="E3843" t="s">
        <v>6071</v>
      </c>
      <c r="F3843" t="s">
        <v>63</v>
      </c>
      <c r="G3843">
        <v>1.05</v>
      </c>
      <c r="H3843" s="2">
        <v>17338</v>
      </c>
      <c r="I3843" s="2">
        <v>18204.9</v>
      </c>
    </row>
    <row r="3844" spans="1:9" x14ac:dyDescent="0.25">
      <c r="A3844" t="s">
        <v>2036</v>
      </c>
      <c r="B3844" t="s">
        <v>2037</v>
      </c>
      <c r="C3844" t="s">
        <v>63</v>
      </c>
      <c r="D3844" t="s">
        <v>4062</v>
      </c>
      <c r="E3844" t="s">
        <v>4884</v>
      </c>
      <c r="F3844" t="s">
        <v>4236</v>
      </c>
      <c r="G3844">
        <v>0.03</v>
      </c>
      <c r="H3844" s="2">
        <v>27010</v>
      </c>
      <c r="I3844" s="2">
        <v>810.3</v>
      </c>
    </row>
    <row r="3845" spans="1:9" x14ac:dyDescent="0.25">
      <c r="A3845" t="s">
        <v>2039</v>
      </c>
      <c r="B3845" t="s">
        <v>2040</v>
      </c>
      <c r="C3845" t="s">
        <v>63</v>
      </c>
      <c r="D3845" t="s">
        <v>4062</v>
      </c>
      <c r="E3845" t="s">
        <v>6074</v>
      </c>
      <c r="F3845" t="s">
        <v>63</v>
      </c>
      <c r="G3845">
        <v>1</v>
      </c>
      <c r="H3845" s="2">
        <v>243956</v>
      </c>
      <c r="I3845" s="2">
        <v>243956</v>
      </c>
    </row>
    <row r="3846" spans="1:9" x14ac:dyDescent="0.25">
      <c r="A3846" t="s">
        <v>2039</v>
      </c>
      <c r="B3846" t="s">
        <v>2040</v>
      </c>
      <c r="C3846" t="s">
        <v>63</v>
      </c>
      <c r="D3846" t="s">
        <v>4062</v>
      </c>
      <c r="E3846" t="s">
        <v>4884</v>
      </c>
      <c r="F3846" t="s">
        <v>4236</v>
      </c>
      <c r="G3846">
        <v>0.3</v>
      </c>
      <c r="H3846" s="2">
        <v>27010</v>
      </c>
      <c r="I3846" s="2">
        <v>8103</v>
      </c>
    </row>
    <row r="3847" spans="1:9" x14ac:dyDescent="0.25">
      <c r="A3847" t="s">
        <v>2043</v>
      </c>
      <c r="B3847" t="s">
        <v>2044</v>
      </c>
      <c r="C3847" t="s">
        <v>63</v>
      </c>
      <c r="D3847" t="s">
        <v>4062</v>
      </c>
      <c r="E3847" t="s">
        <v>6077</v>
      </c>
      <c r="F3847" t="s">
        <v>63</v>
      </c>
      <c r="G3847">
        <v>1</v>
      </c>
      <c r="H3847" s="2">
        <v>189711</v>
      </c>
      <c r="I3847" s="2">
        <v>189711</v>
      </c>
    </row>
    <row r="3848" spans="1:9" x14ac:dyDescent="0.25">
      <c r="A3848" t="s">
        <v>2043</v>
      </c>
      <c r="B3848" t="s">
        <v>2044</v>
      </c>
      <c r="C3848" t="s">
        <v>63</v>
      </c>
      <c r="D3848" t="s">
        <v>4062</v>
      </c>
      <c r="E3848" t="s">
        <v>6078</v>
      </c>
      <c r="F3848" t="s">
        <v>63</v>
      </c>
      <c r="G3848">
        <v>1</v>
      </c>
      <c r="H3848" s="2">
        <v>263152</v>
      </c>
      <c r="I3848" s="2">
        <v>263152</v>
      </c>
    </row>
    <row r="3849" spans="1:9" x14ac:dyDescent="0.25">
      <c r="A3849" t="s">
        <v>2043</v>
      </c>
      <c r="B3849" t="s">
        <v>2044</v>
      </c>
      <c r="C3849" t="s">
        <v>63</v>
      </c>
      <c r="D3849" t="s">
        <v>4062</v>
      </c>
      <c r="E3849" t="s">
        <v>4884</v>
      </c>
      <c r="F3849" t="s">
        <v>4236</v>
      </c>
      <c r="G3849">
        <v>0.3</v>
      </c>
      <c r="H3849" s="2">
        <v>27010</v>
      </c>
      <c r="I3849" s="2">
        <v>8103</v>
      </c>
    </row>
    <row r="3850" spans="1:9" x14ac:dyDescent="0.25">
      <c r="A3850" t="s">
        <v>2046</v>
      </c>
      <c r="B3850" t="s">
        <v>2047</v>
      </c>
      <c r="C3850" t="s">
        <v>63</v>
      </c>
      <c r="D3850" t="s">
        <v>4062</v>
      </c>
      <c r="E3850" t="s">
        <v>6081</v>
      </c>
      <c r="F3850" t="s">
        <v>63</v>
      </c>
      <c r="G3850">
        <v>1</v>
      </c>
      <c r="H3850" s="2">
        <v>2113</v>
      </c>
      <c r="I3850" s="2">
        <v>2113</v>
      </c>
    </row>
    <row r="3851" spans="1:9" x14ac:dyDescent="0.25">
      <c r="A3851" t="s">
        <v>2046</v>
      </c>
      <c r="B3851" t="s">
        <v>2047</v>
      </c>
      <c r="C3851" t="s">
        <v>63</v>
      </c>
      <c r="D3851" t="s">
        <v>4062</v>
      </c>
      <c r="E3851" t="s">
        <v>4884</v>
      </c>
      <c r="F3851" t="s">
        <v>4236</v>
      </c>
      <c r="G3851">
        <v>0.1</v>
      </c>
      <c r="H3851" s="2">
        <v>27010</v>
      </c>
      <c r="I3851" s="2">
        <v>2701</v>
      </c>
    </row>
    <row r="3852" spans="1:9" x14ac:dyDescent="0.25">
      <c r="A3852" t="s">
        <v>2049</v>
      </c>
      <c r="B3852" t="s">
        <v>2050</v>
      </c>
      <c r="C3852" t="s">
        <v>63</v>
      </c>
      <c r="D3852" t="s">
        <v>4062</v>
      </c>
      <c r="E3852" t="s">
        <v>6084</v>
      </c>
      <c r="F3852" t="s">
        <v>63</v>
      </c>
      <c r="G3852">
        <v>1</v>
      </c>
      <c r="H3852" s="2">
        <v>21074.33</v>
      </c>
      <c r="I3852" s="2">
        <v>21074.33</v>
      </c>
    </row>
    <row r="3853" spans="1:9" x14ac:dyDescent="0.25">
      <c r="A3853" t="s">
        <v>2049</v>
      </c>
      <c r="B3853" t="s">
        <v>2050</v>
      </c>
      <c r="C3853" t="s">
        <v>63</v>
      </c>
      <c r="D3853" t="s">
        <v>4062</v>
      </c>
      <c r="E3853" t="s">
        <v>4884</v>
      </c>
      <c r="F3853" t="s">
        <v>4236</v>
      </c>
      <c r="G3853">
        <v>0.1</v>
      </c>
      <c r="H3853" s="2">
        <v>27010</v>
      </c>
      <c r="I3853" s="2">
        <v>2701</v>
      </c>
    </row>
    <row r="3854" spans="1:9" x14ac:dyDescent="0.25">
      <c r="A3854" t="s">
        <v>2052</v>
      </c>
      <c r="B3854" t="s">
        <v>2053</v>
      </c>
      <c r="C3854" t="s">
        <v>63</v>
      </c>
      <c r="D3854" t="s">
        <v>4062</v>
      </c>
      <c r="E3854" t="s">
        <v>4869</v>
      </c>
      <c r="F3854" t="s">
        <v>63</v>
      </c>
      <c r="G3854">
        <v>1</v>
      </c>
      <c r="H3854" s="2">
        <v>4646</v>
      </c>
      <c r="I3854" s="2">
        <v>4646</v>
      </c>
    </row>
    <row r="3855" spans="1:9" x14ac:dyDescent="0.25">
      <c r="A3855" t="s">
        <v>2052</v>
      </c>
      <c r="B3855" t="s">
        <v>2053</v>
      </c>
      <c r="C3855" t="s">
        <v>63</v>
      </c>
      <c r="D3855" t="s">
        <v>4062</v>
      </c>
      <c r="E3855" t="s">
        <v>4884</v>
      </c>
      <c r="F3855" t="s">
        <v>4236</v>
      </c>
      <c r="G3855">
        <v>0.1</v>
      </c>
      <c r="H3855" s="2">
        <v>27010</v>
      </c>
      <c r="I3855" s="2">
        <v>2701</v>
      </c>
    </row>
    <row r="3856" spans="1:9" x14ac:dyDescent="0.25">
      <c r="A3856" t="s">
        <v>2055</v>
      </c>
      <c r="B3856" t="s">
        <v>2056</v>
      </c>
      <c r="C3856" t="s">
        <v>63</v>
      </c>
      <c r="D3856" t="s">
        <v>4062</v>
      </c>
      <c r="E3856" t="s">
        <v>6089</v>
      </c>
      <c r="F3856" t="s">
        <v>63</v>
      </c>
      <c r="G3856">
        <v>1</v>
      </c>
      <c r="H3856" s="2">
        <v>10823</v>
      </c>
      <c r="I3856" s="2">
        <v>10823</v>
      </c>
    </row>
    <row r="3857" spans="1:9" x14ac:dyDescent="0.25">
      <c r="A3857" t="s">
        <v>2055</v>
      </c>
      <c r="B3857" t="s">
        <v>2056</v>
      </c>
      <c r="C3857" t="s">
        <v>63</v>
      </c>
      <c r="D3857" t="s">
        <v>4062</v>
      </c>
      <c r="E3857" t="s">
        <v>4884</v>
      </c>
      <c r="F3857" t="s">
        <v>4236</v>
      </c>
      <c r="G3857">
        <v>0.1</v>
      </c>
      <c r="H3857" s="2">
        <v>27010</v>
      </c>
      <c r="I3857" s="2">
        <v>2701</v>
      </c>
    </row>
    <row r="3858" spans="1:9" x14ac:dyDescent="0.25">
      <c r="A3858" t="s">
        <v>2058</v>
      </c>
      <c r="B3858" t="s">
        <v>2059</v>
      </c>
      <c r="C3858" t="s">
        <v>63</v>
      </c>
      <c r="D3858" t="s">
        <v>4062</v>
      </c>
      <c r="E3858" t="s">
        <v>2059</v>
      </c>
      <c r="F3858" t="s">
        <v>63</v>
      </c>
      <c r="G3858">
        <v>1</v>
      </c>
      <c r="H3858" s="2">
        <v>6827</v>
      </c>
      <c r="I3858" s="2">
        <v>6827</v>
      </c>
    </row>
    <row r="3859" spans="1:9" x14ac:dyDescent="0.25">
      <c r="A3859" t="s">
        <v>2058</v>
      </c>
      <c r="B3859" t="s">
        <v>2059</v>
      </c>
      <c r="C3859" t="s">
        <v>63</v>
      </c>
      <c r="D3859" t="s">
        <v>4062</v>
      </c>
      <c r="E3859" t="s">
        <v>4884</v>
      </c>
      <c r="F3859" t="s">
        <v>4236</v>
      </c>
      <c r="G3859">
        <v>0.1</v>
      </c>
      <c r="H3859" s="2">
        <v>27010</v>
      </c>
      <c r="I3859" s="2">
        <v>2701</v>
      </c>
    </row>
    <row r="3860" spans="1:9" x14ac:dyDescent="0.25">
      <c r="A3860" t="s">
        <v>2061</v>
      </c>
      <c r="B3860" t="s">
        <v>2062</v>
      </c>
      <c r="C3860" t="s">
        <v>63</v>
      </c>
      <c r="D3860" t="s">
        <v>4062</v>
      </c>
      <c r="E3860" t="s">
        <v>6094</v>
      </c>
      <c r="F3860" t="s">
        <v>63</v>
      </c>
      <c r="G3860">
        <v>1</v>
      </c>
      <c r="H3860" s="2">
        <v>17082.67</v>
      </c>
      <c r="I3860" s="2">
        <v>17082.67</v>
      </c>
    </row>
    <row r="3861" spans="1:9" x14ac:dyDescent="0.25">
      <c r="A3861" t="s">
        <v>2061</v>
      </c>
      <c r="B3861" t="s">
        <v>2062</v>
      </c>
      <c r="C3861" t="s">
        <v>63</v>
      </c>
      <c r="D3861" t="s">
        <v>4062</v>
      </c>
      <c r="E3861" t="s">
        <v>4884</v>
      </c>
      <c r="F3861" t="s">
        <v>4236</v>
      </c>
      <c r="G3861">
        <v>0.1</v>
      </c>
      <c r="H3861" s="2">
        <v>27010</v>
      </c>
      <c r="I3861" s="2">
        <v>2701</v>
      </c>
    </row>
    <row r="3862" spans="1:9" x14ac:dyDescent="0.25">
      <c r="A3862" t="s">
        <v>2064</v>
      </c>
      <c r="B3862" t="s">
        <v>2065</v>
      </c>
      <c r="C3862" t="s">
        <v>63</v>
      </c>
      <c r="D3862" t="s">
        <v>4062</v>
      </c>
      <c r="E3862" t="s">
        <v>6097</v>
      </c>
      <c r="F3862" t="s">
        <v>63</v>
      </c>
      <c r="G3862">
        <v>1</v>
      </c>
      <c r="H3862" s="2">
        <v>17084.33</v>
      </c>
      <c r="I3862" s="2">
        <v>17084.33</v>
      </c>
    </row>
    <row r="3863" spans="1:9" x14ac:dyDescent="0.25">
      <c r="A3863" t="s">
        <v>2064</v>
      </c>
      <c r="B3863" t="s">
        <v>2065</v>
      </c>
      <c r="C3863" t="s">
        <v>63</v>
      </c>
      <c r="D3863" t="s">
        <v>4062</v>
      </c>
      <c r="E3863" t="s">
        <v>4884</v>
      </c>
      <c r="F3863" t="s">
        <v>4236</v>
      </c>
      <c r="G3863">
        <v>0.1</v>
      </c>
      <c r="H3863" s="2">
        <v>27010</v>
      </c>
      <c r="I3863" s="2">
        <v>2701</v>
      </c>
    </row>
    <row r="3864" spans="1:9" x14ac:dyDescent="0.25">
      <c r="A3864" t="s">
        <v>2067</v>
      </c>
      <c r="B3864" t="s">
        <v>2068</v>
      </c>
      <c r="C3864" t="s">
        <v>63</v>
      </c>
      <c r="D3864" t="s">
        <v>4062</v>
      </c>
      <c r="E3864" t="s">
        <v>6100</v>
      </c>
      <c r="F3864" t="s">
        <v>63</v>
      </c>
      <c r="G3864">
        <v>1</v>
      </c>
      <c r="H3864" s="2">
        <v>12220</v>
      </c>
      <c r="I3864" s="2">
        <v>12220</v>
      </c>
    </row>
    <row r="3865" spans="1:9" x14ac:dyDescent="0.25">
      <c r="A3865" t="s">
        <v>2067</v>
      </c>
      <c r="B3865" t="s">
        <v>2068</v>
      </c>
      <c r="C3865" t="s">
        <v>63</v>
      </c>
      <c r="D3865" t="s">
        <v>4062</v>
      </c>
      <c r="E3865" t="s">
        <v>4884</v>
      </c>
      <c r="F3865" t="s">
        <v>4236</v>
      </c>
      <c r="G3865">
        <v>0.1</v>
      </c>
      <c r="H3865" s="2">
        <v>27010</v>
      </c>
      <c r="I3865" s="2">
        <v>2701</v>
      </c>
    </row>
    <row r="3866" spans="1:9" x14ac:dyDescent="0.25">
      <c r="A3866" t="s">
        <v>2070</v>
      </c>
      <c r="B3866" t="s">
        <v>2071</v>
      </c>
      <c r="C3866" t="s">
        <v>42</v>
      </c>
      <c r="D3866" t="s">
        <v>4062</v>
      </c>
      <c r="E3866" t="s">
        <v>6103</v>
      </c>
      <c r="F3866" t="s">
        <v>63</v>
      </c>
      <c r="G3866">
        <v>1.3</v>
      </c>
      <c r="H3866" s="2">
        <v>13629</v>
      </c>
      <c r="I3866" s="2">
        <v>17717.7</v>
      </c>
    </row>
    <row r="3867" spans="1:9" x14ac:dyDescent="0.25">
      <c r="A3867" t="s">
        <v>2070</v>
      </c>
      <c r="B3867" t="s">
        <v>2071</v>
      </c>
      <c r="C3867" t="s">
        <v>42</v>
      </c>
      <c r="D3867" t="s">
        <v>4062</v>
      </c>
      <c r="E3867" t="s">
        <v>4884</v>
      </c>
      <c r="F3867" t="s">
        <v>4236</v>
      </c>
      <c r="G3867">
        <v>0.03</v>
      </c>
      <c r="H3867" s="2">
        <v>27010</v>
      </c>
      <c r="I3867" s="2">
        <v>810.3</v>
      </c>
    </row>
    <row r="3868" spans="1:9" x14ac:dyDescent="0.25">
      <c r="A3868" t="s">
        <v>2073</v>
      </c>
      <c r="B3868" t="s">
        <v>2074</v>
      </c>
      <c r="C3868" t="s">
        <v>63</v>
      </c>
      <c r="D3868" t="s">
        <v>4062</v>
      </c>
      <c r="E3868" t="s">
        <v>6106</v>
      </c>
      <c r="F3868" t="s">
        <v>63</v>
      </c>
      <c r="G3868">
        <v>1</v>
      </c>
      <c r="H3868" s="2">
        <v>381236</v>
      </c>
      <c r="I3868" s="2">
        <v>381236</v>
      </c>
    </row>
    <row r="3869" spans="1:9" x14ac:dyDescent="0.25">
      <c r="A3869" t="s">
        <v>2073</v>
      </c>
      <c r="B3869" t="s">
        <v>2074</v>
      </c>
      <c r="C3869" t="s">
        <v>63</v>
      </c>
      <c r="D3869" t="s">
        <v>4062</v>
      </c>
      <c r="E3869" t="s">
        <v>4884</v>
      </c>
      <c r="F3869" t="s">
        <v>4236</v>
      </c>
      <c r="G3869">
        <v>6</v>
      </c>
      <c r="H3869" s="2">
        <v>27010</v>
      </c>
      <c r="I3869" s="2">
        <v>162060</v>
      </c>
    </row>
    <row r="3870" spans="1:9" x14ac:dyDescent="0.25">
      <c r="A3870" t="s">
        <v>2076</v>
      </c>
      <c r="B3870" t="s">
        <v>2077</v>
      </c>
      <c r="C3870" t="s">
        <v>63</v>
      </c>
      <c r="D3870" t="s">
        <v>4062</v>
      </c>
      <c r="E3870" t="s">
        <v>6109</v>
      </c>
      <c r="F3870" t="s">
        <v>63</v>
      </c>
      <c r="G3870">
        <v>1</v>
      </c>
      <c r="H3870" s="2">
        <v>22065</v>
      </c>
      <c r="I3870" s="2">
        <v>22065</v>
      </c>
    </row>
    <row r="3871" spans="1:9" x14ac:dyDescent="0.25">
      <c r="A3871" t="s">
        <v>2076</v>
      </c>
      <c r="B3871" t="s">
        <v>2077</v>
      </c>
      <c r="C3871" t="s">
        <v>63</v>
      </c>
      <c r="D3871" t="s">
        <v>4062</v>
      </c>
      <c r="E3871" t="s">
        <v>4884</v>
      </c>
      <c r="F3871" t="s">
        <v>4236</v>
      </c>
      <c r="G3871">
        <v>0.03</v>
      </c>
      <c r="H3871" s="2">
        <v>27010</v>
      </c>
      <c r="I3871" s="2">
        <v>810.3</v>
      </c>
    </row>
    <row r="3872" spans="1:9" x14ac:dyDescent="0.25">
      <c r="A3872" t="s">
        <v>2079</v>
      </c>
      <c r="B3872" t="s">
        <v>2080</v>
      </c>
      <c r="C3872" t="s">
        <v>63</v>
      </c>
      <c r="D3872" t="s">
        <v>4062</v>
      </c>
      <c r="E3872" t="s">
        <v>6067</v>
      </c>
      <c r="F3872" t="s">
        <v>63</v>
      </c>
      <c r="G3872">
        <v>4</v>
      </c>
      <c r="H3872" s="2">
        <v>6599.37</v>
      </c>
      <c r="I3872" s="2">
        <v>26397.48</v>
      </c>
    </row>
    <row r="3873" spans="1:9" x14ac:dyDescent="0.25">
      <c r="A3873" t="s">
        <v>2079</v>
      </c>
      <c r="B3873" t="s">
        <v>2080</v>
      </c>
      <c r="C3873" t="s">
        <v>63</v>
      </c>
      <c r="D3873" t="s">
        <v>4062</v>
      </c>
      <c r="E3873" t="s">
        <v>6044</v>
      </c>
      <c r="F3873" t="s">
        <v>63</v>
      </c>
      <c r="G3873">
        <v>1</v>
      </c>
      <c r="H3873" s="2">
        <v>511697.5</v>
      </c>
      <c r="I3873" s="2">
        <v>511697.5</v>
      </c>
    </row>
    <row r="3874" spans="1:9" x14ac:dyDescent="0.25">
      <c r="A3874" t="s">
        <v>2079</v>
      </c>
      <c r="B3874" t="s">
        <v>2080</v>
      </c>
      <c r="C3874" t="s">
        <v>63</v>
      </c>
      <c r="D3874" t="s">
        <v>4062</v>
      </c>
      <c r="E3874" t="s">
        <v>6045</v>
      </c>
      <c r="F3874" t="s">
        <v>63</v>
      </c>
      <c r="G3874">
        <v>1</v>
      </c>
      <c r="H3874" s="2">
        <v>83059</v>
      </c>
      <c r="I3874" s="2">
        <v>83059</v>
      </c>
    </row>
    <row r="3875" spans="1:9" x14ac:dyDescent="0.25">
      <c r="A3875" t="s">
        <v>2079</v>
      </c>
      <c r="B3875" t="s">
        <v>2080</v>
      </c>
      <c r="C3875" t="s">
        <v>63</v>
      </c>
      <c r="D3875" t="s">
        <v>4062</v>
      </c>
      <c r="E3875" t="s">
        <v>6112</v>
      </c>
      <c r="F3875" t="s">
        <v>63</v>
      </c>
      <c r="G3875">
        <v>1</v>
      </c>
      <c r="H3875" s="2">
        <v>312166.67</v>
      </c>
      <c r="I3875" s="2">
        <v>312166.67</v>
      </c>
    </row>
    <row r="3876" spans="1:9" x14ac:dyDescent="0.25">
      <c r="A3876" t="s">
        <v>2079</v>
      </c>
      <c r="B3876" t="s">
        <v>2080</v>
      </c>
      <c r="C3876" t="s">
        <v>63</v>
      </c>
      <c r="D3876" t="s">
        <v>4062</v>
      </c>
      <c r="E3876" t="s">
        <v>4884</v>
      </c>
      <c r="F3876" t="s">
        <v>4236</v>
      </c>
      <c r="G3876">
        <v>6</v>
      </c>
      <c r="H3876" s="2">
        <v>27010</v>
      </c>
      <c r="I3876" s="2">
        <v>162060</v>
      </c>
    </row>
    <row r="3877" spans="1:9" x14ac:dyDescent="0.25">
      <c r="A3877" t="s">
        <v>2082</v>
      </c>
      <c r="B3877" t="s">
        <v>2083</v>
      </c>
      <c r="C3877" t="s">
        <v>63</v>
      </c>
      <c r="D3877" t="s">
        <v>4062</v>
      </c>
      <c r="E3877" t="s">
        <v>4847</v>
      </c>
      <c r="F3877" t="s">
        <v>63</v>
      </c>
      <c r="G3877">
        <v>1</v>
      </c>
      <c r="H3877" s="2">
        <v>17700</v>
      </c>
      <c r="I3877" s="2">
        <v>17700</v>
      </c>
    </row>
    <row r="3878" spans="1:9" x14ac:dyDescent="0.25">
      <c r="A3878" t="s">
        <v>2082</v>
      </c>
      <c r="B3878" t="s">
        <v>2083</v>
      </c>
      <c r="C3878" t="s">
        <v>63</v>
      </c>
      <c r="D3878" t="s">
        <v>4062</v>
      </c>
      <c r="E3878" t="s">
        <v>4848</v>
      </c>
      <c r="F3878" t="s">
        <v>63</v>
      </c>
      <c r="G3878">
        <v>1</v>
      </c>
      <c r="H3878" s="2">
        <v>6561.5</v>
      </c>
      <c r="I3878" s="2">
        <v>6561.5</v>
      </c>
    </row>
    <row r="3879" spans="1:9" x14ac:dyDescent="0.25">
      <c r="A3879" t="s">
        <v>2082</v>
      </c>
      <c r="B3879" t="s">
        <v>2083</v>
      </c>
      <c r="C3879" t="s">
        <v>63</v>
      </c>
      <c r="D3879" t="s">
        <v>4062</v>
      </c>
      <c r="E3879" t="s">
        <v>4849</v>
      </c>
      <c r="F3879" t="s">
        <v>63</v>
      </c>
      <c r="G3879">
        <v>1</v>
      </c>
      <c r="H3879" s="2">
        <v>2298</v>
      </c>
      <c r="I3879" s="2">
        <v>2298</v>
      </c>
    </row>
    <row r="3880" spans="1:9" x14ac:dyDescent="0.25">
      <c r="A3880" t="s">
        <v>2082</v>
      </c>
      <c r="B3880" t="s">
        <v>2083</v>
      </c>
      <c r="C3880" t="s">
        <v>63</v>
      </c>
      <c r="D3880" t="s">
        <v>4062</v>
      </c>
      <c r="E3880" t="s">
        <v>4884</v>
      </c>
      <c r="F3880" t="s">
        <v>4236</v>
      </c>
      <c r="G3880">
        <v>0.53</v>
      </c>
      <c r="H3880" s="2">
        <v>27010</v>
      </c>
      <c r="I3880" s="2">
        <v>14315.3</v>
      </c>
    </row>
    <row r="3881" spans="1:9" x14ac:dyDescent="0.25">
      <c r="A3881" t="s">
        <v>2085</v>
      </c>
      <c r="B3881" t="s">
        <v>2086</v>
      </c>
      <c r="C3881" t="s">
        <v>63</v>
      </c>
      <c r="D3881" t="s">
        <v>4062</v>
      </c>
      <c r="E3881" t="s">
        <v>4897</v>
      </c>
      <c r="F3881" t="s">
        <v>63</v>
      </c>
      <c r="G3881">
        <v>1</v>
      </c>
      <c r="H3881" s="2">
        <v>10200</v>
      </c>
      <c r="I3881" s="2">
        <v>10200</v>
      </c>
    </row>
    <row r="3882" spans="1:9" x14ac:dyDescent="0.25">
      <c r="A3882" t="s">
        <v>2085</v>
      </c>
      <c r="B3882" t="s">
        <v>2086</v>
      </c>
      <c r="C3882" t="s">
        <v>63</v>
      </c>
      <c r="D3882" t="s">
        <v>4062</v>
      </c>
      <c r="E3882" t="s">
        <v>4849</v>
      </c>
      <c r="F3882" t="s">
        <v>63</v>
      </c>
      <c r="G3882">
        <v>1</v>
      </c>
      <c r="H3882" s="2">
        <v>2298</v>
      </c>
      <c r="I3882" s="2">
        <v>2298</v>
      </c>
    </row>
    <row r="3883" spans="1:9" x14ac:dyDescent="0.25">
      <c r="A3883" t="s">
        <v>2085</v>
      </c>
      <c r="B3883" t="s">
        <v>2086</v>
      </c>
      <c r="C3883" t="s">
        <v>63</v>
      </c>
      <c r="D3883" t="s">
        <v>4049</v>
      </c>
      <c r="E3883" t="s">
        <v>4241</v>
      </c>
      <c r="F3883" t="s">
        <v>4051</v>
      </c>
      <c r="G3883">
        <v>0.63</v>
      </c>
      <c r="H3883" s="2">
        <v>9941.22</v>
      </c>
      <c r="I3883" s="2">
        <v>6262.97</v>
      </c>
    </row>
    <row r="3884" spans="1:9" x14ac:dyDescent="0.25">
      <c r="A3884" t="s">
        <v>2085</v>
      </c>
      <c r="B3884" t="s">
        <v>2086</v>
      </c>
      <c r="C3884" t="s">
        <v>63</v>
      </c>
      <c r="D3884" t="s">
        <v>4049</v>
      </c>
      <c r="E3884" t="s">
        <v>4242</v>
      </c>
      <c r="F3884" t="s">
        <v>4051</v>
      </c>
      <c r="G3884">
        <v>0.63</v>
      </c>
      <c r="H3884" s="2">
        <v>17069.53</v>
      </c>
      <c r="I3884" s="2">
        <v>10753.8</v>
      </c>
    </row>
    <row r="3885" spans="1:9" x14ac:dyDescent="0.25">
      <c r="A3885" t="s">
        <v>2088</v>
      </c>
      <c r="B3885" t="s">
        <v>2089</v>
      </c>
      <c r="C3885" t="s">
        <v>42</v>
      </c>
      <c r="D3885" t="s">
        <v>4062</v>
      </c>
      <c r="E3885" t="s">
        <v>6119</v>
      </c>
      <c r="F3885" t="s">
        <v>63</v>
      </c>
      <c r="G3885">
        <v>1.25</v>
      </c>
      <c r="H3885" s="2">
        <v>70241.33</v>
      </c>
      <c r="I3885" s="2">
        <v>87801.66</v>
      </c>
    </row>
    <row r="3886" spans="1:9" x14ac:dyDescent="0.25">
      <c r="A3886" t="s">
        <v>2088</v>
      </c>
      <c r="B3886" t="s">
        <v>2089</v>
      </c>
      <c r="C3886" t="s">
        <v>42</v>
      </c>
      <c r="D3886" t="s">
        <v>4062</v>
      </c>
      <c r="E3886" t="s">
        <v>4884</v>
      </c>
      <c r="F3886" t="s">
        <v>4236</v>
      </c>
      <c r="G3886">
        <v>0.03</v>
      </c>
      <c r="H3886" s="2">
        <v>27010</v>
      </c>
      <c r="I3886" s="2">
        <v>810.3</v>
      </c>
    </row>
    <row r="3887" spans="1:9" x14ac:dyDescent="0.25">
      <c r="A3887" t="s">
        <v>2091</v>
      </c>
      <c r="B3887" t="s">
        <v>2092</v>
      </c>
      <c r="C3887" t="s">
        <v>42</v>
      </c>
      <c r="D3887" t="s">
        <v>4062</v>
      </c>
      <c r="E3887" t="s">
        <v>5993</v>
      </c>
      <c r="F3887" t="s">
        <v>63</v>
      </c>
      <c r="G3887">
        <v>1</v>
      </c>
      <c r="H3887" s="2">
        <v>365</v>
      </c>
      <c r="I3887" s="2">
        <v>365</v>
      </c>
    </row>
    <row r="3888" spans="1:9" x14ac:dyDescent="0.25">
      <c r="A3888" t="s">
        <v>2091</v>
      </c>
      <c r="B3888" t="s">
        <v>2092</v>
      </c>
      <c r="C3888" t="s">
        <v>42</v>
      </c>
      <c r="D3888" t="s">
        <v>4062</v>
      </c>
      <c r="E3888" t="s">
        <v>6122</v>
      </c>
      <c r="F3888" t="s">
        <v>42</v>
      </c>
      <c r="G3888">
        <v>1</v>
      </c>
      <c r="H3888" s="2">
        <v>2337.87</v>
      </c>
      <c r="I3888" s="2">
        <v>2337.87</v>
      </c>
    </row>
    <row r="3889" spans="1:9" x14ac:dyDescent="0.25">
      <c r="A3889" t="s">
        <v>2091</v>
      </c>
      <c r="B3889" t="s">
        <v>2092</v>
      </c>
      <c r="C3889" t="s">
        <v>42</v>
      </c>
      <c r="D3889" t="s">
        <v>4062</v>
      </c>
      <c r="E3889" t="s">
        <v>4884</v>
      </c>
      <c r="F3889" t="s">
        <v>4236</v>
      </c>
      <c r="G3889">
        <v>0.06</v>
      </c>
      <c r="H3889" s="2">
        <v>27010</v>
      </c>
      <c r="I3889" s="2">
        <v>1620.6</v>
      </c>
    </row>
    <row r="3890" spans="1:9" x14ac:dyDescent="0.25">
      <c r="A3890" t="s">
        <v>2094</v>
      </c>
      <c r="B3890" t="s">
        <v>2095</v>
      </c>
      <c r="C3890" t="s">
        <v>63</v>
      </c>
      <c r="D3890" t="s">
        <v>4062</v>
      </c>
      <c r="E3890" t="s">
        <v>6125</v>
      </c>
      <c r="F3890" t="s">
        <v>63</v>
      </c>
      <c r="G3890">
        <v>1</v>
      </c>
      <c r="H3890" s="2">
        <v>1125928.67</v>
      </c>
      <c r="I3890" s="2">
        <v>1125928.67</v>
      </c>
    </row>
    <row r="3891" spans="1:9" x14ac:dyDescent="0.25">
      <c r="A3891" t="s">
        <v>2094</v>
      </c>
      <c r="B3891" t="s">
        <v>2095</v>
      </c>
      <c r="C3891" t="s">
        <v>63</v>
      </c>
      <c r="D3891" t="s">
        <v>4062</v>
      </c>
      <c r="E3891" t="s">
        <v>4884</v>
      </c>
      <c r="F3891" t="s">
        <v>4236</v>
      </c>
      <c r="G3891">
        <v>6</v>
      </c>
      <c r="H3891" s="2">
        <v>27010</v>
      </c>
      <c r="I3891" s="2">
        <v>162060</v>
      </c>
    </row>
    <row r="3892" spans="1:9" x14ac:dyDescent="0.25">
      <c r="A3892" t="s">
        <v>2097</v>
      </c>
      <c r="B3892" t="s">
        <v>2099</v>
      </c>
      <c r="C3892" t="s">
        <v>42</v>
      </c>
      <c r="D3892" t="s">
        <v>4062</v>
      </c>
      <c r="E3892" t="s">
        <v>4527</v>
      </c>
      <c r="F3892" t="s">
        <v>63</v>
      </c>
      <c r="G3892">
        <v>6</v>
      </c>
      <c r="H3892" s="2">
        <v>573</v>
      </c>
      <c r="I3892" s="2">
        <v>3438</v>
      </c>
    </row>
    <row r="3893" spans="1:9" x14ac:dyDescent="0.25">
      <c r="A3893" t="s">
        <v>2097</v>
      </c>
      <c r="B3893" t="s">
        <v>2099</v>
      </c>
      <c r="C3893" t="s">
        <v>42</v>
      </c>
      <c r="D3893" t="s">
        <v>4062</v>
      </c>
      <c r="E3893" t="s">
        <v>6130</v>
      </c>
      <c r="F3893" t="s">
        <v>42</v>
      </c>
      <c r="G3893">
        <v>1</v>
      </c>
      <c r="H3893" s="2">
        <v>29446</v>
      </c>
      <c r="I3893" s="2">
        <v>29446</v>
      </c>
    </row>
    <row r="3894" spans="1:9" x14ac:dyDescent="0.25">
      <c r="A3894" t="s">
        <v>2097</v>
      </c>
      <c r="B3894" t="s">
        <v>2099</v>
      </c>
      <c r="C3894" t="s">
        <v>42</v>
      </c>
      <c r="D3894" t="s">
        <v>4062</v>
      </c>
      <c r="E3894" t="s">
        <v>6131</v>
      </c>
      <c r="F3894" t="s">
        <v>42</v>
      </c>
      <c r="G3894">
        <v>0.4</v>
      </c>
      <c r="H3894" s="2">
        <v>152015.12</v>
      </c>
      <c r="I3894" s="2">
        <v>60806.05</v>
      </c>
    </row>
    <row r="3895" spans="1:9" x14ac:dyDescent="0.25">
      <c r="A3895" t="s">
        <v>2097</v>
      </c>
      <c r="B3895" t="s">
        <v>2099</v>
      </c>
      <c r="C3895" t="s">
        <v>42</v>
      </c>
      <c r="D3895" t="s">
        <v>4062</v>
      </c>
      <c r="E3895" t="s">
        <v>4235</v>
      </c>
      <c r="F3895" t="s">
        <v>4236</v>
      </c>
      <c r="G3895">
        <v>0.3</v>
      </c>
      <c r="H3895" s="2">
        <v>27010.74</v>
      </c>
      <c r="I3895" s="2">
        <v>8103.22</v>
      </c>
    </row>
    <row r="3896" spans="1:9" x14ac:dyDescent="0.25">
      <c r="A3896" t="s">
        <v>2102</v>
      </c>
      <c r="B3896" t="s">
        <v>2104</v>
      </c>
      <c r="C3896" t="s">
        <v>287</v>
      </c>
      <c r="D3896" t="s">
        <v>4049</v>
      </c>
      <c r="E3896" t="s">
        <v>4050</v>
      </c>
      <c r="F3896" t="s">
        <v>4051</v>
      </c>
      <c r="G3896">
        <v>0.02</v>
      </c>
      <c r="H3896" s="2">
        <v>9037.33</v>
      </c>
      <c r="I3896" s="2">
        <v>150.92</v>
      </c>
    </row>
    <row r="3897" spans="1:9" x14ac:dyDescent="0.25">
      <c r="A3897" t="s">
        <v>2102</v>
      </c>
      <c r="B3897" t="s">
        <v>2104</v>
      </c>
      <c r="C3897" t="s">
        <v>287</v>
      </c>
      <c r="D3897" t="s">
        <v>4052</v>
      </c>
      <c r="E3897" t="s">
        <v>6136</v>
      </c>
      <c r="F3897" t="s">
        <v>287</v>
      </c>
      <c r="G3897">
        <v>1</v>
      </c>
      <c r="H3897" s="2">
        <v>9625.67</v>
      </c>
      <c r="I3897" s="2">
        <v>9625.67</v>
      </c>
    </row>
    <row r="3898" spans="1:9" x14ac:dyDescent="0.25">
      <c r="A3898" t="s">
        <v>2108</v>
      </c>
      <c r="B3898" t="s">
        <v>2109</v>
      </c>
      <c r="C3898" t="s">
        <v>21</v>
      </c>
      <c r="D3898" t="s">
        <v>4062</v>
      </c>
      <c r="E3898" t="s">
        <v>6139</v>
      </c>
      <c r="F3898" t="s">
        <v>63</v>
      </c>
      <c r="G3898">
        <v>0.14</v>
      </c>
      <c r="H3898" s="2">
        <v>27446</v>
      </c>
      <c r="I3898" s="2">
        <v>3842.44</v>
      </c>
    </row>
    <row r="3899" spans="1:9" x14ac:dyDescent="0.25">
      <c r="A3899" t="s">
        <v>2108</v>
      </c>
      <c r="B3899" t="s">
        <v>2109</v>
      </c>
      <c r="C3899" t="s">
        <v>21</v>
      </c>
      <c r="D3899" t="s">
        <v>4062</v>
      </c>
      <c r="E3899" t="s">
        <v>6140</v>
      </c>
      <c r="F3899" t="s">
        <v>42</v>
      </c>
      <c r="G3899">
        <v>0.04</v>
      </c>
      <c r="H3899" s="2">
        <v>13966.67</v>
      </c>
      <c r="I3899" s="2">
        <v>558.67</v>
      </c>
    </row>
    <row r="3900" spans="1:9" x14ac:dyDescent="0.25">
      <c r="A3900" t="s">
        <v>2108</v>
      </c>
      <c r="B3900" t="s">
        <v>2109</v>
      </c>
      <c r="C3900" t="s">
        <v>21</v>
      </c>
      <c r="D3900" t="s">
        <v>4062</v>
      </c>
      <c r="E3900" t="s">
        <v>5369</v>
      </c>
      <c r="F3900" t="s">
        <v>42</v>
      </c>
      <c r="G3900">
        <v>1</v>
      </c>
      <c r="H3900" s="2">
        <v>20969</v>
      </c>
      <c r="I3900" s="2">
        <v>20969</v>
      </c>
    </row>
    <row r="3901" spans="1:9" x14ac:dyDescent="0.25">
      <c r="A3901" t="s">
        <v>2108</v>
      </c>
      <c r="B3901" t="s">
        <v>2109</v>
      </c>
      <c r="C3901" t="s">
        <v>21</v>
      </c>
      <c r="D3901" t="s">
        <v>4062</v>
      </c>
      <c r="E3901" t="s">
        <v>4065</v>
      </c>
      <c r="F3901" t="s">
        <v>4066</v>
      </c>
      <c r="G3901">
        <v>0.04</v>
      </c>
      <c r="H3901" s="2">
        <v>3433</v>
      </c>
      <c r="I3901" s="2">
        <v>137.32</v>
      </c>
    </row>
    <row r="3902" spans="1:9" x14ac:dyDescent="0.25">
      <c r="A3902" t="s">
        <v>2108</v>
      </c>
      <c r="B3902" t="s">
        <v>2109</v>
      </c>
      <c r="C3902" t="s">
        <v>21</v>
      </c>
      <c r="D3902" t="s">
        <v>4049</v>
      </c>
      <c r="E3902" t="s">
        <v>4050</v>
      </c>
      <c r="F3902" t="s">
        <v>4051</v>
      </c>
      <c r="G3902">
        <v>0.3</v>
      </c>
      <c r="H3902" s="2">
        <v>9037.33</v>
      </c>
      <c r="I3902" s="2">
        <v>2711.2</v>
      </c>
    </row>
    <row r="3903" spans="1:9" x14ac:dyDescent="0.25">
      <c r="A3903" t="s">
        <v>2108</v>
      </c>
      <c r="B3903" t="s">
        <v>2109</v>
      </c>
      <c r="C3903" t="s">
        <v>21</v>
      </c>
      <c r="D3903" t="s">
        <v>4049</v>
      </c>
      <c r="E3903" t="s">
        <v>4073</v>
      </c>
      <c r="F3903" t="s">
        <v>4051</v>
      </c>
      <c r="G3903">
        <v>0.3</v>
      </c>
      <c r="H3903" s="2">
        <v>15517.89</v>
      </c>
      <c r="I3903" s="2">
        <v>4655.37</v>
      </c>
    </row>
    <row r="3904" spans="1:9" x14ac:dyDescent="0.25">
      <c r="A3904" t="s">
        <v>2108</v>
      </c>
      <c r="B3904" t="s">
        <v>2109</v>
      </c>
      <c r="C3904" t="s">
        <v>21</v>
      </c>
      <c r="D3904" t="s">
        <v>4052</v>
      </c>
      <c r="E3904" t="s">
        <v>4053</v>
      </c>
      <c r="F3904" t="s">
        <v>4054</v>
      </c>
      <c r="G3904">
        <v>5</v>
      </c>
      <c r="H3904" s="2">
        <v>7366.57</v>
      </c>
      <c r="I3904" s="2">
        <v>368.33</v>
      </c>
    </row>
    <row r="3905" spans="1:9" x14ac:dyDescent="0.25">
      <c r="A3905" t="s">
        <v>2111</v>
      </c>
      <c r="B3905" t="s">
        <v>2112</v>
      </c>
      <c r="C3905" t="s">
        <v>21</v>
      </c>
      <c r="D3905" t="s">
        <v>4062</v>
      </c>
      <c r="E3905" t="s">
        <v>6139</v>
      </c>
      <c r="F3905" t="s">
        <v>63</v>
      </c>
      <c r="G3905">
        <v>0.14</v>
      </c>
      <c r="H3905" s="2">
        <v>27446</v>
      </c>
      <c r="I3905" s="2">
        <v>3842.44</v>
      </c>
    </row>
    <row r="3906" spans="1:9" x14ac:dyDescent="0.25">
      <c r="A3906" t="s">
        <v>2111</v>
      </c>
      <c r="B3906" t="s">
        <v>2112</v>
      </c>
      <c r="C3906" t="s">
        <v>21</v>
      </c>
      <c r="D3906" t="s">
        <v>4062</v>
      </c>
      <c r="E3906" t="s">
        <v>6140</v>
      </c>
      <c r="F3906" t="s">
        <v>42</v>
      </c>
      <c r="G3906">
        <v>0.09</v>
      </c>
      <c r="H3906" s="2">
        <v>13966.67</v>
      </c>
      <c r="I3906" s="2">
        <v>1257</v>
      </c>
    </row>
    <row r="3907" spans="1:9" x14ac:dyDescent="0.25">
      <c r="A3907" t="s">
        <v>2111</v>
      </c>
      <c r="B3907" t="s">
        <v>2112</v>
      </c>
      <c r="C3907" t="s">
        <v>21</v>
      </c>
      <c r="D3907" t="s">
        <v>4062</v>
      </c>
      <c r="E3907" t="s">
        <v>5369</v>
      </c>
      <c r="F3907" t="s">
        <v>42</v>
      </c>
      <c r="G3907">
        <v>1.65</v>
      </c>
      <c r="H3907" s="2">
        <v>20969</v>
      </c>
      <c r="I3907" s="2">
        <v>34598.85</v>
      </c>
    </row>
    <row r="3908" spans="1:9" x14ac:dyDescent="0.25">
      <c r="A3908" t="s">
        <v>2111</v>
      </c>
      <c r="B3908" t="s">
        <v>2112</v>
      </c>
      <c r="C3908" t="s">
        <v>21</v>
      </c>
      <c r="D3908" t="s">
        <v>4062</v>
      </c>
      <c r="E3908" t="s">
        <v>4065</v>
      </c>
      <c r="F3908" t="s">
        <v>4066</v>
      </c>
      <c r="G3908">
        <v>0.09</v>
      </c>
      <c r="H3908" s="2">
        <v>3433</v>
      </c>
      <c r="I3908" s="2">
        <v>308.97</v>
      </c>
    </row>
    <row r="3909" spans="1:9" x14ac:dyDescent="0.25">
      <c r="A3909" t="s">
        <v>2111</v>
      </c>
      <c r="B3909" t="s">
        <v>2112</v>
      </c>
      <c r="C3909" t="s">
        <v>21</v>
      </c>
      <c r="D3909" t="s">
        <v>4049</v>
      </c>
      <c r="E3909" t="s">
        <v>4050</v>
      </c>
      <c r="F3909" t="s">
        <v>4051</v>
      </c>
      <c r="G3909">
        <v>0.73</v>
      </c>
      <c r="H3909" s="2">
        <v>9037.33</v>
      </c>
      <c r="I3909" s="2">
        <v>6597.25</v>
      </c>
    </row>
    <row r="3910" spans="1:9" x14ac:dyDescent="0.25">
      <c r="A3910" t="s">
        <v>2111</v>
      </c>
      <c r="B3910" t="s">
        <v>2112</v>
      </c>
      <c r="C3910" t="s">
        <v>21</v>
      </c>
      <c r="D3910" t="s">
        <v>4049</v>
      </c>
      <c r="E3910" t="s">
        <v>4073</v>
      </c>
      <c r="F3910" t="s">
        <v>4051</v>
      </c>
      <c r="G3910">
        <v>0.73</v>
      </c>
      <c r="H3910" s="2">
        <v>15517.89</v>
      </c>
      <c r="I3910" s="2">
        <v>11328.06</v>
      </c>
    </row>
    <row r="3911" spans="1:9" x14ac:dyDescent="0.25">
      <c r="A3911" t="s">
        <v>2111</v>
      </c>
      <c r="B3911" t="s">
        <v>2112</v>
      </c>
      <c r="C3911" t="s">
        <v>21</v>
      </c>
      <c r="D3911" t="s">
        <v>4052</v>
      </c>
      <c r="E3911" t="s">
        <v>4053</v>
      </c>
      <c r="F3911" t="s">
        <v>4054</v>
      </c>
      <c r="G3911">
        <v>5</v>
      </c>
      <c r="H3911" s="2">
        <v>17925.31</v>
      </c>
      <c r="I3911" s="2">
        <v>896.27</v>
      </c>
    </row>
    <row r="3912" spans="1:9" x14ac:dyDescent="0.25">
      <c r="A3912" t="s">
        <v>2114</v>
      </c>
      <c r="B3912" t="s">
        <v>2115</v>
      </c>
      <c r="C3912" t="s">
        <v>21</v>
      </c>
      <c r="D3912" t="s">
        <v>4062</v>
      </c>
      <c r="E3912" t="s">
        <v>4222</v>
      </c>
      <c r="F3912" t="s">
        <v>42</v>
      </c>
      <c r="G3912">
        <v>0.26</v>
      </c>
      <c r="H3912" s="2">
        <v>1803.55</v>
      </c>
      <c r="I3912" s="2">
        <v>468.92</v>
      </c>
    </row>
    <row r="3913" spans="1:9" x14ac:dyDescent="0.25">
      <c r="A3913" t="s">
        <v>2114</v>
      </c>
      <c r="B3913" t="s">
        <v>2115</v>
      </c>
      <c r="C3913" t="s">
        <v>21</v>
      </c>
      <c r="D3913" t="s">
        <v>4062</v>
      </c>
      <c r="E3913" t="s">
        <v>4072</v>
      </c>
      <c r="F3913" t="s">
        <v>4066</v>
      </c>
      <c r="G3913">
        <v>0.04</v>
      </c>
      <c r="H3913" s="2">
        <v>3150</v>
      </c>
      <c r="I3913" s="2">
        <v>126</v>
      </c>
    </row>
    <row r="3914" spans="1:9" x14ac:dyDescent="0.25">
      <c r="A3914" t="s">
        <v>2114</v>
      </c>
      <c r="B3914" t="s">
        <v>2115</v>
      </c>
      <c r="C3914" t="s">
        <v>21</v>
      </c>
      <c r="D3914" t="s">
        <v>4049</v>
      </c>
      <c r="E3914" t="s">
        <v>4050</v>
      </c>
      <c r="F3914" t="s">
        <v>4051</v>
      </c>
      <c r="G3914">
        <v>0.1</v>
      </c>
      <c r="H3914" s="2">
        <v>9037.33</v>
      </c>
      <c r="I3914" s="2">
        <v>903.73</v>
      </c>
    </row>
    <row r="3915" spans="1:9" x14ac:dyDescent="0.25">
      <c r="A3915" t="s">
        <v>2114</v>
      </c>
      <c r="B3915" t="s">
        <v>2115</v>
      </c>
      <c r="C3915" t="s">
        <v>21</v>
      </c>
      <c r="D3915" t="s">
        <v>4049</v>
      </c>
      <c r="E3915" t="s">
        <v>4223</v>
      </c>
      <c r="F3915" t="s">
        <v>4051</v>
      </c>
      <c r="G3915">
        <v>0.06</v>
      </c>
      <c r="H3915" s="2">
        <v>52807.59</v>
      </c>
      <c r="I3915" s="2">
        <v>3168.46</v>
      </c>
    </row>
    <row r="3916" spans="1:9" x14ac:dyDescent="0.25">
      <c r="A3916" t="s">
        <v>2114</v>
      </c>
      <c r="B3916" t="s">
        <v>2115</v>
      </c>
      <c r="C3916" t="s">
        <v>21</v>
      </c>
      <c r="D3916" t="s">
        <v>4049</v>
      </c>
      <c r="E3916" t="s">
        <v>4073</v>
      </c>
      <c r="F3916" t="s">
        <v>4051</v>
      </c>
      <c r="G3916">
        <v>0.1</v>
      </c>
      <c r="H3916" s="2">
        <v>15517.89</v>
      </c>
      <c r="I3916" s="2">
        <v>1551.79</v>
      </c>
    </row>
    <row r="3917" spans="1:9" x14ac:dyDescent="0.25">
      <c r="A3917" t="s">
        <v>2114</v>
      </c>
      <c r="B3917" t="s">
        <v>2115</v>
      </c>
      <c r="C3917" t="s">
        <v>21</v>
      </c>
      <c r="D3917" t="s">
        <v>4052</v>
      </c>
      <c r="E3917" t="s">
        <v>4053</v>
      </c>
      <c r="F3917" t="s">
        <v>4054</v>
      </c>
      <c r="G3917">
        <v>1.6</v>
      </c>
      <c r="H3917" s="2">
        <v>5623.98</v>
      </c>
      <c r="I3917" s="2">
        <v>89.98</v>
      </c>
    </row>
    <row r="3918" spans="1:9" x14ac:dyDescent="0.25">
      <c r="A3918" t="s">
        <v>2118</v>
      </c>
      <c r="B3918" t="s">
        <v>2119</v>
      </c>
      <c r="C3918" t="s">
        <v>42</v>
      </c>
      <c r="D3918" t="s">
        <v>4062</v>
      </c>
      <c r="E3918" t="s">
        <v>4222</v>
      </c>
      <c r="F3918" t="s">
        <v>42</v>
      </c>
      <c r="G3918">
        <v>0.15</v>
      </c>
      <c r="H3918" s="2">
        <v>1803.55</v>
      </c>
      <c r="I3918" s="2">
        <v>270.53</v>
      </c>
    </row>
    <row r="3919" spans="1:9" x14ac:dyDescent="0.25">
      <c r="A3919" t="s">
        <v>2118</v>
      </c>
      <c r="B3919" t="s">
        <v>2119</v>
      </c>
      <c r="C3919" t="s">
        <v>42</v>
      </c>
      <c r="D3919" t="s">
        <v>4062</v>
      </c>
      <c r="E3919" t="s">
        <v>5918</v>
      </c>
      <c r="F3919" t="s">
        <v>4377</v>
      </c>
      <c r="G3919">
        <v>0.01</v>
      </c>
      <c r="H3919" s="2">
        <v>50093</v>
      </c>
      <c r="I3919" s="2">
        <v>250.47</v>
      </c>
    </row>
    <row r="3920" spans="1:9" x14ac:dyDescent="0.25">
      <c r="A3920" t="s">
        <v>2118</v>
      </c>
      <c r="B3920" t="s">
        <v>2119</v>
      </c>
      <c r="C3920" t="s">
        <v>42</v>
      </c>
      <c r="D3920" t="s">
        <v>4062</v>
      </c>
      <c r="E3920" t="s">
        <v>4072</v>
      </c>
      <c r="F3920" t="s">
        <v>4066</v>
      </c>
      <c r="G3920">
        <v>0.02</v>
      </c>
      <c r="H3920" s="2">
        <v>3150</v>
      </c>
      <c r="I3920" s="2">
        <v>47.25</v>
      </c>
    </row>
    <row r="3921" spans="1:9" x14ac:dyDescent="0.25">
      <c r="A3921" t="s">
        <v>2118</v>
      </c>
      <c r="B3921" t="s">
        <v>2119</v>
      </c>
      <c r="C3921" t="s">
        <v>42</v>
      </c>
      <c r="D3921" t="s">
        <v>4049</v>
      </c>
      <c r="E3921" t="s">
        <v>4223</v>
      </c>
      <c r="F3921" t="s">
        <v>4051</v>
      </c>
      <c r="G3921">
        <v>0</v>
      </c>
      <c r="H3921" s="2">
        <v>52807.59</v>
      </c>
      <c r="I3921" s="2">
        <v>211.23</v>
      </c>
    </row>
    <row r="3922" spans="1:9" x14ac:dyDescent="0.25">
      <c r="A3922" t="s">
        <v>2118</v>
      </c>
      <c r="B3922" t="s">
        <v>2119</v>
      </c>
      <c r="C3922" t="s">
        <v>42</v>
      </c>
      <c r="D3922" t="s">
        <v>4052</v>
      </c>
      <c r="E3922" t="s">
        <v>4053</v>
      </c>
      <c r="F3922" t="s">
        <v>4054</v>
      </c>
      <c r="G3922">
        <v>10</v>
      </c>
      <c r="H3922" s="2">
        <v>211.23</v>
      </c>
      <c r="I3922" s="2">
        <v>21.12</v>
      </c>
    </row>
    <row r="3923" spans="1:9" x14ac:dyDescent="0.25">
      <c r="A3923" t="s">
        <v>2121</v>
      </c>
      <c r="B3923" t="s">
        <v>2122</v>
      </c>
      <c r="C3923" t="s">
        <v>34</v>
      </c>
      <c r="D3923" t="s">
        <v>4062</v>
      </c>
      <c r="E3923" t="s">
        <v>4492</v>
      </c>
      <c r="F3923" t="s">
        <v>34</v>
      </c>
      <c r="G3923">
        <v>1.3</v>
      </c>
      <c r="H3923" s="2">
        <v>68425</v>
      </c>
      <c r="I3923" s="2">
        <v>88952.5</v>
      </c>
    </row>
    <row r="3924" spans="1:9" x14ac:dyDescent="0.25">
      <c r="A3924" t="s">
        <v>2121</v>
      </c>
      <c r="B3924" t="s">
        <v>2122</v>
      </c>
      <c r="C3924" t="s">
        <v>34</v>
      </c>
      <c r="D3924" t="s">
        <v>4049</v>
      </c>
      <c r="E3924" t="s">
        <v>4050</v>
      </c>
      <c r="F3924" t="s">
        <v>4051</v>
      </c>
      <c r="G3924">
        <v>0.7</v>
      </c>
      <c r="H3924" s="2">
        <v>9037.33</v>
      </c>
      <c r="I3924" s="2">
        <v>6326.13</v>
      </c>
    </row>
    <row r="3925" spans="1:9" x14ac:dyDescent="0.25">
      <c r="A3925" t="s">
        <v>2121</v>
      </c>
      <c r="B3925" t="s">
        <v>2122</v>
      </c>
      <c r="C3925" t="s">
        <v>34</v>
      </c>
      <c r="D3925" t="s">
        <v>4049</v>
      </c>
      <c r="E3925" t="s">
        <v>4073</v>
      </c>
      <c r="F3925" t="s">
        <v>4051</v>
      </c>
      <c r="G3925">
        <v>0.35</v>
      </c>
      <c r="H3925" s="2">
        <v>15517.89</v>
      </c>
      <c r="I3925" s="2">
        <v>5431.26</v>
      </c>
    </row>
    <row r="3926" spans="1:9" x14ac:dyDescent="0.25">
      <c r="A3926" t="s">
        <v>2121</v>
      </c>
      <c r="B3926" t="s">
        <v>2122</v>
      </c>
      <c r="C3926" t="s">
        <v>34</v>
      </c>
      <c r="D3926" t="s">
        <v>4052</v>
      </c>
      <c r="E3926" t="s">
        <v>6149</v>
      </c>
      <c r="F3926" t="s">
        <v>287</v>
      </c>
      <c r="G3926">
        <v>0.05</v>
      </c>
      <c r="H3926" s="2">
        <v>90261</v>
      </c>
      <c r="I3926" s="2">
        <v>4513.05</v>
      </c>
    </row>
    <row r="3927" spans="1:9" x14ac:dyDescent="0.25">
      <c r="A3927" t="s">
        <v>2121</v>
      </c>
      <c r="B3927" t="s">
        <v>2122</v>
      </c>
      <c r="C3927" t="s">
        <v>34</v>
      </c>
      <c r="D3927" t="s">
        <v>4052</v>
      </c>
      <c r="E3927" t="s">
        <v>4342</v>
      </c>
      <c r="F3927" t="s">
        <v>4106</v>
      </c>
      <c r="G3927">
        <v>0.13</v>
      </c>
      <c r="H3927" s="2">
        <v>66666.67</v>
      </c>
      <c r="I3927" s="2">
        <v>8333.33</v>
      </c>
    </row>
    <row r="3928" spans="1:9" x14ac:dyDescent="0.25">
      <c r="A3928" t="s">
        <v>2121</v>
      </c>
      <c r="B3928" t="s">
        <v>2122</v>
      </c>
      <c r="C3928" t="s">
        <v>34</v>
      </c>
      <c r="D3928" t="s">
        <v>4052</v>
      </c>
      <c r="E3928" t="s">
        <v>4053</v>
      </c>
      <c r="F3928" t="s">
        <v>4054</v>
      </c>
      <c r="G3928">
        <v>5</v>
      </c>
      <c r="H3928" s="2">
        <v>11757.39</v>
      </c>
      <c r="I3928" s="2">
        <v>587.87</v>
      </c>
    </row>
    <row r="3929" spans="1:9" x14ac:dyDescent="0.25">
      <c r="A3929" t="s">
        <v>2125</v>
      </c>
      <c r="B3929" t="s">
        <v>2126</v>
      </c>
      <c r="C3929" t="s">
        <v>34</v>
      </c>
      <c r="D3929" t="s">
        <v>4062</v>
      </c>
      <c r="E3929" t="s">
        <v>4474</v>
      </c>
      <c r="F3929" t="s">
        <v>34</v>
      </c>
      <c r="G3929">
        <v>1.1</v>
      </c>
      <c r="H3929" s="2">
        <v>114500</v>
      </c>
      <c r="I3929" s="2">
        <v>125950</v>
      </c>
    </row>
    <row r="3930" spans="1:9" x14ac:dyDescent="0.25">
      <c r="A3930" t="s">
        <v>2125</v>
      </c>
      <c r="B3930" t="s">
        <v>2126</v>
      </c>
      <c r="C3930" t="s">
        <v>34</v>
      </c>
      <c r="D3930" t="s">
        <v>4049</v>
      </c>
      <c r="E3930" t="s">
        <v>4050</v>
      </c>
      <c r="F3930" t="s">
        <v>4051</v>
      </c>
      <c r="G3930">
        <v>0.7</v>
      </c>
      <c r="H3930" s="2">
        <v>9037.33</v>
      </c>
      <c r="I3930" s="2">
        <v>6326.13</v>
      </c>
    </row>
    <row r="3931" spans="1:9" x14ac:dyDescent="0.25">
      <c r="A3931" t="s">
        <v>2125</v>
      </c>
      <c r="B3931" t="s">
        <v>2126</v>
      </c>
      <c r="C3931" t="s">
        <v>34</v>
      </c>
      <c r="D3931" t="s">
        <v>4049</v>
      </c>
      <c r="E3931" t="s">
        <v>4073</v>
      </c>
      <c r="F3931" t="s">
        <v>4051</v>
      </c>
      <c r="G3931">
        <v>0.35</v>
      </c>
      <c r="H3931" s="2">
        <v>15517.89</v>
      </c>
      <c r="I3931" s="2">
        <v>5431.26</v>
      </c>
    </row>
    <row r="3932" spans="1:9" x14ac:dyDescent="0.25">
      <c r="A3932" t="s">
        <v>2125</v>
      </c>
      <c r="B3932" t="s">
        <v>2126</v>
      </c>
      <c r="C3932" t="s">
        <v>34</v>
      </c>
      <c r="D3932" t="s">
        <v>4052</v>
      </c>
      <c r="E3932" t="s">
        <v>4342</v>
      </c>
      <c r="F3932" t="s">
        <v>4106</v>
      </c>
      <c r="G3932">
        <v>0.04</v>
      </c>
      <c r="H3932" s="2">
        <v>66666.67</v>
      </c>
      <c r="I3932" s="2">
        <v>2666.67</v>
      </c>
    </row>
    <row r="3933" spans="1:9" x14ac:dyDescent="0.25">
      <c r="A3933" t="s">
        <v>2125</v>
      </c>
      <c r="B3933" t="s">
        <v>2126</v>
      </c>
      <c r="C3933" t="s">
        <v>34</v>
      </c>
      <c r="D3933" t="s">
        <v>4052</v>
      </c>
      <c r="E3933" t="s">
        <v>4053</v>
      </c>
      <c r="F3933" t="s">
        <v>4054</v>
      </c>
      <c r="G3933">
        <v>5</v>
      </c>
      <c r="H3933" s="2">
        <v>11757.39</v>
      </c>
      <c r="I3933" s="2">
        <v>587.87</v>
      </c>
    </row>
    <row r="3934" spans="1:9" x14ac:dyDescent="0.25">
      <c r="A3934" t="s">
        <v>2128</v>
      </c>
      <c r="B3934" t="s">
        <v>2129</v>
      </c>
      <c r="C3934" t="s">
        <v>34</v>
      </c>
      <c r="D3934" t="s">
        <v>4062</v>
      </c>
      <c r="E3934" t="s">
        <v>6154</v>
      </c>
      <c r="F3934" t="s">
        <v>34</v>
      </c>
      <c r="G3934">
        <v>1.3</v>
      </c>
      <c r="H3934" s="2">
        <v>58706.67</v>
      </c>
      <c r="I3934" s="2">
        <v>76318.67</v>
      </c>
    </row>
    <row r="3935" spans="1:9" x14ac:dyDescent="0.25">
      <c r="A3935" t="s">
        <v>2128</v>
      </c>
      <c r="B3935" t="s">
        <v>2129</v>
      </c>
      <c r="C3935" t="s">
        <v>34</v>
      </c>
      <c r="D3935" t="s">
        <v>4049</v>
      </c>
      <c r="E3935" t="s">
        <v>4050</v>
      </c>
      <c r="F3935" t="s">
        <v>4051</v>
      </c>
      <c r="G3935">
        <v>0.5</v>
      </c>
      <c r="H3935" s="2">
        <v>9037.33</v>
      </c>
      <c r="I3935" s="2">
        <v>4518.66</v>
      </c>
    </row>
    <row r="3936" spans="1:9" x14ac:dyDescent="0.25">
      <c r="A3936" t="s">
        <v>2128</v>
      </c>
      <c r="B3936" t="s">
        <v>2129</v>
      </c>
      <c r="C3936" t="s">
        <v>34</v>
      </c>
      <c r="D3936" t="s">
        <v>4049</v>
      </c>
      <c r="E3936" t="s">
        <v>4073</v>
      </c>
      <c r="F3936" t="s">
        <v>4051</v>
      </c>
      <c r="G3936">
        <v>0.5</v>
      </c>
      <c r="H3936" s="2">
        <v>15517.89</v>
      </c>
      <c r="I3936" s="2">
        <v>7758.94</v>
      </c>
    </row>
    <row r="3937" spans="1:9" x14ac:dyDescent="0.25">
      <c r="A3937" t="s">
        <v>2128</v>
      </c>
      <c r="B3937" t="s">
        <v>2129</v>
      </c>
      <c r="C3937" t="s">
        <v>34</v>
      </c>
      <c r="D3937" t="s">
        <v>4052</v>
      </c>
      <c r="E3937" t="s">
        <v>4077</v>
      </c>
      <c r="F3937" t="s">
        <v>287</v>
      </c>
      <c r="G3937">
        <v>0.07</v>
      </c>
      <c r="H3937" s="2">
        <v>74712.95</v>
      </c>
      <c r="I3937" s="2">
        <v>5229.91</v>
      </c>
    </row>
    <row r="3938" spans="1:9" x14ac:dyDescent="0.25">
      <c r="A3938" t="s">
        <v>2128</v>
      </c>
      <c r="B3938" t="s">
        <v>2129</v>
      </c>
      <c r="C3938" t="s">
        <v>34</v>
      </c>
      <c r="D3938" t="s">
        <v>4052</v>
      </c>
      <c r="E3938" t="s">
        <v>4342</v>
      </c>
      <c r="F3938" t="s">
        <v>287</v>
      </c>
      <c r="G3938">
        <v>0.5</v>
      </c>
      <c r="H3938" s="2">
        <v>8333.33</v>
      </c>
      <c r="I3938" s="2">
        <v>4166.66</v>
      </c>
    </row>
    <row r="3939" spans="1:9" x14ac:dyDescent="0.25">
      <c r="A3939" t="s">
        <v>2128</v>
      </c>
      <c r="B3939" t="s">
        <v>2129</v>
      </c>
      <c r="C3939" t="s">
        <v>34</v>
      </c>
      <c r="D3939" t="s">
        <v>4052</v>
      </c>
      <c r="E3939" t="s">
        <v>4053</v>
      </c>
      <c r="F3939" t="s">
        <v>4054</v>
      </c>
      <c r="G3939">
        <v>5</v>
      </c>
      <c r="H3939" s="2">
        <v>12277.6</v>
      </c>
      <c r="I3939" s="2">
        <v>613.88</v>
      </c>
    </row>
    <row r="3940" spans="1:9" x14ac:dyDescent="0.25">
      <c r="A3940" t="s">
        <v>2131</v>
      </c>
      <c r="B3940" t="s">
        <v>2132</v>
      </c>
      <c r="C3940" t="s">
        <v>34</v>
      </c>
      <c r="D3940" t="s">
        <v>4049</v>
      </c>
      <c r="E3940" t="s">
        <v>4176</v>
      </c>
      <c r="F3940" t="s">
        <v>4177</v>
      </c>
      <c r="G3940">
        <v>0.2</v>
      </c>
      <c r="H3940" s="2">
        <v>72300.17</v>
      </c>
      <c r="I3940" s="2">
        <v>14460.03</v>
      </c>
    </row>
    <row r="3941" spans="1:9" x14ac:dyDescent="0.25">
      <c r="A3941" t="s">
        <v>2131</v>
      </c>
      <c r="B3941" t="s">
        <v>2132</v>
      </c>
      <c r="C3941" t="s">
        <v>34</v>
      </c>
      <c r="D3941" t="s">
        <v>4049</v>
      </c>
      <c r="E3941" t="s">
        <v>4313</v>
      </c>
      <c r="F3941" t="s">
        <v>4177</v>
      </c>
      <c r="G3941">
        <v>0.07</v>
      </c>
      <c r="H3941" s="2">
        <v>124137.15</v>
      </c>
      <c r="I3941" s="2">
        <v>8279.95</v>
      </c>
    </row>
    <row r="3942" spans="1:9" x14ac:dyDescent="0.25">
      <c r="A3942" t="s">
        <v>2131</v>
      </c>
      <c r="B3942" t="s">
        <v>2132</v>
      </c>
      <c r="C3942" t="s">
        <v>34</v>
      </c>
      <c r="D3942" t="s">
        <v>4052</v>
      </c>
      <c r="E3942" t="s">
        <v>6157</v>
      </c>
      <c r="F3942" t="s">
        <v>287</v>
      </c>
      <c r="G3942">
        <v>0.07</v>
      </c>
      <c r="H3942" s="2">
        <v>59791.06</v>
      </c>
      <c r="I3942" s="2">
        <v>3986.27</v>
      </c>
    </row>
    <row r="3943" spans="1:9" x14ac:dyDescent="0.25">
      <c r="A3943" t="s">
        <v>2131</v>
      </c>
      <c r="B3943" t="s">
        <v>2132</v>
      </c>
      <c r="C3943" t="s">
        <v>34</v>
      </c>
      <c r="D3943" t="s">
        <v>4052</v>
      </c>
      <c r="E3943" t="s">
        <v>4053</v>
      </c>
      <c r="F3943" t="s">
        <v>4054</v>
      </c>
      <c r="G3943">
        <v>1.5</v>
      </c>
      <c r="H3943" s="2">
        <v>22739.98</v>
      </c>
      <c r="I3943" s="2">
        <v>341.1</v>
      </c>
    </row>
    <row r="3944" spans="1:9" x14ac:dyDescent="0.25">
      <c r="A3944" t="s">
        <v>2134</v>
      </c>
      <c r="B3944" t="s">
        <v>2135</v>
      </c>
      <c r="C3944" t="s">
        <v>34</v>
      </c>
      <c r="D3944" t="s">
        <v>4062</v>
      </c>
      <c r="E3944" t="s">
        <v>5219</v>
      </c>
      <c r="F3944" t="s">
        <v>34</v>
      </c>
      <c r="G3944">
        <v>1.2</v>
      </c>
      <c r="H3944" s="2">
        <v>92880</v>
      </c>
      <c r="I3944" s="2">
        <v>111456</v>
      </c>
    </row>
    <row r="3945" spans="1:9" x14ac:dyDescent="0.25">
      <c r="A3945" t="s">
        <v>2134</v>
      </c>
      <c r="B3945" t="s">
        <v>2135</v>
      </c>
      <c r="C3945" t="s">
        <v>34</v>
      </c>
      <c r="D3945" t="s">
        <v>4049</v>
      </c>
      <c r="E3945" t="s">
        <v>4050</v>
      </c>
      <c r="F3945" t="s">
        <v>4051</v>
      </c>
      <c r="G3945">
        <v>0.6</v>
      </c>
      <c r="H3945" s="2">
        <v>9037.33</v>
      </c>
      <c r="I3945" s="2">
        <v>5422.4</v>
      </c>
    </row>
    <row r="3946" spans="1:9" x14ac:dyDescent="0.25">
      <c r="A3946" t="s">
        <v>2134</v>
      </c>
      <c r="B3946" t="s">
        <v>2135</v>
      </c>
      <c r="C3946" t="s">
        <v>34</v>
      </c>
      <c r="D3946" t="s">
        <v>4049</v>
      </c>
      <c r="E3946" t="s">
        <v>4073</v>
      </c>
      <c r="F3946" t="s">
        <v>4051</v>
      </c>
      <c r="G3946">
        <v>0.6</v>
      </c>
      <c r="H3946" s="2">
        <v>15517.89</v>
      </c>
      <c r="I3946" s="2">
        <v>9310.73</v>
      </c>
    </row>
    <row r="3947" spans="1:9" x14ac:dyDescent="0.25">
      <c r="A3947" t="s">
        <v>2134</v>
      </c>
      <c r="B3947" t="s">
        <v>2135</v>
      </c>
      <c r="C3947" t="s">
        <v>34</v>
      </c>
      <c r="D3947" t="s">
        <v>4052</v>
      </c>
      <c r="E3947" t="s">
        <v>4342</v>
      </c>
      <c r="F3947" t="s">
        <v>287</v>
      </c>
      <c r="G3947">
        <v>0.32</v>
      </c>
      <c r="H3947" s="2">
        <v>8333.33</v>
      </c>
      <c r="I3947" s="2">
        <v>2666.67</v>
      </c>
    </row>
    <row r="3948" spans="1:9" x14ac:dyDescent="0.25">
      <c r="A3948" t="s">
        <v>2134</v>
      </c>
      <c r="B3948" t="s">
        <v>2135</v>
      </c>
      <c r="C3948" t="s">
        <v>34</v>
      </c>
      <c r="D3948" t="s">
        <v>4052</v>
      </c>
      <c r="E3948" t="s">
        <v>4053</v>
      </c>
      <c r="F3948" t="s">
        <v>4054</v>
      </c>
      <c r="G3948">
        <v>5</v>
      </c>
      <c r="H3948" s="2">
        <v>14733.13</v>
      </c>
      <c r="I3948" s="2">
        <v>736.66</v>
      </c>
    </row>
    <row r="3949" spans="1:9" x14ac:dyDescent="0.25">
      <c r="A3949" t="s">
        <v>2137</v>
      </c>
      <c r="B3949" t="s">
        <v>2138</v>
      </c>
      <c r="C3949" t="s">
        <v>34</v>
      </c>
      <c r="D3949" t="s">
        <v>4062</v>
      </c>
      <c r="E3949" t="s">
        <v>6162</v>
      </c>
      <c r="F3949" t="s">
        <v>34</v>
      </c>
      <c r="G3949">
        <v>1.3</v>
      </c>
      <c r="H3949" s="2">
        <v>42113.33</v>
      </c>
      <c r="I3949" s="2">
        <v>54747.33</v>
      </c>
    </row>
    <row r="3950" spans="1:9" x14ac:dyDescent="0.25">
      <c r="A3950" t="s">
        <v>2137</v>
      </c>
      <c r="B3950" t="s">
        <v>2138</v>
      </c>
      <c r="C3950" t="s">
        <v>34</v>
      </c>
      <c r="D3950" t="s">
        <v>4049</v>
      </c>
      <c r="E3950" t="s">
        <v>4050</v>
      </c>
      <c r="F3950" t="s">
        <v>4051</v>
      </c>
      <c r="G3950">
        <v>0.5</v>
      </c>
      <c r="H3950" s="2">
        <v>9037.33</v>
      </c>
      <c r="I3950" s="2">
        <v>4518.66</v>
      </c>
    </row>
    <row r="3951" spans="1:9" x14ac:dyDescent="0.25">
      <c r="A3951" t="s">
        <v>2137</v>
      </c>
      <c r="B3951" t="s">
        <v>2138</v>
      </c>
      <c r="C3951" t="s">
        <v>34</v>
      </c>
      <c r="D3951" t="s">
        <v>4049</v>
      </c>
      <c r="E3951" t="s">
        <v>4073</v>
      </c>
      <c r="F3951" t="s">
        <v>4051</v>
      </c>
      <c r="G3951">
        <v>0.5</v>
      </c>
      <c r="H3951" s="2">
        <v>15517.89</v>
      </c>
      <c r="I3951" s="2">
        <v>7758.94</v>
      </c>
    </row>
    <row r="3952" spans="1:9" x14ac:dyDescent="0.25">
      <c r="A3952" t="s">
        <v>2137</v>
      </c>
      <c r="B3952" t="s">
        <v>2138</v>
      </c>
      <c r="C3952" t="s">
        <v>34</v>
      </c>
      <c r="D3952" t="s">
        <v>4052</v>
      </c>
      <c r="E3952" t="s">
        <v>4077</v>
      </c>
      <c r="F3952" t="s">
        <v>287</v>
      </c>
      <c r="G3952">
        <v>0.03</v>
      </c>
      <c r="H3952" s="2">
        <v>74712.95</v>
      </c>
      <c r="I3952" s="2">
        <v>2465.53</v>
      </c>
    </row>
    <row r="3953" spans="1:9" x14ac:dyDescent="0.25">
      <c r="A3953" t="s">
        <v>2137</v>
      </c>
      <c r="B3953" t="s">
        <v>2138</v>
      </c>
      <c r="C3953" t="s">
        <v>34</v>
      </c>
      <c r="D3953" t="s">
        <v>4052</v>
      </c>
      <c r="E3953" t="s">
        <v>4078</v>
      </c>
      <c r="F3953" t="s">
        <v>287</v>
      </c>
      <c r="G3953">
        <v>0.03</v>
      </c>
      <c r="H3953" s="2">
        <v>157100</v>
      </c>
      <c r="I3953" s="2">
        <v>5184.3</v>
      </c>
    </row>
    <row r="3954" spans="1:9" x14ac:dyDescent="0.25">
      <c r="A3954" t="s">
        <v>2137</v>
      </c>
      <c r="B3954" t="s">
        <v>2138</v>
      </c>
      <c r="C3954" t="s">
        <v>34</v>
      </c>
      <c r="D3954" t="s">
        <v>4052</v>
      </c>
      <c r="E3954" t="s">
        <v>4342</v>
      </c>
      <c r="F3954" t="s">
        <v>287</v>
      </c>
      <c r="G3954">
        <v>0.5</v>
      </c>
      <c r="H3954" s="2">
        <v>8333.33</v>
      </c>
      <c r="I3954" s="2">
        <v>4166.66</v>
      </c>
    </row>
    <row r="3955" spans="1:9" x14ac:dyDescent="0.25">
      <c r="A3955" t="s">
        <v>2137</v>
      </c>
      <c r="B3955" t="s">
        <v>2138</v>
      </c>
      <c r="C3955" t="s">
        <v>34</v>
      </c>
      <c r="D3955" t="s">
        <v>4052</v>
      </c>
      <c r="E3955" t="s">
        <v>4053</v>
      </c>
      <c r="F3955" t="s">
        <v>4054</v>
      </c>
      <c r="G3955">
        <v>5</v>
      </c>
      <c r="H3955" s="2">
        <v>12277.6</v>
      </c>
      <c r="I3955" s="2">
        <v>613.88</v>
      </c>
    </row>
    <row r="3956" spans="1:9" x14ac:dyDescent="0.25">
      <c r="A3956" t="s">
        <v>2140</v>
      </c>
      <c r="B3956" t="s">
        <v>2141</v>
      </c>
      <c r="C3956" t="s">
        <v>42</v>
      </c>
      <c r="D3956" t="s">
        <v>4062</v>
      </c>
      <c r="E3956" t="s">
        <v>6165</v>
      </c>
      <c r="F3956" t="s">
        <v>42</v>
      </c>
      <c r="G3956">
        <v>1.05</v>
      </c>
      <c r="H3956" s="2">
        <v>19224</v>
      </c>
      <c r="I3956" s="2">
        <v>20185.2</v>
      </c>
    </row>
    <row r="3957" spans="1:9" x14ac:dyDescent="0.25">
      <c r="A3957" t="s">
        <v>2140</v>
      </c>
      <c r="B3957" t="s">
        <v>2141</v>
      </c>
      <c r="C3957" t="s">
        <v>42</v>
      </c>
      <c r="D3957" t="s">
        <v>4062</v>
      </c>
      <c r="E3957" t="s">
        <v>6166</v>
      </c>
      <c r="F3957" t="s">
        <v>63</v>
      </c>
      <c r="G3957">
        <v>0.03</v>
      </c>
      <c r="H3957" s="2">
        <v>19750</v>
      </c>
      <c r="I3957" s="2">
        <v>493.75</v>
      </c>
    </row>
    <row r="3958" spans="1:9" x14ac:dyDescent="0.25">
      <c r="A3958" t="s">
        <v>2140</v>
      </c>
      <c r="B3958" t="s">
        <v>2141</v>
      </c>
      <c r="C3958" t="s">
        <v>42</v>
      </c>
      <c r="D3958" t="s">
        <v>4049</v>
      </c>
      <c r="E3958" t="s">
        <v>4241</v>
      </c>
      <c r="F3958" t="s">
        <v>4051</v>
      </c>
      <c r="G3958">
        <v>0.25</v>
      </c>
      <c r="H3958" s="2">
        <v>9941.22</v>
      </c>
      <c r="I3958" s="2">
        <v>2485.3</v>
      </c>
    </row>
    <row r="3959" spans="1:9" x14ac:dyDescent="0.25">
      <c r="A3959" t="s">
        <v>2140</v>
      </c>
      <c r="B3959" t="s">
        <v>2141</v>
      </c>
      <c r="C3959" t="s">
        <v>42</v>
      </c>
      <c r="D3959" t="s">
        <v>4049</v>
      </c>
      <c r="E3959" t="s">
        <v>4242</v>
      </c>
      <c r="F3959" t="s">
        <v>4051</v>
      </c>
      <c r="G3959">
        <v>0.25</v>
      </c>
      <c r="H3959" s="2">
        <v>17069.53</v>
      </c>
      <c r="I3959" s="2">
        <v>4267.38</v>
      </c>
    </row>
    <row r="3960" spans="1:9" x14ac:dyDescent="0.25">
      <c r="A3960" t="s">
        <v>2140</v>
      </c>
      <c r="B3960" t="s">
        <v>2141</v>
      </c>
      <c r="C3960" t="s">
        <v>42</v>
      </c>
      <c r="D3960" t="s">
        <v>4052</v>
      </c>
      <c r="E3960" t="s">
        <v>4053</v>
      </c>
      <c r="F3960" t="s">
        <v>4054</v>
      </c>
      <c r="G3960">
        <v>3.5</v>
      </c>
      <c r="H3960" s="2">
        <v>6752.68</v>
      </c>
      <c r="I3960" s="2">
        <v>236.34</v>
      </c>
    </row>
    <row r="3961" spans="1:9" x14ac:dyDescent="0.25">
      <c r="A3961" t="s">
        <v>2144</v>
      </c>
      <c r="B3961" t="s">
        <v>2145</v>
      </c>
      <c r="C3961" t="s">
        <v>42</v>
      </c>
      <c r="D3961" t="s">
        <v>4062</v>
      </c>
      <c r="E3961" t="s">
        <v>6169</v>
      </c>
      <c r="F3961" t="s">
        <v>42</v>
      </c>
      <c r="G3961">
        <v>1.05</v>
      </c>
      <c r="H3961" s="2">
        <v>30658</v>
      </c>
      <c r="I3961" s="2">
        <v>32190.9</v>
      </c>
    </row>
    <row r="3962" spans="1:9" x14ac:dyDescent="0.25">
      <c r="A3962" t="s">
        <v>2144</v>
      </c>
      <c r="B3962" t="s">
        <v>2145</v>
      </c>
      <c r="C3962" t="s">
        <v>42</v>
      </c>
      <c r="D3962" t="s">
        <v>4062</v>
      </c>
      <c r="E3962" t="s">
        <v>6166</v>
      </c>
      <c r="F3962" t="s">
        <v>63</v>
      </c>
      <c r="G3962">
        <v>0.03</v>
      </c>
      <c r="H3962" s="2">
        <v>19750</v>
      </c>
      <c r="I3962" s="2">
        <v>493.75</v>
      </c>
    </row>
    <row r="3963" spans="1:9" x14ac:dyDescent="0.25">
      <c r="A3963" t="s">
        <v>2144</v>
      </c>
      <c r="B3963" t="s">
        <v>2145</v>
      </c>
      <c r="C3963" t="s">
        <v>42</v>
      </c>
      <c r="D3963" t="s">
        <v>4049</v>
      </c>
      <c r="E3963" t="s">
        <v>4241</v>
      </c>
      <c r="F3963" t="s">
        <v>4051</v>
      </c>
      <c r="G3963">
        <v>0.25</v>
      </c>
      <c r="H3963" s="2">
        <v>9941.22</v>
      </c>
      <c r="I3963" s="2">
        <v>2485.3</v>
      </c>
    </row>
    <row r="3964" spans="1:9" x14ac:dyDescent="0.25">
      <c r="A3964" t="s">
        <v>2144</v>
      </c>
      <c r="B3964" t="s">
        <v>2145</v>
      </c>
      <c r="C3964" t="s">
        <v>42</v>
      </c>
      <c r="D3964" t="s">
        <v>4049</v>
      </c>
      <c r="E3964" t="s">
        <v>4242</v>
      </c>
      <c r="F3964" t="s">
        <v>4051</v>
      </c>
      <c r="G3964">
        <v>0.25</v>
      </c>
      <c r="H3964" s="2">
        <v>17069.53</v>
      </c>
      <c r="I3964" s="2">
        <v>4267.38</v>
      </c>
    </row>
    <row r="3965" spans="1:9" x14ac:dyDescent="0.25">
      <c r="A3965" t="s">
        <v>2144</v>
      </c>
      <c r="B3965" t="s">
        <v>2145</v>
      </c>
      <c r="C3965" t="s">
        <v>42</v>
      </c>
      <c r="D3965" t="s">
        <v>4052</v>
      </c>
      <c r="E3965" t="s">
        <v>4053</v>
      </c>
      <c r="F3965" t="s">
        <v>4054</v>
      </c>
      <c r="G3965">
        <v>3.5</v>
      </c>
      <c r="H3965" s="2">
        <v>6752.68</v>
      </c>
      <c r="I3965" s="2">
        <v>236.34</v>
      </c>
    </row>
    <row r="3966" spans="1:9" x14ac:dyDescent="0.25">
      <c r="A3966" t="s">
        <v>2147</v>
      </c>
      <c r="B3966" t="s">
        <v>2148</v>
      </c>
      <c r="C3966" t="s">
        <v>42</v>
      </c>
      <c r="D3966" t="s">
        <v>4062</v>
      </c>
      <c r="E3966" t="s">
        <v>6172</v>
      </c>
      <c r="F3966" t="s">
        <v>42</v>
      </c>
      <c r="G3966">
        <v>1.05</v>
      </c>
      <c r="H3966" s="2">
        <v>67167</v>
      </c>
      <c r="I3966" s="2">
        <v>70525.35</v>
      </c>
    </row>
    <row r="3967" spans="1:9" x14ac:dyDescent="0.25">
      <c r="A3967" t="s">
        <v>2147</v>
      </c>
      <c r="B3967" t="s">
        <v>2148</v>
      </c>
      <c r="C3967" t="s">
        <v>42</v>
      </c>
      <c r="D3967" t="s">
        <v>4062</v>
      </c>
      <c r="E3967" t="s">
        <v>6166</v>
      </c>
      <c r="F3967" t="s">
        <v>63</v>
      </c>
      <c r="G3967">
        <v>0.03</v>
      </c>
      <c r="H3967" s="2">
        <v>19750</v>
      </c>
      <c r="I3967" s="2">
        <v>493.75</v>
      </c>
    </row>
    <row r="3968" spans="1:9" x14ac:dyDescent="0.25">
      <c r="A3968" t="s">
        <v>2147</v>
      </c>
      <c r="B3968" t="s">
        <v>2148</v>
      </c>
      <c r="C3968" t="s">
        <v>42</v>
      </c>
      <c r="D3968" t="s">
        <v>4049</v>
      </c>
      <c r="E3968" t="s">
        <v>4241</v>
      </c>
      <c r="F3968" t="s">
        <v>4051</v>
      </c>
      <c r="G3968">
        <v>0.25</v>
      </c>
      <c r="H3968" s="2">
        <v>9941.22</v>
      </c>
      <c r="I3968" s="2">
        <v>2485.3</v>
      </c>
    </row>
    <row r="3969" spans="1:9" x14ac:dyDescent="0.25">
      <c r="A3969" t="s">
        <v>2147</v>
      </c>
      <c r="B3969" t="s">
        <v>2148</v>
      </c>
      <c r="C3969" t="s">
        <v>42</v>
      </c>
      <c r="D3969" t="s">
        <v>4049</v>
      </c>
      <c r="E3969" t="s">
        <v>4242</v>
      </c>
      <c r="F3969" t="s">
        <v>4051</v>
      </c>
      <c r="G3969">
        <v>0.25</v>
      </c>
      <c r="H3969" s="2">
        <v>17069.53</v>
      </c>
      <c r="I3969" s="2">
        <v>4267.38</v>
      </c>
    </row>
    <row r="3970" spans="1:9" x14ac:dyDescent="0.25">
      <c r="A3970" t="s">
        <v>2147</v>
      </c>
      <c r="B3970" t="s">
        <v>2148</v>
      </c>
      <c r="C3970" t="s">
        <v>42</v>
      </c>
      <c r="D3970" t="s">
        <v>4052</v>
      </c>
      <c r="E3970" t="s">
        <v>4053</v>
      </c>
      <c r="F3970" t="s">
        <v>4054</v>
      </c>
      <c r="G3970">
        <v>3.5</v>
      </c>
      <c r="H3970" s="2">
        <v>6752.68</v>
      </c>
      <c r="I3970" s="2">
        <v>236.34</v>
      </c>
    </row>
    <row r="3971" spans="1:9" x14ac:dyDescent="0.25">
      <c r="A3971" t="s">
        <v>2150</v>
      </c>
      <c r="B3971" t="s">
        <v>2151</v>
      </c>
      <c r="C3971" t="s">
        <v>42</v>
      </c>
      <c r="D3971" t="s">
        <v>4062</v>
      </c>
      <c r="E3971" t="s">
        <v>4745</v>
      </c>
      <c r="F3971" t="s">
        <v>63</v>
      </c>
      <c r="G3971">
        <v>1</v>
      </c>
      <c r="H3971" s="2">
        <v>599</v>
      </c>
      <c r="I3971" s="2">
        <v>599</v>
      </c>
    </row>
    <row r="3972" spans="1:9" x14ac:dyDescent="0.25">
      <c r="A3972" t="s">
        <v>2150</v>
      </c>
      <c r="B3972" t="s">
        <v>2151</v>
      </c>
      <c r="C3972" t="s">
        <v>42</v>
      </c>
      <c r="D3972" t="s">
        <v>4062</v>
      </c>
      <c r="E3972" t="s">
        <v>6175</v>
      </c>
      <c r="F3972" t="s">
        <v>42</v>
      </c>
      <c r="G3972">
        <v>1.05</v>
      </c>
      <c r="H3972" s="2">
        <v>3171</v>
      </c>
      <c r="I3972" s="2">
        <v>3329.55</v>
      </c>
    </row>
    <row r="3973" spans="1:9" x14ac:dyDescent="0.25">
      <c r="A3973" t="s">
        <v>2150</v>
      </c>
      <c r="B3973" t="s">
        <v>2151</v>
      </c>
      <c r="C3973" t="s">
        <v>42</v>
      </c>
      <c r="D3973" t="s">
        <v>4062</v>
      </c>
      <c r="E3973" t="s">
        <v>4659</v>
      </c>
      <c r="F3973" t="s">
        <v>4377</v>
      </c>
      <c r="G3973">
        <v>0</v>
      </c>
      <c r="H3973" s="2">
        <v>31500</v>
      </c>
      <c r="I3973" s="2">
        <v>126</v>
      </c>
    </row>
    <row r="3974" spans="1:9" x14ac:dyDescent="0.25">
      <c r="A3974" t="s">
        <v>2150</v>
      </c>
      <c r="B3974" t="s">
        <v>2151</v>
      </c>
      <c r="C3974" t="s">
        <v>42</v>
      </c>
      <c r="D3974" t="s">
        <v>4062</v>
      </c>
      <c r="E3974" t="s">
        <v>4376</v>
      </c>
      <c r="F3974" t="s">
        <v>4377</v>
      </c>
      <c r="G3974">
        <v>0</v>
      </c>
      <c r="H3974" s="2">
        <v>72237.67</v>
      </c>
      <c r="I3974" s="2">
        <v>288.95</v>
      </c>
    </row>
    <row r="3975" spans="1:9" x14ac:dyDescent="0.25">
      <c r="A3975" t="s">
        <v>2150</v>
      </c>
      <c r="B3975" t="s">
        <v>2151</v>
      </c>
      <c r="C3975" t="s">
        <v>42</v>
      </c>
      <c r="D3975" t="s">
        <v>4049</v>
      </c>
      <c r="E3975" t="s">
        <v>4176</v>
      </c>
      <c r="F3975" t="s">
        <v>4177</v>
      </c>
      <c r="G3975">
        <v>0.01</v>
      </c>
      <c r="H3975" s="2">
        <v>72300.17</v>
      </c>
      <c r="I3975" s="2">
        <v>723</v>
      </c>
    </row>
    <row r="3976" spans="1:9" x14ac:dyDescent="0.25">
      <c r="A3976" t="s">
        <v>2150</v>
      </c>
      <c r="B3976" t="s">
        <v>2151</v>
      </c>
      <c r="C3976" t="s">
        <v>42</v>
      </c>
      <c r="D3976" t="s">
        <v>4049</v>
      </c>
      <c r="E3976" t="s">
        <v>4313</v>
      </c>
      <c r="F3976" t="s">
        <v>4177</v>
      </c>
      <c r="G3976">
        <v>0.01</v>
      </c>
      <c r="H3976" s="2">
        <v>124137.15</v>
      </c>
      <c r="I3976" s="2">
        <v>1241.37</v>
      </c>
    </row>
    <row r="3977" spans="1:9" x14ac:dyDescent="0.25">
      <c r="A3977" t="s">
        <v>2150</v>
      </c>
      <c r="B3977" t="s">
        <v>2151</v>
      </c>
      <c r="C3977" t="s">
        <v>42</v>
      </c>
      <c r="D3977" t="s">
        <v>4052</v>
      </c>
      <c r="E3977" t="s">
        <v>4053</v>
      </c>
      <c r="F3977" t="s">
        <v>4054</v>
      </c>
      <c r="G3977">
        <v>3.5</v>
      </c>
      <c r="H3977" s="2">
        <v>1964.37</v>
      </c>
      <c r="I3977" s="2">
        <v>68.75</v>
      </c>
    </row>
    <row r="3978" spans="1:9" x14ac:dyDescent="0.25">
      <c r="A3978" t="s">
        <v>2153</v>
      </c>
      <c r="B3978" t="s">
        <v>2154</v>
      </c>
      <c r="C3978" t="s">
        <v>42</v>
      </c>
      <c r="D3978" t="s">
        <v>4062</v>
      </c>
      <c r="E3978" t="s">
        <v>6178</v>
      </c>
      <c r="F3978" t="s">
        <v>63</v>
      </c>
      <c r="G3978">
        <v>1</v>
      </c>
      <c r="H3978" s="2">
        <v>325</v>
      </c>
      <c r="I3978" s="2">
        <v>325</v>
      </c>
    </row>
    <row r="3979" spans="1:9" x14ac:dyDescent="0.25">
      <c r="A3979" t="s">
        <v>2153</v>
      </c>
      <c r="B3979" t="s">
        <v>2154</v>
      </c>
      <c r="C3979" t="s">
        <v>42</v>
      </c>
      <c r="D3979" t="s">
        <v>4062</v>
      </c>
      <c r="E3979" t="s">
        <v>6179</v>
      </c>
      <c r="F3979" t="s">
        <v>42</v>
      </c>
      <c r="G3979">
        <v>1.05</v>
      </c>
      <c r="H3979" s="2">
        <v>2560</v>
      </c>
      <c r="I3979" s="2">
        <v>2688</v>
      </c>
    </row>
    <row r="3980" spans="1:9" x14ac:dyDescent="0.25">
      <c r="A3980" t="s">
        <v>2153</v>
      </c>
      <c r="B3980" t="s">
        <v>2154</v>
      </c>
      <c r="C3980" t="s">
        <v>42</v>
      </c>
      <c r="D3980" t="s">
        <v>4062</v>
      </c>
      <c r="E3980" t="s">
        <v>4659</v>
      </c>
      <c r="F3980" t="s">
        <v>4377</v>
      </c>
      <c r="G3980">
        <v>0</v>
      </c>
      <c r="H3980" s="2">
        <v>31500</v>
      </c>
      <c r="I3980" s="2">
        <v>27.56</v>
      </c>
    </row>
    <row r="3981" spans="1:9" x14ac:dyDescent="0.25">
      <c r="A3981" t="s">
        <v>2153</v>
      </c>
      <c r="B3981" t="s">
        <v>2154</v>
      </c>
      <c r="C3981" t="s">
        <v>42</v>
      </c>
      <c r="D3981" t="s">
        <v>4062</v>
      </c>
      <c r="E3981" t="s">
        <v>4376</v>
      </c>
      <c r="F3981" t="s">
        <v>4377</v>
      </c>
      <c r="G3981">
        <v>0</v>
      </c>
      <c r="H3981" s="2">
        <v>72237.67</v>
      </c>
      <c r="I3981" s="2">
        <v>65.01</v>
      </c>
    </row>
    <row r="3982" spans="1:9" x14ac:dyDescent="0.25">
      <c r="A3982" t="s">
        <v>2153</v>
      </c>
      <c r="B3982" t="s">
        <v>2154</v>
      </c>
      <c r="C3982" t="s">
        <v>42</v>
      </c>
      <c r="D3982" t="s">
        <v>4049</v>
      </c>
      <c r="E3982" t="s">
        <v>4176</v>
      </c>
      <c r="F3982" t="s">
        <v>4177</v>
      </c>
      <c r="G3982">
        <v>0</v>
      </c>
      <c r="H3982" s="2">
        <v>72300.17</v>
      </c>
      <c r="I3982" s="2">
        <v>296.43</v>
      </c>
    </row>
    <row r="3983" spans="1:9" x14ac:dyDescent="0.25">
      <c r="A3983" t="s">
        <v>2153</v>
      </c>
      <c r="B3983" t="s">
        <v>2154</v>
      </c>
      <c r="C3983" t="s">
        <v>42</v>
      </c>
      <c r="D3983" t="s">
        <v>4049</v>
      </c>
      <c r="E3983" t="s">
        <v>4313</v>
      </c>
      <c r="F3983" t="s">
        <v>4177</v>
      </c>
      <c r="G3983">
        <v>0</v>
      </c>
      <c r="H3983" s="2">
        <v>124137.15</v>
      </c>
      <c r="I3983" s="2">
        <v>508.96</v>
      </c>
    </row>
    <row r="3984" spans="1:9" x14ac:dyDescent="0.25">
      <c r="A3984" t="s">
        <v>2153</v>
      </c>
      <c r="B3984" t="s">
        <v>2154</v>
      </c>
      <c r="C3984" t="s">
        <v>42</v>
      </c>
      <c r="D3984" t="s">
        <v>4052</v>
      </c>
      <c r="E3984" t="s">
        <v>4053</v>
      </c>
      <c r="F3984" t="s">
        <v>4054</v>
      </c>
      <c r="G3984">
        <v>3.5</v>
      </c>
      <c r="H3984" s="2">
        <v>805.39</v>
      </c>
      <c r="I3984" s="2">
        <v>28.19</v>
      </c>
    </row>
    <row r="3985" spans="1:9" x14ac:dyDescent="0.25">
      <c r="A3985" t="s">
        <v>2156</v>
      </c>
      <c r="B3985" t="s">
        <v>2157</v>
      </c>
      <c r="C3985" t="s">
        <v>42</v>
      </c>
      <c r="D3985" t="s">
        <v>4062</v>
      </c>
      <c r="E3985" t="s">
        <v>4701</v>
      </c>
      <c r="F3985" t="s">
        <v>42</v>
      </c>
      <c r="G3985">
        <v>1.05</v>
      </c>
      <c r="H3985" s="2">
        <v>3804</v>
      </c>
      <c r="I3985" s="2">
        <v>3994.2</v>
      </c>
    </row>
    <row r="3986" spans="1:9" x14ac:dyDescent="0.25">
      <c r="A3986" t="s">
        <v>2156</v>
      </c>
      <c r="B3986" t="s">
        <v>2157</v>
      </c>
      <c r="C3986" t="s">
        <v>42</v>
      </c>
      <c r="D3986" t="s">
        <v>4062</v>
      </c>
      <c r="E3986" t="s">
        <v>6178</v>
      </c>
      <c r="F3986" t="s">
        <v>63</v>
      </c>
      <c r="G3986">
        <v>1</v>
      </c>
      <c r="H3986" s="2">
        <v>325</v>
      </c>
      <c r="I3986" s="2">
        <v>325</v>
      </c>
    </row>
    <row r="3987" spans="1:9" x14ac:dyDescent="0.25">
      <c r="A3987" t="s">
        <v>2156</v>
      </c>
      <c r="B3987" t="s">
        <v>2157</v>
      </c>
      <c r="C3987" t="s">
        <v>42</v>
      </c>
      <c r="D3987" t="s">
        <v>4062</v>
      </c>
      <c r="E3987" t="s">
        <v>4659</v>
      </c>
      <c r="F3987" t="s">
        <v>4377</v>
      </c>
      <c r="G3987">
        <v>0</v>
      </c>
      <c r="H3987" s="2">
        <v>31500</v>
      </c>
      <c r="I3987" s="2">
        <v>28.35</v>
      </c>
    </row>
    <row r="3988" spans="1:9" x14ac:dyDescent="0.25">
      <c r="A3988" t="s">
        <v>2156</v>
      </c>
      <c r="B3988" t="s">
        <v>2157</v>
      </c>
      <c r="C3988" t="s">
        <v>42</v>
      </c>
      <c r="D3988" t="s">
        <v>4062</v>
      </c>
      <c r="E3988" t="s">
        <v>4376</v>
      </c>
      <c r="F3988" t="s">
        <v>4377</v>
      </c>
      <c r="G3988">
        <v>0</v>
      </c>
      <c r="H3988" s="2">
        <v>72237.67</v>
      </c>
      <c r="I3988" s="2">
        <v>65.01</v>
      </c>
    </row>
    <row r="3989" spans="1:9" x14ac:dyDescent="0.25">
      <c r="A3989" t="s">
        <v>2156</v>
      </c>
      <c r="B3989" t="s">
        <v>2157</v>
      </c>
      <c r="C3989" t="s">
        <v>42</v>
      </c>
      <c r="D3989" t="s">
        <v>4049</v>
      </c>
      <c r="E3989" t="s">
        <v>4176</v>
      </c>
      <c r="F3989" t="s">
        <v>4177</v>
      </c>
      <c r="G3989">
        <v>0</v>
      </c>
      <c r="H3989" s="2">
        <v>72300.17</v>
      </c>
      <c r="I3989" s="2">
        <v>296.43</v>
      </c>
    </row>
    <row r="3990" spans="1:9" x14ac:dyDescent="0.25">
      <c r="A3990" t="s">
        <v>2156</v>
      </c>
      <c r="B3990" t="s">
        <v>2157</v>
      </c>
      <c r="C3990" t="s">
        <v>42</v>
      </c>
      <c r="D3990" t="s">
        <v>4049</v>
      </c>
      <c r="E3990" t="s">
        <v>4313</v>
      </c>
      <c r="F3990" t="s">
        <v>4177</v>
      </c>
      <c r="G3990">
        <v>0</v>
      </c>
      <c r="H3990" s="2">
        <v>124137.15</v>
      </c>
      <c r="I3990" s="2">
        <v>508.96</v>
      </c>
    </row>
    <row r="3991" spans="1:9" x14ac:dyDescent="0.25">
      <c r="A3991" t="s">
        <v>2156</v>
      </c>
      <c r="B3991" t="s">
        <v>2157</v>
      </c>
      <c r="C3991" t="s">
        <v>42</v>
      </c>
      <c r="D3991" t="s">
        <v>4052</v>
      </c>
      <c r="E3991" t="s">
        <v>4053</v>
      </c>
      <c r="F3991" t="s">
        <v>4054</v>
      </c>
      <c r="G3991">
        <v>3.5</v>
      </c>
      <c r="H3991" s="2">
        <v>805.39</v>
      </c>
      <c r="I3991" s="2">
        <v>28.19</v>
      </c>
    </row>
    <row r="3992" spans="1:9" x14ac:dyDescent="0.25">
      <c r="A3992" t="s">
        <v>2159</v>
      </c>
      <c r="B3992" t="s">
        <v>2160</v>
      </c>
      <c r="C3992" t="s">
        <v>42</v>
      </c>
      <c r="D3992" t="s">
        <v>4062</v>
      </c>
      <c r="E3992" t="s">
        <v>6184</v>
      </c>
      <c r="F3992" t="s">
        <v>63</v>
      </c>
      <c r="G3992">
        <v>1</v>
      </c>
      <c r="H3992" s="2">
        <v>2454</v>
      </c>
      <c r="I3992" s="2">
        <v>2454</v>
      </c>
    </row>
    <row r="3993" spans="1:9" x14ac:dyDescent="0.25">
      <c r="A3993" t="s">
        <v>2159</v>
      </c>
      <c r="B3993" t="s">
        <v>2160</v>
      </c>
      <c r="C3993" t="s">
        <v>42</v>
      </c>
      <c r="D3993" t="s">
        <v>4062</v>
      </c>
      <c r="E3993" t="s">
        <v>6185</v>
      </c>
      <c r="F3993" t="s">
        <v>42</v>
      </c>
      <c r="G3993">
        <v>1.05</v>
      </c>
      <c r="H3993" s="2">
        <v>10447</v>
      </c>
      <c r="I3993" s="2">
        <v>10969.35</v>
      </c>
    </row>
    <row r="3994" spans="1:9" x14ac:dyDescent="0.25">
      <c r="A3994" t="s">
        <v>2159</v>
      </c>
      <c r="B3994" t="s">
        <v>2160</v>
      </c>
      <c r="C3994" t="s">
        <v>42</v>
      </c>
      <c r="D3994" t="s">
        <v>4062</v>
      </c>
      <c r="E3994" t="s">
        <v>4659</v>
      </c>
      <c r="F3994" t="s">
        <v>4377</v>
      </c>
      <c r="G3994">
        <v>0.01</v>
      </c>
      <c r="H3994" s="2">
        <v>31500</v>
      </c>
      <c r="I3994" s="2">
        <v>179.55</v>
      </c>
    </row>
    <row r="3995" spans="1:9" x14ac:dyDescent="0.25">
      <c r="A3995" t="s">
        <v>2159</v>
      </c>
      <c r="B3995" t="s">
        <v>2160</v>
      </c>
      <c r="C3995" t="s">
        <v>42</v>
      </c>
      <c r="D3995" t="s">
        <v>4062</v>
      </c>
      <c r="E3995" t="s">
        <v>4376</v>
      </c>
      <c r="F3995" t="s">
        <v>4377</v>
      </c>
      <c r="G3995">
        <v>0.01</v>
      </c>
      <c r="H3995" s="2">
        <v>72237.67</v>
      </c>
      <c r="I3995" s="2">
        <v>411.75</v>
      </c>
    </row>
    <row r="3996" spans="1:9" x14ac:dyDescent="0.25">
      <c r="A3996" t="s">
        <v>2159</v>
      </c>
      <c r="B3996" t="s">
        <v>2160</v>
      </c>
      <c r="C3996" t="s">
        <v>42</v>
      </c>
      <c r="D3996" t="s">
        <v>4049</v>
      </c>
      <c r="E3996" t="s">
        <v>4176</v>
      </c>
      <c r="F3996" t="s">
        <v>4177</v>
      </c>
      <c r="G3996">
        <v>0.02</v>
      </c>
      <c r="H3996" s="2">
        <v>72300.17</v>
      </c>
      <c r="I3996" s="2">
        <v>1084.5</v>
      </c>
    </row>
    <row r="3997" spans="1:9" x14ac:dyDescent="0.25">
      <c r="A3997" t="s">
        <v>2159</v>
      </c>
      <c r="B3997" t="s">
        <v>2160</v>
      </c>
      <c r="C3997" t="s">
        <v>42</v>
      </c>
      <c r="D3997" t="s">
        <v>4049</v>
      </c>
      <c r="E3997" t="s">
        <v>4313</v>
      </c>
      <c r="F3997" t="s">
        <v>4177</v>
      </c>
      <c r="G3997">
        <v>0.02</v>
      </c>
      <c r="H3997" s="2">
        <v>124137.15</v>
      </c>
      <c r="I3997" s="2">
        <v>1862.06</v>
      </c>
    </row>
    <row r="3998" spans="1:9" x14ac:dyDescent="0.25">
      <c r="A3998" t="s">
        <v>2159</v>
      </c>
      <c r="B3998" t="s">
        <v>2160</v>
      </c>
      <c r="C3998" t="s">
        <v>42</v>
      </c>
      <c r="D3998" t="s">
        <v>4052</v>
      </c>
      <c r="E3998" t="s">
        <v>4053</v>
      </c>
      <c r="F3998" t="s">
        <v>4054</v>
      </c>
      <c r="G3998">
        <v>3.5</v>
      </c>
      <c r="H3998" s="2">
        <v>2946.56</v>
      </c>
      <c r="I3998" s="2">
        <v>103.13</v>
      </c>
    </row>
    <row r="3999" spans="1:9" x14ac:dyDescent="0.25">
      <c r="A3999" t="s">
        <v>2162</v>
      </c>
      <c r="B3999" t="s">
        <v>2163</v>
      </c>
      <c r="C3999" t="s">
        <v>42</v>
      </c>
      <c r="D3999" t="s">
        <v>4062</v>
      </c>
      <c r="E3999" t="s">
        <v>6188</v>
      </c>
      <c r="F3999" t="s">
        <v>63</v>
      </c>
      <c r="G3999">
        <v>1</v>
      </c>
      <c r="H3999" s="2">
        <v>1997</v>
      </c>
      <c r="I3999" s="2">
        <v>1997</v>
      </c>
    </row>
    <row r="4000" spans="1:9" x14ac:dyDescent="0.25">
      <c r="A4000" t="s">
        <v>2162</v>
      </c>
      <c r="B4000" t="s">
        <v>2163</v>
      </c>
      <c r="C4000" t="s">
        <v>42</v>
      </c>
      <c r="D4000" t="s">
        <v>4062</v>
      </c>
      <c r="E4000" t="s">
        <v>6189</v>
      </c>
      <c r="F4000" t="s">
        <v>42</v>
      </c>
      <c r="G4000">
        <v>1</v>
      </c>
      <c r="H4000" s="2">
        <v>8018</v>
      </c>
      <c r="I4000" s="2">
        <v>8018</v>
      </c>
    </row>
    <row r="4001" spans="1:9" x14ac:dyDescent="0.25">
      <c r="A4001" t="s">
        <v>2162</v>
      </c>
      <c r="B4001" t="s">
        <v>2163</v>
      </c>
      <c r="C4001" t="s">
        <v>42</v>
      </c>
      <c r="D4001" t="s">
        <v>4062</v>
      </c>
      <c r="E4001" t="s">
        <v>4659</v>
      </c>
      <c r="F4001" t="s">
        <v>4377</v>
      </c>
      <c r="G4001">
        <v>0.01</v>
      </c>
      <c r="H4001" s="2">
        <v>31500</v>
      </c>
      <c r="I4001" s="2">
        <v>157.5</v>
      </c>
    </row>
    <row r="4002" spans="1:9" x14ac:dyDescent="0.25">
      <c r="A4002" t="s">
        <v>2162</v>
      </c>
      <c r="B4002" t="s">
        <v>2163</v>
      </c>
      <c r="C4002" t="s">
        <v>42</v>
      </c>
      <c r="D4002" t="s">
        <v>4062</v>
      </c>
      <c r="E4002" t="s">
        <v>4376</v>
      </c>
      <c r="F4002" t="s">
        <v>4377</v>
      </c>
      <c r="G4002">
        <v>0.01</v>
      </c>
      <c r="H4002" s="2">
        <v>72237.67</v>
      </c>
      <c r="I4002" s="2">
        <v>361.19</v>
      </c>
    </row>
    <row r="4003" spans="1:9" x14ac:dyDescent="0.25">
      <c r="A4003" t="s">
        <v>2162</v>
      </c>
      <c r="B4003" t="s">
        <v>2163</v>
      </c>
      <c r="C4003" t="s">
        <v>42</v>
      </c>
      <c r="D4003" t="s">
        <v>4049</v>
      </c>
      <c r="E4003" t="s">
        <v>4176</v>
      </c>
      <c r="F4003" t="s">
        <v>4177</v>
      </c>
      <c r="G4003">
        <v>0.02</v>
      </c>
      <c r="H4003" s="2">
        <v>72300.17</v>
      </c>
      <c r="I4003" s="2">
        <v>1084.5</v>
      </c>
    </row>
    <row r="4004" spans="1:9" x14ac:dyDescent="0.25">
      <c r="A4004" t="s">
        <v>2162</v>
      </c>
      <c r="B4004" t="s">
        <v>2163</v>
      </c>
      <c r="C4004" t="s">
        <v>42</v>
      </c>
      <c r="D4004" t="s">
        <v>4049</v>
      </c>
      <c r="E4004" t="s">
        <v>4313</v>
      </c>
      <c r="F4004" t="s">
        <v>4177</v>
      </c>
      <c r="G4004">
        <v>0.02</v>
      </c>
      <c r="H4004" s="2">
        <v>124137.15</v>
      </c>
      <c r="I4004" s="2">
        <v>1862.06</v>
      </c>
    </row>
    <row r="4005" spans="1:9" x14ac:dyDescent="0.25">
      <c r="A4005" t="s">
        <v>2162</v>
      </c>
      <c r="B4005" t="s">
        <v>2163</v>
      </c>
      <c r="C4005" t="s">
        <v>42</v>
      </c>
      <c r="D4005" t="s">
        <v>4052</v>
      </c>
      <c r="E4005" t="s">
        <v>4053</v>
      </c>
      <c r="F4005" t="s">
        <v>4054</v>
      </c>
      <c r="G4005">
        <v>3.5</v>
      </c>
      <c r="H4005" s="2">
        <v>2946.56</v>
      </c>
      <c r="I4005" s="2">
        <v>103.13</v>
      </c>
    </row>
    <row r="4006" spans="1:9" x14ac:dyDescent="0.25">
      <c r="A4006" t="s">
        <v>2165</v>
      </c>
      <c r="B4006" t="s">
        <v>2166</v>
      </c>
      <c r="C4006" t="s">
        <v>42</v>
      </c>
      <c r="D4006" t="s">
        <v>4062</v>
      </c>
      <c r="E4006" t="s">
        <v>4737</v>
      </c>
      <c r="F4006" t="s">
        <v>42</v>
      </c>
      <c r="G4006">
        <v>1</v>
      </c>
      <c r="H4006" s="2">
        <v>6446</v>
      </c>
      <c r="I4006" s="2">
        <v>6446</v>
      </c>
    </row>
    <row r="4007" spans="1:9" x14ac:dyDescent="0.25">
      <c r="A4007" t="s">
        <v>2165</v>
      </c>
      <c r="B4007" t="s">
        <v>2166</v>
      </c>
      <c r="C4007" t="s">
        <v>42</v>
      </c>
      <c r="D4007" t="s">
        <v>4062</v>
      </c>
      <c r="E4007" t="s">
        <v>4738</v>
      </c>
      <c r="F4007" t="s">
        <v>63</v>
      </c>
      <c r="G4007">
        <v>1</v>
      </c>
      <c r="H4007" s="2">
        <v>1004</v>
      </c>
      <c r="I4007" s="2">
        <v>1004</v>
      </c>
    </row>
    <row r="4008" spans="1:9" x14ac:dyDescent="0.25">
      <c r="A4008" t="s">
        <v>2165</v>
      </c>
      <c r="B4008" t="s">
        <v>2166</v>
      </c>
      <c r="C4008" t="s">
        <v>42</v>
      </c>
      <c r="D4008" t="s">
        <v>4062</v>
      </c>
      <c r="E4008" t="s">
        <v>4659</v>
      </c>
      <c r="F4008" t="s">
        <v>4377</v>
      </c>
      <c r="G4008">
        <v>0</v>
      </c>
      <c r="H4008" s="2">
        <v>31500</v>
      </c>
      <c r="I4008" s="2">
        <v>148.05</v>
      </c>
    </row>
    <row r="4009" spans="1:9" x14ac:dyDescent="0.25">
      <c r="A4009" t="s">
        <v>2165</v>
      </c>
      <c r="B4009" t="s">
        <v>2166</v>
      </c>
      <c r="C4009" t="s">
        <v>42</v>
      </c>
      <c r="D4009" t="s">
        <v>4062</v>
      </c>
      <c r="E4009" t="s">
        <v>4376</v>
      </c>
      <c r="F4009" t="s">
        <v>4377</v>
      </c>
      <c r="G4009">
        <v>0</v>
      </c>
      <c r="H4009" s="2">
        <v>72237.67</v>
      </c>
      <c r="I4009" s="2">
        <v>339.52</v>
      </c>
    </row>
    <row r="4010" spans="1:9" x14ac:dyDescent="0.25">
      <c r="A4010" t="s">
        <v>2165</v>
      </c>
      <c r="B4010" t="s">
        <v>2166</v>
      </c>
      <c r="C4010" t="s">
        <v>42</v>
      </c>
      <c r="D4010" t="s">
        <v>4049</v>
      </c>
      <c r="E4010" t="s">
        <v>4176</v>
      </c>
      <c r="F4010" t="s">
        <v>4177</v>
      </c>
      <c r="G4010">
        <v>0.01</v>
      </c>
      <c r="H4010" s="2">
        <v>72300.17</v>
      </c>
      <c r="I4010" s="2">
        <v>939.9</v>
      </c>
    </row>
    <row r="4011" spans="1:9" x14ac:dyDescent="0.25">
      <c r="A4011" t="s">
        <v>2165</v>
      </c>
      <c r="B4011" t="s">
        <v>2166</v>
      </c>
      <c r="C4011" t="s">
        <v>42</v>
      </c>
      <c r="D4011" t="s">
        <v>4049</v>
      </c>
      <c r="E4011" t="s">
        <v>4313</v>
      </c>
      <c r="F4011" t="s">
        <v>4177</v>
      </c>
      <c r="G4011">
        <v>0.01</v>
      </c>
      <c r="H4011" s="2">
        <v>124137.15</v>
      </c>
      <c r="I4011" s="2">
        <v>1613.78</v>
      </c>
    </row>
    <row r="4012" spans="1:9" x14ac:dyDescent="0.25">
      <c r="A4012" t="s">
        <v>2165</v>
      </c>
      <c r="B4012" t="s">
        <v>2166</v>
      </c>
      <c r="C4012" t="s">
        <v>42</v>
      </c>
      <c r="D4012" t="s">
        <v>4052</v>
      </c>
      <c r="E4012" t="s">
        <v>4053</v>
      </c>
      <c r="F4012" t="s">
        <v>4054</v>
      </c>
      <c r="G4012">
        <v>3.5</v>
      </c>
      <c r="H4012" s="2">
        <v>2553.68</v>
      </c>
      <c r="I4012" s="2">
        <v>89.38</v>
      </c>
    </row>
    <row r="4013" spans="1:9" x14ac:dyDescent="0.25">
      <c r="A4013" t="s">
        <v>2168</v>
      </c>
      <c r="B4013" t="s">
        <v>2169</v>
      </c>
      <c r="C4013" t="s">
        <v>42</v>
      </c>
      <c r="D4013" t="s">
        <v>4062</v>
      </c>
      <c r="E4013" t="s">
        <v>6194</v>
      </c>
      <c r="F4013" t="s">
        <v>42</v>
      </c>
      <c r="G4013">
        <v>1</v>
      </c>
      <c r="H4013" s="2">
        <v>4450</v>
      </c>
      <c r="I4013" s="2">
        <v>4450</v>
      </c>
    </row>
    <row r="4014" spans="1:9" x14ac:dyDescent="0.25">
      <c r="A4014" t="s">
        <v>2168</v>
      </c>
      <c r="B4014" t="s">
        <v>2169</v>
      </c>
      <c r="C4014" t="s">
        <v>42</v>
      </c>
      <c r="D4014" t="s">
        <v>4062</v>
      </c>
      <c r="E4014" t="s">
        <v>6195</v>
      </c>
      <c r="F4014" t="s">
        <v>42</v>
      </c>
      <c r="G4014">
        <v>1</v>
      </c>
      <c r="H4014" s="2">
        <v>4451</v>
      </c>
      <c r="I4014" s="2">
        <v>4451</v>
      </c>
    </row>
    <row r="4015" spans="1:9" x14ac:dyDescent="0.25">
      <c r="A4015" t="s">
        <v>2168</v>
      </c>
      <c r="B4015" t="s">
        <v>2169</v>
      </c>
      <c r="C4015" t="s">
        <v>42</v>
      </c>
      <c r="D4015" t="s">
        <v>4062</v>
      </c>
      <c r="E4015" t="s">
        <v>4659</v>
      </c>
      <c r="F4015" t="s">
        <v>4377</v>
      </c>
      <c r="G4015">
        <v>0</v>
      </c>
      <c r="H4015" s="2">
        <v>31500</v>
      </c>
      <c r="I4015" s="2">
        <v>144.9</v>
      </c>
    </row>
    <row r="4016" spans="1:9" x14ac:dyDescent="0.25">
      <c r="A4016" t="s">
        <v>2168</v>
      </c>
      <c r="B4016" t="s">
        <v>2169</v>
      </c>
      <c r="C4016" t="s">
        <v>42</v>
      </c>
      <c r="D4016" t="s">
        <v>4062</v>
      </c>
      <c r="E4016" t="s">
        <v>4376</v>
      </c>
      <c r="F4016" t="s">
        <v>4377</v>
      </c>
      <c r="G4016">
        <v>0</v>
      </c>
      <c r="H4016" s="2">
        <v>72237.67</v>
      </c>
      <c r="I4016" s="2">
        <v>332.29</v>
      </c>
    </row>
    <row r="4017" spans="1:9" x14ac:dyDescent="0.25">
      <c r="A4017" t="s">
        <v>2168</v>
      </c>
      <c r="B4017" t="s">
        <v>2169</v>
      </c>
      <c r="C4017" t="s">
        <v>42</v>
      </c>
      <c r="D4017" t="s">
        <v>4049</v>
      </c>
      <c r="E4017" t="s">
        <v>4176</v>
      </c>
      <c r="F4017" t="s">
        <v>4177</v>
      </c>
      <c r="G4017">
        <v>0.01</v>
      </c>
      <c r="H4017" s="2">
        <v>72300.17</v>
      </c>
      <c r="I4017" s="2">
        <v>939.9</v>
      </c>
    </row>
    <row r="4018" spans="1:9" x14ac:dyDescent="0.25">
      <c r="A4018" t="s">
        <v>2168</v>
      </c>
      <c r="B4018" t="s">
        <v>2169</v>
      </c>
      <c r="C4018" t="s">
        <v>42</v>
      </c>
      <c r="D4018" t="s">
        <v>4049</v>
      </c>
      <c r="E4018" t="s">
        <v>4313</v>
      </c>
      <c r="F4018" t="s">
        <v>4177</v>
      </c>
      <c r="G4018">
        <v>0.01</v>
      </c>
      <c r="H4018" s="2">
        <v>124137.15</v>
      </c>
      <c r="I4018" s="2">
        <v>1613.78</v>
      </c>
    </row>
    <row r="4019" spans="1:9" x14ac:dyDescent="0.25">
      <c r="A4019" t="s">
        <v>2168</v>
      </c>
      <c r="B4019" t="s">
        <v>2169</v>
      </c>
      <c r="C4019" t="s">
        <v>42</v>
      </c>
      <c r="D4019" t="s">
        <v>4052</v>
      </c>
      <c r="E4019" t="s">
        <v>4053</v>
      </c>
      <c r="F4019" t="s">
        <v>4054</v>
      </c>
      <c r="G4019">
        <v>3.5</v>
      </c>
      <c r="H4019" s="2">
        <v>2553.68</v>
      </c>
      <c r="I4019" s="2">
        <v>89.38</v>
      </c>
    </row>
    <row r="4020" spans="1:9" x14ac:dyDescent="0.25">
      <c r="A4020" t="s">
        <v>2171</v>
      </c>
      <c r="B4020" t="s">
        <v>2172</v>
      </c>
      <c r="C4020" t="s">
        <v>42</v>
      </c>
      <c r="D4020" t="s">
        <v>4062</v>
      </c>
      <c r="E4020" t="s">
        <v>4683</v>
      </c>
      <c r="F4020" t="s">
        <v>42</v>
      </c>
      <c r="G4020">
        <v>1</v>
      </c>
      <c r="H4020" s="2">
        <v>16056</v>
      </c>
      <c r="I4020" s="2">
        <v>16056</v>
      </c>
    </row>
    <row r="4021" spans="1:9" x14ac:dyDescent="0.25">
      <c r="A4021" t="s">
        <v>2171</v>
      </c>
      <c r="B4021" t="s">
        <v>2172</v>
      </c>
      <c r="C4021" t="s">
        <v>42</v>
      </c>
      <c r="D4021" t="s">
        <v>4062</v>
      </c>
      <c r="E4021" t="s">
        <v>4684</v>
      </c>
      <c r="F4021" t="s">
        <v>63</v>
      </c>
      <c r="G4021">
        <v>1</v>
      </c>
      <c r="H4021" s="2">
        <v>4293</v>
      </c>
      <c r="I4021" s="2">
        <v>4293</v>
      </c>
    </row>
    <row r="4022" spans="1:9" x14ac:dyDescent="0.25">
      <c r="A4022" t="s">
        <v>2171</v>
      </c>
      <c r="B4022" t="s">
        <v>2172</v>
      </c>
      <c r="C4022" t="s">
        <v>42</v>
      </c>
      <c r="D4022" t="s">
        <v>4062</v>
      </c>
      <c r="E4022" t="s">
        <v>4659</v>
      </c>
      <c r="F4022" t="s">
        <v>4377</v>
      </c>
      <c r="G4022">
        <v>0.01</v>
      </c>
      <c r="H4022" s="2">
        <v>31500</v>
      </c>
      <c r="I4022" s="2">
        <v>207.9</v>
      </c>
    </row>
    <row r="4023" spans="1:9" x14ac:dyDescent="0.25">
      <c r="A4023" t="s">
        <v>2171</v>
      </c>
      <c r="B4023" t="s">
        <v>2172</v>
      </c>
      <c r="C4023" t="s">
        <v>42</v>
      </c>
      <c r="D4023" t="s">
        <v>4062</v>
      </c>
      <c r="E4023" t="s">
        <v>4376</v>
      </c>
      <c r="F4023" t="s">
        <v>4377</v>
      </c>
      <c r="G4023">
        <v>0.01</v>
      </c>
      <c r="H4023" s="2">
        <v>72237.67</v>
      </c>
      <c r="I4023" s="2">
        <v>476.77</v>
      </c>
    </row>
    <row r="4024" spans="1:9" x14ac:dyDescent="0.25">
      <c r="A4024" t="s">
        <v>2171</v>
      </c>
      <c r="B4024" t="s">
        <v>2172</v>
      </c>
      <c r="C4024" t="s">
        <v>42</v>
      </c>
      <c r="D4024" t="s">
        <v>4049</v>
      </c>
      <c r="E4024" t="s">
        <v>4176</v>
      </c>
      <c r="F4024" t="s">
        <v>4177</v>
      </c>
      <c r="G4024">
        <v>0.02</v>
      </c>
      <c r="H4024" s="2">
        <v>72300.17</v>
      </c>
      <c r="I4024" s="2">
        <v>1084.5</v>
      </c>
    </row>
    <row r="4025" spans="1:9" x14ac:dyDescent="0.25">
      <c r="A4025" t="s">
        <v>2171</v>
      </c>
      <c r="B4025" t="s">
        <v>2172</v>
      </c>
      <c r="C4025" t="s">
        <v>42</v>
      </c>
      <c r="D4025" t="s">
        <v>4049</v>
      </c>
      <c r="E4025" t="s">
        <v>4313</v>
      </c>
      <c r="F4025" t="s">
        <v>4177</v>
      </c>
      <c r="G4025">
        <v>0.02</v>
      </c>
      <c r="H4025" s="2">
        <v>124137.15</v>
      </c>
      <c r="I4025" s="2">
        <v>1862.06</v>
      </c>
    </row>
    <row r="4026" spans="1:9" x14ac:dyDescent="0.25">
      <c r="A4026" t="s">
        <v>2171</v>
      </c>
      <c r="B4026" t="s">
        <v>2172</v>
      </c>
      <c r="C4026" t="s">
        <v>42</v>
      </c>
      <c r="D4026" t="s">
        <v>4052</v>
      </c>
      <c r="E4026" t="s">
        <v>4053</v>
      </c>
      <c r="F4026" t="s">
        <v>4054</v>
      </c>
      <c r="G4026">
        <v>3.5</v>
      </c>
      <c r="H4026" s="2">
        <v>2946.56</v>
      </c>
      <c r="I4026" s="2">
        <v>103.13</v>
      </c>
    </row>
    <row r="4027" spans="1:9" x14ac:dyDescent="0.25">
      <c r="A4027" t="s">
        <v>2174</v>
      </c>
      <c r="B4027" t="s">
        <v>2175</v>
      </c>
      <c r="C4027" t="s">
        <v>42</v>
      </c>
      <c r="D4027" t="s">
        <v>4062</v>
      </c>
      <c r="E4027" t="s">
        <v>4744</v>
      </c>
      <c r="F4027" t="s">
        <v>42</v>
      </c>
      <c r="G4027">
        <v>1</v>
      </c>
      <c r="H4027" s="2">
        <v>4776</v>
      </c>
      <c r="I4027" s="2">
        <v>4776</v>
      </c>
    </row>
    <row r="4028" spans="1:9" x14ac:dyDescent="0.25">
      <c r="A4028" t="s">
        <v>2174</v>
      </c>
      <c r="B4028" t="s">
        <v>2175</v>
      </c>
      <c r="C4028" t="s">
        <v>42</v>
      </c>
      <c r="D4028" t="s">
        <v>4062</v>
      </c>
      <c r="E4028" t="s">
        <v>4745</v>
      </c>
      <c r="F4028" t="s">
        <v>63</v>
      </c>
      <c r="G4028">
        <v>0.17</v>
      </c>
      <c r="H4028" s="2">
        <v>599</v>
      </c>
      <c r="I4028" s="2">
        <v>99.85</v>
      </c>
    </row>
    <row r="4029" spans="1:9" x14ac:dyDescent="0.25">
      <c r="A4029" t="s">
        <v>2174</v>
      </c>
      <c r="B4029" t="s">
        <v>2175</v>
      </c>
      <c r="C4029" t="s">
        <v>42</v>
      </c>
      <c r="D4029" t="s">
        <v>4062</v>
      </c>
      <c r="E4029" t="s">
        <v>4659</v>
      </c>
      <c r="F4029" t="s">
        <v>4377</v>
      </c>
      <c r="G4029">
        <v>0</v>
      </c>
      <c r="H4029" s="2">
        <v>31500</v>
      </c>
      <c r="I4029" s="2">
        <v>126</v>
      </c>
    </row>
    <row r="4030" spans="1:9" x14ac:dyDescent="0.25">
      <c r="A4030" t="s">
        <v>2174</v>
      </c>
      <c r="B4030" t="s">
        <v>2175</v>
      </c>
      <c r="C4030" t="s">
        <v>42</v>
      </c>
      <c r="D4030" t="s">
        <v>4062</v>
      </c>
      <c r="E4030" t="s">
        <v>4376</v>
      </c>
      <c r="F4030" t="s">
        <v>4377</v>
      </c>
      <c r="G4030">
        <v>0</v>
      </c>
      <c r="H4030" s="2">
        <v>72237.67</v>
      </c>
      <c r="I4030" s="2">
        <v>288.95</v>
      </c>
    </row>
    <row r="4031" spans="1:9" x14ac:dyDescent="0.25">
      <c r="A4031" t="s">
        <v>2174</v>
      </c>
      <c r="B4031" t="s">
        <v>2175</v>
      </c>
      <c r="C4031" t="s">
        <v>42</v>
      </c>
      <c r="D4031" t="s">
        <v>4049</v>
      </c>
      <c r="E4031" t="s">
        <v>4050</v>
      </c>
      <c r="F4031" t="s">
        <v>4051</v>
      </c>
      <c r="G4031">
        <v>0.08</v>
      </c>
      <c r="H4031" s="2">
        <v>9037.33</v>
      </c>
      <c r="I4031" s="2">
        <v>722.99</v>
      </c>
    </row>
    <row r="4032" spans="1:9" x14ac:dyDescent="0.25">
      <c r="A4032" t="s">
        <v>2174</v>
      </c>
      <c r="B4032" t="s">
        <v>2175</v>
      </c>
      <c r="C4032" t="s">
        <v>42</v>
      </c>
      <c r="D4032" t="s">
        <v>4049</v>
      </c>
      <c r="E4032" t="s">
        <v>4073</v>
      </c>
      <c r="F4032" t="s">
        <v>4051</v>
      </c>
      <c r="G4032">
        <v>0.08</v>
      </c>
      <c r="H4032" s="2">
        <v>15517.89</v>
      </c>
      <c r="I4032" s="2">
        <v>1241.43</v>
      </c>
    </row>
    <row r="4033" spans="1:9" x14ac:dyDescent="0.25">
      <c r="A4033" t="s">
        <v>2174</v>
      </c>
      <c r="B4033" t="s">
        <v>2175</v>
      </c>
      <c r="C4033" t="s">
        <v>42</v>
      </c>
      <c r="D4033" t="s">
        <v>4052</v>
      </c>
      <c r="E4033" t="s">
        <v>4053</v>
      </c>
      <c r="F4033" t="s">
        <v>4054</v>
      </c>
      <c r="G4033">
        <v>3.5</v>
      </c>
      <c r="H4033" s="2">
        <v>1964.42</v>
      </c>
      <c r="I4033" s="2">
        <v>68.75</v>
      </c>
    </row>
    <row r="4034" spans="1:9" x14ac:dyDescent="0.25">
      <c r="A4034" t="s">
        <v>2177</v>
      </c>
      <c r="B4034" t="s">
        <v>2178</v>
      </c>
      <c r="C4034" t="s">
        <v>42</v>
      </c>
      <c r="D4034" t="s">
        <v>4062</v>
      </c>
      <c r="E4034" t="s">
        <v>6202</v>
      </c>
      <c r="F4034" t="s">
        <v>42</v>
      </c>
      <c r="G4034">
        <v>1.05</v>
      </c>
      <c r="H4034" s="2">
        <v>215146</v>
      </c>
      <c r="I4034" s="2">
        <v>225903.3</v>
      </c>
    </row>
    <row r="4035" spans="1:9" x14ac:dyDescent="0.25">
      <c r="A4035" t="s">
        <v>2177</v>
      </c>
      <c r="B4035" t="s">
        <v>2178</v>
      </c>
      <c r="C4035" t="s">
        <v>42</v>
      </c>
      <c r="D4035" t="s">
        <v>4062</v>
      </c>
      <c r="E4035" t="s">
        <v>6166</v>
      </c>
      <c r="F4035" t="s">
        <v>63</v>
      </c>
      <c r="G4035">
        <v>0.01</v>
      </c>
      <c r="H4035" s="2">
        <v>19750</v>
      </c>
      <c r="I4035" s="2">
        <v>164.58</v>
      </c>
    </row>
    <row r="4036" spans="1:9" x14ac:dyDescent="0.25">
      <c r="A4036" t="s">
        <v>2177</v>
      </c>
      <c r="B4036" t="s">
        <v>2178</v>
      </c>
      <c r="C4036" t="s">
        <v>42</v>
      </c>
      <c r="D4036" t="s">
        <v>4049</v>
      </c>
      <c r="E4036" t="s">
        <v>4176</v>
      </c>
      <c r="F4036" t="s">
        <v>4177</v>
      </c>
      <c r="G4036">
        <v>0.03</v>
      </c>
      <c r="H4036" s="2">
        <v>72300.17</v>
      </c>
      <c r="I4036" s="2">
        <v>1957.89</v>
      </c>
    </row>
    <row r="4037" spans="1:9" x14ac:dyDescent="0.25">
      <c r="A4037" t="s">
        <v>2177</v>
      </c>
      <c r="B4037" t="s">
        <v>2178</v>
      </c>
      <c r="C4037" t="s">
        <v>42</v>
      </c>
      <c r="D4037" t="s">
        <v>4049</v>
      </c>
      <c r="E4037" t="s">
        <v>4313</v>
      </c>
      <c r="F4037" t="s">
        <v>4177</v>
      </c>
      <c r="G4037">
        <v>0.03</v>
      </c>
      <c r="H4037" s="2">
        <v>124137.15</v>
      </c>
      <c r="I4037" s="2">
        <v>3361.63</v>
      </c>
    </row>
    <row r="4038" spans="1:9" x14ac:dyDescent="0.25">
      <c r="A4038" t="s">
        <v>2177</v>
      </c>
      <c r="B4038" t="s">
        <v>2178</v>
      </c>
      <c r="C4038" t="s">
        <v>42</v>
      </c>
      <c r="D4038" t="s">
        <v>4052</v>
      </c>
      <c r="E4038" t="s">
        <v>4053</v>
      </c>
      <c r="F4038" t="s">
        <v>4054</v>
      </c>
      <c r="G4038">
        <v>3.5</v>
      </c>
      <c r="H4038" s="2">
        <v>5319.52</v>
      </c>
      <c r="I4038" s="2">
        <v>186.18</v>
      </c>
    </row>
    <row r="4039" spans="1:9" x14ac:dyDescent="0.25">
      <c r="A4039" t="s">
        <v>2180</v>
      </c>
      <c r="B4039" t="s">
        <v>2181</v>
      </c>
      <c r="C4039" t="s">
        <v>42</v>
      </c>
      <c r="D4039" t="s">
        <v>4062</v>
      </c>
      <c r="E4039" t="s">
        <v>6205</v>
      </c>
      <c r="F4039" t="s">
        <v>42</v>
      </c>
      <c r="G4039">
        <v>1.05</v>
      </c>
      <c r="H4039" s="2">
        <v>180068</v>
      </c>
      <c r="I4039" s="2">
        <v>189071.4</v>
      </c>
    </row>
    <row r="4040" spans="1:9" x14ac:dyDescent="0.25">
      <c r="A4040" t="s">
        <v>2180</v>
      </c>
      <c r="B4040" t="s">
        <v>2181</v>
      </c>
      <c r="C4040" t="s">
        <v>42</v>
      </c>
      <c r="D4040" t="s">
        <v>4062</v>
      </c>
      <c r="E4040" t="s">
        <v>6166</v>
      </c>
      <c r="F4040" t="s">
        <v>63</v>
      </c>
      <c r="G4040">
        <v>0.01</v>
      </c>
      <c r="H4040" s="2">
        <v>19750</v>
      </c>
      <c r="I4040" s="2">
        <v>164.58</v>
      </c>
    </row>
    <row r="4041" spans="1:9" x14ac:dyDescent="0.25">
      <c r="A4041" t="s">
        <v>2180</v>
      </c>
      <c r="B4041" t="s">
        <v>2181</v>
      </c>
      <c r="C4041" t="s">
        <v>42</v>
      </c>
      <c r="D4041" t="s">
        <v>4049</v>
      </c>
      <c r="E4041" t="s">
        <v>4176</v>
      </c>
      <c r="F4041" t="s">
        <v>4177</v>
      </c>
      <c r="G4041">
        <v>0.03</v>
      </c>
      <c r="H4041" s="2">
        <v>72300.17</v>
      </c>
      <c r="I4041" s="2">
        <v>1958.13</v>
      </c>
    </row>
    <row r="4042" spans="1:9" x14ac:dyDescent="0.25">
      <c r="A4042" t="s">
        <v>2180</v>
      </c>
      <c r="B4042" t="s">
        <v>2181</v>
      </c>
      <c r="C4042" t="s">
        <v>42</v>
      </c>
      <c r="D4042" t="s">
        <v>4049</v>
      </c>
      <c r="E4042" t="s">
        <v>4313</v>
      </c>
      <c r="F4042" t="s">
        <v>4177</v>
      </c>
      <c r="G4042">
        <v>0.03</v>
      </c>
      <c r="H4042" s="2">
        <v>124137.15</v>
      </c>
      <c r="I4042" s="2">
        <v>3362.05</v>
      </c>
    </row>
    <row r="4043" spans="1:9" x14ac:dyDescent="0.25">
      <c r="A4043" t="s">
        <v>2180</v>
      </c>
      <c r="B4043" t="s">
        <v>2181</v>
      </c>
      <c r="C4043" t="s">
        <v>42</v>
      </c>
      <c r="D4043" t="s">
        <v>4052</v>
      </c>
      <c r="E4043" t="s">
        <v>4053</v>
      </c>
      <c r="F4043" t="s">
        <v>4054</v>
      </c>
      <c r="G4043">
        <v>3.5</v>
      </c>
      <c r="H4043" s="2">
        <v>5320.18</v>
      </c>
      <c r="I4043" s="2">
        <v>186.21</v>
      </c>
    </row>
    <row r="4044" spans="1:9" x14ac:dyDescent="0.25">
      <c r="A4044" t="s">
        <v>2183</v>
      </c>
      <c r="B4044" t="s">
        <v>2184</v>
      </c>
      <c r="C4044" t="s">
        <v>42</v>
      </c>
      <c r="D4044" t="s">
        <v>4062</v>
      </c>
      <c r="E4044" t="s">
        <v>6208</v>
      </c>
      <c r="F4044" t="s">
        <v>42</v>
      </c>
      <c r="G4044">
        <v>1.05</v>
      </c>
      <c r="H4044" s="2">
        <v>12901</v>
      </c>
      <c r="I4044" s="2">
        <v>13546.05</v>
      </c>
    </row>
    <row r="4045" spans="1:9" x14ac:dyDescent="0.25">
      <c r="A4045" t="s">
        <v>2183</v>
      </c>
      <c r="B4045" t="s">
        <v>2184</v>
      </c>
      <c r="C4045" t="s">
        <v>42</v>
      </c>
      <c r="D4045" t="s">
        <v>4062</v>
      </c>
      <c r="E4045" t="s">
        <v>6166</v>
      </c>
      <c r="F4045" t="s">
        <v>63</v>
      </c>
      <c r="G4045">
        <v>0.01</v>
      </c>
      <c r="H4045" s="2">
        <v>19750</v>
      </c>
      <c r="I4045" s="2">
        <v>164.58</v>
      </c>
    </row>
    <row r="4046" spans="1:9" x14ac:dyDescent="0.25">
      <c r="A4046" t="s">
        <v>2183</v>
      </c>
      <c r="B4046" t="s">
        <v>2184</v>
      </c>
      <c r="C4046" t="s">
        <v>42</v>
      </c>
      <c r="D4046" t="s">
        <v>4049</v>
      </c>
      <c r="E4046" t="s">
        <v>4176</v>
      </c>
      <c r="F4046" t="s">
        <v>4177</v>
      </c>
      <c r="G4046">
        <v>0.01</v>
      </c>
      <c r="H4046" s="2">
        <v>72300.17</v>
      </c>
      <c r="I4046" s="2">
        <v>451.88</v>
      </c>
    </row>
    <row r="4047" spans="1:9" x14ac:dyDescent="0.25">
      <c r="A4047" t="s">
        <v>2183</v>
      </c>
      <c r="B4047" t="s">
        <v>2184</v>
      </c>
      <c r="C4047" t="s">
        <v>42</v>
      </c>
      <c r="D4047" t="s">
        <v>4049</v>
      </c>
      <c r="E4047" t="s">
        <v>4313</v>
      </c>
      <c r="F4047" t="s">
        <v>4177</v>
      </c>
      <c r="G4047">
        <v>0.01</v>
      </c>
      <c r="H4047" s="2">
        <v>124137.15</v>
      </c>
      <c r="I4047" s="2">
        <v>775.86</v>
      </c>
    </row>
    <row r="4048" spans="1:9" x14ac:dyDescent="0.25">
      <c r="A4048" t="s">
        <v>2183</v>
      </c>
      <c r="B4048" t="s">
        <v>2184</v>
      </c>
      <c r="C4048" t="s">
        <v>42</v>
      </c>
      <c r="D4048" t="s">
        <v>4052</v>
      </c>
      <c r="E4048" t="s">
        <v>4053</v>
      </c>
      <c r="F4048" t="s">
        <v>4054</v>
      </c>
      <c r="G4048">
        <v>3.5</v>
      </c>
      <c r="H4048" s="2">
        <v>1227.74</v>
      </c>
      <c r="I4048" s="2">
        <v>42.97</v>
      </c>
    </row>
    <row r="4049" spans="1:9" x14ac:dyDescent="0.25">
      <c r="A4049" t="s">
        <v>2186</v>
      </c>
      <c r="B4049" t="s">
        <v>2187</v>
      </c>
      <c r="C4049" t="s">
        <v>42</v>
      </c>
      <c r="D4049" t="s">
        <v>4062</v>
      </c>
      <c r="E4049" t="s">
        <v>6211</v>
      </c>
      <c r="F4049" t="s">
        <v>42</v>
      </c>
      <c r="G4049">
        <v>1.05</v>
      </c>
      <c r="H4049" s="2">
        <v>8738</v>
      </c>
      <c r="I4049" s="2">
        <v>9174.9</v>
      </c>
    </row>
    <row r="4050" spans="1:9" x14ac:dyDescent="0.25">
      <c r="A4050" t="s">
        <v>2186</v>
      </c>
      <c r="B4050" t="s">
        <v>2187</v>
      </c>
      <c r="C4050" t="s">
        <v>42</v>
      </c>
      <c r="D4050" t="s">
        <v>4062</v>
      </c>
      <c r="E4050" t="s">
        <v>6166</v>
      </c>
      <c r="F4050" t="s">
        <v>63</v>
      </c>
      <c r="G4050">
        <v>0</v>
      </c>
      <c r="H4050" s="2">
        <v>19750</v>
      </c>
      <c r="I4050" s="2">
        <v>16.46</v>
      </c>
    </row>
    <row r="4051" spans="1:9" x14ac:dyDescent="0.25">
      <c r="A4051" t="s">
        <v>2186</v>
      </c>
      <c r="B4051" t="s">
        <v>2187</v>
      </c>
      <c r="C4051" t="s">
        <v>42</v>
      </c>
      <c r="D4051" t="s">
        <v>4049</v>
      </c>
      <c r="E4051" t="s">
        <v>4176</v>
      </c>
      <c r="F4051" t="s">
        <v>4177</v>
      </c>
      <c r="G4051">
        <v>0.01</v>
      </c>
      <c r="H4051" s="2">
        <v>72300.17</v>
      </c>
      <c r="I4051" s="2">
        <v>451.88</v>
      </c>
    </row>
    <row r="4052" spans="1:9" x14ac:dyDescent="0.25">
      <c r="A4052" t="s">
        <v>2186</v>
      </c>
      <c r="B4052" t="s">
        <v>2187</v>
      </c>
      <c r="C4052" t="s">
        <v>42</v>
      </c>
      <c r="D4052" t="s">
        <v>4049</v>
      </c>
      <c r="E4052" t="s">
        <v>4313</v>
      </c>
      <c r="F4052" t="s">
        <v>4177</v>
      </c>
      <c r="G4052">
        <v>0.01</v>
      </c>
      <c r="H4052" s="2">
        <v>124137.15</v>
      </c>
      <c r="I4052" s="2">
        <v>775.86</v>
      </c>
    </row>
    <row r="4053" spans="1:9" x14ac:dyDescent="0.25">
      <c r="A4053" t="s">
        <v>2186</v>
      </c>
      <c r="B4053" t="s">
        <v>2187</v>
      </c>
      <c r="C4053" t="s">
        <v>42</v>
      </c>
      <c r="D4053" t="s">
        <v>4052</v>
      </c>
      <c r="E4053" t="s">
        <v>4053</v>
      </c>
      <c r="F4053" t="s">
        <v>4054</v>
      </c>
      <c r="G4053">
        <v>3.5</v>
      </c>
      <c r="H4053" s="2">
        <v>1227.74</v>
      </c>
      <c r="I4053" s="2">
        <v>42.97</v>
      </c>
    </row>
    <row r="4054" spans="1:9" x14ac:dyDescent="0.25">
      <c r="A4054" t="s">
        <v>2189</v>
      </c>
      <c r="B4054" t="s">
        <v>2190</v>
      </c>
      <c r="C4054" t="s">
        <v>42</v>
      </c>
      <c r="D4054" t="s">
        <v>4062</v>
      </c>
      <c r="E4054" t="s">
        <v>6214</v>
      </c>
      <c r="F4054" t="s">
        <v>42</v>
      </c>
      <c r="G4054">
        <v>1</v>
      </c>
      <c r="H4054" s="2">
        <v>15011</v>
      </c>
      <c r="I4054" s="2">
        <v>15011</v>
      </c>
    </row>
    <row r="4055" spans="1:9" x14ac:dyDescent="0.25">
      <c r="A4055" t="s">
        <v>2189</v>
      </c>
      <c r="B4055" t="s">
        <v>2190</v>
      </c>
      <c r="C4055" t="s">
        <v>42</v>
      </c>
      <c r="D4055" t="s">
        <v>4062</v>
      </c>
      <c r="E4055" t="s">
        <v>4659</v>
      </c>
      <c r="F4055" t="s">
        <v>4377</v>
      </c>
      <c r="G4055">
        <v>0.01</v>
      </c>
      <c r="H4055" s="2">
        <v>31500</v>
      </c>
      <c r="I4055" s="2">
        <v>207.9</v>
      </c>
    </row>
    <row r="4056" spans="1:9" x14ac:dyDescent="0.25">
      <c r="A4056" t="s">
        <v>2189</v>
      </c>
      <c r="B4056" t="s">
        <v>2190</v>
      </c>
      <c r="C4056" t="s">
        <v>42</v>
      </c>
      <c r="D4056" t="s">
        <v>4062</v>
      </c>
      <c r="E4056" t="s">
        <v>4376</v>
      </c>
      <c r="F4056" t="s">
        <v>4377</v>
      </c>
      <c r="G4056">
        <v>0.01</v>
      </c>
      <c r="H4056" s="2">
        <v>72237.67</v>
      </c>
      <c r="I4056" s="2">
        <v>476.77</v>
      </c>
    </row>
    <row r="4057" spans="1:9" x14ac:dyDescent="0.25">
      <c r="A4057" t="s">
        <v>2189</v>
      </c>
      <c r="B4057" t="s">
        <v>2190</v>
      </c>
      <c r="C4057" t="s">
        <v>42</v>
      </c>
      <c r="D4057" t="s">
        <v>4049</v>
      </c>
      <c r="E4057" t="s">
        <v>4176</v>
      </c>
      <c r="F4057" t="s">
        <v>4177</v>
      </c>
      <c r="G4057">
        <v>0.01</v>
      </c>
      <c r="H4057" s="2">
        <v>72300.17</v>
      </c>
      <c r="I4057" s="2">
        <v>723</v>
      </c>
    </row>
    <row r="4058" spans="1:9" x14ac:dyDescent="0.25">
      <c r="A4058" t="s">
        <v>2189</v>
      </c>
      <c r="B4058" t="s">
        <v>2190</v>
      </c>
      <c r="C4058" t="s">
        <v>42</v>
      </c>
      <c r="D4058" t="s">
        <v>4049</v>
      </c>
      <c r="E4058" t="s">
        <v>4313</v>
      </c>
      <c r="F4058" t="s">
        <v>4177</v>
      </c>
      <c r="G4058">
        <v>0.01</v>
      </c>
      <c r="H4058" s="2">
        <v>124137.15</v>
      </c>
      <c r="I4058" s="2">
        <v>1241.37</v>
      </c>
    </row>
    <row r="4059" spans="1:9" x14ac:dyDescent="0.25">
      <c r="A4059" t="s">
        <v>2189</v>
      </c>
      <c r="B4059" t="s">
        <v>2190</v>
      </c>
      <c r="C4059" t="s">
        <v>42</v>
      </c>
      <c r="D4059" t="s">
        <v>4052</v>
      </c>
      <c r="E4059" t="s">
        <v>4053</v>
      </c>
      <c r="F4059" t="s">
        <v>4054</v>
      </c>
      <c r="G4059">
        <v>3.5</v>
      </c>
      <c r="H4059" s="2">
        <v>1964.37</v>
      </c>
      <c r="I4059" s="2">
        <v>68.75</v>
      </c>
    </row>
    <row r="4060" spans="1:9" x14ac:dyDescent="0.25">
      <c r="A4060" t="s">
        <v>2192</v>
      </c>
      <c r="B4060" t="s">
        <v>2193</v>
      </c>
      <c r="C4060" t="s">
        <v>42</v>
      </c>
      <c r="D4060" t="s">
        <v>4062</v>
      </c>
      <c r="E4060" t="s">
        <v>6217</v>
      </c>
      <c r="F4060" t="s">
        <v>42</v>
      </c>
      <c r="G4060">
        <v>1.05</v>
      </c>
      <c r="H4060" s="2">
        <v>22397</v>
      </c>
      <c r="I4060" s="2">
        <v>23516.85</v>
      </c>
    </row>
    <row r="4061" spans="1:9" x14ac:dyDescent="0.25">
      <c r="A4061" t="s">
        <v>2192</v>
      </c>
      <c r="B4061" t="s">
        <v>2193</v>
      </c>
      <c r="C4061" t="s">
        <v>42</v>
      </c>
      <c r="D4061" t="s">
        <v>4062</v>
      </c>
      <c r="E4061" t="s">
        <v>4659</v>
      </c>
      <c r="F4061" t="s">
        <v>4377</v>
      </c>
      <c r="G4061">
        <v>0.17</v>
      </c>
      <c r="H4061" s="2">
        <v>31500</v>
      </c>
      <c r="I4061" s="2">
        <v>5229</v>
      </c>
    </row>
    <row r="4062" spans="1:9" x14ac:dyDescent="0.25">
      <c r="A4062" t="s">
        <v>2192</v>
      </c>
      <c r="B4062" t="s">
        <v>2193</v>
      </c>
      <c r="C4062" t="s">
        <v>42</v>
      </c>
      <c r="D4062" t="s">
        <v>4062</v>
      </c>
      <c r="E4062" t="s">
        <v>4376</v>
      </c>
      <c r="F4062" t="s">
        <v>4377</v>
      </c>
      <c r="G4062">
        <v>0.17</v>
      </c>
      <c r="H4062" s="2">
        <v>72237.67</v>
      </c>
      <c r="I4062" s="2">
        <v>11991.45</v>
      </c>
    </row>
    <row r="4063" spans="1:9" x14ac:dyDescent="0.25">
      <c r="A4063" t="s">
        <v>2192</v>
      </c>
      <c r="B4063" t="s">
        <v>2193</v>
      </c>
      <c r="C4063" t="s">
        <v>42</v>
      </c>
      <c r="D4063" t="s">
        <v>4049</v>
      </c>
      <c r="E4063" t="s">
        <v>4176</v>
      </c>
      <c r="F4063" t="s">
        <v>4177</v>
      </c>
      <c r="G4063">
        <v>0.01</v>
      </c>
      <c r="H4063" s="2">
        <v>72300.17</v>
      </c>
      <c r="I4063" s="2">
        <v>723</v>
      </c>
    </row>
    <row r="4064" spans="1:9" x14ac:dyDescent="0.25">
      <c r="A4064" t="s">
        <v>2192</v>
      </c>
      <c r="B4064" t="s">
        <v>2193</v>
      </c>
      <c r="C4064" t="s">
        <v>42</v>
      </c>
      <c r="D4064" t="s">
        <v>4049</v>
      </c>
      <c r="E4064" t="s">
        <v>4313</v>
      </c>
      <c r="F4064" t="s">
        <v>4177</v>
      </c>
      <c r="G4064">
        <v>0.01</v>
      </c>
      <c r="H4064" s="2">
        <v>124137.15</v>
      </c>
      <c r="I4064" s="2">
        <v>1241.37</v>
      </c>
    </row>
    <row r="4065" spans="1:9" x14ac:dyDescent="0.25">
      <c r="A4065" t="s">
        <v>2192</v>
      </c>
      <c r="B4065" t="s">
        <v>2193</v>
      </c>
      <c r="C4065" t="s">
        <v>42</v>
      </c>
      <c r="D4065" t="s">
        <v>4052</v>
      </c>
      <c r="E4065" t="s">
        <v>4053</v>
      </c>
      <c r="F4065" t="s">
        <v>4054</v>
      </c>
      <c r="G4065">
        <v>3.5</v>
      </c>
      <c r="H4065" s="2">
        <v>1964.37</v>
      </c>
      <c r="I4065" s="2">
        <v>68.75</v>
      </c>
    </row>
    <row r="4066" spans="1:9" x14ac:dyDescent="0.25">
      <c r="A4066" t="s">
        <v>2195</v>
      </c>
      <c r="B4066" t="s">
        <v>2196</v>
      </c>
      <c r="C4066" t="s">
        <v>42</v>
      </c>
      <c r="D4066" t="s">
        <v>4062</v>
      </c>
      <c r="E4066" t="s">
        <v>6220</v>
      </c>
      <c r="F4066" t="s">
        <v>42</v>
      </c>
      <c r="G4066">
        <v>1.05</v>
      </c>
      <c r="H4066" s="2">
        <v>18678</v>
      </c>
      <c r="I4066" s="2">
        <v>19611.9</v>
      </c>
    </row>
    <row r="4067" spans="1:9" x14ac:dyDescent="0.25">
      <c r="A4067" t="s">
        <v>2195</v>
      </c>
      <c r="B4067" t="s">
        <v>2196</v>
      </c>
      <c r="C4067" t="s">
        <v>42</v>
      </c>
      <c r="D4067" t="s">
        <v>4062</v>
      </c>
      <c r="E4067" t="s">
        <v>6166</v>
      </c>
      <c r="F4067" t="s">
        <v>63</v>
      </c>
      <c r="G4067">
        <v>0</v>
      </c>
      <c r="H4067" s="2">
        <v>19750</v>
      </c>
      <c r="I4067" s="2">
        <v>18.29</v>
      </c>
    </row>
    <row r="4068" spans="1:9" x14ac:dyDescent="0.25">
      <c r="A4068" t="s">
        <v>2195</v>
      </c>
      <c r="B4068" t="s">
        <v>2196</v>
      </c>
      <c r="C4068" t="s">
        <v>42</v>
      </c>
      <c r="D4068" t="s">
        <v>4049</v>
      </c>
      <c r="E4068" t="s">
        <v>4176</v>
      </c>
      <c r="F4068" t="s">
        <v>4177</v>
      </c>
      <c r="G4068">
        <v>0.01</v>
      </c>
      <c r="H4068" s="2">
        <v>72300.17</v>
      </c>
      <c r="I4068" s="2">
        <v>451.88</v>
      </c>
    </row>
    <row r="4069" spans="1:9" x14ac:dyDescent="0.25">
      <c r="A4069" t="s">
        <v>2195</v>
      </c>
      <c r="B4069" t="s">
        <v>2196</v>
      </c>
      <c r="C4069" t="s">
        <v>42</v>
      </c>
      <c r="D4069" t="s">
        <v>4049</v>
      </c>
      <c r="E4069" t="s">
        <v>4313</v>
      </c>
      <c r="F4069" t="s">
        <v>4177</v>
      </c>
      <c r="G4069">
        <v>0.01</v>
      </c>
      <c r="H4069" s="2">
        <v>124137.15</v>
      </c>
      <c r="I4069" s="2">
        <v>775.86</v>
      </c>
    </row>
    <row r="4070" spans="1:9" x14ac:dyDescent="0.25">
      <c r="A4070" t="s">
        <v>2195</v>
      </c>
      <c r="B4070" t="s">
        <v>2196</v>
      </c>
      <c r="C4070" t="s">
        <v>42</v>
      </c>
      <c r="D4070" t="s">
        <v>4052</v>
      </c>
      <c r="E4070" t="s">
        <v>4053</v>
      </c>
      <c r="F4070" t="s">
        <v>4054</v>
      </c>
      <c r="G4070">
        <v>3.5</v>
      </c>
      <c r="H4070" s="2">
        <v>1227.74</v>
      </c>
      <c r="I4070" s="2">
        <v>42.97</v>
      </c>
    </row>
    <row r="4071" spans="1:9" x14ac:dyDescent="0.25">
      <c r="A4071" t="s">
        <v>2198</v>
      </c>
      <c r="B4071" t="s">
        <v>2199</v>
      </c>
      <c r="C4071" t="s">
        <v>42</v>
      </c>
      <c r="D4071" t="s">
        <v>4062</v>
      </c>
      <c r="E4071" t="s">
        <v>6223</v>
      </c>
      <c r="F4071" t="s">
        <v>42</v>
      </c>
      <c r="G4071">
        <v>1.05</v>
      </c>
      <c r="H4071" s="2">
        <v>15431</v>
      </c>
      <c r="I4071" s="2">
        <v>16202.55</v>
      </c>
    </row>
    <row r="4072" spans="1:9" x14ac:dyDescent="0.25">
      <c r="A4072" t="s">
        <v>2198</v>
      </c>
      <c r="B4072" t="s">
        <v>2199</v>
      </c>
      <c r="C4072" t="s">
        <v>42</v>
      </c>
      <c r="D4072" t="s">
        <v>4062</v>
      </c>
      <c r="E4072" t="s">
        <v>6166</v>
      </c>
      <c r="F4072" t="s">
        <v>63</v>
      </c>
      <c r="G4072">
        <v>0</v>
      </c>
      <c r="H4072" s="2">
        <v>19750</v>
      </c>
      <c r="I4072" s="2">
        <v>18.29</v>
      </c>
    </row>
    <row r="4073" spans="1:9" x14ac:dyDescent="0.25">
      <c r="A4073" t="s">
        <v>2198</v>
      </c>
      <c r="B4073" t="s">
        <v>2199</v>
      </c>
      <c r="C4073" t="s">
        <v>42</v>
      </c>
      <c r="D4073" t="s">
        <v>4049</v>
      </c>
      <c r="E4073" t="s">
        <v>4176</v>
      </c>
      <c r="F4073" t="s">
        <v>4177</v>
      </c>
      <c r="G4073">
        <v>0.01</v>
      </c>
      <c r="H4073" s="2">
        <v>72300.17</v>
      </c>
      <c r="I4073" s="2">
        <v>451.88</v>
      </c>
    </row>
    <row r="4074" spans="1:9" x14ac:dyDescent="0.25">
      <c r="A4074" t="s">
        <v>2198</v>
      </c>
      <c r="B4074" t="s">
        <v>2199</v>
      </c>
      <c r="C4074" t="s">
        <v>42</v>
      </c>
      <c r="D4074" t="s">
        <v>4049</v>
      </c>
      <c r="E4074" t="s">
        <v>4313</v>
      </c>
      <c r="F4074" t="s">
        <v>4177</v>
      </c>
      <c r="G4074">
        <v>0.01</v>
      </c>
      <c r="H4074" s="2">
        <v>124137.15</v>
      </c>
      <c r="I4074" s="2">
        <v>775.86</v>
      </c>
    </row>
    <row r="4075" spans="1:9" x14ac:dyDescent="0.25">
      <c r="A4075" t="s">
        <v>2198</v>
      </c>
      <c r="B4075" t="s">
        <v>2199</v>
      </c>
      <c r="C4075" t="s">
        <v>42</v>
      </c>
      <c r="D4075" t="s">
        <v>4052</v>
      </c>
      <c r="E4075" t="s">
        <v>4053</v>
      </c>
      <c r="F4075" t="s">
        <v>4054</v>
      </c>
      <c r="G4075">
        <v>3.5</v>
      </c>
      <c r="H4075" s="2">
        <v>1227.74</v>
      </c>
      <c r="I4075" s="2">
        <v>42.97</v>
      </c>
    </row>
    <row r="4076" spans="1:9" x14ac:dyDescent="0.25">
      <c r="A4076" t="s">
        <v>2201</v>
      </c>
      <c r="B4076" t="s">
        <v>2202</v>
      </c>
      <c r="C4076" t="s">
        <v>42</v>
      </c>
      <c r="D4076" t="s">
        <v>4062</v>
      </c>
      <c r="E4076" t="s">
        <v>6226</v>
      </c>
      <c r="F4076" t="s">
        <v>42</v>
      </c>
      <c r="G4076">
        <v>1.05</v>
      </c>
      <c r="H4076" s="2">
        <v>36953</v>
      </c>
      <c r="I4076" s="2">
        <v>38800.65</v>
      </c>
    </row>
    <row r="4077" spans="1:9" x14ac:dyDescent="0.25">
      <c r="A4077" t="s">
        <v>2201</v>
      </c>
      <c r="B4077" t="s">
        <v>2202</v>
      </c>
      <c r="C4077" t="s">
        <v>42</v>
      </c>
      <c r="D4077" t="s">
        <v>4062</v>
      </c>
      <c r="E4077" t="s">
        <v>6166</v>
      </c>
      <c r="F4077" t="s">
        <v>63</v>
      </c>
      <c r="G4077">
        <v>0</v>
      </c>
      <c r="H4077" s="2">
        <v>19750</v>
      </c>
      <c r="I4077" s="2">
        <v>32.92</v>
      </c>
    </row>
    <row r="4078" spans="1:9" x14ac:dyDescent="0.25">
      <c r="A4078" t="s">
        <v>2201</v>
      </c>
      <c r="B4078" t="s">
        <v>2202</v>
      </c>
      <c r="C4078" t="s">
        <v>42</v>
      </c>
      <c r="D4078" t="s">
        <v>4049</v>
      </c>
      <c r="E4078" t="s">
        <v>4176</v>
      </c>
      <c r="F4078" t="s">
        <v>4177</v>
      </c>
      <c r="G4078">
        <v>0.01</v>
      </c>
      <c r="H4078" s="2">
        <v>72300.17</v>
      </c>
      <c r="I4078" s="2">
        <v>451.88</v>
      </c>
    </row>
    <row r="4079" spans="1:9" x14ac:dyDescent="0.25">
      <c r="A4079" t="s">
        <v>2201</v>
      </c>
      <c r="B4079" t="s">
        <v>2202</v>
      </c>
      <c r="C4079" t="s">
        <v>42</v>
      </c>
      <c r="D4079" t="s">
        <v>4049</v>
      </c>
      <c r="E4079" t="s">
        <v>4313</v>
      </c>
      <c r="F4079" t="s">
        <v>4177</v>
      </c>
      <c r="G4079">
        <v>0.01</v>
      </c>
      <c r="H4079" s="2">
        <v>124137.15</v>
      </c>
      <c r="I4079" s="2">
        <v>775.86</v>
      </c>
    </row>
    <row r="4080" spans="1:9" x14ac:dyDescent="0.25">
      <c r="A4080" t="s">
        <v>2201</v>
      </c>
      <c r="B4080" t="s">
        <v>2202</v>
      </c>
      <c r="C4080" t="s">
        <v>42</v>
      </c>
      <c r="D4080" t="s">
        <v>4052</v>
      </c>
      <c r="E4080" t="s">
        <v>4053</v>
      </c>
      <c r="F4080" t="s">
        <v>4054</v>
      </c>
      <c r="G4080">
        <v>3.5</v>
      </c>
      <c r="H4080" s="2">
        <v>1227.74</v>
      </c>
      <c r="I4080" s="2">
        <v>42.97</v>
      </c>
    </row>
    <row r="4081" spans="1:9" x14ac:dyDescent="0.25">
      <c r="A4081" t="s">
        <v>2204</v>
      </c>
      <c r="B4081" t="s">
        <v>2205</v>
      </c>
      <c r="C4081" t="s">
        <v>42</v>
      </c>
      <c r="D4081" t="s">
        <v>4062</v>
      </c>
      <c r="E4081" t="s">
        <v>6229</v>
      </c>
      <c r="F4081" t="s">
        <v>42</v>
      </c>
      <c r="G4081">
        <v>1.05</v>
      </c>
      <c r="H4081" s="2">
        <v>30845</v>
      </c>
      <c r="I4081" s="2">
        <v>32387.25</v>
      </c>
    </row>
    <row r="4082" spans="1:9" x14ac:dyDescent="0.25">
      <c r="A4082" t="s">
        <v>2204</v>
      </c>
      <c r="B4082" t="s">
        <v>2205</v>
      </c>
      <c r="C4082" t="s">
        <v>42</v>
      </c>
      <c r="D4082" t="s">
        <v>4062</v>
      </c>
      <c r="E4082" t="s">
        <v>6166</v>
      </c>
      <c r="F4082" t="s">
        <v>63</v>
      </c>
      <c r="G4082">
        <v>0</v>
      </c>
      <c r="H4082" s="2">
        <v>19750</v>
      </c>
      <c r="I4082" s="2">
        <v>32.92</v>
      </c>
    </row>
    <row r="4083" spans="1:9" x14ac:dyDescent="0.25">
      <c r="A4083" t="s">
        <v>2204</v>
      </c>
      <c r="B4083" t="s">
        <v>2205</v>
      </c>
      <c r="C4083" t="s">
        <v>42</v>
      </c>
      <c r="D4083" t="s">
        <v>4049</v>
      </c>
      <c r="E4083" t="s">
        <v>4176</v>
      </c>
      <c r="F4083" t="s">
        <v>4177</v>
      </c>
      <c r="G4083">
        <v>0.01</v>
      </c>
      <c r="H4083" s="2">
        <v>72300.17</v>
      </c>
      <c r="I4083" s="2">
        <v>451.88</v>
      </c>
    </row>
    <row r="4084" spans="1:9" x14ac:dyDescent="0.25">
      <c r="A4084" t="s">
        <v>2204</v>
      </c>
      <c r="B4084" t="s">
        <v>2205</v>
      </c>
      <c r="C4084" t="s">
        <v>42</v>
      </c>
      <c r="D4084" t="s">
        <v>4049</v>
      </c>
      <c r="E4084" t="s">
        <v>4313</v>
      </c>
      <c r="F4084" t="s">
        <v>4177</v>
      </c>
      <c r="G4084">
        <v>0.01</v>
      </c>
      <c r="H4084" s="2">
        <v>124137.15</v>
      </c>
      <c r="I4084" s="2">
        <v>775.86</v>
      </c>
    </row>
    <row r="4085" spans="1:9" x14ac:dyDescent="0.25">
      <c r="A4085" t="s">
        <v>2204</v>
      </c>
      <c r="B4085" t="s">
        <v>2205</v>
      </c>
      <c r="C4085" t="s">
        <v>42</v>
      </c>
      <c r="D4085" t="s">
        <v>4052</v>
      </c>
      <c r="E4085" t="s">
        <v>4053</v>
      </c>
      <c r="F4085" t="s">
        <v>4054</v>
      </c>
      <c r="G4085">
        <v>3.5</v>
      </c>
      <c r="H4085" s="2">
        <v>1227.74</v>
      </c>
      <c r="I4085" s="2">
        <v>42.97</v>
      </c>
    </row>
    <row r="4086" spans="1:9" x14ac:dyDescent="0.25">
      <c r="A4086" t="s">
        <v>2207</v>
      </c>
      <c r="B4086" t="s">
        <v>2208</v>
      </c>
      <c r="C4086" t="s">
        <v>42</v>
      </c>
      <c r="D4086" t="s">
        <v>4062</v>
      </c>
      <c r="E4086" t="s">
        <v>6232</v>
      </c>
      <c r="F4086" t="s">
        <v>42</v>
      </c>
      <c r="G4086">
        <v>1</v>
      </c>
      <c r="H4086" s="2">
        <v>25455</v>
      </c>
      <c r="I4086" s="2">
        <v>25455</v>
      </c>
    </row>
    <row r="4087" spans="1:9" x14ac:dyDescent="0.25">
      <c r="A4087" t="s">
        <v>2207</v>
      </c>
      <c r="B4087" t="s">
        <v>2208</v>
      </c>
      <c r="C4087" t="s">
        <v>42</v>
      </c>
      <c r="D4087" t="s">
        <v>4062</v>
      </c>
      <c r="E4087" t="s">
        <v>6166</v>
      </c>
      <c r="F4087" t="s">
        <v>63</v>
      </c>
      <c r="G4087">
        <v>0</v>
      </c>
      <c r="H4087" s="2">
        <v>19750</v>
      </c>
      <c r="I4087" s="2">
        <v>32.92</v>
      </c>
    </row>
    <row r="4088" spans="1:9" x14ac:dyDescent="0.25">
      <c r="A4088" t="s">
        <v>2207</v>
      </c>
      <c r="B4088" t="s">
        <v>2208</v>
      </c>
      <c r="C4088" t="s">
        <v>42</v>
      </c>
      <c r="D4088" t="s">
        <v>4049</v>
      </c>
      <c r="E4088" t="s">
        <v>4176</v>
      </c>
      <c r="F4088" t="s">
        <v>4177</v>
      </c>
      <c r="G4088">
        <v>0.01</v>
      </c>
      <c r="H4088" s="2">
        <v>72300.17</v>
      </c>
      <c r="I4088" s="2">
        <v>451.88</v>
      </c>
    </row>
    <row r="4089" spans="1:9" x14ac:dyDescent="0.25">
      <c r="A4089" t="s">
        <v>2207</v>
      </c>
      <c r="B4089" t="s">
        <v>2208</v>
      </c>
      <c r="C4089" t="s">
        <v>42</v>
      </c>
      <c r="D4089" t="s">
        <v>4049</v>
      </c>
      <c r="E4089" t="s">
        <v>4313</v>
      </c>
      <c r="F4089" t="s">
        <v>4177</v>
      </c>
      <c r="G4089">
        <v>0.01</v>
      </c>
      <c r="H4089" s="2">
        <v>124137.15</v>
      </c>
      <c r="I4089" s="2">
        <v>775.86</v>
      </c>
    </row>
    <row r="4090" spans="1:9" x14ac:dyDescent="0.25">
      <c r="A4090" t="s">
        <v>2207</v>
      </c>
      <c r="B4090" t="s">
        <v>2208</v>
      </c>
      <c r="C4090" t="s">
        <v>42</v>
      </c>
      <c r="D4090" t="s">
        <v>4052</v>
      </c>
      <c r="E4090" t="s">
        <v>4053</v>
      </c>
      <c r="F4090" t="s">
        <v>4054</v>
      </c>
      <c r="G4090">
        <v>3.5</v>
      </c>
      <c r="H4090" s="2">
        <v>1227.74</v>
      </c>
      <c r="I4090" s="2">
        <v>42.97</v>
      </c>
    </row>
    <row r="4091" spans="1:9" x14ac:dyDescent="0.25">
      <c r="A4091" t="s">
        <v>2210</v>
      </c>
      <c r="B4091" t="s">
        <v>2211</v>
      </c>
      <c r="C4091" t="s">
        <v>42</v>
      </c>
      <c r="D4091" t="s">
        <v>4062</v>
      </c>
      <c r="E4091" t="s">
        <v>6235</v>
      </c>
      <c r="F4091" t="s">
        <v>42</v>
      </c>
      <c r="G4091">
        <v>1.05</v>
      </c>
      <c r="H4091" s="2">
        <v>80685</v>
      </c>
      <c r="I4091" s="2">
        <v>84719.25</v>
      </c>
    </row>
    <row r="4092" spans="1:9" x14ac:dyDescent="0.25">
      <c r="A4092" t="s">
        <v>2210</v>
      </c>
      <c r="B4092" t="s">
        <v>2211</v>
      </c>
      <c r="C4092" t="s">
        <v>42</v>
      </c>
      <c r="D4092" t="s">
        <v>4062</v>
      </c>
      <c r="E4092" t="s">
        <v>6166</v>
      </c>
      <c r="F4092" t="s">
        <v>63</v>
      </c>
      <c r="G4092">
        <v>0</v>
      </c>
      <c r="H4092" s="2">
        <v>19750</v>
      </c>
      <c r="I4092" s="2">
        <v>73.15</v>
      </c>
    </row>
    <row r="4093" spans="1:9" x14ac:dyDescent="0.25">
      <c r="A4093" t="s">
        <v>2210</v>
      </c>
      <c r="B4093" t="s">
        <v>2211</v>
      </c>
      <c r="C4093" t="s">
        <v>42</v>
      </c>
      <c r="D4093" t="s">
        <v>4049</v>
      </c>
      <c r="E4093" t="s">
        <v>4176</v>
      </c>
      <c r="F4093" t="s">
        <v>4177</v>
      </c>
      <c r="G4093">
        <v>0.02</v>
      </c>
      <c r="H4093" s="2">
        <v>72300.17</v>
      </c>
      <c r="I4093" s="2">
        <v>1205</v>
      </c>
    </row>
    <row r="4094" spans="1:9" x14ac:dyDescent="0.25">
      <c r="A4094" t="s">
        <v>2210</v>
      </c>
      <c r="B4094" t="s">
        <v>2211</v>
      </c>
      <c r="C4094" t="s">
        <v>42</v>
      </c>
      <c r="D4094" t="s">
        <v>4049</v>
      </c>
      <c r="E4094" t="s">
        <v>4313</v>
      </c>
      <c r="F4094" t="s">
        <v>4177</v>
      </c>
      <c r="G4094">
        <v>0.02</v>
      </c>
      <c r="H4094" s="2">
        <v>124137.15</v>
      </c>
      <c r="I4094" s="2">
        <v>2068.95</v>
      </c>
    </row>
    <row r="4095" spans="1:9" x14ac:dyDescent="0.25">
      <c r="A4095" t="s">
        <v>2210</v>
      </c>
      <c r="B4095" t="s">
        <v>2211</v>
      </c>
      <c r="C4095" t="s">
        <v>42</v>
      </c>
      <c r="D4095" t="s">
        <v>4052</v>
      </c>
      <c r="E4095" t="s">
        <v>4053</v>
      </c>
      <c r="F4095" t="s">
        <v>4054</v>
      </c>
      <c r="G4095">
        <v>3.5</v>
      </c>
      <c r="H4095" s="2">
        <v>3273.95</v>
      </c>
      <c r="I4095" s="2">
        <v>114.59</v>
      </c>
    </row>
    <row r="4096" spans="1:9" x14ac:dyDescent="0.25">
      <c r="A4096" t="s">
        <v>2213</v>
      </c>
      <c r="B4096" t="s">
        <v>2214</v>
      </c>
      <c r="C4096" t="s">
        <v>42</v>
      </c>
      <c r="D4096" t="s">
        <v>4062</v>
      </c>
      <c r="E4096" t="s">
        <v>6238</v>
      </c>
      <c r="F4096" t="s">
        <v>42</v>
      </c>
      <c r="G4096">
        <v>1.05</v>
      </c>
      <c r="H4096" s="2">
        <v>66084</v>
      </c>
      <c r="I4096" s="2">
        <v>69388.2</v>
      </c>
    </row>
    <row r="4097" spans="1:9" x14ac:dyDescent="0.25">
      <c r="A4097" t="s">
        <v>2213</v>
      </c>
      <c r="B4097" t="s">
        <v>2214</v>
      </c>
      <c r="C4097" t="s">
        <v>42</v>
      </c>
      <c r="D4097" t="s">
        <v>4062</v>
      </c>
      <c r="E4097" t="s">
        <v>6166</v>
      </c>
      <c r="F4097" t="s">
        <v>63</v>
      </c>
      <c r="G4097">
        <v>0</v>
      </c>
      <c r="H4097" s="2">
        <v>19750</v>
      </c>
      <c r="I4097" s="2">
        <v>73.15</v>
      </c>
    </row>
    <row r="4098" spans="1:9" x14ac:dyDescent="0.25">
      <c r="A4098" t="s">
        <v>2213</v>
      </c>
      <c r="B4098" t="s">
        <v>2214</v>
      </c>
      <c r="C4098" t="s">
        <v>42</v>
      </c>
      <c r="D4098" t="s">
        <v>4049</v>
      </c>
      <c r="E4098" t="s">
        <v>4176</v>
      </c>
      <c r="F4098" t="s">
        <v>4177</v>
      </c>
      <c r="G4098">
        <v>0.02</v>
      </c>
      <c r="H4098" s="2">
        <v>72300.17</v>
      </c>
      <c r="I4098" s="2">
        <v>1205</v>
      </c>
    </row>
    <row r="4099" spans="1:9" x14ac:dyDescent="0.25">
      <c r="A4099" t="s">
        <v>2213</v>
      </c>
      <c r="B4099" t="s">
        <v>2214</v>
      </c>
      <c r="C4099" t="s">
        <v>42</v>
      </c>
      <c r="D4099" t="s">
        <v>4049</v>
      </c>
      <c r="E4099" t="s">
        <v>4313</v>
      </c>
      <c r="F4099" t="s">
        <v>4177</v>
      </c>
      <c r="G4099">
        <v>0.02</v>
      </c>
      <c r="H4099" s="2">
        <v>124137.15</v>
      </c>
      <c r="I4099" s="2">
        <v>2068.95</v>
      </c>
    </row>
    <row r="4100" spans="1:9" x14ac:dyDescent="0.25">
      <c r="A4100" t="s">
        <v>2213</v>
      </c>
      <c r="B4100" t="s">
        <v>2214</v>
      </c>
      <c r="C4100" t="s">
        <v>42</v>
      </c>
      <c r="D4100" t="s">
        <v>4052</v>
      </c>
      <c r="E4100" t="s">
        <v>4053</v>
      </c>
      <c r="F4100" t="s">
        <v>4054</v>
      </c>
      <c r="G4100">
        <v>3.5</v>
      </c>
      <c r="H4100" s="2">
        <v>3273.95</v>
      </c>
      <c r="I4100" s="2">
        <v>114.59</v>
      </c>
    </row>
    <row r="4101" spans="1:9" x14ac:dyDescent="0.25">
      <c r="A4101" t="s">
        <v>2216</v>
      </c>
      <c r="B4101" t="s">
        <v>2217</v>
      </c>
      <c r="C4101" t="s">
        <v>42</v>
      </c>
      <c r="D4101" t="s">
        <v>4062</v>
      </c>
      <c r="E4101" t="s">
        <v>6241</v>
      </c>
      <c r="F4101" t="s">
        <v>42</v>
      </c>
      <c r="G4101">
        <v>1.05</v>
      </c>
      <c r="H4101" s="2">
        <v>53911</v>
      </c>
      <c r="I4101" s="2">
        <v>56606.55</v>
      </c>
    </row>
    <row r="4102" spans="1:9" x14ac:dyDescent="0.25">
      <c r="A4102" t="s">
        <v>2216</v>
      </c>
      <c r="B4102" t="s">
        <v>2217</v>
      </c>
      <c r="C4102" t="s">
        <v>42</v>
      </c>
      <c r="D4102" t="s">
        <v>4062</v>
      </c>
      <c r="E4102" t="s">
        <v>6166</v>
      </c>
      <c r="F4102" t="s">
        <v>63</v>
      </c>
      <c r="G4102">
        <v>0</v>
      </c>
      <c r="H4102" s="2">
        <v>19750</v>
      </c>
      <c r="I4102" s="2">
        <v>73.15</v>
      </c>
    </row>
    <row r="4103" spans="1:9" x14ac:dyDescent="0.25">
      <c r="A4103" t="s">
        <v>2216</v>
      </c>
      <c r="B4103" t="s">
        <v>2217</v>
      </c>
      <c r="C4103" t="s">
        <v>42</v>
      </c>
      <c r="D4103" t="s">
        <v>4062</v>
      </c>
      <c r="E4103" t="s">
        <v>6242</v>
      </c>
      <c r="F4103" t="s">
        <v>42</v>
      </c>
      <c r="G4103">
        <v>1.05</v>
      </c>
      <c r="H4103" s="2">
        <v>136670</v>
      </c>
      <c r="I4103" s="2">
        <v>143503.5</v>
      </c>
    </row>
    <row r="4104" spans="1:9" x14ac:dyDescent="0.25">
      <c r="A4104" t="s">
        <v>2216</v>
      </c>
      <c r="B4104" t="s">
        <v>2217</v>
      </c>
      <c r="C4104" t="s">
        <v>42</v>
      </c>
      <c r="D4104" t="s">
        <v>4062</v>
      </c>
      <c r="E4104" t="s">
        <v>6166</v>
      </c>
      <c r="F4104" t="s">
        <v>63</v>
      </c>
      <c r="G4104">
        <v>0.01</v>
      </c>
      <c r="H4104" s="2">
        <v>19750</v>
      </c>
      <c r="I4104" s="2">
        <v>109.72</v>
      </c>
    </row>
    <row r="4105" spans="1:9" x14ac:dyDescent="0.25">
      <c r="A4105" t="s">
        <v>2216</v>
      </c>
      <c r="B4105" t="s">
        <v>2217</v>
      </c>
      <c r="C4105" t="s">
        <v>42</v>
      </c>
      <c r="D4105" t="s">
        <v>4049</v>
      </c>
      <c r="E4105" t="s">
        <v>4176</v>
      </c>
      <c r="F4105" t="s">
        <v>4177</v>
      </c>
      <c r="G4105">
        <v>0.02</v>
      </c>
      <c r="H4105" s="2">
        <v>72300.17</v>
      </c>
      <c r="I4105" s="2">
        <v>1205</v>
      </c>
    </row>
    <row r="4106" spans="1:9" x14ac:dyDescent="0.25">
      <c r="A4106" t="s">
        <v>2216</v>
      </c>
      <c r="B4106" t="s">
        <v>2217</v>
      </c>
      <c r="C4106" t="s">
        <v>42</v>
      </c>
      <c r="D4106" t="s">
        <v>4049</v>
      </c>
      <c r="E4106" t="s">
        <v>4313</v>
      </c>
      <c r="F4106" t="s">
        <v>4177</v>
      </c>
      <c r="G4106">
        <v>0.02</v>
      </c>
      <c r="H4106" s="2">
        <v>124137.15</v>
      </c>
      <c r="I4106" s="2">
        <v>2068.95</v>
      </c>
    </row>
    <row r="4107" spans="1:9" x14ac:dyDescent="0.25">
      <c r="A4107" t="s">
        <v>2216</v>
      </c>
      <c r="B4107" t="s">
        <v>2217</v>
      </c>
      <c r="C4107" t="s">
        <v>42</v>
      </c>
      <c r="D4107" t="s">
        <v>4052</v>
      </c>
      <c r="E4107" t="s">
        <v>4053</v>
      </c>
      <c r="F4107" t="s">
        <v>4054</v>
      </c>
      <c r="G4107">
        <v>3.5</v>
      </c>
      <c r="H4107" s="2">
        <v>3273.95</v>
      </c>
      <c r="I4107" s="2">
        <v>114.59</v>
      </c>
    </row>
    <row r="4108" spans="1:9" x14ac:dyDescent="0.25">
      <c r="A4108" t="s">
        <v>2220</v>
      </c>
      <c r="B4108" t="s">
        <v>2221</v>
      </c>
      <c r="C4108" t="s">
        <v>42</v>
      </c>
      <c r="D4108" t="s">
        <v>4062</v>
      </c>
      <c r="E4108" t="s">
        <v>6245</v>
      </c>
      <c r="F4108" t="s">
        <v>42</v>
      </c>
      <c r="G4108">
        <v>1.05</v>
      </c>
      <c r="H4108" s="2">
        <v>112423</v>
      </c>
      <c r="I4108" s="2">
        <v>118044.15</v>
      </c>
    </row>
    <row r="4109" spans="1:9" x14ac:dyDescent="0.25">
      <c r="A4109" t="s">
        <v>2220</v>
      </c>
      <c r="B4109" t="s">
        <v>2221</v>
      </c>
      <c r="C4109" t="s">
        <v>42</v>
      </c>
      <c r="D4109" t="s">
        <v>4062</v>
      </c>
      <c r="E4109" t="s">
        <v>6166</v>
      </c>
      <c r="F4109" t="s">
        <v>63</v>
      </c>
      <c r="G4109">
        <v>0.01</v>
      </c>
      <c r="H4109" s="2">
        <v>19750</v>
      </c>
      <c r="I4109" s="2">
        <v>109.72</v>
      </c>
    </row>
    <row r="4110" spans="1:9" x14ac:dyDescent="0.25">
      <c r="A4110" t="s">
        <v>2220</v>
      </c>
      <c r="B4110" t="s">
        <v>2221</v>
      </c>
      <c r="C4110" t="s">
        <v>42</v>
      </c>
      <c r="D4110" t="s">
        <v>4049</v>
      </c>
      <c r="E4110" t="s">
        <v>4176</v>
      </c>
      <c r="F4110" t="s">
        <v>4177</v>
      </c>
      <c r="G4110">
        <v>0.02</v>
      </c>
      <c r="H4110" s="2">
        <v>72300.17</v>
      </c>
      <c r="I4110" s="2">
        <v>1205</v>
      </c>
    </row>
    <row r="4111" spans="1:9" x14ac:dyDescent="0.25">
      <c r="A4111" t="s">
        <v>2220</v>
      </c>
      <c r="B4111" t="s">
        <v>2221</v>
      </c>
      <c r="C4111" t="s">
        <v>42</v>
      </c>
      <c r="D4111" t="s">
        <v>4049</v>
      </c>
      <c r="E4111" t="s">
        <v>4313</v>
      </c>
      <c r="F4111" t="s">
        <v>4177</v>
      </c>
      <c r="G4111">
        <v>0.02</v>
      </c>
      <c r="H4111" s="2">
        <v>124137.15</v>
      </c>
      <c r="I4111" s="2">
        <v>2068.95</v>
      </c>
    </row>
    <row r="4112" spans="1:9" x14ac:dyDescent="0.25">
      <c r="A4112" t="s">
        <v>2220</v>
      </c>
      <c r="B4112" t="s">
        <v>2221</v>
      </c>
      <c r="C4112" t="s">
        <v>42</v>
      </c>
      <c r="D4112" t="s">
        <v>4052</v>
      </c>
      <c r="E4112" t="s">
        <v>4053</v>
      </c>
      <c r="F4112" t="s">
        <v>4054</v>
      </c>
      <c r="G4112">
        <v>3.5</v>
      </c>
      <c r="H4112" s="2">
        <v>3273.95</v>
      </c>
      <c r="I4112" s="2">
        <v>114.59</v>
      </c>
    </row>
    <row r="4113" spans="1:9" x14ac:dyDescent="0.25">
      <c r="A4113" t="s">
        <v>2223</v>
      </c>
      <c r="B4113" t="s">
        <v>2224</v>
      </c>
      <c r="C4113" t="s">
        <v>42</v>
      </c>
      <c r="D4113" t="s">
        <v>4062</v>
      </c>
      <c r="E4113" t="s">
        <v>6248</v>
      </c>
      <c r="F4113" t="s">
        <v>42</v>
      </c>
      <c r="G4113">
        <v>1.05</v>
      </c>
      <c r="H4113" s="2">
        <v>91744</v>
      </c>
      <c r="I4113" s="2">
        <v>96331.2</v>
      </c>
    </row>
    <row r="4114" spans="1:9" x14ac:dyDescent="0.25">
      <c r="A4114" t="s">
        <v>2223</v>
      </c>
      <c r="B4114" t="s">
        <v>2224</v>
      </c>
      <c r="C4114" t="s">
        <v>42</v>
      </c>
      <c r="D4114" t="s">
        <v>4062</v>
      </c>
      <c r="E4114" t="s">
        <v>6166</v>
      </c>
      <c r="F4114" t="s">
        <v>63</v>
      </c>
      <c r="G4114">
        <v>0.01</v>
      </c>
      <c r="H4114" s="2">
        <v>19750</v>
      </c>
      <c r="I4114" s="2">
        <v>109.72</v>
      </c>
    </row>
    <row r="4115" spans="1:9" x14ac:dyDescent="0.25">
      <c r="A4115" t="s">
        <v>2223</v>
      </c>
      <c r="B4115" t="s">
        <v>2224</v>
      </c>
      <c r="C4115" t="s">
        <v>42</v>
      </c>
      <c r="D4115" t="s">
        <v>4049</v>
      </c>
      <c r="E4115" t="s">
        <v>4176</v>
      </c>
      <c r="F4115" t="s">
        <v>4177</v>
      </c>
      <c r="G4115">
        <v>0.02</v>
      </c>
      <c r="H4115" s="2">
        <v>72300.17</v>
      </c>
      <c r="I4115" s="2">
        <v>1205</v>
      </c>
    </row>
    <row r="4116" spans="1:9" x14ac:dyDescent="0.25">
      <c r="A4116" t="s">
        <v>2223</v>
      </c>
      <c r="B4116" t="s">
        <v>2224</v>
      </c>
      <c r="C4116" t="s">
        <v>42</v>
      </c>
      <c r="D4116" t="s">
        <v>4049</v>
      </c>
      <c r="E4116" t="s">
        <v>4313</v>
      </c>
      <c r="F4116" t="s">
        <v>4177</v>
      </c>
      <c r="G4116">
        <v>0.02</v>
      </c>
      <c r="H4116" s="2">
        <v>124137.15</v>
      </c>
      <c r="I4116" s="2">
        <v>2068.95</v>
      </c>
    </row>
    <row r="4117" spans="1:9" x14ac:dyDescent="0.25">
      <c r="A4117" t="s">
        <v>2223</v>
      </c>
      <c r="B4117" t="s">
        <v>2224</v>
      </c>
      <c r="C4117" t="s">
        <v>42</v>
      </c>
      <c r="D4117" t="s">
        <v>4052</v>
      </c>
      <c r="E4117" t="s">
        <v>4053</v>
      </c>
      <c r="F4117" t="s">
        <v>4054</v>
      </c>
      <c r="G4117">
        <v>3.5</v>
      </c>
      <c r="H4117" s="2">
        <v>3273.95</v>
      </c>
      <c r="I4117" s="2">
        <v>114.59</v>
      </c>
    </row>
    <row r="4118" spans="1:9" x14ac:dyDescent="0.25">
      <c r="A4118" t="s">
        <v>2226</v>
      </c>
      <c r="B4118" t="s">
        <v>2227</v>
      </c>
      <c r="C4118" t="s">
        <v>42</v>
      </c>
      <c r="D4118" t="s">
        <v>4062</v>
      </c>
      <c r="E4118" t="s">
        <v>6251</v>
      </c>
      <c r="F4118" t="s">
        <v>42</v>
      </c>
      <c r="G4118">
        <v>1.05</v>
      </c>
      <c r="H4118" s="2">
        <v>301030</v>
      </c>
      <c r="I4118" s="2">
        <v>316081.5</v>
      </c>
    </row>
    <row r="4119" spans="1:9" x14ac:dyDescent="0.25">
      <c r="A4119" t="s">
        <v>2226</v>
      </c>
      <c r="B4119" t="s">
        <v>2227</v>
      </c>
      <c r="C4119" t="s">
        <v>42</v>
      </c>
      <c r="D4119" t="s">
        <v>4062</v>
      </c>
      <c r="E4119" t="s">
        <v>6166</v>
      </c>
      <c r="F4119" t="s">
        <v>63</v>
      </c>
      <c r="G4119">
        <v>0.01</v>
      </c>
      <c r="H4119" s="2">
        <v>19750</v>
      </c>
      <c r="I4119" s="2">
        <v>247.67</v>
      </c>
    </row>
    <row r="4120" spans="1:9" x14ac:dyDescent="0.25">
      <c r="A4120" t="s">
        <v>2226</v>
      </c>
      <c r="B4120" t="s">
        <v>2227</v>
      </c>
      <c r="C4120" t="s">
        <v>42</v>
      </c>
      <c r="D4120" t="s">
        <v>4049</v>
      </c>
      <c r="E4120" t="s">
        <v>4241</v>
      </c>
      <c r="F4120" t="s">
        <v>4051</v>
      </c>
      <c r="G4120">
        <v>0.22</v>
      </c>
      <c r="H4120" s="2">
        <v>9941.22</v>
      </c>
      <c r="I4120" s="2">
        <v>2153.93</v>
      </c>
    </row>
    <row r="4121" spans="1:9" x14ac:dyDescent="0.25">
      <c r="A4121" t="s">
        <v>2226</v>
      </c>
      <c r="B4121" t="s">
        <v>2227</v>
      </c>
      <c r="C4121" t="s">
        <v>42</v>
      </c>
      <c r="D4121" t="s">
        <v>4049</v>
      </c>
      <c r="E4121" t="s">
        <v>4242</v>
      </c>
      <c r="F4121" t="s">
        <v>4051</v>
      </c>
      <c r="G4121">
        <v>0.02</v>
      </c>
      <c r="H4121" s="2">
        <v>17069.53</v>
      </c>
      <c r="I4121" s="2">
        <v>369.84</v>
      </c>
    </row>
    <row r="4122" spans="1:9" x14ac:dyDescent="0.25">
      <c r="A4122" t="s">
        <v>2226</v>
      </c>
      <c r="B4122" t="s">
        <v>2227</v>
      </c>
      <c r="C4122" t="s">
        <v>42</v>
      </c>
      <c r="D4122" t="s">
        <v>4052</v>
      </c>
      <c r="E4122" t="s">
        <v>4053</v>
      </c>
      <c r="F4122" t="s">
        <v>4054</v>
      </c>
      <c r="G4122">
        <v>3.5</v>
      </c>
      <c r="H4122" s="2">
        <v>2523.77</v>
      </c>
      <c r="I4122" s="2">
        <v>88.33</v>
      </c>
    </row>
    <row r="4123" spans="1:9" x14ac:dyDescent="0.25">
      <c r="A4123" t="s">
        <v>2229</v>
      </c>
      <c r="B4123" t="s">
        <v>2230</v>
      </c>
      <c r="C4123" t="s">
        <v>42</v>
      </c>
      <c r="D4123" t="s">
        <v>4062</v>
      </c>
      <c r="E4123" t="s">
        <v>6254</v>
      </c>
      <c r="F4123" t="s">
        <v>42</v>
      </c>
      <c r="G4123">
        <v>1.05</v>
      </c>
      <c r="H4123" s="2">
        <v>489981</v>
      </c>
      <c r="I4123" s="2">
        <v>514480.05</v>
      </c>
    </row>
    <row r="4124" spans="1:9" x14ac:dyDescent="0.25">
      <c r="A4124" t="s">
        <v>2229</v>
      </c>
      <c r="B4124" t="s">
        <v>2230</v>
      </c>
      <c r="C4124" t="s">
        <v>42</v>
      </c>
      <c r="D4124" t="s">
        <v>4062</v>
      </c>
      <c r="E4124" t="s">
        <v>6166</v>
      </c>
      <c r="F4124" t="s">
        <v>63</v>
      </c>
      <c r="G4124">
        <v>0.02</v>
      </c>
      <c r="H4124" s="2">
        <v>19750</v>
      </c>
      <c r="I4124" s="2">
        <v>432.13</v>
      </c>
    </row>
    <row r="4125" spans="1:9" x14ac:dyDescent="0.25">
      <c r="A4125" t="s">
        <v>2229</v>
      </c>
      <c r="B4125" t="s">
        <v>2230</v>
      </c>
      <c r="C4125" t="s">
        <v>42</v>
      </c>
      <c r="D4125" t="s">
        <v>4049</v>
      </c>
      <c r="E4125" t="s">
        <v>4241</v>
      </c>
      <c r="F4125" t="s">
        <v>4051</v>
      </c>
      <c r="G4125">
        <v>0.22</v>
      </c>
      <c r="H4125" s="2">
        <v>9941.22</v>
      </c>
      <c r="I4125" s="2">
        <v>2153.92</v>
      </c>
    </row>
    <row r="4126" spans="1:9" x14ac:dyDescent="0.25">
      <c r="A4126" t="s">
        <v>2229</v>
      </c>
      <c r="B4126" t="s">
        <v>2230</v>
      </c>
      <c r="C4126" t="s">
        <v>42</v>
      </c>
      <c r="D4126" t="s">
        <v>4049</v>
      </c>
      <c r="E4126" t="s">
        <v>4242</v>
      </c>
      <c r="F4126" t="s">
        <v>4051</v>
      </c>
      <c r="G4126">
        <v>0.22</v>
      </c>
      <c r="H4126" s="2">
        <v>17069.53</v>
      </c>
      <c r="I4126" s="2">
        <v>3698.39</v>
      </c>
    </row>
    <row r="4127" spans="1:9" x14ac:dyDescent="0.25">
      <c r="A4127" t="s">
        <v>2229</v>
      </c>
      <c r="B4127" t="s">
        <v>2230</v>
      </c>
      <c r="C4127" t="s">
        <v>42</v>
      </c>
      <c r="D4127" t="s">
        <v>4052</v>
      </c>
      <c r="E4127" t="s">
        <v>4053</v>
      </c>
      <c r="F4127" t="s">
        <v>4054</v>
      </c>
      <c r="G4127">
        <v>3.5</v>
      </c>
      <c r="H4127" s="2">
        <v>5852.31</v>
      </c>
      <c r="I4127" s="2">
        <v>204.83</v>
      </c>
    </row>
    <row r="4128" spans="1:9" x14ac:dyDescent="0.25">
      <c r="A4128" t="s">
        <v>2232</v>
      </c>
      <c r="B4128" t="s">
        <v>2233</v>
      </c>
      <c r="C4128" t="s">
        <v>42</v>
      </c>
      <c r="D4128" t="s">
        <v>4062</v>
      </c>
      <c r="E4128" t="s">
        <v>6257</v>
      </c>
      <c r="F4128" t="s">
        <v>42</v>
      </c>
      <c r="G4128">
        <v>1.05</v>
      </c>
      <c r="H4128" s="2">
        <v>10233</v>
      </c>
      <c r="I4128" s="2">
        <v>10744.65</v>
      </c>
    </row>
    <row r="4129" spans="1:9" x14ac:dyDescent="0.25">
      <c r="A4129" t="s">
        <v>2232</v>
      </c>
      <c r="B4129" t="s">
        <v>2233</v>
      </c>
      <c r="C4129" t="s">
        <v>42</v>
      </c>
      <c r="D4129" t="s">
        <v>4062</v>
      </c>
      <c r="E4129" t="s">
        <v>6166</v>
      </c>
      <c r="F4129" t="s">
        <v>63</v>
      </c>
      <c r="G4129">
        <v>0.03</v>
      </c>
      <c r="H4129" s="2">
        <v>19750</v>
      </c>
      <c r="I4129" s="2">
        <v>592.5</v>
      </c>
    </row>
    <row r="4130" spans="1:9" x14ac:dyDescent="0.25">
      <c r="A4130" t="s">
        <v>2232</v>
      </c>
      <c r="B4130" t="s">
        <v>2233</v>
      </c>
      <c r="C4130" t="s">
        <v>42</v>
      </c>
      <c r="D4130" t="s">
        <v>4049</v>
      </c>
      <c r="E4130" t="s">
        <v>4241</v>
      </c>
      <c r="F4130" t="s">
        <v>4051</v>
      </c>
      <c r="G4130">
        <v>0.18</v>
      </c>
      <c r="H4130" s="2">
        <v>9941.22</v>
      </c>
      <c r="I4130" s="2">
        <v>1789.42</v>
      </c>
    </row>
    <row r="4131" spans="1:9" x14ac:dyDescent="0.25">
      <c r="A4131" t="s">
        <v>2232</v>
      </c>
      <c r="B4131" t="s">
        <v>2233</v>
      </c>
      <c r="C4131" t="s">
        <v>42</v>
      </c>
      <c r="D4131" t="s">
        <v>4049</v>
      </c>
      <c r="E4131" t="s">
        <v>4242</v>
      </c>
      <c r="F4131" t="s">
        <v>4051</v>
      </c>
      <c r="G4131">
        <v>0.18</v>
      </c>
      <c r="H4131" s="2">
        <v>17069.53</v>
      </c>
      <c r="I4131" s="2">
        <v>3072.52</v>
      </c>
    </row>
    <row r="4132" spans="1:9" x14ac:dyDescent="0.25">
      <c r="A4132" t="s">
        <v>2232</v>
      </c>
      <c r="B4132" t="s">
        <v>2233</v>
      </c>
      <c r="C4132" t="s">
        <v>42</v>
      </c>
      <c r="D4132" t="s">
        <v>4052</v>
      </c>
      <c r="E4132" t="s">
        <v>4053</v>
      </c>
      <c r="F4132" t="s">
        <v>4054</v>
      </c>
      <c r="G4132">
        <v>3.5</v>
      </c>
      <c r="H4132" s="2">
        <v>4861.94</v>
      </c>
      <c r="I4132" s="2">
        <v>170.17</v>
      </c>
    </row>
    <row r="4133" spans="1:9" x14ac:dyDescent="0.25">
      <c r="A4133" t="s">
        <v>2235</v>
      </c>
      <c r="B4133" t="s">
        <v>2236</v>
      </c>
      <c r="C4133" t="s">
        <v>42</v>
      </c>
      <c r="D4133" t="s">
        <v>4062</v>
      </c>
      <c r="E4133" t="s">
        <v>6260</v>
      </c>
      <c r="F4133" t="s">
        <v>42</v>
      </c>
      <c r="G4133">
        <v>1.05</v>
      </c>
      <c r="H4133" s="2">
        <v>58220</v>
      </c>
      <c r="I4133" s="2">
        <v>61131</v>
      </c>
    </row>
    <row r="4134" spans="1:9" x14ac:dyDescent="0.25">
      <c r="A4134" t="s">
        <v>2235</v>
      </c>
      <c r="B4134" t="s">
        <v>2236</v>
      </c>
      <c r="C4134" t="s">
        <v>42</v>
      </c>
      <c r="D4134" t="s">
        <v>4062</v>
      </c>
      <c r="E4134" t="s">
        <v>6166</v>
      </c>
      <c r="F4134" t="s">
        <v>63</v>
      </c>
      <c r="G4134">
        <v>0</v>
      </c>
      <c r="H4134" s="2">
        <v>19750</v>
      </c>
      <c r="I4134" s="2">
        <v>18.29</v>
      </c>
    </row>
    <row r="4135" spans="1:9" x14ac:dyDescent="0.25">
      <c r="A4135" t="s">
        <v>2235</v>
      </c>
      <c r="B4135" t="s">
        <v>2236</v>
      </c>
      <c r="C4135" t="s">
        <v>42</v>
      </c>
      <c r="D4135" t="s">
        <v>4049</v>
      </c>
      <c r="E4135" t="s">
        <v>4241</v>
      </c>
      <c r="F4135" t="s">
        <v>4051</v>
      </c>
      <c r="G4135">
        <v>0.05</v>
      </c>
      <c r="H4135" s="2">
        <v>9941.22</v>
      </c>
      <c r="I4135" s="2">
        <v>497.06</v>
      </c>
    </row>
    <row r="4136" spans="1:9" x14ac:dyDescent="0.25">
      <c r="A4136" t="s">
        <v>2235</v>
      </c>
      <c r="B4136" t="s">
        <v>2236</v>
      </c>
      <c r="C4136" t="s">
        <v>42</v>
      </c>
      <c r="D4136" t="s">
        <v>4049</v>
      </c>
      <c r="E4136" t="s">
        <v>4242</v>
      </c>
      <c r="F4136" t="s">
        <v>4051</v>
      </c>
      <c r="G4136">
        <v>0.05</v>
      </c>
      <c r="H4136" s="2">
        <v>17069.53</v>
      </c>
      <c r="I4136" s="2">
        <v>853.48</v>
      </c>
    </row>
    <row r="4137" spans="1:9" x14ac:dyDescent="0.25">
      <c r="A4137" t="s">
        <v>2235</v>
      </c>
      <c r="B4137" t="s">
        <v>2236</v>
      </c>
      <c r="C4137" t="s">
        <v>42</v>
      </c>
      <c r="D4137" t="s">
        <v>4052</v>
      </c>
      <c r="E4137" t="s">
        <v>4053</v>
      </c>
      <c r="F4137" t="s">
        <v>4054</v>
      </c>
      <c r="G4137">
        <v>3.5</v>
      </c>
      <c r="H4137" s="2">
        <v>1350.54</v>
      </c>
      <c r="I4137" s="2">
        <v>47.27</v>
      </c>
    </row>
    <row r="4138" spans="1:9" x14ac:dyDescent="0.25">
      <c r="A4138" t="s">
        <v>2238</v>
      </c>
      <c r="B4138" t="s">
        <v>2239</v>
      </c>
      <c r="C4138" t="s">
        <v>42</v>
      </c>
      <c r="D4138" t="s">
        <v>4062</v>
      </c>
      <c r="E4138" t="s">
        <v>6263</v>
      </c>
      <c r="F4138" t="s">
        <v>42</v>
      </c>
      <c r="G4138">
        <v>1.05</v>
      </c>
      <c r="H4138" s="2">
        <v>41778</v>
      </c>
      <c r="I4138" s="2">
        <v>43866.9</v>
      </c>
    </row>
    <row r="4139" spans="1:9" x14ac:dyDescent="0.25">
      <c r="A4139" t="s">
        <v>2238</v>
      </c>
      <c r="B4139" t="s">
        <v>2239</v>
      </c>
      <c r="C4139" t="s">
        <v>42</v>
      </c>
      <c r="D4139" t="s">
        <v>4062</v>
      </c>
      <c r="E4139" t="s">
        <v>6166</v>
      </c>
      <c r="F4139" t="s">
        <v>63</v>
      </c>
      <c r="G4139">
        <v>0</v>
      </c>
      <c r="H4139" s="2">
        <v>19750</v>
      </c>
      <c r="I4139" s="2">
        <v>18.29</v>
      </c>
    </row>
    <row r="4140" spans="1:9" x14ac:dyDescent="0.25">
      <c r="A4140" t="s">
        <v>2238</v>
      </c>
      <c r="B4140" t="s">
        <v>2239</v>
      </c>
      <c r="C4140" t="s">
        <v>42</v>
      </c>
      <c r="D4140" t="s">
        <v>4049</v>
      </c>
      <c r="E4140" t="s">
        <v>4241</v>
      </c>
      <c r="F4140" t="s">
        <v>4051</v>
      </c>
      <c r="G4140">
        <v>0.05</v>
      </c>
      <c r="H4140" s="2">
        <v>9941.22</v>
      </c>
      <c r="I4140" s="2">
        <v>497.06</v>
      </c>
    </row>
    <row r="4141" spans="1:9" x14ac:dyDescent="0.25">
      <c r="A4141" t="s">
        <v>2238</v>
      </c>
      <c r="B4141" t="s">
        <v>2239</v>
      </c>
      <c r="C4141" t="s">
        <v>42</v>
      </c>
      <c r="D4141" t="s">
        <v>4049</v>
      </c>
      <c r="E4141" t="s">
        <v>4073</v>
      </c>
      <c r="F4141" t="s">
        <v>4051</v>
      </c>
      <c r="G4141">
        <v>0.05</v>
      </c>
      <c r="H4141" s="2">
        <v>15517.89</v>
      </c>
      <c r="I4141" s="2">
        <v>775.89</v>
      </c>
    </row>
    <row r="4142" spans="1:9" x14ac:dyDescent="0.25">
      <c r="A4142" t="s">
        <v>2238</v>
      </c>
      <c r="B4142" t="s">
        <v>2239</v>
      </c>
      <c r="C4142" t="s">
        <v>42</v>
      </c>
      <c r="D4142" t="s">
        <v>4052</v>
      </c>
      <c r="E4142" t="s">
        <v>4053</v>
      </c>
      <c r="F4142" t="s">
        <v>4054</v>
      </c>
      <c r="G4142">
        <v>3.5</v>
      </c>
      <c r="H4142" s="2">
        <v>1272.95</v>
      </c>
      <c r="I4142" s="2">
        <v>44.55</v>
      </c>
    </row>
    <row r="4143" spans="1:9" x14ac:dyDescent="0.25">
      <c r="A4143" t="s">
        <v>2241</v>
      </c>
      <c r="B4143" t="s">
        <v>2242</v>
      </c>
      <c r="C4143" t="s">
        <v>42</v>
      </c>
      <c r="D4143" t="s">
        <v>4062</v>
      </c>
      <c r="E4143" t="s">
        <v>6217</v>
      </c>
      <c r="F4143" t="s">
        <v>42</v>
      </c>
      <c r="G4143">
        <v>1.05</v>
      </c>
      <c r="H4143" s="2">
        <v>22397</v>
      </c>
      <c r="I4143" s="2">
        <v>23516.85</v>
      </c>
    </row>
    <row r="4144" spans="1:9" x14ac:dyDescent="0.25">
      <c r="A4144" t="s">
        <v>2241</v>
      </c>
      <c r="B4144" t="s">
        <v>2242</v>
      </c>
      <c r="C4144" t="s">
        <v>42</v>
      </c>
      <c r="D4144" t="s">
        <v>4062</v>
      </c>
      <c r="E4144" t="s">
        <v>4659</v>
      </c>
      <c r="F4144" t="s">
        <v>4377</v>
      </c>
      <c r="G4144">
        <v>0.02</v>
      </c>
      <c r="H4144" s="2">
        <v>31500</v>
      </c>
      <c r="I4144" s="2">
        <v>526.05</v>
      </c>
    </row>
    <row r="4145" spans="1:9" x14ac:dyDescent="0.25">
      <c r="A4145" t="s">
        <v>2241</v>
      </c>
      <c r="B4145" t="s">
        <v>2242</v>
      </c>
      <c r="C4145" t="s">
        <v>42</v>
      </c>
      <c r="D4145" t="s">
        <v>4062</v>
      </c>
      <c r="E4145" t="s">
        <v>4376</v>
      </c>
      <c r="F4145" t="s">
        <v>4377</v>
      </c>
      <c r="G4145">
        <v>0.02</v>
      </c>
      <c r="H4145" s="2">
        <v>72237.67</v>
      </c>
      <c r="I4145" s="2">
        <v>1206.37</v>
      </c>
    </row>
    <row r="4146" spans="1:9" x14ac:dyDescent="0.25">
      <c r="A4146" t="s">
        <v>2241</v>
      </c>
      <c r="B4146" t="s">
        <v>2242</v>
      </c>
      <c r="C4146" t="s">
        <v>42</v>
      </c>
      <c r="D4146" t="s">
        <v>4049</v>
      </c>
      <c r="E4146" t="s">
        <v>4241</v>
      </c>
      <c r="F4146" t="s">
        <v>4051</v>
      </c>
      <c r="G4146">
        <v>0.2</v>
      </c>
      <c r="H4146" s="2">
        <v>9941.22</v>
      </c>
      <c r="I4146" s="2">
        <v>1988.24</v>
      </c>
    </row>
    <row r="4147" spans="1:9" x14ac:dyDescent="0.25">
      <c r="A4147" t="s">
        <v>2241</v>
      </c>
      <c r="B4147" t="s">
        <v>2242</v>
      </c>
      <c r="C4147" t="s">
        <v>42</v>
      </c>
      <c r="D4147" t="s">
        <v>4049</v>
      </c>
      <c r="E4147" t="s">
        <v>4242</v>
      </c>
      <c r="F4147" t="s">
        <v>4051</v>
      </c>
      <c r="G4147">
        <v>0.2</v>
      </c>
      <c r="H4147" s="2">
        <v>17069.53</v>
      </c>
      <c r="I4147" s="2">
        <v>3413.91</v>
      </c>
    </row>
    <row r="4148" spans="1:9" x14ac:dyDescent="0.25">
      <c r="A4148" t="s">
        <v>2241</v>
      </c>
      <c r="B4148" t="s">
        <v>2242</v>
      </c>
      <c r="C4148" t="s">
        <v>42</v>
      </c>
      <c r="D4148" t="s">
        <v>4052</v>
      </c>
      <c r="E4148" t="s">
        <v>4053</v>
      </c>
      <c r="F4148" t="s">
        <v>4054</v>
      </c>
      <c r="G4148">
        <v>3.5</v>
      </c>
      <c r="H4148" s="2">
        <v>5402.15</v>
      </c>
      <c r="I4148" s="2">
        <v>189.08</v>
      </c>
    </row>
    <row r="4149" spans="1:9" x14ac:dyDescent="0.25">
      <c r="A4149" t="s">
        <v>2244</v>
      </c>
      <c r="B4149" t="s">
        <v>2245</v>
      </c>
      <c r="C4149" t="s">
        <v>42</v>
      </c>
      <c r="D4149" t="s">
        <v>4062</v>
      </c>
      <c r="E4149" t="s">
        <v>6268</v>
      </c>
      <c r="F4149" t="s">
        <v>42</v>
      </c>
      <c r="G4149">
        <v>1.05</v>
      </c>
      <c r="H4149" s="2">
        <v>95190</v>
      </c>
      <c r="I4149" s="2">
        <v>99949.5</v>
      </c>
    </row>
    <row r="4150" spans="1:9" x14ac:dyDescent="0.25">
      <c r="A4150" t="s">
        <v>2244</v>
      </c>
      <c r="B4150" t="s">
        <v>2245</v>
      </c>
      <c r="C4150" t="s">
        <v>42</v>
      </c>
      <c r="D4150" t="s">
        <v>4062</v>
      </c>
      <c r="E4150" t="s">
        <v>6166</v>
      </c>
      <c r="F4150" t="s">
        <v>63</v>
      </c>
      <c r="G4150">
        <v>0</v>
      </c>
      <c r="H4150" s="2">
        <v>19750</v>
      </c>
      <c r="I4150" s="2">
        <v>32.92</v>
      </c>
    </row>
    <row r="4151" spans="1:9" x14ac:dyDescent="0.25">
      <c r="A4151" t="s">
        <v>2244</v>
      </c>
      <c r="B4151" t="s">
        <v>2245</v>
      </c>
      <c r="C4151" t="s">
        <v>42</v>
      </c>
      <c r="D4151" t="s">
        <v>4049</v>
      </c>
      <c r="E4151" t="s">
        <v>4241</v>
      </c>
      <c r="F4151" t="s">
        <v>4051</v>
      </c>
      <c r="G4151">
        <v>0.05</v>
      </c>
      <c r="H4151" s="2">
        <v>9941.22</v>
      </c>
      <c r="I4151" s="2">
        <v>497.06</v>
      </c>
    </row>
    <row r="4152" spans="1:9" x14ac:dyDescent="0.25">
      <c r="A4152" t="s">
        <v>2244</v>
      </c>
      <c r="B4152" t="s">
        <v>2245</v>
      </c>
      <c r="C4152" t="s">
        <v>42</v>
      </c>
      <c r="D4152" t="s">
        <v>4049</v>
      </c>
      <c r="E4152" t="s">
        <v>4242</v>
      </c>
      <c r="F4152" t="s">
        <v>4051</v>
      </c>
      <c r="G4152">
        <v>0.05</v>
      </c>
      <c r="H4152" s="2">
        <v>17069.53</v>
      </c>
      <c r="I4152" s="2">
        <v>853.48</v>
      </c>
    </row>
    <row r="4153" spans="1:9" x14ac:dyDescent="0.25">
      <c r="A4153" t="s">
        <v>2244</v>
      </c>
      <c r="B4153" t="s">
        <v>2245</v>
      </c>
      <c r="C4153" t="s">
        <v>42</v>
      </c>
      <c r="D4153" t="s">
        <v>4052</v>
      </c>
      <c r="E4153" t="s">
        <v>4053</v>
      </c>
      <c r="F4153" t="s">
        <v>4054</v>
      </c>
      <c r="G4153">
        <v>3.5</v>
      </c>
      <c r="H4153" s="2">
        <v>1350.54</v>
      </c>
      <c r="I4153" s="2">
        <v>47.27</v>
      </c>
    </row>
    <row r="4154" spans="1:9" x14ac:dyDescent="0.25">
      <c r="A4154" t="s">
        <v>2247</v>
      </c>
      <c r="B4154" t="s">
        <v>2248</v>
      </c>
      <c r="C4154" t="s">
        <v>42</v>
      </c>
      <c r="D4154" t="s">
        <v>4062</v>
      </c>
      <c r="E4154" t="s">
        <v>6271</v>
      </c>
      <c r="F4154" t="s">
        <v>42</v>
      </c>
      <c r="G4154">
        <v>1.05</v>
      </c>
      <c r="H4154" s="2">
        <v>66841</v>
      </c>
      <c r="I4154" s="2">
        <v>70183.05</v>
      </c>
    </row>
    <row r="4155" spans="1:9" x14ac:dyDescent="0.25">
      <c r="A4155" t="s">
        <v>2247</v>
      </c>
      <c r="B4155" t="s">
        <v>2248</v>
      </c>
      <c r="C4155" t="s">
        <v>42</v>
      </c>
      <c r="D4155" t="s">
        <v>4062</v>
      </c>
      <c r="E4155" t="s">
        <v>6166</v>
      </c>
      <c r="F4155" t="s">
        <v>63</v>
      </c>
      <c r="G4155">
        <v>0</v>
      </c>
      <c r="H4155" s="2">
        <v>19750</v>
      </c>
      <c r="I4155" s="2">
        <v>32.92</v>
      </c>
    </row>
    <row r="4156" spans="1:9" x14ac:dyDescent="0.25">
      <c r="A4156" t="s">
        <v>2247</v>
      </c>
      <c r="B4156" t="s">
        <v>2248</v>
      </c>
      <c r="C4156" t="s">
        <v>42</v>
      </c>
      <c r="D4156" t="s">
        <v>4049</v>
      </c>
      <c r="E4156" t="s">
        <v>4241</v>
      </c>
      <c r="F4156" t="s">
        <v>4051</v>
      </c>
      <c r="G4156">
        <v>0.05</v>
      </c>
      <c r="H4156" s="2">
        <v>9941.22</v>
      </c>
      <c r="I4156" s="2">
        <v>497.06</v>
      </c>
    </row>
    <row r="4157" spans="1:9" x14ac:dyDescent="0.25">
      <c r="A4157" t="s">
        <v>2247</v>
      </c>
      <c r="B4157" t="s">
        <v>2248</v>
      </c>
      <c r="C4157" t="s">
        <v>42</v>
      </c>
      <c r="D4157" t="s">
        <v>4049</v>
      </c>
      <c r="E4157" t="s">
        <v>4242</v>
      </c>
      <c r="F4157" t="s">
        <v>4051</v>
      </c>
      <c r="G4157">
        <v>0.05</v>
      </c>
      <c r="H4157" s="2">
        <v>17069.53</v>
      </c>
      <c r="I4157" s="2">
        <v>853.48</v>
      </c>
    </row>
    <row r="4158" spans="1:9" x14ac:dyDescent="0.25">
      <c r="A4158" t="s">
        <v>2247</v>
      </c>
      <c r="B4158" t="s">
        <v>2248</v>
      </c>
      <c r="C4158" t="s">
        <v>42</v>
      </c>
      <c r="D4158" t="s">
        <v>4052</v>
      </c>
      <c r="E4158" t="s">
        <v>4053</v>
      </c>
      <c r="F4158" t="s">
        <v>4054</v>
      </c>
      <c r="G4158">
        <v>3.5</v>
      </c>
      <c r="H4158" s="2">
        <v>1350.54</v>
      </c>
      <c r="I4158" s="2">
        <v>47.27</v>
      </c>
    </row>
    <row r="4159" spans="1:9" x14ac:dyDescent="0.25">
      <c r="A4159" t="s">
        <v>2250</v>
      </c>
      <c r="B4159" t="s">
        <v>2251</v>
      </c>
      <c r="C4159" t="s">
        <v>42</v>
      </c>
      <c r="D4159" t="s">
        <v>4062</v>
      </c>
      <c r="E4159" t="s">
        <v>6226</v>
      </c>
      <c r="F4159" t="s">
        <v>42</v>
      </c>
      <c r="G4159">
        <v>1.05</v>
      </c>
      <c r="H4159" s="2">
        <v>36953</v>
      </c>
      <c r="I4159" s="2">
        <v>38800.65</v>
      </c>
    </row>
    <row r="4160" spans="1:9" x14ac:dyDescent="0.25">
      <c r="A4160" t="s">
        <v>2250</v>
      </c>
      <c r="B4160" t="s">
        <v>2251</v>
      </c>
      <c r="C4160" t="s">
        <v>42</v>
      </c>
      <c r="D4160" t="s">
        <v>4062</v>
      </c>
      <c r="E4160" t="s">
        <v>4659</v>
      </c>
      <c r="F4160" t="s">
        <v>4377</v>
      </c>
      <c r="G4160">
        <v>0.03</v>
      </c>
      <c r="H4160" s="2">
        <v>31500</v>
      </c>
      <c r="I4160" s="2">
        <v>787.5</v>
      </c>
    </row>
    <row r="4161" spans="1:9" x14ac:dyDescent="0.25">
      <c r="A4161" t="s">
        <v>2250</v>
      </c>
      <c r="B4161" t="s">
        <v>2251</v>
      </c>
      <c r="C4161" t="s">
        <v>42</v>
      </c>
      <c r="D4161" t="s">
        <v>4062</v>
      </c>
      <c r="E4161" t="s">
        <v>4376</v>
      </c>
      <c r="F4161" t="s">
        <v>4377</v>
      </c>
      <c r="G4161">
        <v>0.03</v>
      </c>
      <c r="H4161" s="2">
        <v>72237.67</v>
      </c>
      <c r="I4161" s="2">
        <v>1805.94</v>
      </c>
    </row>
    <row r="4162" spans="1:9" x14ac:dyDescent="0.25">
      <c r="A4162" t="s">
        <v>2250</v>
      </c>
      <c r="B4162" t="s">
        <v>2251</v>
      </c>
      <c r="C4162" t="s">
        <v>42</v>
      </c>
      <c r="D4162" t="s">
        <v>4049</v>
      </c>
      <c r="E4162" t="s">
        <v>4241</v>
      </c>
      <c r="F4162" t="s">
        <v>4051</v>
      </c>
      <c r="G4162">
        <v>0.75</v>
      </c>
      <c r="H4162" s="2">
        <v>9941.22</v>
      </c>
      <c r="I4162" s="2">
        <v>7455.91</v>
      </c>
    </row>
    <row r="4163" spans="1:9" x14ac:dyDescent="0.25">
      <c r="A4163" t="s">
        <v>2250</v>
      </c>
      <c r="B4163" t="s">
        <v>2251</v>
      </c>
      <c r="C4163" t="s">
        <v>42</v>
      </c>
      <c r="D4163" t="s">
        <v>4049</v>
      </c>
      <c r="E4163" t="s">
        <v>4242</v>
      </c>
      <c r="F4163" t="s">
        <v>4051</v>
      </c>
      <c r="G4163">
        <v>0.75</v>
      </c>
      <c r="H4163" s="2">
        <v>17069.53</v>
      </c>
      <c r="I4163" s="2">
        <v>12802.15</v>
      </c>
    </row>
    <row r="4164" spans="1:9" x14ac:dyDescent="0.25">
      <c r="A4164" t="s">
        <v>2250</v>
      </c>
      <c r="B4164" t="s">
        <v>2251</v>
      </c>
      <c r="C4164" t="s">
        <v>42</v>
      </c>
      <c r="D4164" t="s">
        <v>4052</v>
      </c>
      <c r="E4164" t="s">
        <v>4053</v>
      </c>
      <c r="F4164" t="s">
        <v>4054</v>
      </c>
      <c r="G4164">
        <v>3.5</v>
      </c>
      <c r="H4164" s="2">
        <v>20258.06</v>
      </c>
      <c r="I4164" s="2">
        <v>709.03</v>
      </c>
    </row>
    <row r="4165" spans="1:9" x14ac:dyDescent="0.25">
      <c r="A4165" t="s">
        <v>2253</v>
      </c>
      <c r="B4165" t="s">
        <v>2254</v>
      </c>
      <c r="C4165" t="s">
        <v>42</v>
      </c>
      <c r="D4165" t="s">
        <v>4062</v>
      </c>
      <c r="E4165" t="s">
        <v>6276</v>
      </c>
      <c r="F4165" t="s">
        <v>42</v>
      </c>
      <c r="G4165">
        <v>1.05</v>
      </c>
      <c r="H4165" s="2">
        <v>211241</v>
      </c>
      <c r="I4165" s="2">
        <v>221803.05</v>
      </c>
    </row>
    <row r="4166" spans="1:9" x14ac:dyDescent="0.25">
      <c r="A4166" t="s">
        <v>2253</v>
      </c>
      <c r="B4166" t="s">
        <v>2254</v>
      </c>
      <c r="C4166" t="s">
        <v>42</v>
      </c>
      <c r="D4166" t="s">
        <v>4062</v>
      </c>
      <c r="E4166" t="s">
        <v>6166</v>
      </c>
      <c r="F4166" t="s">
        <v>63</v>
      </c>
      <c r="G4166">
        <v>0</v>
      </c>
      <c r="H4166" s="2">
        <v>19750</v>
      </c>
      <c r="I4166" s="2">
        <v>73.15</v>
      </c>
    </row>
    <row r="4167" spans="1:9" x14ac:dyDescent="0.25">
      <c r="A4167" t="s">
        <v>2253</v>
      </c>
      <c r="B4167" t="s">
        <v>2254</v>
      </c>
      <c r="C4167" t="s">
        <v>42</v>
      </c>
      <c r="D4167" t="s">
        <v>4049</v>
      </c>
      <c r="E4167" t="s">
        <v>4241</v>
      </c>
      <c r="F4167" t="s">
        <v>4051</v>
      </c>
      <c r="G4167">
        <v>0.13</v>
      </c>
      <c r="H4167" s="2">
        <v>9941.22</v>
      </c>
      <c r="I4167" s="2">
        <v>1325.5</v>
      </c>
    </row>
    <row r="4168" spans="1:9" x14ac:dyDescent="0.25">
      <c r="A4168" t="s">
        <v>2253</v>
      </c>
      <c r="B4168" t="s">
        <v>2254</v>
      </c>
      <c r="C4168" t="s">
        <v>42</v>
      </c>
      <c r="D4168" t="s">
        <v>4049</v>
      </c>
      <c r="E4168" t="s">
        <v>4242</v>
      </c>
      <c r="F4168" t="s">
        <v>4051</v>
      </c>
      <c r="G4168">
        <v>0.13</v>
      </c>
      <c r="H4168" s="2">
        <v>17069.53</v>
      </c>
      <c r="I4168" s="2">
        <v>2275.93</v>
      </c>
    </row>
    <row r="4169" spans="1:9" x14ac:dyDescent="0.25">
      <c r="A4169" t="s">
        <v>2253</v>
      </c>
      <c r="B4169" t="s">
        <v>2254</v>
      </c>
      <c r="C4169" t="s">
        <v>42</v>
      </c>
      <c r="D4169" t="s">
        <v>4052</v>
      </c>
      <c r="E4169" t="s">
        <v>4053</v>
      </c>
      <c r="F4169" t="s">
        <v>4054</v>
      </c>
      <c r="G4169">
        <v>3.5</v>
      </c>
      <c r="H4169" s="2">
        <v>3601.43</v>
      </c>
      <c r="I4169" s="2">
        <v>126.05</v>
      </c>
    </row>
    <row r="4170" spans="1:9" x14ac:dyDescent="0.25">
      <c r="A4170" t="s">
        <v>2256</v>
      </c>
      <c r="B4170" t="s">
        <v>2257</v>
      </c>
      <c r="C4170" t="s">
        <v>42</v>
      </c>
      <c r="D4170" t="s">
        <v>4062</v>
      </c>
      <c r="E4170" t="s">
        <v>6279</v>
      </c>
      <c r="F4170" t="s">
        <v>42</v>
      </c>
      <c r="G4170">
        <v>1.05</v>
      </c>
      <c r="H4170" s="2">
        <v>161989</v>
      </c>
      <c r="I4170" s="2">
        <v>170088.45</v>
      </c>
    </row>
    <row r="4171" spans="1:9" x14ac:dyDescent="0.25">
      <c r="A4171" t="s">
        <v>2256</v>
      </c>
      <c r="B4171" t="s">
        <v>2257</v>
      </c>
      <c r="C4171" t="s">
        <v>42</v>
      </c>
      <c r="D4171" t="s">
        <v>4062</v>
      </c>
      <c r="E4171" t="s">
        <v>6166</v>
      </c>
      <c r="F4171" t="s">
        <v>63</v>
      </c>
      <c r="G4171">
        <v>0</v>
      </c>
      <c r="H4171" s="2">
        <v>19750</v>
      </c>
      <c r="I4171" s="2">
        <v>73.15</v>
      </c>
    </row>
    <row r="4172" spans="1:9" x14ac:dyDescent="0.25">
      <c r="A4172" t="s">
        <v>2256</v>
      </c>
      <c r="B4172" t="s">
        <v>2257</v>
      </c>
      <c r="C4172" t="s">
        <v>42</v>
      </c>
      <c r="D4172" t="s">
        <v>4049</v>
      </c>
      <c r="E4172" t="s">
        <v>4241</v>
      </c>
      <c r="F4172" t="s">
        <v>4051</v>
      </c>
      <c r="G4172">
        <v>0.13</v>
      </c>
      <c r="H4172" s="2">
        <v>9941.22</v>
      </c>
      <c r="I4172" s="2">
        <v>1325.49</v>
      </c>
    </row>
    <row r="4173" spans="1:9" x14ac:dyDescent="0.25">
      <c r="A4173" t="s">
        <v>2256</v>
      </c>
      <c r="B4173" t="s">
        <v>2257</v>
      </c>
      <c r="C4173" t="s">
        <v>42</v>
      </c>
      <c r="D4173" t="s">
        <v>4049</v>
      </c>
      <c r="E4173" t="s">
        <v>4242</v>
      </c>
      <c r="F4173" t="s">
        <v>4051</v>
      </c>
      <c r="G4173">
        <v>0.13</v>
      </c>
      <c r="H4173" s="2">
        <v>17069.53</v>
      </c>
      <c r="I4173" s="2">
        <v>2275.94</v>
      </c>
    </row>
    <row r="4174" spans="1:9" x14ac:dyDescent="0.25">
      <c r="A4174" t="s">
        <v>2256</v>
      </c>
      <c r="B4174" t="s">
        <v>2257</v>
      </c>
      <c r="C4174" t="s">
        <v>42</v>
      </c>
      <c r="D4174" t="s">
        <v>4052</v>
      </c>
      <c r="E4174" t="s">
        <v>4053</v>
      </c>
      <c r="F4174" t="s">
        <v>4054</v>
      </c>
      <c r="G4174">
        <v>3.5</v>
      </c>
      <c r="H4174" s="2">
        <v>3601.43</v>
      </c>
      <c r="I4174" s="2">
        <v>126.05</v>
      </c>
    </row>
    <row r="4175" spans="1:9" x14ac:dyDescent="0.25">
      <c r="A4175" t="s">
        <v>2259</v>
      </c>
      <c r="B4175" t="s">
        <v>2260</v>
      </c>
      <c r="C4175" t="s">
        <v>42</v>
      </c>
      <c r="D4175" t="s">
        <v>4062</v>
      </c>
      <c r="E4175" t="s">
        <v>6282</v>
      </c>
      <c r="F4175" t="s">
        <v>42</v>
      </c>
      <c r="G4175">
        <v>1.05</v>
      </c>
      <c r="H4175" s="2">
        <v>248734</v>
      </c>
      <c r="I4175" s="2">
        <v>261170.7</v>
      </c>
    </row>
    <row r="4176" spans="1:9" x14ac:dyDescent="0.25">
      <c r="A4176" t="s">
        <v>2259</v>
      </c>
      <c r="B4176" t="s">
        <v>2260</v>
      </c>
      <c r="C4176" t="s">
        <v>42</v>
      </c>
      <c r="D4176" t="s">
        <v>4062</v>
      </c>
      <c r="E4176" t="s">
        <v>6166</v>
      </c>
      <c r="F4176" t="s">
        <v>63</v>
      </c>
      <c r="G4176">
        <v>0</v>
      </c>
      <c r="H4176" s="2">
        <v>19750</v>
      </c>
      <c r="I4176" s="2">
        <v>73.15</v>
      </c>
    </row>
    <row r="4177" spans="1:9" x14ac:dyDescent="0.25">
      <c r="A4177" t="s">
        <v>2259</v>
      </c>
      <c r="B4177" t="s">
        <v>2260</v>
      </c>
      <c r="C4177" t="s">
        <v>42</v>
      </c>
      <c r="D4177" t="s">
        <v>4049</v>
      </c>
      <c r="E4177" t="s">
        <v>4241</v>
      </c>
      <c r="F4177" t="s">
        <v>4051</v>
      </c>
      <c r="G4177">
        <v>0.13</v>
      </c>
      <c r="H4177" s="2">
        <v>9941.22</v>
      </c>
      <c r="I4177" s="2">
        <v>1325.49</v>
      </c>
    </row>
    <row r="4178" spans="1:9" x14ac:dyDescent="0.25">
      <c r="A4178" t="s">
        <v>2259</v>
      </c>
      <c r="B4178" t="s">
        <v>2260</v>
      </c>
      <c r="C4178" t="s">
        <v>42</v>
      </c>
      <c r="D4178" t="s">
        <v>4049</v>
      </c>
      <c r="E4178" t="s">
        <v>4242</v>
      </c>
      <c r="F4178" t="s">
        <v>4051</v>
      </c>
      <c r="G4178">
        <v>0.13</v>
      </c>
      <c r="H4178" s="2">
        <v>17069.53</v>
      </c>
      <c r="I4178" s="2">
        <v>2275.94</v>
      </c>
    </row>
    <row r="4179" spans="1:9" x14ac:dyDescent="0.25">
      <c r="A4179" t="s">
        <v>2259</v>
      </c>
      <c r="B4179" t="s">
        <v>2260</v>
      </c>
      <c r="C4179" t="s">
        <v>42</v>
      </c>
      <c r="D4179" t="s">
        <v>4052</v>
      </c>
      <c r="E4179" t="s">
        <v>4053</v>
      </c>
      <c r="F4179" t="s">
        <v>4054</v>
      </c>
      <c r="G4179">
        <v>3.5</v>
      </c>
      <c r="H4179" s="2">
        <v>3601.43</v>
      </c>
      <c r="I4179" s="2">
        <v>126.05</v>
      </c>
    </row>
    <row r="4180" spans="1:9" x14ac:dyDescent="0.25">
      <c r="A4180" t="s">
        <v>2262</v>
      </c>
      <c r="B4180" t="s">
        <v>2263</v>
      </c>
      <c r="C4180" t="s">
        <v>42</v>
      </c>
      <c r="D4180" t="s">
        <v>4062</v>
      </c>
      <c r="E4180" t="s">
        <v>6285</v>
      </c>
      <c r="F4180" t="s">
        <v>42</v>
      </c>
      <c r="G4180">
        <v>1.05</v>
      </c>
      <c r="H4180" s="2">
        <v>346713</v>
      </c>
      <c r="I4180" s="2">
        <v>364048.65</v>
      </c>
    </row>
    <row r="4181" spans="1:9" x14ac:dyDescent="0.25">
      <c r="A4181" t="s">
        <v>2262</v>
      </c>
      <c r="B4181" t="s">
        <v>2263</v>
      </c>
      <c r="C4181" t="s">
        <v>42</v>
      </c>
      <c r="D4181" t="s">
        <v>4062</v>
      </c>
      <c r="E4181" t="s">
        <v>6166</v>
      </c>
      <c r="F4181" t="s">
        <v>63</v>
      </c>
      <c r="G4181">
        <v>0.01</v>
      </c>
      <c r="H4181" s="2">
        <v>19750</v>
      </c>
      <c r="I4181" s="2">
        <v>109.71</v>
      </c>
    </row>
    <row r="4182" spans="1:9" x14ac:dyDescent="0.25">
      <c r="A4182" t="s">
        <v>2262</v>
      </c>
      <c r="B4182" t="s">
        <v>2263</v>
      </c>
      <c r="C4182" t="s">
        <v>42</v>
      </c>
      <c r="D4182" t="s">
        <v>4049</v>
      </c>
      <c r="E4182" t="s">
        <v>4241</v>
      </c>
      <c r="F4182" t="s">
        <v>4051</v>
      </c>
      <c r="G4182">
        <v>0.13</v>
      </c>
      <c r="H4182" s="2">
        <v>9941.22</v>
      </c>
      <c r="I4182" s="2">
        <v>1325.49</v>
      </c>
    </row>
    <row r="4183" spans="1:9" x14ac:dyDescent="0.25">
      <c r="A4183" t="s">
        <v>2262</v>
      </c>
      <c r="B4183" t="s">
        <v>2263</v>
      </c>
      <c r="C4183" t="s">
        <v>42</v>
      </c>
      <c r="D4183" t="s">
        <v>4049</v>
      </c>
      <c r="E4183" t="s">
        <v>4242</v>
      </c>
      <c r="F4183" t="s">
        <v>4051</v>
      </c>
      <c r="G4183">
        <v>0.13</v>
      </c>
      <c r="H4183" s="2">
        <v>17069.53</v>
      </c>
      <c r="I4183" s="2">
        <v>2275.94</v>
      </c>
    </row>
    <row r="4184" spans="1:9" x14ac:dyDescent="0.25">
      <c r="A4184" t="s">
        <v>2262</v>
      </c>
      <c r="B4184" t="s">
        <v>2263</v>
      </c>
      <c r="C4184" t="s">
        <v>42</v>
      </c>
      <c r="D4184" t="s">
        <v>4052</v>
      </c>
      <c r="E4184" t="s">
        <v>4053</v>
      </c>
      <c r="F4184" t="s">
        <v>4054</v>
      </c>
      <c r="G4184">
        <v>3.5</v>
      </c>
      <c r="H4184" s="2">
        <v>3601.43</v>
      </c>
      <c r="I4184" s="2">
        <v>126.05</v>
      </c>
    </row>
    <row r="4185" spans="1:9" x14ac:dyDescent="0.25">
      <c r="A4185" t="s">
        <v>2265</v>
      </c>
      <c r="B4185" t="s">
        <v>2266</v>
      </c>
      <c r="C4185" t="s">
        <v>42</v>
      </c>
      <c r="D4185" t="s">
        <v>4062</v>
      </c>
      <c r="E4185" t="s">
        <v>6288</v>
      </c>
      <c r="F4185" t="s">
        <v>42</v>
      </c>
      <c r="G4185">
        <v>1.05</v>
      </c>
      <c r="H4185" s="2">
        <v>274549</v>
      </c>
      <c r="I4185" s="2">
        <v>288276.45</v>
      </c>
    </row>
    <row r="4186" spans="1:9" x14ac:dyDescent="0.25">
      <c r="A4186" t="s">
        <v>2265</v>
      </c>
      <c r="B4186" t="s">
        <v>2266</v>
      </c>
      <c r="C4186" t="s">
        <v>42</v>
      </c>
      <c r="D4186" t="s">
        <v>4062</v>
      </c>
      <c r="E4186" t="s">
        <v>6166</v>
      </c>
      <c r="F4186" t="s">
        <v>63</v>
      </c>
      <c r="G4186">
        <v>0.01</v>
      </c>
      <c r="H4186" s="2">
        <v>19750</v>
      </c>
      <c r="I4186" s="2">
        <v>109.72</v>
      </c>
    </row>
    <row r="4187" spans="1:9" x14ac:dyDescent="0.25">
      <c r="A4187" t="s">
        <v>2265</v>
      </c>
      <c r="B4187" t="s">
        <v>2266</v>
      </c>
      <c r="C4187" t="s">
        <v>42</v>
      </c>
      <c r="D4187" t="s">
        <v>4049</v>
      </c>
      <c r="E4187" t="s">
        <v>4241</v>
      </c>
      <c r="F4187" t="s">
        <v>4051</v>
      </c>
      <c r="G4187">
        <v>0.13</v>
      </c>
      <c r="H4187" s="2">
        <v>9941.22</v>
      </c>
      <c r="I4187" s="2">
        <v>1325.5</v>
      </c>
    </row>
    <row r="4188" spans="1:9" x14ac:dyDescent="0.25">
      <c r="A4188" t="s">
        <v>2265</v>
      </c>
      <c r="B4188" t="s">
        <v>2266</v>
      </c>
      <c r="C4188" t="s">
        <v>42</v>
      </c>
      <c r="D4188" t="s">
        <v>4049</v>
      </c>
      <c r="E4188" t="s">
        <v>4242</v>
      </c>
      <c r="F4188" t="s">
        <v>4051</v>
      </c>
      <c r="G4188">
        <v>0.13</v>
      </c>
      <c r="H4188" s="2">
        <v>17069.53</v>
      </c>
      <c r="I4188" s="2">
        <v>2275.93</v>
      </c>
    </row>
    <row r="4189" spans="1:9" x14ac:dyDescent="0.25">
      <c r="A4189" t="s">
        <v>2265</v>
      </c>
      <c r="B4189" t="s">
        <v>2266</v>
      </c>
      <c r="C4189" t="s">
        <v>42</v>
      </c>
      <c r="D4189" t="s">
        <v>4052</v>
      </c>
      <c r="E4189" t="s">
        <v>4053</v>
      </c>
      <c r="F4189" t="s">
        <v>4054</v>
      </c>
      <c r="G4189">
        <v>3.5</v>
      </c>
      <c r="H4189" s="2">
        <v>3601.43</v>
      </c>
      <c r="I4189" s="2">
        <v>126.05</v>
      </c>
    </row>
    <row r="4190" spans="1:9" x14ac:dyDescent="0.25">
      <c r="A4190" t="s">
        <v>2268</v>
      </c>
      <c r="B4190" t="s">
        <v>2270</v>
      </c>
      <c r="C4190" t="s">
        <v>42</v>
      </c>
      <c r="D4190" t="s">
        <v>4062</v>
      </c>
      <c r="E4190" t="s">
        <v>6293</v>
      </c>
      <c r="F4190" t="s">
        <v>42</v>
      </c>
      <c r="G4190">
        <v>1.05</v>
      </c>
      <c r="H4190" s="2">
        <v>35616</v>
      </c>
      <c r="I4190" s="2">
        <v>37396.8</v>
      </c>
    </row>
    <row r="4191" spans="1:9" x14ac:dyDescent="0.25">
      <c r="A4191" t="s">
        <v>2268</v>
      </c>
      <c r="B4191" t="s">
        <v>2270</v>
      </c>
      <c r="C4191" t="s">
        <v>42</v>
      </c>
      <c r="D4191" t="s">
        <v>4049</v>
      </c>
      <c r="E4191" t="s">
        <v>4241</v>
      </c>
      <c r="F4191" t="s">
        <v>4051</v>
      </c>
      <c r="G4191">
        <v>0.3</v>
      </c>
      <c r="H4191" s="2">
        <v>9941.22</v>
      </c>
      <c r="I4191" s="2">
        <v>2982.37</v>
      </c>
    </row>
    <row r="4192" spans="1:9" x14ac:dyDescent="0.25">
      <c r="A4192" t="s">
        <v>2268</v>
      </c>
      <c r="B4192" t="s">
        <v>2270</v>
      </c>
      <c r="C4192" t="s">
        <v>42</v>
      </c>
      <c r="D4192" t="s">
        <v>4049</v>
      </c>
      <c r="E4192" t="s">
        <v>4242</v>
      </c>
      <c r="F4192" t="s">
        <v>4051</v>
      </c>
      <c r="G4192">
        <v>0.3</v>
      </c>
      <c r="H4192" s="2">
        <v>17069.53</v>
      </c>
      <c r="I4192" s="2">
        <v>5120.86</v>
      </c>
    </row>
    <row r="4193" spans="1:9" x14ac:dyDescent="0.25">
      <c r="A4193" t="s">
        <v>2268</v>
      </c>
      <c r="B4193" t="s">
        <v>2270</v>
      </c>
      <c r="C4193" t="s">
        <v>42</v>
      </c>
      <c r="D4193" t="s">
        <v>4052</v>
      </c>
      <c r="E4193" t="s">
        <v>6294</v>
      </c>
      <c r="F4193" t="s">
        <v>4106</v>
      </c>
      <c r="G4193">
        <v>0</v>
      </c>
      <c r="H4193" s="2">
        <v>236228.11</v>
      </c>
      <c r="I4193" s="2">
        <v>944.91</v>
      </c>
    </row>
    <row r="4194" spans="1:9" x14ac:dyDescent="0.25">
      <c r="A4194" t="s">
        <v>2268</v>
      </c>
      <c r="B4194" t="s">
        <v>2270</v>
      </c>
      <c r="C4194" t="s">
        <v>42</v>
      </c>
      <c r="D4194" t="s">
        <v>4052</v>
      </c>
      <c r="E4194" t="s">
        <v>4053</v>
      </c>
      <c r="F4194" t="s">
        <v>4054</v>
      </c>
      <c r="G4194">
        <v>5</v>
      </c>
      <c r="H4194" s="2">
        <v>8103.23</v>
      </c>
      <c r="I4194" s="2">
        <v>405.16</v>
      </c>
    </row>
    <row r="4195" spans="1:9" x14ac:dyDescent="0.25">
      <c r="A4195" t="s">
        <v>2272</v>
      </c>
      <c r="B4195" t="s">
        <v>2273</v>
      </c>
      <c r="C4195" t="s">
        <v>42</v>
      </c>
      <c r="D4195" t="s">
        <v>4062</v>
      </c>
      <c r="E4195" t="s">
        <v>6297</v>
      </c>
      <c r="F4195" t="s">
        <v>42</v>
      </c>
      <c r="G4195">
        <v>1.05</v>
      </c>
      <c r="H4195" s="2">
        <v>73211</v>
      </c>
      <c r="I4195" s="2">
        <v>76871.55</v>
      </c>
    </row>
    <row r="4196" spans="1:9" x14ac:dyDescent="0.25">
      <c r="A4196" t="s">
        <v>2272</v>
      </c>
      <c r="B4196" t="s">
        <v>2273</v>
      </c>
      <c r="C4196" t="s">
        <v>42</v>
      </c>
      <c r="D4196" t="s">
        <v>4049</v>
      </c>
      <c r="E4196" t="s">
        <v>4241</v>
      </c>
      <c r="F4196" t="s">
        <v>4051</v>
      </c>
      <c r="G4196">
        <v>0.38</v>
      </c>
      <c r="H4196" s="2">
        <v>9941.22</v>
      </c>
      <c r="I4196" s="2">
        <v>3777.66</v>
      </c>
    </row>
    <row r="4197" spans="1:9" x14ac:dyDescent="0.25">
      <c r="A4197" t="s">
        <v>2272</v>
      </c>
      <c r="B4197" t="s">
        <v>2273</v>
      </c>
      <c r="C4197" t="s">
        <v>42</v>
      </c>
      <c r="D4197" t="s">
        <v>4049</v>
      </c>
      <c r="E4197" t="s">
        <v>4242</v>
      </c>
      <c r="F4197" t="s">
        <v>4051</v>
      </c>
      <c r="G4197">
        <v>0.38</v>
      </c>
      <c r="H4197" s="2">
        <v>17069.53</v>
      </c>
      <c r="I4197" s="2">
        <v>6486.42</v>
      </c>
    </row>
    <row r="4198" spans="1:9" x14ac:dyDescent="0.25">
      <c r="A4198" t="s">
        <v>2272</v>
      </c>
      <c r="B4198" t="s">
        <v>2273</v>
      </c>
      <c r="C4198" t="s">
        <v>42</v>
      </c>
      <c r="D4198" t="s">
        <v>4052</v>
      </c>
      <c r="E4198" t="s">
        <v>6294</v>
      </c>
      <c r="F4198" t="s">
        <v>4106</v>
      </c>
      <c r="G4198">
        <v>0.01</v>
      </c>
      <c r="H4198" s="2">
        <v>236228.11</v>
      </c>
      <c r="I4198" s="2">
        <v>2834.74</v>
      </c>
    </row>
    <row r="4199" spans="1:9" x14ac:dyDescent="0.25">
      <c r="A4199" t="s">
        <v>2272</v>
      </c>
      <c r="B4199" t="s">
        <v>2273</v>
      </c>
      <c r="C4199" t="s">
        <v>42</v>
      </c>
      <c r="D4199" t="s">
        <v>4052</v>
      </c>
      <c r="E4199" t="s">
        <v>4053</v>
      </c>
      <c r="F4199" t="s">
        <v>4054</v>
      </c>
      <c r="G4199">
        <v>5</v>
      </c>
      <c r="H4199" s="2">
        <v>10264.08</v>
      </c>
      <c r="I4199" s="2">
        <v>513.2</v>
      </c>
    </row>
    <row r="4200" spans="1:9" x14ac:dyDescent="0.25">
      <c r="A4200" t="s">
        <v>2275</v>
      </c>
      <c r="B4200" t="s">
        <v>2276</v>
      </c>
      <c r="C4200" t="s">
        <v>42</v>
      </c>
      <c r="D4200" t="s">
        <v>4062</v>
      </c>
      <c r="E4200" t="s">
        <v>6300</v>
      </c>
      <c r="F4200" t="s">
        <v>42</v>
      </c>
      <c r="G4200">
        <v>1.05</v>
      </c>
      <c r="H4200" s="2">
        <v>114323</v>
      </c>
      <c r="I4200" s="2">
        <v>120039.15</v>
      </c>
    </row>
    <row r="4201" spans="1:9" x14ac:dyDescent="0.25">
      <c r="A4201" t="s">
        <v>2275</v>
      </c>
      <c r="B4201" t="s">
        <v>2276</v>
      </c>
      <c r="C4201" t="s">
        <v>42</v>
      </c>
      <c r="D4201" t="s">
        <v>4049</v>
      </c>
      <c r="E4201" t="s">
        <v>4241</v>
      </c>
      <c r="F4201" t="s">
        <v>4051</v>
      </c>
      <c r="G4201">
        <v>0.6</v>
      </c>
      <c r="H4201" s="2">
        <v>9941.22</v>
      </c>
      <c r="I4201" s="2">
        <v>5964.73</v>
      </c>
    </row>
    <row r="4202" spans="1:9" x14ac:dyDescent="0.25">
      <c r="A4202" t="s">
        <v>2275</v>
      </c>
      <c r="B4202" t="s">
        <v>2276</v>
      </c>
      <c r="C4202" t="s">
        <v>42</v>
      </c>
      <c r="D4202" t="s">
        <v>4049</v>
      </c>
      <c r="E4202" t="s">
        <v>4242</v>
      </c>
      <c r="F4202" t="s">
        <v>4051</v>
      </c>
      <c r="G4202">
        <v>0.6</v>
      </c>
      <c r="H4202" s="2">
        <v>17069.53</v>
      </c>
      <c r="I4202" s="2">
        <v>10241.72</v>
      </c>
    </row>
    <row r="4203" spans="1:9" x14ac:dyDescent="0.25">
      <c r="A4203" t="s">
        <v>2275</v>
      </c>
      <c r="B4203" t="s">
        <v>2276</v>
      </c>
      <c r="C4203" t="s">
        <v>42</v>
      </c>
      <c r="D4203" t="s">
        <v>4052</v>
      </c>
      <c r="E4203" t="s">
        <v>6294</v>
      </c>
      <c r="F4203" t="s">
        <v>4106</v>
      </c>
      <c r="G4203">
        <v>0.01</v>
      </c>
      <c r="H4203" s="2">
        <v>236228.11</v>
      </c>
      <c r="I4203" s="2">
        <v>2834.74</v>
      </c>
    </row>
    <row r="4204" spans="1:9" x14ac:dyDescent="0.25">
      <c r="A4204" t="s">
        <v>2275</v>
      </c>
      <c r="B4204" t="s">
        <v>2276</v>
      </c>
      <c r="C4204" t="s">
        <v>42</v>
      </c>
      <c r="D4204" t="s">
        <v>4052</v>
      </c>
      <c r="E4204" t="s">
        <v>4053</v>
      </c>
      <c r="F4204" t="s">
        <v>4054</v>
      </c>
      <c r="G4204">
        <v>5</v>
      </c>
      <c r="H4204" s="2">
        <v>16206.45</v>
      </c>
      <c r="I4204" s="2">
        <v>810.32</v>
      </c>
    </row>
    <row r="4205" spans="1:9" x14ac:dyDescent="0.25">
      <c r="A4205" t="s">
        <v>2278</v>
      </c>
      <c r="B4205" t="s">
        <v>2279</v>
      </c>
      <c r="C4205" t="s">
        <v>42</v>
      </c>
      <c r="D4205" t="s">
        <v>4062</v>
      </c>
      <c r="E4205" t="s">
        <v>6303</v>
      </c>
      <c r="F4205" t="s">
        <v>42</v>
      </c>
      <c r="G4205">
        <v>1.05</v>
      </c>
      <c r="H4205" s="2">
        <v>12221</v>
      </c>
      <c r="I4205" s="2">
        <v>12832.05</v>
      </c>
    </row>
    <row r="4206" spans="1:9" x14ac:dyDescent="0.25">
      <c r="A4206" t="s">
        <v>2278</v>
      </c>
      <c r="B4206" t="s">
        <v>2279</v>
      </c>
      <c r="C4206" t="s">
        <v>42</v>
      </c>
      <c r="D4206" t="s">
        <v>4049</v>
      </c>
      <c r="E4206" t="s">
        <v>4241</v>
      </c>
      <c r="F4206" t="s">
        <v>4051</v>
      </c>
      <c r="G4206">
        <v>0.2</v>
      </c>
      <c r="H4206" s="2">
        <v>9941.22</v>
      </c>
      <c r="I4206" s="2">
        <v>1958.42</v>
      </c>
    </row>
    <row r="4207" spans="1:9" x14ac:dyDescent="0.25">
      <c r="A4207" t="s">
        <v>2278</v>
      </c>
      <c r="B4207" t="s">
        <v>2279</v>
      </c>
      <c r="C4207" t="s">
        <v>42</v>
      </c>
      <c r="D4207" t="s">
        <v>4049</v>
      </c>
      <c r="E4207" t="s">
        <v>4242</v>
      </c>
      <c r="F4207" t="s">
        <v>4051</v>
      </c>
      <c r="G4207">
        <v>0.2</v>
      </c>
      <c r="H4207" s="2">
        <v>17069.53</v>
      </c>
      <c r="I4207" s="2">
        <v>3362.7</v>
      </c>
    </row>
    <row r="4208" spans="1:9" x14ac:dyDescent="0.25">
      <c r="A4208" t="s">
        <v>2278</v>
      </c>
      <c r="B4208" t="s">
        <v>2279</v>
      </c>
      <c r="C4208" t="s">
        <v>42</v>
      </c>
      <c r="D4208" t="s">
        <v>4052</v>
      </c>
      <c r="E4208" t="s">
        <v>6294</v>
      </c>
      <c r="F4208" t="s">
        <v>4106</v>
      </c>
      <c r="G4208">
        <v>0</v>
      </c>
      <c r="H4208" s="2">
        <v>236228.11</v>
      </c>
      <c r="I4208" s="2">
        <v>944.91</v>
      </c>
    </row>
    <row r="4209" spans="1:9" x14ac:dyDescent="0.25">
      <c r="A4209" t="s">
        <v>2278</v>
      </c>
      <c r="B4209" t="s">
        <v>2279</v>
      </c>
      <c r="C4209" t="s">
        <v>42</v>
      </c>
      <c r="D4209" t="s">
        <v>4052</v>
      </c>
      <c r="E4209" t="s">
        <v>4053</v>
      </c>
      <c r="F4209" t="s">
        <v>4054</v>
      </c>
      <c r="G4209">
        <v>5</v>
      </c>
      <c r="H4209" s="2">
        <v>5321.12</v>
      </c>
      <c r="I4209" s="2">
        <v>266.06</v>
      </c>
    </row>
    <row r="4210" spans="1:9" x14ac:dyDescent="0.25">
      <c r="A4210" t="s">
        <v>2281</v>
      </c>
      <c r="B4210" t="s">
        <v>2282</v>
      </c>
      <c r="C4210" t="s">
        <v>42</v>
      </c>
      <c r="D4210" t="s">
        <v>4062</v>
      </c>
      <c r="E4210" t="s">
        <v>6306</v>
      </c>
      <c r="F4210" t="s">
        <v>42</v>
      </c>
      <c r="G4210">
        <v>1.05</v>
      </c>
      <c r="H4210" s="2">
        <v>24323</v>
      </c>
      <c r="I4210" s="2">
        <v>25539.15</v>
      </c>
    </row>
    <row r="4211" spans="1:9" x14ac:dyDescent="0.25">
      <c r="A4211" t="s">
        <v>2281</v>
      </c>
      <c r="B4211" t="s">
        <v>2282</v>
      </c>
      <c r="C4211" t="s">
        <v>42</v>
      </c>
      <c r="D4211" t="s">
        <v>4049</v>
      </c>
      <c r="E4211" t="s">
        <v>4241</v>
      </c>
      <c r="F4211" t="s">
        <v>4051</v>
      </c>
      <c r="G4211">
        <v>0.2</v>
      </c>
      <c r="H4211" s="2">
        <v>9941.22</v>
      </c>
      <c r="I4211" s="2">
        <v>1988.24</v>
      </c>
    </row>
    <row r="4212" spans="1:9" x14ac:dyDescent="0.25">
      <c r="A4212" t="s">
        <v>2281</v>
      </c>
      <c r="B4212" t="s">
        <v>2282</v>
      </c>
      <c r="C4212" t="s">
        <v>42</v>
      </c>
      <c r="D4212" t="s">
        <v>4049</v>
      </c>
      <c r="E4212" t="s">
        <v>4242</v>
      </c>
      <c r="F4212" t="s">
        <v>4051</v>
      </c>
      <c r="G4212">
        <v>0.2</v>
      </c>
      <c r="H4212" s="2">
        <v>17069.53</v>
      </c>
      <c r="I4212" s="2">
        <v>3413.91</v>
      </c>
    </row>
    <row r="4213" spans="1:9" x14ac:dyDescent="0.25">
      <c r="A4213" t="s">
        <v>2281</v>
      </c>
      <c r="B4213" t="s">
        <v>2282</v>
      </c>
      <c r="C4213" t="s">
        <v>42</v>
      </c>
      <c r="D4213" t="s">
        <v>4052</v>
      </c>
      <c r="E4213" t="s">
        <v>6294</v>
      </c>
      <c r="F4213" t="s">
        <v>4106</v>
      </c>
      <c r="G4213">
        <v>0</v>
      </c>
      <c r="H4213" s="2">
        <v>236228.11</v>
      </c>
      <c r="I4213" s="2">
        <v>944.91</v>
      </c>
    </row>
    <row r="4214" spans="1:9" x14ac:dyDescent="0.25">
      <c r="A4214" t="s">
        <v>2281</v>
      </c>
      <c r="B4214" t="s">
        <v>2282</v>
      </c>
      <c r="C4214" t="s">
        <v>42</v>
      </c>
      <c r="D4214" t="s">
        <v>4052</v>
      </c>
      <c r="E4214" t="s">
        <v>4053</v>
      </c>
      <c r="F4214" t="s">
        <v>4054</v>
      </c>
      <c r="G4214">
        <v>5</v>
      </c>
      <c r="H4214" s="2">
        <v>5402.15</v>
      </c>
      <c r="I4214" s="2">
        <v>270.11</v>
      </c>
    </row>
    <row r="4215" spans="1:9" x14ac:dyDescent="0.25">
      <c r="A4215" t="s">
        <v>2284</v>
      </c>
      <c r="B4215" t="s">
        <v>2285</v>
      </c>
      <c r="C4215" t="s">
        <v>42</v>
      </c>
      <c r="D4215" t="s">
        <v>4062</v>
      </c>
      <c r="E4215" t="s">
        <v>6309</v>
      </c>
      <c r="F4215" t="s">
        <v>42</v>
      </c>
      <c r="G4215">
        <v>1.05</v>
      </c>
      <c r="H4215" s="2">
        <v>48762</v>
      </c>
      <c r="I4215" s="2">
        <v>51200.1</v>
      </c>
    </row>
    <row r="4216" spans="1:9" x14ac:dyDescent="0.25">
      <c r="A4216" t="s">
        <v>2284</v>
      </c>
      <c r="B4216" t="s">
        <v>2285</v>
      </c>
      <c r="C4216" t="s">
        <v>42</v>
      </c>
      <c r="D4216" t="s">
        <v>4049</v>
      </c>
      <c r="E4216" t="s">
        <v>4241</v>
      </c>
      <c r="F4216" t="s">
        <v>4051</v>
      </c>
      <c r="G4216">
        <v>0.35</v>
      </c>
      <c r="H4216" s="2">
        <v>9941.22</v>
      </c>
      <c r="I4216" s="2">
        <v>3479.43</v>
      </c>
    </row>
    <row r="4217" spans="1:9" x14ac:dyDescent="0.25">
      <c r="A4217" t="s">
        <v>2284</v>
      </c>
      <c r="B4217" t="s">
        <v>2285</v>
      </c>
      <c r="C4217" t="s">
        <v>42</v>
      </c>
      <c r="D4217" t="s">
        <v>4049</v>
      </c>
      <c r="E4217" t="s">
        <v>4242</v>
      </c>
      <c r="F4217" t="s">
        <v>4051</v>
      </c>
      <c r="G4217">
        <v>0.3</v>
      </c>
      <c r="H4217" s="2">
        <v>17069.53</v>
      </c>
      <c r="I4217" s="2">
        <v>5120.86</v>
      </c>
    </row>
    <row r="4218" spans="1:9" x14ac:dyDescent="0.25">
      <c r="A4218" t="s">
        <v>2284</v>
      </c>
      <c r="B4218" t="s">
        <v>2285</v>
      </c>
      <c r="C4218" t="s">
        <v>42</v>
      </c>
      <c r="D4218" t="s">
        <v>4052</v>
      </c>
      <c r="E4218" t="s">
        <v>6294</v>
      </c>
      <c r="F4218" t="s">
        <v>4106</v>
      </c>
      <c r="G4218">
        <v>0</v>
      </c>
      <c r="H4218" s="2">
        <v>236228.11</v>
      </c>
      <c r="I4218" s="2">
        <v>944.91</v>
      </c>
    </row>
    <row r="4219" spans="1:9" x14ac:dyDescent="0.25">
      <c r="A4219" t="s">
        <v>2284</v>
      </c>
      <c r="B4219" t="s">
        <v>2285</v>
      </c>
      <c r="C4219" t="s">
        <v>42</v>
      </c>
      <c r="D4219" t="s">
        <v>4052</v>
      </c>
      <c r="E4219" t="s">
        <v>4053</v>
      </c>
      <c r="F4219" t="s">
        <v>4054</v>
      </c>
      <c r="G4219">
        <v>5</v>
      </c>
      <c r="H4219" s="2">
        <v>8600.29</v>
      </c>
      <c r="I4219" s="2">
        <v>430.01</v>
      </c>
    </row>
    <row r="4220" spans="1:9" x14ac:dyDescent="0.25">
      <c r="A4220" t="s">
        <v>2287</v>
      </c>
      <c r="B4220" t="s">
        <v>2288</v>
      </c>
      <c r="C4220" t="s">
        <v>42</v>
      </c>
      <c r="D4220" t="s">
        <v>4062</v>
      </c>
      <c r="E4220" t="s">
        <v>6312</v>
      </c>
      <c r="F4220" t="s">
        <v>42</v>
      </c>
      <c r="G4220">
        <v>1.05</v>
      </c>
      <c r="H4220" s="2">
        <v>109122</v>
      </c>
      <c r="I4220" s="2">
        <v>114578.1</v>
      </c>
    </row>
    <row r="4221" spans="1:9" x14ac:dyDescent="0.25">
      <c r="A4221" t="s">
        <v>2287</v>
      </c>
      <c r="B4221" t="s">
        <v>2288</v>
      </c>
      <c r="C4221" t="s">
        <v>42</v>
      </c>
      <c r="D4221" t="s">
        <v>4049</v>
      </c>
      <c r="E4221" t="s">
        <v>4241</v>
      </c>
      <c r="F4221" t="s">
        <v>4051</v>
      </c>
      <c r="G4221">
        <v>0.38</v>
      </c>
      <c r="H4221" s="2">
        <v>9941.22</v>
      </c>
      <c r="I4221" s="2">
        <v>3777.66</v>
      </c>
    </row>
    <row r="4222" spans="1:9" x14ac:dyDescent="0.25">
      <c r="A4222" t="s">
        <v>2287</v>
      </c>
      <c r="B4222" t="s">
        <v>2288</v>
      </c>
      <c r="C4222" t="s">
        <v>42</v>
      </c>
      <c r="D4222" t="s">
        <v>4049</v>
      </c>
      <c r="E4222" t="s">
        <v>4242</v>
      </c>
      <c r="F4222" t="s">
        <v>4051</v>
      </c>
      <c r="G4222">
        <v>0.38</v>
      </c>
      <c r="H4222" s="2">
        <v>17069.53</v>
      </c>
      <c r="I4222" s="2">
        <v>6486.42</v>
      </c>
    </row>
    <row r="4223" spans="1:9" x14ac:dyDescent="0.25">
      <c r="A4223" t="s">
        <v>2287</v>
      </c>
      <c r="B4223" t="s">
        <v>2288</v>
      </c>
      <c r="C4223" t="s">
        <v>42</v>
      </c>
      <c r="D4223" t="s">
        <v>4052</v>
      </c>
      <c r="E4223" t="s">
        <v>6294</v>
      </c>
      <c r="F4223" t="s">
        <v>4106</v>
      </c>
      <c r="G4223">
        <v>0.01</v>
      </c>
      <c r="H4223" s="2">
        <v>236228.11</v>
      </c>
      <c r="I4223" s="2">
        <v>2834.74</v>
      </c>
    </row>
    <row r="4224" spans="1:9" x14ac:dyDescent="0.25">
      <c r="A4224" t="s">
        <v>2287</v>
      </c>
      <c r="B4224" t="s">
        <v>2288</v>
      </c>
      <c r="C4224" t="s">
        <v>42</v>
      </c>
      <c r="D4224" t="s">
        <v>4052</v>
      </c>
      <c r="E4224" t="s">
        <v>4053</v>
      </c>
      <c r="F4224" t="s">
        <v>4054</v>
      </c>
      <c r="G4224">
        <v>5</v>
      </c>
      <c r="H4224" s="2">
        <v>10264.08</v>
      </c>
      <c r="I4224" s="2">
        <v>513.2</v>
      </c>
    </row>
    <row r="4225" spans="1:9" x14ac:dyDescent="0.25">
      <c r="A4225" t="s">
        <v>2290</v>
      </c>
      <c r="B4225" t="s">
        <v>2291</v>
      </c>
      <c r="C4225" t="s">
        <v>42</v>
      </c>
      <c r="D4225" t="s">
        <v>4062</v>
      </c>
      <c r="E4225" t="s">
        <v>6315</v>
      </c>
      <c r="F4225" t="s">
        <v>42</v>
      </c>
      <c r="G4225">
        <v>1.05</v>
      </c>
      <c r="H4225" s="2">
        <v>175564</v>
      </c>
      <c r="I4225" s="2">
        <v>184342.2</v>
      </c>
    </row>
    <row r="4226" spans="1:9" x14ac:dyDescent="0.25">
      <c r="A4226" t="s">
        <v>2290</v>
      </c>
      <c r="B4226" t="s">
        <v>2291</v>
      </c>
      <c r="C4226" t="s">
        <v>42</v>
      </c>
      <c r="D4226" t="s">
        <v>4049</v>
      </c>
      <c r="E4226" t="s">
        <v>4241</v>
      </c>
      <c r="F4226" t="s">
        <v>4051</v>
      </c>
      <c r="G4226">
        <v>0.6</v>
      </c>
      <c r="H4226" s="2">
        <v>9941.22</v>
      </c>
      <c r="I4226" s="2">
        <v>5964.73</v>
      </c>
    </row>
    <row r="4227" spans="1:9" x14ac:dyDescent="0.25">
      <c r="A4227" t="s">
        <v>2290</v>
      </c>
      <c r="B4227" t="s">
        <v>2291</v>
      </c>
      <c r="C4227" t="s">
        <v>42</v>
      </c>
      <c r="D4227" t="s">
        <v>4049</v>
      </c>
      <c r="E4227" t="s">
        <v>4242</v>
      </c>
      <c r="F4227" t="s">
        <v>4051</v>
      </c>
      <c r="G4227">
        <v>0.6</v>
      </c>
      <c r="H4227" s="2">
        <v>17069.53</v>
      </c>
      <c r="I4227" s="2">
        <v>10241.72</v>
      </c>
    </row>
    <row r="4228" spans="1:9" x14ac:dyDescent="0.25">
      <c r="A4228" t="s">
        <v>2290</v>
      </c>
      <c r="B4228" t="s">
        <v>2291</v>
      </c>
      <c r="C4228" t="s">
        <v>42</v>
      </c>
      <c r="D4228" t="s">
        <v>4052</v>
      </c>
      <c r="E4228" t="s">
        <v>6294</v>
      </c>
      <c r="F4228" t="s">
        <v>4106</v>
      </c>
      <c r="G4228">
        <v>0.01</v>
      </c>
      <c r="H4228" s="2">
        <v>236228.11</v>
      </c>
      <c r="I4228" s="2">
        <v>2834.74</v>
      </c>
    </row>
    <row r="4229" spans="1:9" x14ac:dyDescent="0.25">
      <c r="A4229" t="s">
        <v>2290</v>
      </c>
      <c r="B4229" t="s">
        <v>2291</v>
      </c>
      <c r="C4229" t="s">
        <v>42</v>
      </c>
      <c r="D4229" t="s">
        <v>4052</v>
      </c>
      <c r="E4229" t="s">
        <v>4053</v>
      </c>
      <c r="F4229" t="s">
        <v>4054</v>
      </c>
      <c r="G4229">
        <v>5</v>
      </c>
      <c r="H4229" s="2">
        <v>16206.45</v>
      </c>
      <c r="I4229" s="2">
        <v>810.32</v>
      </c>
    </row>
    <row r="4230" spans="1:9" x14ac:dyDescent="0.25">
      <c r="A4230" t="s">
        <v>2293</v>
      </c>
      <c r="B4230" t="s">
        <v>2294</v>
      </c>
      <c r="C4230" t="s">
        <v>42</v>
      </c>
      <c r="D4230" t="s">
        <v>4062</v>
      </c>
      <c r="E4230" t="s">
        <v>6318</v>
      </c>
      <c r="F4230" t="s">
        <v>42</v>
      </c>
      <c r="G4230">
        <v>1.05</v>
      </c>
      <c r="H4230" s="2">
        <v>17671</v>
      </c>
      <c r="I4230" s="2">
        <v>18554.55</v>
      </c>
    </row>
    <row r="4231" spans="1:9" x14ac:dyDescent="0.25">
      <c r="A4231" t="s">
        <v>2293</v>
      </c>
      <c r="B4231" t="s">
        <v>2294</v>
      </c>
      <c r="C4231" t="s">
        <v>42</v>
      </c>
      <c r="D4231" t="s">
        <v>4049</v>
      </c>
      <c r="E4231" t="s">
        <v>4241</v>
      </c>
      <c r="F4231" t="s">
        <v>4051</v>
      </c>
      <c r="G4231">
        <v>0.2</v>
      </c>
      <c r="H4231" s="2">
        <v>9941.22</v>
      </c>
      <c r="I4231" s="2">
        <v>1958.42</v>
      </c>
    </row>
    <row r="4232" spans="1:9" x14ac:dyDescent="0.25">
      <c r="A4232" t="s">
        <v>2293</v>
      </c>
      <c r="B4232" t="s">
        <v>2294</v>
      </c>
      <c r="C4232" t="s">
        <v>42</v>
      </c>
      <c r="D4232" t="s">
        <v>4049</v>
      </c>
      <c r="E4232" t="s">
        <v>4242</v>
      </c>
      <c r="F4232" t="s">
        <v>4051</v>
      </c>
      <c r="G4232">
        <v>0.2</v>
      </c>
      <c r="H4232" s="2">
        <v>17069.53</v>
      </c>
      <c r="I4232" s="2">
        <v>3362.7</v>
      </c>
    </row>
    <row r="4233" spans="1:9" x14ac:dyDescent="0.25">
      <c r="A4233" t="s">
        <v>2293</v>
      </c>
      <c r="B4233" t="s">
        <v>2294</v>
      </c>
      <c r="C4233" t="s">
        <v>42</v>
      </c>
      <c r="D4233" t="s">
        <v>4052</v>
      </c>
      <c r="E4233" t="s">
        <v>6294</v>
      </c>
      <c r="F4233" t="s">
        <v>4106</v>
      </c>
      <c r="G4233">
        <v>0</v>
      </c>
      <c r="H4233" s="2">
        <v>236228.11</v>
      </c>
      <c r="I4233" s="2">
        <v>944.91</v>
      </c>
    </row>
    <row r="4234" spans="1:9" x14ac:dyDescent="0.25">
      <c r="A4234" t="s">
        <v>2293</v>
      </c>
      <c r="B4234" t="s">
        <v>2294</v>
      </c>
      <c r="C4234" t="s">
        <v>42</v>
      </c>
      <c r="D4234" t="s">
        <v>4052</v>
      </c>
      <c r="E4234" t="s">
        <v>4053</v>
      </c>
      <c r="F4234" t="s">
        <v>4054</v>
      </c>
      <c r="G4234">
        <v>5</v>
      </c>
      <c r="H4234" s="2">
        <v>5321.12</v>
      </c>
      <c r="I4234" s="2">
        <v>266.06</v>
      </c>
    </row>
    <row r="4235" spans="1:9" x14ac:dyDescent="0.25">
      <c r="A4235" t="s">
        <v>2296</v>
      </c>
      <c r="B4235" t="s">
        <v>2297</v>
      </c>
      <c r="C4235" t="s">
        <v>42</v>
      </c>
      <c r="D4235" t="s">
        <v>4062</v>
      </c>
      <c r="E4235" t="s">
        <v>6321</v>
      </c>
      <c r="F4235" t="s">
        <v>42</v>
      </c>
      <c r="G4235">
        <v>1.05</v>
      </c>
      <c r="H4235" s="2">
        <v>32633</v>
      </c>
      <c r="I4235" s="2">
        <v>34264.65</v>
      </c>
    </row>
    <row r="4236" spans="1:9" x14ac:dyDescent="0.25">
      <c r="A4236" t="s">
        <v>2296</v>
      </c>
      <c r="B4236" t="s">
        <v>2297</v>
      </c>
      <c r="C4236" t="s">
        <v>42</v>
      </c>
      <c r="D4236" t="s">
        <v>4049</v>
      </c>
      <c r="E4236" t="s">
        <v>4241</v>
      </c>
      <c r="F4236" t="s">
        <v>4051</v>
      </c>
      <c r="G4236">
        <v>0.2</v>
      </c>
      <c r="H4236" s="2">
        <v>9941.22</v>
      </c>
      <c r="I4236" s="2">
        <v>1988.24</v>
      </c>
    </row>
    <row r="4237" spans="1:9" x14ac:dyDescent="0.25">
      <c r="A4237" t="s">
        <v>2296</v>
      </c>
      <c r="B4237" t="s">
        <v>2297</v>
      </c>
      <c r="C4237" t="s">
        <v>42</v>
      </c>
      <c r="D4237" t="s">
        <v>4049</v>
      </c>
      <c r="E4237" t="s">
        <v>4242</v>
      </c>
      <c r="F4237" t="s">
        <v>4051</v>
      </c>
      <c r="G4237">
        <v>0.2</v>
      </c>
      <c r="H4237" s="2">
        <v>17069.53</v>
      </c>
      <c r="I4237" s="2">
        <v>3413.91</v>
      </c>
    </row>
    <row r="4238" spans="1:9" x14ac:dyDescent="0.25">
      <c r="A4238" t="s">
        <v>2296</v>
      </c>
      <c r="B4238" t="s">
        <v>2297</v>
      </c>
      <c r="C4238" t="s">
        <v>42</v>
      </c>
      <c r="D4238" t="s">
        <v>4052</v>
      </c>
      <c r="E4238" t="s">
        <v>6294</v>
      </c>
      <c r="F4238" t="s">
        <v>4106</v>
      </c>
      <c r="G4238">
        <v>0</v>
      </c>
      <c r="H4238" s="2">
        <v>236228.11</v>
      </c>
      <c r="I4238" s="2">
        <v>944.91</v>
      </c>
    </row>
    <row r="4239" spans="1:9" x14ac:dyDescent="0.25">
      <c r="A4239" t="s">
        <v>2296</v>
      </c>
      <c r="B4239" t="s">
        <v>2297</v>
      </c>
      <c r="C4239" t="s">
        <v>42</v>
      </c>
      <c r="D4239" t="s">
        <v>4052</v>
      </c>
      <c r="E4239" t="s">
        <v>4053</v>
      </c>
      <c r="F4239" t="s">
        <v>4054</v>
      </c>
      <c r="G4239">
        <v>5</v>
      </c>
      <c r="H4239" s="2">
        <v>5402.15</v>
      </c>
      <c r="I4239" s="2">
        <v>270.11</v>
      </c>
    </row>
    <row r="4240" spans="1:9" x14ac:dyDescent="0.25">
      <c r="A4240" t="s">
        <v>2299</v>
      </c>
      <c r="B4240" t="s">
        <v>2301</v>
      </c>
      <c r="C4240" t="s">
        <v>42</v>
      </c>
      <c r="D4240" t="s">
        <v>4062</v>
      </c>
      <c r="E4240" t="s">
        <v>6325</v>
      </c>
      <c r="F4240" t="s">
        <v>42</v>
      </c>
      <c r="G4240">
        <v>1.05</v>
      </c>
      <c r="H4240" s="2">
        <v>27201</v>
      </c>
      <c r="I4240" s="2">
        <v>28561.05</v>
      </c>
    </row>
    <row r="4241" spans="1:9" x14ac:dyDescent="0.25">
      <c r="A4241" t="s">
        <v>2299</v>
      </c>
      <c r="B4241" t="s">
        <v>2301</v>
      </c>
      <c r="C4241" t="s">
        <v>42</v>
      </c>
      <c r="D4241" t="s">
        <v>4062</v>
      </c>
      <c r="E4241" t="s">
        <v>6326</v>
      </c>
      <c r="F4241" t="s">
        <v>63</v>
      </c>
      <c r="G4241">
        <v>0.17</v>
      </c>
      <c r="H4241" s="2">
        <v>11050</v>
      </c>
      <c r="I4241" s="2">
        <v>1878.5</v>
      </c>
    </row>
    <row r="4242" spans="1:9" x14ac:dyDescent="0.25">
      <c r="A4242" t="s">
        <v>2299</v>
      </c>
      <c r="B4242" t="s">
        <v>2301</v>
      </c>
      <c r="C4242" t="s">
        <v>42</v>
      </c>
      <c r="D4242" t="s">
        <v>4049</v>
      </c>
      <c r="E4242" t="s">
        <v>4241</v>
      </c>
      <c r="F4242" t="s">
        <v>4051</v>
      </c>
      <c r="G4242">
        <v>0.32</v>
      </c>
      <c r="H4242" s="2">
        <v>9941.22</v>
      </c>
      <c r="I4242" s="2">
        <v>3181.19</v>
      </c>
    </row>
    <row r="4243" spans="1:9" x14ac:dyDescent="0.25">
      <c r="A4243" t="s">
        <v>2299</v>
      </c>
      <c r="B4243" t="s">
        <v>2301</v>
      </c>
      <c r="C4243" t="s">
        <v>42</v>
      </c>
      <c r="D4243" t="s">
        <v>4049</v>
      </c>
      <c r="E4243" t="s">
        <v>4242</v>
      </c>
      <c r="F4243" t="s">
        <v>4051</v>
      </c>
      <c r="G4243">
        <v>0.32</v>
      </c>
      <c r="H4243" s="2">
        <v>17069.53</v>
      </c>
      <c r="I4243" s="2">
        <v>5462.25</v>
      </c>
    </row>
    <row r="4244" spans="1:9" x14ac:dyDescent="0.25">
      <c r="A4244" t="s">
        <v>2299</v>
      </c>
      <c r="B4244" t="s">
        <v>2301</v>
      </c>
      <c r="C4244" t="s">
        <v>42</v>
      </c>
      <c r="D4244" t="s">
        <v>4052</v>
      </c>
      <c r="E4244" t="s">
        <v>4053</v>
      </c>
      <c r="F4244" t="s">
        <v>4054</v>
      </c>
      <c r="G4244">
        <v>5</v>
      </c>
      <c r="H4244" s="2">
        <v>8643.44</v>
      </c>
      <c r="I4244" s="2">
        <v>432.17</v>
      </c>
    </row>
    <row r="4245" spans="1:9" x14ac:dyDescent="0.25">
      <c r="A4245" t="s">
        <v>2303</v>
      </c>
      <c r="B4245" t="s">
        <v>2304</v>
      </c>
      <c r="C4245" t="s">
        <v>42</v>
      </c>
      <c r="D4245" t="s">
        <v>4062</v>
      </c>
      <c r="E4245" t="s">
        <v>6329</v>
      </c>
      <c r="F4245" t="s">
        <v>42</v>
      </c>
      <c r="G4245">
        <v>1.05</v>
      </c>
      <c r="H4245" s="2">
        <v>46729</v>
      </c>
      <c r="I4245" s="2">
        <v>49065.45</v>
      </c>
    </row>
    <row r="4246" spans="1:9" x14ac:dyDescent="0.25">
      <c r="A4246" t="s">
        <v>2303</v>
      </c>
      <c r="B4246" t="s">
        <v>2304</v>
      </c>
      <c r="C4246" t="s">
        <v>42</v>
      </c>
      <c r="D4246" t="s">
        <v>4062</v>
      </c>
      <c r="E4246" t="s">
        <v>6330</v>
      </c>
      <c r="F4246" t="s">
        <v>63</v>
      </c>
      <c r="G4246">
        <v>0.17</v>
      </c>
      <c r="H4246" s="2">
        <v>152154</v>
      </c>
      <c r="I4246" s="2">
        <v>25866.18</v>
      </c>
    </row>
    <row r="4247" spans="1:9" x14ac:dyDescent="0.25">
      <c r="A4247" t="s">
        <v>2303</v>
      </c>
      <c r="B4247" t="s">
        <v>2304</v>
      </c>
      <c r="C4247" t="s">
        <v>42</v>
      </c>
      <c r="D4247" t="s">
        <v>4049</v>
      </c>
      <c r="E4247" t="s">
        <v>4241</v>
      </c>
      <c r="F4247" t="s">
        <v>4051</v>
      </c>
      <c r="G4247">
        <v>0.72</v>
      </c>
      <c r="H4247" s="2">
        <v>9941.22</v>
      </c>
      <c r="I4247" s="2">
        <v>7157.68</v>
      </c>
    </row>
    <row r="4248" spans="1:9" x14ac:dyDescent="0.25">
      <c r="A4248" t="s">
        <v>2303</v>
      </c>
      <c r="B4248" t="s">
        <v>2304</v>
      </c>
      <c r="C4248" t="s">
        <v>42</v>
      </c>
      <c r="D4248" t="s">
        <v>4049</v>
      </c>
      <c r="E4248" t="s">
        <v>4242</v>
      </c>
      <c r="F4248" t="s">
        <v>4051</v>
      </c>
      <c r="G4248">
        <v>0.72</v>
      </c>
      <c r="H4248" s="2">
        <v>17069.53</v>
      </c>
      <c r="I4248" s="2">
        <v>12290.06</v>
      </c>
    </row>
    <row r="4249" spans="1:9" x14ac:dyDescent="0.25">
      <c r="A4249" t="s">
        <v>2303</v>
      </c>
      <c r="B4249" t="s">
        <v>2304</v>
      </c>
      <c r="C4249" t="s">
        <v>42</v>
      </c>
      <c r="D4249" t="s">
        <v>4052</v>
      </c>
      <c r="E4249" t="s">
        <v>4053</v>
      </c>
      <c r="F4249" t="s">
        <v>4054</v>
      </c>
      <c r="G4249">
        <v>5</v>
      </c>
      <c r="H4249" s="2">
        <v>19447.74</v>
      </c>
      <c r="I4249" s="2">
        <v>972.39</v>
      </c>
    </row>
    <row r="4250" spans="1:9" x14ac:dyDescent="0.25">
      <c r="A4250" t="s">
        <v>2306</v>
      </c>
      <c r="B4250" t="s">
        <v>2307</v>
      </c>
      <c r="C4250" t="s">
        <v>42</v>
      </c>
      <c r="D4250" t="s">
        <v>4062</v>
      </c>
      <c r="E4250" t="s">
        <v>6333</v>
      </c>
      <c r="F4250" t="s">
        <v>42</v>
      </c>
      <c r="G4250">
        <v>1.05</v>
      </c>
      <c r="H4250" s="2">
        <v>31416</v>
      </c>
      <c r="I4250" s="2">
        <v>32986.8</v>
      </c>
    </row>
    <row r="4251" spans="1:9" x14ac:dyDescent="0.25">
      <c r="A4251" t="s">
        <v>2306</v>
      </c>
      <c r="B4251" t="s">
        <v>2307</v>
      </c>
      <c r="C4251" t="s">
        <v>42</v>
      </c>
      <c r="D4251" t="s">
        <v>4062</v>
      </c>
      <c r="E4251" t="s">
        <v>6334</v>
      </c>
      <c r="F4251" t="s">
        <v>63</v>
      </c>
      <c r="G4251">
        <v>0.17</v>
      </c>
      <c r="H4251" s="2">
        <v>6891</v>
      </c>
      <c r="I4251" s="2">
        <v>1171.47</v>
      </c>
    </row>
    <row r="4252" spans="1:9" x14ac:dyDescent="0.25">
      <c r="A4252" t="s">
        <v>2306</v>
      </c>
      <c r="B4252" t="s">
        <v>2307</v>
      </c>
      <c r="C4252" t="s">
        <v>42</v>
      </c>
      <c r="D4252" t="s">
        <v>4049</v>
      </c>
      <c r="E4252" t="s">
        <v>4241</v>
      </c>
      <c r="F4252" t="s">
        <v>4051</v>
      </c>
      <c r="G4252">
        <v>0.7</v>
      </c>
      <c r="H4252" s="2">
        <v>9941.22</v>
      </c>
      <c r="I4252" s="2">
        <v>6958.85</v>
      </c>
    </row>
    <row r="4253" spans="1:9" x14ac:dyDescent="0.25">
      <c r="A4253" t="s">
        <v>2306</v>
      </c>
      <c r="B4253" t="s">
        <v>2307</v>
      </c>
      <c r="C4253" t="s">
        <v>42</v>
      </c>
      <c r="D4253" t="s">
        <v>4049</v>
      </c>
      <c r="E4253" t="s">
        <v>4242</v>
      </c>
      <c r="F4253" t="s">
        <v>4051</v>
      </c>
      <c r="G4253">
        <v>0.7</v>
      </c>
      <c r="H4253" s="2">
        <v>17069.53</v>
      </c>
      <c r="I4253" s="2">
        <v>11948.67</v>
      </c>
    </row>
    <row r="4254" spans="1:9" x14ac:dyDescent="0.25">
      <c r="A4254" t="s">
        <v>2306</v>
      </c>
      <c r="B4254" t="s">
        <v>2307</v>
      </c>
      <c r="C4254" t="s">
        <v>42</v>
      </c>
      <c r="D4254" t="s">
        <v>4052</v>
      </c>
      <c r="E4254" t="s">
        <v>4053</v>
      </c>
      <c r="F4254" t="s">
        <v>4054</v>
      </c>
      <c r="G4254">
        <v>5</v>
      </c>
      <c r="H4254" s="2">
        <v>18907.52</v>
      </c>
      <c r="I4254" s="2">
        <v>945.38</v>
      </c>
    </row>
    <row r="4255" spans="1:9" x14ac:dyDescent="0.25">
      <c r="A4255" t="s">
        <v>2309</v>
      </c>
      <c r="B4255" t="s">
        <v>2310</v>
      </c>
      <c r="C4255" t="s">
        <v>42</v>
      </c>
      <c r="D4255" t="s">
        <v>4062</v>
      </c>
      <c r="E4255" t="s">
        <v>6337</v>
      </c>
      <c r="F4255" t="s">
        <v>42</v>
      </c>
      <c r="G4255">
        <v>1.05</v>
      </c>
      <c r="H4255" s="2">
        <v>59409</v>
      </c>
      <c r="I4255" s="2">
        <v>62379.45</v>
      </c>
    </row>
    <row r="4256" spans="1:9" x14ac:dyDescent="0.25">
      <c r="A4256" t="s">
        <v>2309</v>
      </c>
      <c r="B4256" t="s">
        <v>2310</v>
      </c>
      <c r="C4256" t="s">
        <v>42</v>
      </c>
      <c r="D4256" t="s">
        <v>4062</v>
      </c>
      <c r="E4256" t="s">
        <v>6338</v>
      </c>
      <c r="F4256" t="s">
        <v>63</v>
      </c>
      <c r="G4256">
        <v>0.17</v>
      </c>
      <c r="H4256" s="2">
        <v>3603</v>
      </c>
      <c r="I4256" s="2">
        <v>612.51</v>
      </c>
    </row>
    <row r="4257" spans="1:9" x14ac:dyDescent="0.25">
      <c r="A4257" t="s">
        <v>2309</v>
      </c>
      <c r="B4257" t="s">
        <v>2310</v>
      </c>
      <c r="C4257" t="s">
        <v>42</v>
      </c>
      <c r="D4257" t="s">
        <v>4049</v>
      </c>
      <c r="E4257" t="s">
        <v>4241</v>
      </c>
      <c r="F4257" t="s">
        <v>4051</v>
      </c>
      <c r="G4257">
        <v>0.8</v>
      </c>
      <c r="H4257" s="2">
        <v>9941.22</v>
      </c>
      <c r="I4257" s="2">
        <v>7952.98</v>
      </c>
    </row>
    <row r="4258" spans="1:9" x14ac:dyDescent="0.25">
      <c r="A4258" t="s">
        <v>2309</v>
      </c>
      <c r="B4258" t="s">
        <v>2310</v>
      </c>
      <c r="C4258" t="s">
        <v>42</v>
      </c>
      <c r="D4258" t="s">
        <v>4049</v>
      </c>
      <c r="E4258" t="s">
        <v>4242</v>
      </c>
      <c r="F4258" t="s">
        <v>4051</v>
      </c>
      <c r="G4258">
        <v>0.8</v>
      </c>
      <c r="H4258" s="2">
        <v>17069.53</v>
      </c>
      <c r="I4258" s="2">
        <v>13655.62</v>
      </c>
    </row>
    <row r="4259" spans="1:9" x14ac:dyDescent="0.25">
      <c r="A4259" t="s">
        <v>2309</v>
      </c>
      <c r="B4259" t="s">
        <v>2310</v>
      </c>
      <c r="C4259" t="s">
        <v>42</v>
      </c>
      <c r="D4259" t="s">
        <v>4052</v>
      </c>
      <c r="E4259" t="s">
        <v>4053</v>
      </c>
      <c r="F4259" t="s">
        <v>4054</v>
      </c>
      <c r="G4259">
        <v>5</v>
      </c>
      <c r="H4259" s="2">
        <v>21608.6</v>
      </c>
      <c r="I4259" s="2">
        <v>1080.43</v>
      </c>
    </row>
    <row r="4260" spans="1:9" x14ac:dyDescent="0.25">
      <c r="A4260" t="s">
        <v>2312</v>
      </c>
      <c r="B4260" t="s">
        <v>2313</v>
      </c>
      <c r="C4260" t="s">
        <v>42</v>
      </c>
      <c r="D4260" t="s">
        <v>4062</v>
      </c>
      <c r="E4260" t="s">
        <v>6341</v>
      </c>
      <c r="F4260" t="s">
        <v>42</v>
      </c>
      <c r="G4260">
        <v>1.05</v>
      </c>
      <c r="H4260" s="2">
        <v>64231</v>
      </c>
      <c r="I4260" s="2">
        <v>67442.55</v>
      </c>
    </row>
    <row r="4261" spans="1:9" x14ac:dyDescent="0.25">
      <c r="A4261" t="s">
        <v>2312</v>
      </c>
      <c r="B4261" t="s">
        <v>2313</v>
      </c>
      <c r="C4261" t="s">
        <v>42</v>
      </c>
      <c r="D4261" t="s">
        <v>4062</v>
      </c>
      <c r="E4261" t="s">
        <v>6342</v>
      </c>
      <c r="F4261" t="s">
        <v>63</v>
      </c>
      <c r="G4261">
        <v>0.17</v>
      </c>
      <c r="H4261" s="2">
        <v>19040</v>
      </c>
      <c r="I4261" s="2">
        <v>3236.8</v>
      </c>
    </row>
    <row r="4262" spans="1:9" x14ac:dyDescent="0.25">
      <c r="A4262" t="s">
        <v>2312</v>
      </c>
      <c r="B4262" t="s">
        <v>2313</v>
      </c>
      <c r="C4262" t="s">
        <v>42</v>
      </c>
      <c r="D4262" t="s">
        <v>4049</v>
      </c>
      <c r="E4262" t="s">
        <v>4241</v>
      </c>
      <c r="F4262" t="s">
        <v>4051</v>
      </c>
      <c r="G4262">
        <v>1</v>
      </c>
      <c r="H4262" s="2">
        <v>9941.22</v>
      </c>
      <c r="I4262" s="2">
        <v>9941.22</v>
      </c>
    </row>
    <row r="4263" spans="1:9" x14ac:dyDescent="0.25">
      <c r="A4263" t="s">
        <v>2312</v>
      </c>
      <c r="B4263" t="s">
        <v>2313</v>
      </c>
      <c r="C4263" t="s">
        <v>42</v>
      </c>
      <c r="D4263" t="s">
        <v>4049</v>
      </c>
      <c r="E4263" t="s">
        <v>4242</v>
      </c>
      <c r="F4263" t="s">
        <v>4051</v>
      </c>
      <c r="G4263">
        <v>1</v>
      </c>
      <c r="H4263" s="2">
        <v>17069.53</v>
      </c>
      <c r="I4263" s="2">
        <v>17069.53</v>
      </c>
    </row>
    <row r="4264" spans="1:9" x14ac:dyDescent="0.25">
      <c r="A4264" t="s">
        <v>2312</v>
      </c>
      <c r="B4264" t="s">
        <v>2313</v>
      </c>
      <c r="C4264" t="s">
        <v>42</v>
      </c>
      <c r="D4264" t="s">
        <v>4052</v>
      </c>
      <c r="E4264" t="s">
        <v>4053</v>
      </c>
      <c r="F4264" t="s">
        <v>4054</v>
      </c>
      <c r="G4264">
        <v>5</v>
      </c>
      <c r="H4264" s="2">
        <v>27010.75</v>
      </c>
      <c r="I4264" s="2">
        <v>1350.54</v>
      </c>
    </row>
    <row r="4265" spans="1:9" x14ac:dyDescent="0.25">
      <c r="A4265" t="s">
        <v>2315</v>
      </c>
      <c r="B4265" t="s">
        <v>2316</v>
      </c>
      <c r="C4265" t="s">
        <v>42</v>
      </c>
      <c r="D4265" t="s">
        <v>4062</v>
      </c>
      <c r="E4265" t="s">
        <v>6345</v>
      </c>
      <c r="F4265" t="s">
        <v>42</v>
      </c>
      <c r="G4265">
        <v>1.05</v>
      </c>
      <c r="H4265" s="2">
        <v>546830</v>
      </c>
      <c r="I4265" s="2">
        <v>574171.5</v>
      </c>
    </row>
    <row r="4266" spans="1:9" x14ac:dyDescent="0.25">
      <c r="A4266" t="s">
        <v>2315</v>
      </c>
      <c r="B4266" t="s">
        <v>2316</v>
      </c>
      <c r="C4266" t="s">
        <v>42</v>
      </c>
      <c r="D4266" t="s">
        <v>4062</v>
      </c>
      <c r="E4266" t="s">
        <v>6346</v>
      </c>
      <c r="F4266" t="s">
        <v>63</v>
      </c>
      <c r="G4266">
        <v>0.17</v>
      </c>
      <c r="H4266" s="2">
        <v>31676</v>
      </c>
      <c r="I4266" s="2">
        <v>5384.92</v>
      </c>
    </row>
    <row r="4267" spans="1:9" x14ac:dyDescent="0.25">
      <c r="A4267" t="s">
        <v>2315</v>
      </c>
      <c r="B4267" t="s">
        <v>2316</v>
      </c>
      <c r="C4267" t="s">
        <v>42</v>
      </c>
      <c r="D4267" t="s">
        <v>4049</v>
      </c>
      <c r="E4267" t="s">
        <v>4241</v>
      </c>
      <c r="F4267" t="s">
        <v>4051</v>
      </c>
      <c r="G4267">
        <v>0.75</v>
      </c>
      <c r="H4267" s="2">
        <v>9941.22</v>
      </c>
      <c r="I4267" s="2">
        <v>7455.91</v>
      </c>
    </row>
    <row r="4268" spans="1:9" x14ac:dyDescent="0.25">
      <c r="A4268" t="s">
        <v>2315</v>
      </c>
      <c r="B4268" t="s">
        <v>2316</v>
      </c>
      <c r="C4268" t="s">
        <v>42</v>
      </c>
      <c r="D4268" t="s">
        <v>4049</v>
      </c>
      <c r="E4268" t="s">
        <v>4242</v>
      </c>
      <c r="F4268" t="s">
        <v>4051</v>
      </c>
      <c r="G4268">
        <v>0.75</v>
      </c>
      <c r="H4268" s="2">
        <v>17069.53</v>
      </c>
      <c r="I4268" s="2">
        <v>12802.15</v>
      </c>
    </row>
    <row r="4269" spans="1:9" x14ac:dyDescent="0.25">
      <c r="A4269" t="s">
        <v>2315</v>
      </c>
      <c r="B4269" t="s">
        <v>2316</v>
      </c>
      <c r="C4269" t="s">
        <v>42</v>
      </c>
      <c r="D4269" t="s">
        <v>4052</v>
      </c>
      <c r="E4269" t="s">
        <v>4053</v>
      </c>
      <c r="F4269" t="s">
        <v>4054</v>
      </c>
      <c r="G4269">
        <v>5</v>
      </c>
      <c r="H4269" s="2">
        <v>20258.06</v>
      </c>
      <c r="I4269" s="2">
        <v>1012.9</v>
      </c>
    </row>
    <row r="4270" spans="1:9" x14ac:dyDescent="0.25">
      <c r="A4270" t="s">
        <v>2318</v>
      </c>
      <c r="B4270" t="s">
        <v>2320</v>
      </c>
      <c r="C4270" t="s">
        <v>63</v>
      </c>
      <c r="D4270" t="s">
        <v>4062</v>
      </c>
      <c r="E4270" t="s">
        <v>6351</v>
      </c>
      <c r="F4270" t="s">
        <v>34</v>
      </c>
      <c r="G4270">
        <v>1.05</v>
      </c>
      <c r="H4270" s="2">
        <v>535500</v>
      </c>
      <c r="I4270" s="2">
        <v>562275</v>
      </c>
    </row>
    <row r="4271" spans="1:9" x14ac:dyDescent="0.25">
      <c r="A4271" t="s">
        <v>2318</v>
      </c>
      <c r="B4271" t="s">
        <v>2320</v>
      </c>
      <c r="C4271" t="s">
        <v>63</v>
      </c>
      <c r="D4271" t="s">
        <v>4049</v>
      </c>
      <c r="E4271" t="s">
        <v>4176</v>
      </c>
      <c r="F4271" t="s">
        <v>4177</v>
      </c>
      <c r="G4271">
        <v>0.3</v>
      </c>
      <c r="H4271" s="2">
        <v>72300.17</v>
      </c>
      <c r="I4271" s="2">
        <v>21690.05</v>
      </c>
    </row>
    <row r="4272" spans="1:9" x14ac:dyDescent="0.25">
      <c r="A4272" t="s">
        <v>2318</v>
      </c>
      <c r="B4272" t="s">
        <v>2320</v>
      </c>
      <c r="C4272" t="s">
        <v>63</v>
      </c>
      <c r="D4272" t="s">
        <v>4049</v>
      </c>
      <c r="E4272" t="s">
        <v>4313</v>
      </c>
      <c r="F4272" t="s">
        <v>4177</v>
      </c>
      <c r="G4272">
        <v>0.1</v>
      </c>
      <c r="H4272" s="2">
        <v>124137.15</v>
      </c>
      <c r="I4272" s="2">
        <v>12413.72</v>
      </c>
    </row>
    <row r="4273" spans="1:9" x14ac:dyDescent="0.25">
      <c r="A4273" t="s">
        <v>2318</v>
      </c>
      <c r="B4273" t="s">
        <v>2320</v>
      </c>
      <c r="C4273" t="s">
        <v>63</v>
      </c>
      <c r="D4273" t="s">
        <v>4052</v>
      </c>
      <c r="E4273" t="s">
        <v>4053</v>
      </c>
      <c r="F4273" t="s">
        <v>4054</v>
      </c>
      <c r="G4273">
        <v>3.5</v>
      </c>
      <c r="H4273" s="2">
        <v>34103.77</v>
      </c>
      <c r="I4273" s="2">
        <v>1193.63</v>
      </c>
    </row>
    <row r="4274" spans="1:9" x14ac:dyDescent="0.25">
      <c r="A4274" t="s">
        <v>2323</v>
      </c>
      <c r="B4274" t="s">
        <v>2324</v>
      </c>
      <c r="C4274" t="s">
        <v>63</v>
      </c>
      <c r="D4274" t="s">
        <v>4062</v>
      </c>
      <c r="E4274" t="s">
        <v>4703</v>
      </c>
      <c r="F4274" t="s">
        <v>63</v>
      </c>
      <c r="G4274">
        <v>1</v>
      </c>
      <c r="H4274" s="2">
        <v>546</v>
      </c>
      <c r="I4274" s="2">
        <v>546</v>
      </c>
    </row>
    <row r="4275" spans="1:9" x14ac:dyDescent="0.25">
      <c r="A4275" t="s">
        <v>2323</v>
      </c>
      <c r="B4275" t="s">
        <v>2324</v>
      </c>
      <c r="C4275" t="s">
        <v>63</v>
      </c>
      <c r="D4275" t="s">
        <v>4062</v>
      </c>
      <c r="E4275" t="s">
        <v>4659</v>
      </c>
      <c r="F4275" t="s">
        <v>4377</v>
      </c>
      <c r="G4275">
        <v>0</v>
      </c>
      <c r="H4275" s="2">
        <v>31500</v>
      </c>
      <c r="I4275" s="2">
        <v>103.95</v>
      </c>
    </row>
    <row r="4276" spans="1:9" x14ac:dyDescent="0.25">
      <c r="A4276" t="s">
        <v>2323</v>
      </c>
      <c r="B4276" t="s">
        <v>2324</v>
      </c>
      <c r="C4276" t="s">
        <v>63</v>
      </c>
      <c r="D4276" t="s">
        <v>4062</v>
      </c>
      <c r="E4276" t="s">
        <v>4376</v>
      </c>
      <c r="F4276" t="s">
        <v>4377</v>
      </c>
      <c r="G4276">
        <v>0</v>
      </c>
      <c r="H4276" s="2">
        <v>72237.67</v>
      </c>
      <c r="I4276" s="2">
        <v>238.38</v>
      </c>
    </row>
    <row r="4277" spans="1:9" x14ac:dyDescent="0.25">
      <c r="A4277" t="s">
        <v>2323</v>
      </c>
      <c r="B4277" t="s">
        <v>2324</v>
      </c>
      <c r="C4277" t="s">
        <v>63</v>
      </c>
      <c r="D4277" t="s">
        <v>4049</v>
      </c>
      <c r="E4277" t="s">
        <v>4241</v>
      </c>
      <c r="F4277" t="s">
        <v>4051</v>
      </c>
      <c r="G4277">
        <v>0.01</v>
      </c>
      <c r="H4277" s="2">
        <v>9941.22</v>
      </c>
      <c r="I4277" s="2">
        <v>99.41</v>
      </c>
    </row>
    <row r="4278" spans="1:9" x14ac:dyDescent="0.25">
      <c r="A4278" t="s">
        <v>2323</v>
      </c>
      <c r="B4278" t="s">
        <v>2324</v>
      </c>
      <c r="C4278" t="s">
        <v>63</v>
      </c>
      <c r="D4278" t="s">
        <v>4049</v>
      </c>
      <c r="E4278" t="s">
        <v>4242</v>
      </c>
      <c r="F4278" t="s">
        <v>4051</v>
      </c>
      <c r="G4278">
        <v>0.01</v>
      </c>
      <c r="H4278" s="2">
        <v>17069.53</v>
      </c>
      <c r="I4278" s="2">
        <v>170.7</v>
      </c>
    </row>
    <row r="4279" spans="1:9" x14ac:dyDescent="0.25">
      <c r="A4279" t="s">
        <v>2323</v>
      </c>
      <c r="B4279" t="s">
        <v>2324</v>
      </c>
      <c r="C4279" t="s">
        <v>63</v>
      </c>
      <c r="D4279" t="s">
        <v>4052</v>
      </c>
      <c r="E4279" t="s">
        <v>4053</v>
      </c>
      <c r="F4279" t="s">
        <v>4054</v>
      </c>
      <c r="G4279">
        <v>3.5</v>
      </c>
      <c r="H4279" s="2">
        <v>270.11</v>
      </c>
      <c r="I4279" s="2">
        <v>9.45</v>
      </c>
    </row>
    <row r="4280" spans="1:9" x14ac:dyDescent="0.25">
      <c r="A4280" t="s">
        <v>2326</v>
      </c>
      <c r="B4280" t="s">
        <v>2327</v>
      </c>
      <c r="C4280" t="s">
        <v>63</v>
      </c>
      <c r="D4280" t="s">
        <v>4062</v>
      </c>
      <c r="E4280" t="s">
        <v>4779</v>
      </c>
      <c r="F4280" t="s">
        <v>63</v>
      </c>
      <c r="G4280">
        <v>1</v>
      </c>
      <c r="H4280" s="2">
        <v>701.4</v>
      </c>
      <c r="I4280" s="2">
        <v>701.4</v>
      </c>
    </row>
    <row r="4281" spans="1:9" x14ac:dyDescent="0.25">
      <c r="A4281" t="s">
        <v>2326</v>
      </c>
      <c r="B4281" t="s">
        <v>2327</v>
      </c>
      <c r="C4281" t="s">
        <v>63</v>
      </c>
      <c r="D4281" t="s">
        <v>4062</v>
      </c>
      <c r="E4281" t="s">
        <v>4659</v>
      </c>
      <c r="F4281" t="s">
        <v>4377</v>
      </c>
      <c r="G4281">
        <v>0</v>
      </c>
      <c r="H4281" s="2">
        <v>31500</v>
      </c>
      <c r="I4281" s="2">
        <v>103.95</v>
      </c>
    </row>
    <row r="4282" spans="1:9" x14ac:dyDescent="0.25">
      <c r="A4282" t="s">
        <v>2326</v>
      </c>
      <c r="B4282" t="s">
        <v>2327</v>
      </c>
      <c r="C4282" t="s">
        <v>63</v>
      </c>
      <c r="D4282" t="s">
        <v>4062</v>
      </c>
      <c r="E4282" t="s">
        <v>4376</v>
      </c>
      <c r="F4282" t="s">
        <v>4377</v>
      </c>
      <c r="G4282">
        <v>0</v>
      </c>
      <c r="H4282" s="2">
        <v>72237.67</v>
      </c>
      <c r="I4282" s="2">
        <v>238.38</v>
      </c>
    </row>
    <row r="4283" spans="1:9" x14ac:dyDescent="0.25">
      <c r="A4283" t="s">
        <v>2326</v>
      </c>
      <c r="B4283" t="s">
        <v>2327</v>
      </c>
      <c r="C4283" t="s">
        <v>63</v>
      </c>
      <c r="D4283" t="s">
        <v>4049</v>
      </c>
      <c r="E4283" t="s">
        <v>4241</v>
      </c>
      <c r="F4283" t="s">
        <v>4051</v>
      </c>
      <c r="G4283">
        <v>0.01</v>
      </c>
      <c r="H4283" s="2">
        <v>9941.22</v>
      </c>
      <c r="I4283" s="2">
        <v>99.41</v>
      </c>
    </row>
    <row r="4284" spans="1:9" x14ac:dyDescent="0.25">
      <c r="A4284" t="s">
        <v>2326</v>
      </c>
      <c r="B4284" t="s">
        <v>2327</v>
      </c>
      <c r="C4284" t="s">
        <v>63</v>
      </c>
      <c r="D4284" t="s">
        <v>4049</v>
      </c>
      <c r="E4284" t="s">
        <v>4242</v>
      </c>
      <c r="F4284" t="s">
        <v>4051</v>
      </c>
      <c r="G4284">
        <v>0.01</v>
      </c>
      <c r="H4284" s="2">
        <v>17069.53</v>
      </c>
      <c r="I4284" s="2">
        <v>170.7</v>
      </c>
    </row>
    <row r="4285" spans="1:9" x14ac:dyDescent="0.25">
      <c r="A4285" t="s">
        <v>2326</v>
      </c>
      <c r="B4285" t="s">
        <v>2327</v>
      </c>
      <c r="C4285" t="s">
        <v>63</v>
      </c>
      <c r="D4285" t="s">
        <v>4052</v>
      </c>
      <c r="E4285" t="s">
        <v>4053</v>
      </c>
      <c r="F4285" t="s">
        <v>4054</v>
      </c>
      <c r="G4285">
        <v>3.5</v>
      </c>
      <c r="H4285" s="2">
        <v>270.11</v>
      </c>
      <c r="I4285" s="2">
        <v>9.45</v>
      </c>
    </row>
    <row r="4286" spans="1:9" x14ac:dyDescent="0.25">
      <c r="A4286" t="s">
        <v>2329</v>
      </c>
      <c r="B4286" t="s">
        <v>2330</v>
      </c>
      <c r="C4286" t="s">
        <v>63</v>
      </c>
      <c r="D4286" t="s">
        <v>4062</v>
      </c>
      <c r="E4286" t="s">
        <v>6358</v>
      </c>
      <c r="F4286" t="s">
        <v>63</v>
      </c>
      <c r="G4286">
        <v>1</v>
      </c>
      <c r="H4286" s="2">
        <v>738616</v>
      </c>
      <c r="I4286" s="2">
        <v>738616</v>
      </c>
    </row>
    <row r="4287" spans="1:9" x14ac:dyDescent="0.25">
      <c r="A4287" t="s">
        <v>2329</v>
      </c>
      <c r="B4287" t="s">
        <v>2330</v>
      </c>
      <c r="C4287" t="s">
        <v>63</v>
      </c>
      <c r="D4287" t="s">
        <v>4062</v>
      </c>
      <c r="E4287" t="s">
        <v>4659</v>
      </c>
      <c r="F4287" t="s">
        <v>4377</v>
      </c>
      <c r="G4287">
        <v>0.04</v>
      </c>
      <c r="H4287" s="2">
        <v>31500</v>
      </c>
      <c r="I4287" s="2">
        <v>1260</v>
      </c>
    </row>
    <row r="4288" spans="1:9" x14ac:dyDescent="0.25">
      <c r="A4288" t="s">
        <v>2329</v>
      </c>
      <c r="B4288" t="s">
        <v>2330</v>
      </c>
      <c r="C4288" t="s">
        <v>63</v>
      </c>
      <c r="D4288" t="s">
        <v>4062</v>
      </c>
      <c r="E4288" t="s">
        <v>4376</v>
      </c>
      <c r="F4288" t="s">
        <v>4377</v>
      </c>
      <c r="G4288">
        <v>0.04</v>
      </c>
      <c r="H4288" s="2">
        <v>72237.67</v>
      </c>
      <c r="I4288" s="2">
        <v>2889.51</v>
      </c>
    </row>
    <row r="4289" spans="1:9" x14ac:dyDescent="0.25">
      <c r="A4289" t="s">
        <v>2329</v>
      </c>
      <c r="B4289" t="s">
        <v>2330</v>
      </c>
      <c r="C4289" t="s">
        <v>63</v>
      </c>
      <c r="D4289" t="s">
        <v>4049</v>
      </c>
      <c r="E4289" t="s">
        <v>4241</v>
      </c>
      <c r="F4289" t="s">
        <v>4051</v>
      </c>
      <c r="G4289">
        <v>0.4</v>
      </c>
      <c r="H4289" s="2">
        <v>9941.22</v>
      </c>
      <c r="I4289" s="2">
        <v>3976.49</v>
      </c>
    </row>
    <row r="4290" spans="1:9" x14ac:dyDescent="0.25">
      <c r="A4290" t="s">
        <v>2329</v>
      </c>
      <c r="B4290" t="s">
        <v>2330</v>
      </c>
      <c r="C4290" t="s">
        <v>63</v>
      </c>
      <c r="D4290" t="s">
        <v>4049</v>
      </c>
      <c r="E4290" t="s">
        <v>4242</v>
      </c>
      <c r="F4290" t="s">
        <v>4051</v>
      </c>
      <c r="G4290">
        <v>0.4</v>
      </c>
      <c r="H4290" s="2">
        <v>17069.53</v>
      </c>
      <c r="I4290" s="2">
        <v>6827.81</v>
      </c>
    </row>
    <row r="4291" spans="1:9" x14ac:dyDescent="0.25">
      <c r="A4291" t="s">
        <v>2329</v>
      </c>
      <c r="B4291" t="s">
        <v>2330</v>
      </c>
      <c r="C4291" t="s">
        <v>63</v>
      </c>
      <c r="D4291" t="s">
        <v>4052</v>
      </c>
      <c r="E4291" t="s">
        <v>4053</v>
      </c>
      <c r="F4291" t="s">
        <v>4054</v>
      </c>
      <c r="G4291">
        <v>3.5</v>
      </c>
      <c r="H4291" s="2">
        <v>10804.3</v>
      </c>
      <c r="I4291" s="2">
        <v>378.15</v>
      </c>
    </row>
    <row r="4292" spans="1:9" x14ac:dyDescent="0.25">
      <c r="A4292" t="s">
        <v>2332</v>
      </c>
      <c r="B4292" t="s">
        <v>2333</v>
      </c>
      <c r="C4292" t="s">
        <v>63</v>
      </c>
      <c r="D4292" t="s">
        <v>4062</v>
      </c>
      <c r="E4292" t="s">
        <v>6361</v>
      </c>
      <c r="F4292" t="s">
        <v>63</v>
      </c>
      <c r="G4292">
        <v>1</v>
      </c>
      <c r="H4292" s="2">
        <v>1259776.5</v>
      </c>
      <c r="I4292" s="2">
        <v>1259776.5</v>
      </c>
    </row>
    <row r="4293" spans="1:9" x14ac:dyDescent="0.25">
      <c r="A4293" t="s">
        <v>2332</v>
      </c>
      <c r="B4293" t="s">
        <v>2333</v>
      </c>
      <c r="C4293" t="s">
        <v>63</v>
      </c>
      <c r="D4293" t="s">
        <v>4062</v>
      </c>
      <c r="E4293" t="s">
        <v>4659</v>
      </c>
      <c r="F4293" t="s">
        <v>4377</v>
      </c>
      <c r="G4293">
        <v>0.06</v>
      </c>
      <c r="H4293" s="2">
        <v>31500</v>
      </c>
      <c r="I4293" s="2">
        <v>1890</v>
      </c>
    </row>
    <row r="4294" spans="1:9" x14ac:dyDescent="0.25">
      <c r="A4294" t="s">
        <v>2332</v>
      </c>
      <c r="B4294" t="s">
        <v>2333</v>
      </c>
      <c r="C4294" t="s">
        <v>63</v>
      </c>
      <c r="D4294" t="s">
        <v>4062</v>
      </c>
      <c r="E4294" t="s">
        <v>4376</v>
      </c>
      <c r="F4294" t="s">
        <v>4377</v>
      </c>
      <c r="G4294">
        <v>0.06</v>
      </c>
      <c r="H4294" s="2">
        <v>72237.67</v>
      </c>
      <c r="I4294" s="2">
        <v>4334.26</v>
      </c>
    </row>
    <row r="4295" spans="1:9" x14ac:dyDescent="0.25">
      <c r="A4295" t="s">
        <v>2332</v>
      </c>
      <c r="B4295" t="s">
        <v>2333</v>
      </c>
      <c r="C4295" t="s">
        <v>63</v>
      </c>
      <c r="D4295" t="s">
        <v>4049</v>
      </c>
      <c r="E4295" t="s">
        <v>4241</v>
      </c>
      <c r="F4295" t="s">
        <v>4051</v>
      </c>
      <c r="G4295">
        <v>0.25</v>
      </c>
      <c r="H4295" s="2">
        <v>9941.22</v>
      </c>
      <c r="I4295" s="2">
        <v>2485.3</v>
      </c>
    </row>
    <row r="4296" spans="1:9" x14ac:dyDescent="0.25">
      <c r="A4296" t="s">
        <v>2332</v>
      </c>
      <c r="B4296" t="s">
        <v>2333</v>
      </c>
      <c r="C4296" t="s">
        <v>63</v>
      </c>
      <c r="D4296" t="s">
        <v>4049</v>
      </c>
      <c r="E4296" t="s">
        <v>4242</v>
      </c>
      <c r="F4296" t="s">
        <v>4051</v>
      </c>
      <c r="G4296">
        <v>0.25</v>
      </c>
      <c r="H4296" s="2">
        <v>17069.53</v>
      </c>
      <c r="I4296" s="2">
        <v>4267.38</v>
      </c>
    </row>
    <row r="4297" spans="1:9" x14ac:dyDescent="0.25">
      <c r="A4297" t="s">
        <v>2332</v>
      </c>
      <c r="B4297" t="s">
        <v>2333</v>
      </c>
      <c r="C4297" t="s">
        <v>63</v>
      </c>
      <c r="D4297" t="s">
        <v>4052</v>
      </c>
      <c r="E4297" t="s">
        <v>4053</v>
      </c>
      <c r="F4297" t="s">
        <v>4054</v>
      </c>
      <c r="G4297">
        <v>3.5</v>
      </c>
      <c r="H4297" s="2">
        <v>6752.68</v>
      </c>
      <c r="I4297" s="2">
        <v>236.34</v>
      </c>
    </row>
    <row r="4298" spans="1:9" x14ac:dyDescent="0.25">
      <c r="A4298" t="s">
        <v>2335</v>
      </c>
      <c r="B4298" t="s">
        <v>2336</v>
      </c>
      <c r="C4298" t="s">
        <v>63</v>
      </c>
      <c r="D4298" t="s">
        <v>4062</v>
      </c>
      <c r="E4298" t="s">
        <v>6364</v>
      </c>
      <c r="F4298" t="s">
        <v>63</v>
      </c>
      <c r="G4298">
        <v>1</v>
      </c>
      <c r="H4298" s="2">
        <v>75815</v>
      </c>
      <c r="I4298" s="2">
        <v>75815</v>
      </c>
    </row>
    <row r="4299" spans="1:9" x14ac:dyDescent="0.25">
      <c r="A4299" t="s">
        <v>2335</v>
      </c>
      <c r="B4299" t="s">
        <v>2336</v>
      </c>
      <c r="C4299" t="s">
        <v>63</v>
      </c>
      <c r="D4299" t="s">
        <v>4062</v>
      </c>
      <c r="E4299" t="s">
        <v>6166</v>
      </c>
      <c r="F4299" t="s">
        <v>63</v>
      </c>
      <c r="G4299">
        <v>0.02</v>
      </c>
      <c r="H4299" s="2">
        <v>19750</v>
      </c>
      <c r="I4299" s="2">
        <v>395</v>
      </c>
    </row>
    <row r="4300" spans="1:9" x14ac:dyDescent="0.25">
      <c r="A4300" t="s">
        <v>2335</v>
      </c>
      <c r="B4300" t="s">
        <v>2336</v>
      </c>
      <c r="C4300" t="s">
        <v>63</v>
      </c>
      <c r="D4300" t="s">
        <v>4049</v>
      </c>
      <c r="E4300" t="s">
        <v>4241</v>
      </c>
      <c r="F4300" t="s">
        <v>4051</v>
      </c>
      <c r="G4300">
        <v>0.25</v>
      </c>
      <c r="H4300" s="2">
        <v>9941.22</v>
      </c>
      <c r="I4300" s="2">
        <v>2485.3</v>
      </c>
    </row>
    <row r="4301" spans="1:9" x14ac:dyDescent="0.25">
      <c r="A4301" t="s">
        <v>2335</v>
      </c>
      <c r="B4301" t="s">
        <v>2336</v>
      </c>
      <c r="C4301" t="s">
        <v>63</v>
      </c>
      <c r="D4301" t="s">
        <v>4049</v>
      </c>
      <c r="E4301" t="s">
        <v>4242</v>
      </c>
      <c r="F4301" t="s">
        <v>4051</v>
      </c>
      <c r="G4301">
        <v>0.25</v>
      </c>
      <c r="H4301" s="2">
        <v>17069.53</v>
      </c>
      <c r="I4301" s="2">
        <v>4267.38</v>
      </c>
    </row>
    <row r="4302" spans="1:9" x14ac:dyDescent="0.25">
      <c r="A4302" t="s">
        <v>2335</v>
      </c>
      <c r="B4302" t="s">
        <v>2336</v>
      </c>
      <c r="C4302" t="s">
        <v>63</v>
      </c>
      <c r="D4302" t="s">
        <v>4052</v>
      </c>
      <c r="E4302" t="s">
        <v>4053</v>
      </c>
      <c r="F4302" t="s">
        <v>4054</v>
      </c>
      <c r="G4302">
        <v>3.5</v>
      </c>
      <c r="H4302" s="2">
        <v>6752.68</v>
      </c>
      <c r="I4302" s="2">
        <v>236.34</v>
      </c>
    </row>
    <row r="4303" spans="1:9" x14ac:dyDescent="0.25">
      <c r="A4303" t="s">
        <v>2338</v>
      </c>
      <c r="B4303" t="s">
        <v>2339</v>
      </c>
      <c r="C4303" t="s">
        <v>63</v>
      </c>
      <c r="D4303" t="s">
        <v>4062</v>
      </c>
      <c r="E4303" t="s">
        <v>6367</v>
      </c>
      <c r="F4303" t="s">
        <v>63</v>
      </c>
      <c r="G4303">
        <v>1</v>
      </c>
      <c r="H4303" s="2">
        <v>172623.33</v>
      </c>
      <c r="I4303" s="2">
        <v>172623.33</v>
      </c>
    </row>
    <row r="4304" spans="1:9" x14ac:dyDescent="0.25">
      <c r="A4304" t="s">
        <v>2338</v>
      </c>
      <c r="B4304" t="s">
        <v>2339</v>
      </c>
      <c r="C4304" t="s">
        <v>63</v>
      </c>
      <c r="D4304" t="s">
        <v>4062</v>
      </c>
      <c r="E4304" t="s">
        <v>6166</v>
      </c>
      <c r="F4304" t="s">
        <v>63</v>
      </c>
      <c r="G4304">
        <v>0.02</v>
      </c>
      <c r="H4304" s="2">
        <v>19750</v>
      </c>
      <c r="I4304" s="2">
        <v>395</v>
      </c>
    </row>
    <row r="4305" spans="1:9" x14ac:dyDescent="0.25">
      <c r="A4305" t="s">
        <v>2338</v>
      </c>
      <c r="B4305" t="s">
        <v>2339</v>
      </c>
      <c r="C4305" t="s">
        <v>63</v>
      </c>
      <c r="D4305" t="s">
        <v>4049</v>
      </c>
      <c r="E4305" t="s">
        <v>4241</v>
      </c>
      <c r="F4305" t="s">
        <v>4051</v>
      </c>
      <c r="G4305">
        <v>0.25</v>
      </c>
      <c r="H4305" s="2">
        <v>9941.22</v>
      </c>
      <c r="I4305" s="2">
        <v>2485.3</v>
      </c>
    </row>
    <row r="4306" spans="1:9" x14ac:dyDescent="0.25">
      <c r="A4306" t="s">
        <v>2338</v>
      </c>
      <c r="B4306" t="s">
        <v>2339</v>
      </c>
      <c r="C4306" t="s">
        <v>63</v>
      </c>
      <c r="D4306" t="s">
        <v>4049</v>
      </c>
      <c r="E4306" t="s">
        <v>4242</v>
      </c>
      <c r="F4306" t="s">
        <v>4051</v>
      </c>
      <c r="G4306">
        <v>0.25</v>
      </c>
      <c r="H4306" s="2">
        <v>17069.53</v>
      </c>
      <c r="I4306" s="2">
        <v>4267.38</v>
      </c>
    </row>
    <row r="4307" spans="1:9" x14ac:dyDescent="0.25">
      <c r="A4307" t="s">
        <v>2338</v>
      </c>
      <c r="B4307" t="s">
        <v>2339</v>
      </c>
      <c r="C4307" t="s">
        <v>63</v>
      </c>
      <c r="D4307" t="s">
        <v>4052</v>
      </c>
      <c r="E4307" t="s">
        <v>4053</v>
      </c>
      <c r="F4307" t="s">
        <v>4054</v>
      </c>
      <c r="G4307">
        <v>3.5</v>
      </c>
      <c r="H4307" s="2">
        <v>6752.68</v>
      </c>
      <c r="I4307" s="2">
        <v>236.34</v>
      </c>
    </row>
    <row r="4308" spans="1:9" x14ac:dyDescent="0.25">
      <c r="A4308" t="s">
        <v>2341</v>
      </c>
      <c r="B4308" t="s">
        <v>2342</v>
      </c>
      <c r="C4308" t="s">
        <v>63</v>
      </c>
      <c r="D4308" t="s">
        <v>4062</v>
      </c>
      <c r="E4308" t="s">
        <v>6370</v>
      </c>
      <c r="F4308" t="s">
        <v>63</v>
      </c>
      <c r="G4308">
        <v>1</v>
      </c>
      <c r="H4308" s="2">
        <v>352028</v>
      </c>
      <c r="I4308" s="2">
        <v>352028</v>
      </c>
    </row>
    <row r="4309" spans="1:9" x14ac:dyDescent="0.25">
      <c r="A4309" t="s">
        <v>2341</v>
      </c>
      <c r="B4309" t="s">
        <v>2342</v>
      </c>
      <c r="C4309" t="s">
        <v>63</v>
      </c>
      <c r="D4309" t="s">
        <v>4062</v>
      </c>
      <c r="E4309" t="s">
        <v>6166</v>
      </c>
      <c r="F4309" t="s">
        <v>63</v>
      </c>
      <c r="G4309">
        <v>0.02</v>
      </c>
      <c r="H4309" s="2">
        <v>19750</v>
      </c>
      <c r="I4309" s="2">
        <v>395</v>
      </c>
    </row>
    <row r="4310" spans="1:9" x14ac:dyDescent="0.25">
      <c r="A4310" t="s">
        <v>2341</v>
      </c>
      <c r="B4310" t="s">
        <v>2342</v>
      </c>
      <c r="C4310" t="s">
        <v>63</v>
      </c>
      <c r="D4310" t="s">
        <v>4049</v>
      </c>
      <c r="E4310" t="s">
        <v>4241</v>
      </c>
      <c r="F4310" t="s">
        <v>4051</v>
      </c>
      <c r="G4310">
        <v>0.25</v>
      </c>
      <c r="H4310" s="2">
        <v>9941.22</v>
      </c>
      <c r="I4310" s="2">
        <v>2485.3</v>
      </c>
    </row>
    <row r="4311" spans="1:9" x14ac:dyDescent="0.25">
      <c r="A4311" t="s">
        <v>2341</v>
      </c>
      <c r="B4311" t="s">
        <v>2342</v>
      </c>
      <c r="C4311" t="s">
        <v>63</v>
      </c>
      <c r="D4311" t="s">
        <v>4049</v>
      </c>
      <c r="E4311" t="s">
        <v>4242</v>
      </c>
      <c r="F4311" t="s">
        <v>4051</v>
      </c>
      <c r="G4311">
        <v>0.25</v>
      </c>
      <c r="H4311" s="2">
        <v>17069.53</v>
      </c>
      <c r="I4311" s="2">
        <v>4267.38</v>
      </c>
    </row>
    <row r="4312" spans="1:9" x14ac:dyDescent="0.25">
      <c r="A4312" t="s">
        <v>2341</v>
      </c>
      <c r="B4312" t="s">
        <v>2342</v>
      </c>
      <c r="C4312" t="s">
        <v>63</v>
      </c>
      <c r="D4312" t="s">
        <v>4052</v>
      </c>
      <c r="E4312" t="s">
        <v>4053</v>
      </c>
      <c r="F4312" t="s">
        <v>4054</v>
      </c>
      <c r="G4312">
        <v>3.5</v>
      </c>
      <c r="H4312" s="2">
        <v>6752.68</v>
      </c>
      <c r="I4312" s="2">
        <v>236.34</v>
      </c>
    </row>
    <row r="4313" spans="1:9" x14ac:dyDescent="0.25">
      <c r="A4313" t="s">
        <v>2344</v>
      </c>
      <c r="B4313" t="s">
        <v>2345</v>
      </c>
      <c r="C4313" t="s">
        <v>63</v>
      </c>
      <c r="D4313" t="s">
        <v>4062</v>
      </c>
      <c r="E4313" t="s">
        <v>6373</v>
      </c>
      <c r="F4313" t="s">
        <v>63</v>
      </c>
      <c r="G4313">
        <v>1</v>
      </c>
      <c r="H4313" s="2">
        <v>920370</v>
      </c>
      <c r="I4313" s="2">
        <v>920370</v>
      </c>
    </row>
    <row r="4314" spans="1:9" x14ac:dyDescent="0.25">
      <c r="A4314" t="s">
        <v>2344</v>
      </c>
      <c r="B4314" t="s">
        <v>2345</v>
      </c>
      <c r="C4314" t="s">
        <v>63</v>
      </c>
      <c r="D4314" t="s">
        <v>4062</v>
      </c>
      <c r="E4314" t="s">
        <v>6166</v>
      </c>
      <c r="F4314" t="s">
        <v>63</v>
      </c>
      <c r="G4314">
        <v>0.02</v>
      </c>
      <c r="H4314" s="2">
        <v>19750</v>
      </c>
      <c r="I4314" s="2">
        <v>395</v>
      </c>
    </row>
    <row r="4315" spans="1:9" x14ac:dyDescent="0.25">
      <c r="A4315" t="s">
        <v>2344</v>
      </c>
      <c r="B4315" t="s">
        <v>2345</v>
      </c>
      <c r="C4315" t="s">
        <v>63</v>
      </c>
      <c r="D4315" t="s">
        <v>4049</v>
      </c>
      <c r="E4315" t="s">
        <v>4241</v>
      </c>
      <c r="F4315" t="s">
        <v>4051</v>
      </c>
      <c r="G4315">
        <v>0.25</v>
      </c>
      <c r="H4315" s="2">
        <v>9941.22</v>
      </c>
      <c r="I4315" s="2">
        <v>2485.3</v>
      </c>
    </row>
    <row r="4316" spans="1:9" x14ac:dyDescent="0.25">
      <c r="A4316" t="s">
        <v>2344</v>
      </c>
      <c r="B4316" t="s">
        <v>2345</v>
      </c>
      <c r="C4316" t="s">
        <v>63</v>
      </c>
      <c r="D4316" t="s">
        <v>4049</v>
      </c>
      <c r="E4316" t="s">
        <v>4242</v>
      </c>
      <c r="F4316" t="s">
        <v>4051</v>
      </c>
      <c r="G4316">
        <v>0.25</v>
      </c>
      <c r="H4316" s="2">
        <v>17069.53</v>
      </c>
      <c r="I4316" s="2">
        <v>4267.38</v>
      </c>
    </row>
    <row r="4317" spans="1:9" x14ac:dyDescent="0.25">
      <c r="A4317" t="s">
        <v>2347</v>
      </c>
      <c r="B4317" t="s">
        <v>2348</v>
      </c>
      <c r="C4317" t="s">
        <v>63</v>
      </c>
      <c r="D4317" t="s">
        <v>4062</v>
      </c>
      <c r="E4317" t="s">
        <v>6376</v>
      </c>
      <c r="F4317" t="s">
        <v>63</v>
      </c>
      <c r="G4317">
        <v>1</v>
      </c>
      <c r="H4317" s="2">
        <v>1259776.5</v>
      </c>
      <c r="I4317" s="2">
        <v>1259776.5</v>
      </c>
    </row>
    <row r="4318" spans="1:9" x14ac:dyDescent="0.25">
      <c r="A4318" t="s">
        <v>2347</v>
      </c>
      <c r="B4318" t="s">
        <v>2348</v>
      </c>
      <c r="C4318" t="s">
        <v>63</v>
      </c>
      <c r="D4318" t="s">
        <v>4062</v>
      </c>
      <c r="E4318" t="s">
        <v>6166</v>
      </c>
      <c r="F4318" t="s">
        <v>63</v>
      </c>
      <c r="G4318">
        <v>0.02</v>
      </c>
      <c r="H4318" s="2">
        <v>19750</v>
      </c>
      <c r="I4318" s="2">
        <v>395</v>
      </c>
    </row>
    <row r="4319" spans="1:9" x14ac:dyDescent="0.25">
      <c r="A4319" t="s">
        <v>2347</v>
      </c>
      <c r="B4319" t="s">
        <v>2348</v>
      </c>
      <c r="C4319" t="s">
        <v>63</v>
      </c>
      <c r="D4319" t="s">
        <v>4049</v>
      </c>
      <c r="E4319" t="s">
        <v>4241</v>
      </c>
      <c r="F4319" t="s">
        <v>4051</v>
      </c>
      <c r="G4319">
        <v>0.25</v>
      </c>
      <c r="H4319" s="2">
        <v>9941.22</v>
      </c>
      <c r="I4319" s="2">
        <v>2485.3</v>
      </c>
    </row>
    <row r="4320" spans="1:9" x14ac:dyDescent="0.25">
      <c r="A4320" t="s">
        <v>2347</v>
      </c>
      <c r="B4320" t="s">
        <v>2348</v>
      </c>
      <c r="C4320" t="s">
        <v>63</v>
      </c>
      <c r="D4320" t="s">
        <v>4049</v>
      </c>
      <c r="E4320" t="s">
        <v>4242</v>
      </c>
      <c r="F4320" t="s">
        <v>4051</v>
      </c>
      <c r="G4320">
        <v>0.25</v>
      </c>
      <c r="H4320" s="2">
        <v>17069.53</v>
      </c>
      <c r="I4320" s="2">
        <v>4267.38</v>
      </c>
    </row>
    <row r="4321" spans="1:9" x14ac:dyDescent="0.25">
      <c r="A4321" t="s">
        <v>2347</v>
      </c>
      <c r="B4321" t="s">
        <v>2348</v>
      </c>
      <c r="C4321" t="s">
        <v>63</v>
      </c>
      <c r="D4321" t="s">
        <v>4052</v>
      </c>
      <c r="E4321" t="s">
        <v>4053</v>
      </c>
      <c r="F4321" t="s">
        <v>4054</v>
      </c>
      <c r="G4321">
        <v>3.5</v>
      </c>
      <c r="H4321" s="2">
        <v>6752.68</v>
      </c>
      <c r="I4321" s="2">
        <v>236.34</v>
      </c>
    </row>
    <row r="4322" spans="1:9" x14ac:dyDescent="0.25">
      <c r="A4322" t="s">
        <v>2350</v>
      </c>
      <c r="B4322" t="s">
        <v>2351</v>
      </c>
      <c r="C4322" t="s">
        <v>63</v>
      </c>
      <c r="D4322" t="s">
        <v>4062</v>
      </c>
      <c r="E4322" t="s">
        <v>6379</v>
      </c>
      <c r="F4322" t="s">
        <v>63</v>
      </c>
      <c r="G4322">
        <v>1</v>
      </c>
      <c r="H4322" s="2">
        <v>25806</v>
      </c>
      <c r="I4322" s="2">
        <v>25806</v>
      </c>
    </row>
    <row r="4323" spans="1:9" x14ac:dyDescent="0.25">
      <c r="A4323" t="s">
        <v>2350</v>
      </c>
      <c r="B4323" t="s">
        <v>2351</v>
      </c>
      <c r="C4323" t="s">
        <v>63</v>
      </c>
      <c r="D4323" t="s">
        <v>4062</v>
      </c>
      <c r="E4323" t="s">
        <v>6166</v>
      </c>
      <c r="F4323" t="s">
        <v>63</v>
      </c>
      <c r="G4323">
        <v>0.02</v>
      </c>
      <c r="H4323" s="2">
        <v>19750</v>
      </c>
      <c r="I4323" s="2">
        <v>395</v>
      </c>
    </row>
    <row r="4324" spans="1:9" x14ac:dyDescent="0.25">
      <c r="A4324" t="s">
        <v>2350</v>
      </c>
      <c r="B4324" t="s">
        <v>2351</v>
      </c>
      <c r="C4324" t="s">
        <v>63</v>
      </c>
      <c r="D4324" t="s">
        <v>4049</v>
      </c>
      <c r="E4324" t="s">
        <v>4241</v>
      </c>
      <c r="F4324" t="s">
        <v>4051</v>
      </c>
      <c r="G4324">
        <v>0.25</v>
      </c>
      <c r="H4324" s="2">
        <v>9941.22</v>
      </c>
      <c r="I4324" s="2">
        <v>2485.3</v>
      </c>
    </row>
    <row r="4325" spans="1:9" x14ac:dyDescent="0.25">
      <c r="A4325" t="s">
        <v>2350</v>
      </c>
      <c r="B4325" t="s">
        <v>2351</v>
      </c>
      <c r="C4325" t="s">
        <v>63</v>
      </c>
      <c r="D4325" t="s">
        <v>4049</v>
      </c>
      <c r="E4325" t="s">
        <v>4242</v>
      </c>
      <c r="F4325" t="s">
        <v>4051</v>
      </c>
      <c r="G4325">
        <v>0.25</v>
      </c>
      <c r="H4325" s="2">
        <v>17069.53</v>
      </c>
      <c r="I4325" s="2">
        <v>4267.38</v>
      </c>
    </row>
    <row r="4326" spans="1:9" x14ac:dyDescent="0.25">
      <c r="A4326" t="s">
        <v>2350</v>
      </c>
      <c r="B4326" t="s">
        <v>2351</v>
      </c>
      <c r="C4326" t="s">
        <v>63</v>
      </c>
      <c r="D4326" t="s">
        <v>4052</v>
      </c>
      <c r="E4326" t="s">
        <v>4053</v>
      </c>
      <c r="F4326" t="s">
        <v>4054</v>
      </c>
      <c r="G4326">
        <v>3.5</v>
      </c>
      <c r="H4326" s="2">
        <v>6752.68</v>
      </c>
      <c r="I4326" s="2">
        <v>236.34</v>
      </c>
    </row>
    <row r="4327" spans="1:9" x14ac:dyDescent="0.25">
      <c r="A4327" t="s">
        <v>2353</v>
      </c>
      <c r="B4327" t="s">
        <v>2354</v>
      </c>
      <c r="C4327" t="s">
        <v>63</v>
      </c>
      <c r="D4327" t="s">
        <v>4062</v>
      </c>
      <c r="E4327" t="s">
        <v>6382</v>
      </c>
      <c r="F4327" t="s">
        <v>63</v>
      </c>
      <c r="G4327">
        <v>1</v>
      </c>
      <c r="H4327" s="2">
        <v>43795</v>
      </c>
      <c r="I4327" s="2">
        <v>43795</v>
      </c>
    </row>
    <row r="4328" spans="1:9" x14ac:dyDescent="0.25">
      <c r="A4328" t="s">
        <v>2353</v>
      </c>
      <c r="B4328" t="s">
        <v>2354</v>
      </c>
      <c r="C4328" t="s">
        <v>63</v>
      </c>
      <c r="D4328" t="s">
        <v>4062</v>
      </c>
      <c r="E4328" t="s">
        <v>6166</v>
      </c>
      <c r="F4328" t="s">
        <v>63</v>
      </c>
      <c r="G4328">
        <v>0.02</v>
      </c>
      <c r="H4328" s="2">
        <v>19750</v>
      </c>
      <c r="I4328" s="2">
        <v>395</v>
      </c>
    </row>
    <row r="4329" spans="1:9" x14ac:dyDescent="0.25">
      <c r="A4329" t="s">
        <v>2353</v>
      </c>
      <c r="B4329" t="s">
        <v>2354</v>
      </c>
      <c r="C4329" t="s">
        <v>63</v>
      </c>
      <c r="D4329" t="s">
        <v>4049</v>
      </c>
      <c r="E4329" t="s">
        <v>4241</v>
      </c>
      <c r="F4329" t="s">
        <v>4051</v>
      </c>
      <c r="G4329">
        <v>0.25</v>
      </c>
      <c r="H4329" s="2">
        <v>9941.22</v>
      </c>
      <c r="I4329" s="2">
        <v>2485.3</v>
      </c>
    </row>
    <row r="4330" spans="1:9" x14ac:dyDescent="0.25">
      <c r="A4330" t="s">
        <v>2353</v>
      </c>
      <c r="B4330" t="s">
        <v>2354</v>
      </c>
      <c r="C4330" t="s">
        <v>63</v>
      </c>
      <c r="D4330" t="s">
        <v>4049</v>
      </c>
      <c r="E4330" t="s">
        <v>4242</v>
      </c>
      <c r="F4330" t="s">
        <v>4051</v>
      </c>
      <c r="G4330">
        <v>0.25</v>
      </c>
      <c r="H4330" s="2">
        <v>17069.53</v>
      </c>
      <c r="I4330" s="2">
        <v>4267.38</v>
      </c>
    </row>
    <row r="4331" spans="1:9" x14ac:dyDescent="0.25">
      <c r="A4331" t="s">
        <v>2353</v>
      </c>
      <c r="B4331" t="s">
        <v>2354</v>
      </c>
      <c r="C4331" t="s">
        <v>63</v>
      </c>
      <c r="D4331" t="s">
        <v>4052</v>
      </c>
      <c r="E4331" t="s">
        <v>4053</v>
      </c>
      <c r="F4331" t="s">
        <v>4054</v>
      </c>
      <c r="G4331">
        <v>3.5</v>
      </c>
      <c r="H4331" s="2">
        <v>6752.68</v>
      </c>
      <c r="I4331" s="2">
        <v>236.34</v>
      </c>
    </row>
    <row r="4332" spans="1:9" x14ac:dyDescent="0.25">
      <c r="A4332" t="s">
        <v>2356</v>
      </c>
      <c r="B4332" t="s">
        <v>2357</v>
      </c>
      <c r="C4332" t="s">
        <v>63</v>
      </c>
      <c r="D4332" t="s">
        <v>4062</v>
      </c>
      <c r="E4332" t="s">
        <v>6385</v>
      </c>
      <c r="F4332" t="s">
        <v>63</v>
      </c>
      <c r="G4332">
        <v>1</v>
      </c>
      <c r="H4332" s="2">
        <v>78536.66</v>
      </c>
      <c r="I4332" s="2">
        <v>78536.66</v>
      </c>
    </row>
    <row r="4333" spans="1:9" x14ac:dyDescent="0.25">
      <c r="A4333" t="s">
        <v>2356</v>
      </c>
      <c r="B4333" t="s">
        <v>2357</v>
      </c>
      <c r="C4333" t="s">
        <v>63</v>
      </c>
      <c r="D4333" t="s">
        <v>4062</v>
      </c>
      <c r="E4333" t="s">
        <v>6166</v>
      </c>
      <c r="F4333" t="s">
        <v>63</v>
      </c>
      <c r="G4333">
        <v>0.02</v>
      </c>
      <c r="H4333" s="2">
        <v>19750</v>
      </c>
      <c r="I4333" s="2">
        <v>395</v>
      </c>
    </row>
    <row r="4334" spans="1:9" x14ac:dyDescent="0.25">
      <c r="A4334" t="s">
        <v>2356</v>
      </c>
      <c r="B4334" t="s">
        <v>2357</v>
      </c>
      <c r="C4334" t="s">
        <v>63</v>
      </c>
      <c r="D4334" t="s">
        <v>4049</v>
      </c>
      <c r="E4334" t="s">
        <v>4241</v>
      </c>
      <c r="F4334" t="s">
        <v>4051</v>
      </c>
      <c r="G4334">
        <v>0.25</v>
      </c>
      <c r="H4334" s="2">
        <v>9941.22</v>
      </c>
      <c r="I4334" s="2">
        <v>2485.3</v>
      </c>
    </row>
    <row r="4335" spans="1:9" x14ac:dyDescent="0.25">
      <c r="A4335" t="s">
        <v>2356</v>
      </c>
      <c r="B4335" t="s">
        <v>2357</v>
      </c>
      <c r="C4335" t="s">
        <v>63</v>
      </c>
      <c r="D4335" t="s">
        <v>4049</v>
      </c>
      <c r="E4335" t="s">
        <v>4242</v>
      </c>
      <c r="F4335" t="s">
        <v>4051</v>
      </c>
      <c r="G4335">
        <v>0.25</v>
      </c>
      <c r="H4335" s="2">
        <v>17069.53</v>
      </c>
      <c r="I4335" s="2">
        <v>4267.38</v>
      </c>
    </row>
    <row r="4336" spans="1:9" x14ac:dyDescent="0.25">
      <c r="A4336" t="s">
        <v>2356</v>
      </c>
      <c r="B4336" t="s">
        <v>2357</v>
      </c>
      <c r="C4336" t="s">
        <v>63</v>
      </c>
      <c r="D4336" t="s">
        <v>4052</v>
      </c>
      <c r="E4336" t="s">
        <v>4053</v>
      </c>
      <c r="F4336" t="s">
        <v>4054</v>
      </c>
      <c r="G4336">
        <v>3.5</v>
      </c>
      <c r="H4336" s="2">
        <v>6752.68</v>
      </c>
      <c r="I4336" s="2">
        <v>236.34</v>
      </c>
    </row>
    <row r="4337" spans="1:9" x14ac:dyDescent="0.25">
      <c r="A4337" t="s">
        <v>2359</v>
      </c>
      <c r="B4337" t="s">
        <v>2360</v>
      </c>
      <c r="C4337" t="s">
        <v>63</v>
      </c>
      <c r="D4337" t="s">
        <v>4062</v>
      </c>
      <c r="E4337" t="s">
        <v>6388</v>
      </c>
      <c r="F4337" t="s">
        <v>63</v>
      </c>
      <c r="G4337">
        <v>1</v>
      </c>
      <c r="H4337" s="2">
        <v>196761</v>
      </c>
      <c r="I4337" s="2">
        <v>196761</v>
      </c>
    </row>
    <row r="4338" spans="1:9" x14ac:dyDescent="0.25">
      <c r="A4338" t="s">
        <v>2359</v>
      </c>
      <c r="B4338" t="s">
        <v>2360</v>
      </c>
      <c r="C4338" t="s">
        <v>63</v>
      </c>
      <c r="D4338" t="s">
        <v>4062</v>
      </c>
      <c r="E4338" t="s">
        <v>6166</v>
      </c>
      <c r="F4338" t="s">
        <v>63</v>
      </c>
      <c r="G4338">
        <v>0.02</v>
      </c>
      <c r="H4338" s="2">
        <v>19750</v>
      </c>
      <c r="I4338" s="2">
        <v>395</v>
      </c>
    </row>
    <row r="4339" spans="1:9" x14ac:dyDescent="0.25">
      <c r="A4339" t="s">
        <v>2359</v>
      </c>
      <c r="B4339" t="s">
        <v>2360</v>
      </c>
      <c r="C4339" t="s">
        <v>63</v>
      </c>
      <c r="D4339" t="s">
        <v>4049</v>
      </c>
      <c r="E4339" t="s">
        <v>4241</v>
      </c>
      <c r="F4339" t="s">
        <v>4051</v>
      </c>
      <c r="G4339">
        <v>0.25</v>
      </c>
      <c r="H4339" s="2">
        <v>9941.22</v>
      </c>
      <c r="I4339" s="2">
        <v>2485.3</v>
      </c>
    </row>
    <row r="4340" spans="1:9" x14ac:dyDescent="0.25">
      <c r="A4340" t="s">
        <v>2359</v>
      </c>
      <c r="B4340" t="s">
        <v>2360</v>
      </c>
      <c r="C4340" t="s">
        <v>63</v>
      </c>
      <c r="D4340" t="s">
        <v>4049</v>
      </c>
      <c r="E4340" t="s">
        <v>4242</v>
      </c>
      <c r="F4340" t="s">
        <v>4051</v>
      </c>
      <c r="G4340">
        <v>0.25</v>
      </c>
      <c r="H4340" s="2">
        <v>17069.53</v>
      </c>
      <c r="I4340" s="2">
        <v>4267.38</v>
      </c>
    </row>
    <row r="4341" spans="1:9" x14ac:dyDescent="0.25">
      <c r="A4341" t="s">
        <v>2359</v>
      </c>
      <c r="B4341" t="s">
        <v>2360</v>
      </c>
      <c r="C4341" t="s">
        <v>63</v>
      </c>
      <c r="D4341" t="s">
        <v>4052</v>
      </c>
      <c r="E4341" t="s">
        <v>4053</v>
      </c>
      <c r="F4341" t="s">
        <v>4054</v>
      </c>
      <c r="G4341">
        <v>3.5</v>
      </c>
      <c r="H4341" s="2">
        <v>6752.68</v>
      </c>
      <c r="I4341" s="2">
        <v>236.34</v>
      </c>
    </row>
    <row r="4342" spans="1:9" x14ac:dyDescent="0.25">
      <c r="A4342" t="s">
        <v>2362</v>
      </c>
      <c r="B4342" t="s">
        <v>2363</v>
      </c>
      <c r="C4342" t="s">
        <v>63</v>
      </c>
      <c r="D4342" t="s">
        <v>4062</v>
      </c>
      <c r="E4342" t="s">
        <v>6391</v>
      </c>
      <c r="F4342" t="s">
        <v>63</v>
      </c>
      <c r="G4342">
        <v>1</v>
      </c>
      <c r="H4342" s="2">
        <v>407721</v>
      </c>
      <c r="I4342" s="2">
        <v>407721</v>
      </c>
    </row>
    <row r="4343" spans="1:9" x14ac:dyDescent="0.25">
      <c r="A4343" t="s">
        <v>2362</v>
      </c>
      <c r="B4343" t="s">
        <v>2363</v>
      </c>
      <c r="C4343" t="s">
        <v>63</v>
      </c>
      <c r="D4343" t="s">
        <v>4062</v>
      </c>
      <c r="E4343" t="s">
        <v>6166</v>
      </c>
      <c r="F4343" t="s">
        <v>63</v>
      </c>
      <c r="G4343">
        <v>0.02</v>
      </c>
      <c r="H4343" s="2">
        <v>19750</v>
      </c>
      <c r="I4343" s="2">
        <v>395</v>
      </c>
    </row>
    <row r="4344" spans="1:9" x14ac:dyDescent="0.25">
      <c r="A4344" t="s">
        <v>2362</v>
      </c>
      <c r="B4344" t="s">
        <v>2363</v>
      </c>
      <c r="C4344" t="s">
        <v>63</v>
      </c>
      <c r="D4344" t="s">
        <v>4049</v>
      </c>
      <c r="E4344" t="s">
        <v>4241</v>
      </c>
      <c r="F4344" t="s">
        <v>4051</v>
      </c>
      <c r="G4344">
        <v>0.25</v>
      </c>
      <c r="H4344" s="2">
        <v>9941.22</v>
      </c>
      <c r="I4344" s="2">
        <v>2485.3</v>
      </c>
    </row>
    <row r="4345" spans="1:9" x14ac:dyDescent="0.25">
      <c r="A4345" t="s">
        <v>2362</v>
      </c>
      <c r="B4345" t="s">
        <v>2363</v>
      </c>
      <c r="C4345" t="s">
        <v>63</v>
      </c>
      <c r="D4345" t="s">
        <v>4049</v>
      </c>
      <c r="E4345" t="s">
        <v>4242</v>
      </c>
      <c r="F4345" t="s">
        <v>4051</v>
      </c>
      <c r="G4345">
        <v>0.25</v>
      </c>
      <c r="H4345" s="2">
        <v>17069.53</v>
      </c>
      <c r="I4345" s="2">
        <v>4267.38</v>
      </c>
    </row>
    <row r="4346" spans="1:9" x14ac:dyDescent="0.25">
      <c r="A4346" t="s">
        <v>2362</v>
      </c>
      <c r="B4346" t="s">
        <v>2363</v>
      </c>
      <c r="C4346" t="s">
        <v>63</v>
      </c>
      <c r="D4346" t="s">
        <v>4052</v>
      </c>
      <c r="E4346" t="s">
        <v>4053</v>
      </c>
      <c r="F4346" t="s">
        <v>4054</v>
      </c>
      <c r="G4346">
        <v>3.5</v>
      </c>
      <c r="H4346" s="2">
        <v>6752.68</v>
      </c>
      <c r="I4346" s="2">
        <v>236.34</v>
      </c>
    </row>
    <row r="4347" spans="1:9" x14ac:dyDescent="0.25">
      <c r="A4347" t="s">
        <v>2365</v>
      </c>
      <c r="B4347" t="s">
        <v>2366</v>
      </c>
      <c r="C4347" t="s">
        <v>63</v>
      </c>
      <c r="D4347" t="s">
        <v>4062</v>
      </c>
      <c r="E4347" t="s">
        <v>6394</v>
      </c>
      <c r="F4347" t="s">
        <v>63</v>
      </c>
      <c r="G4347">
        <v>1</v>
      </c>
      <c r="H4347" s="2">
        <v>1149055.5</v>
      </c>
      <c r="I4347" s="2">
        <v>1149055.5</v>
      </c>
    </row>
    <row r="4348" spans="1:9" x14ac:dyDescent="0.25">
      <c r="A4348" t="s">
        <v>2365</v>
      </c>
      <c r="B4348" t="s">
        <v>2366</v>
      </c>
      <c r="C4348" t="s">
        <v>63</v>
      </c>
      <c r="D4348" t="s">
        <v>4062</v>
      </c>
      <c r="E4348" t="s">
        <v>6166</v>
      </c>
      <c r="F4348" t="s">
        <v>63</v>
      </c>
      <c r="G4348">
        <v>0.02</v>
      </c>
      <c r="H4348" s="2">
        <v>19750</v>
      </c>
      <c r="I4348" s="2">
        <v>395</v>
      </c>
    </row>
    <row r="4349" spans="1:9" x14ac:dyDescent="0.25">
      <c r="A4349" t="s">
        <v>2365</v>
      </c>
      <c r="B4349" t="s">
        <v>2366</v>
      </c>
      <c r="C4349" t="s">
        <v>63</v>
      </c>
      <c r="D4349" t="s">
        <v>4049</v>
      </c>
      <c r="E4349" t="s">
        <v>4241</v>
      </c>
      <c r="F4349" t="s">
        <v>4051</v>
      </c>
      <c r="G4349">
        <v>0.25</v>
      </c>
      <c r="H4349" s="2">
        <v>9941.22</v>
      </c>
      <c r="I4349" s="2">
        <v>2485.3</v>
      </c>
    </row>
    <row r="4350" spans="1:9" x14ac:dyDescent="0.25">
      <c r="A4350" t="s">
        <v>2365</v>
      </c>
      <c r="B4350" t="s">
        <v>2366</v>
      </c>
      <c r="C4350" t="s">
        <v>63</v>
      </c>
      <c r="D4350" t="s">
        <v>4049</v>
      </c>
      <c r="E4350" t="s">
        <v>4242</v>
      </c>
      <c r="F4350" t="s">
        <v>4051</v>
      </c>
      <c r="G4350">
        <v>0.25</v>
      </c>
      <c r="H4350" s="2">
        <v>17069.53</v>
      </c>
      <c r="I4350" s="2">
        <v>4267.38</v>
      </c>
    </row>
    <row r="4351" spans="1:9" x14ac:dyDescent="0.25">
      <c r="A4351" t="s">
        <v>2365</v>
      </c>
      <c r="B4351" t="s">
        <v>2366</v>
      </c>
      <c r="C4351" t="s">
        <v>63</v>
      </c>
      <c r="D4351" t="s">
        <v>4052</v>
      </c>
      <c r="E4351" t="s">
        <v>4053</v>
      </c>
      <c r="F4351" t="s">
        <v>4054</v>
      </c>
      <c r="G4351">
        <v>3.5</v>
      </c>
      <c r="H4351" s="2">
        <v>6752.68</v>
      </c>
      <c r="I4351" s="2">
        <v>236.34</v>
      </c>
    </row>
    <row r="4352" spans="1:9" x14ac:dyDescent="0.25">
      <c r="A4352" t="s">
        <v>2368</v>
      </c>
      <c r="B4352" t="s">
        <v>2369</v>
      </c>
      <c r="C4352" t="s">
        <v>63</v>
      </c>
      <c r="D4352" t="s">
        <v>4062</v>
      </c>
      <c r="E4352" t="s">
        <v>6397</v>
      </c>
      <c r="F4352" t="s">
        <v>63</v>
      </c>
      <c r="G4352">
        <v>1</v>
      </c>
      <c r="H4352" s="2">
        <v>1581466</v>
      </c>
      <c r="I4352" s="2">
        <v>1581466</v>
      </c>
    </row>
    <row r="4353" spans="1:9" x14ac:dyDescent="0.25">
      <c r="A4353" t="s">
        <v>2368</v>
      </c>
      <c r="B4353" t="s">
        <v>2369</v>
      </c>
      <c r="C4353" t="s">
        <v>63</v>
      </c>
      <c r="D4353" t="s">
        <v>4062</v>
      </c>
      <c r="E4353" t="s">
        <v>6166</v>
      </c>
      <c r="F4353" t="s">
        <v>63</v>
      </c>
      <c r="G4353">
        <v>0.02</v>
      </c>
      <c r="H4353" s="2">
        <v>19750</v>
      </c>
      <c r="I4353" s="2">
        <v>395</v>
      </c>
    </row>
    <row r="4354" spans="1:9" x14ac:dyDescent="0.25">
      <c r="A4354" t="s">
        <v>2368</v>
      </c>
      <c r="B4354" t="s">
        <v>2369</v>
      </c>
      <c r="C4354" t="s">
        <v>63</v>
      </c>
      <c r="D4354" t="s">
        <v>4049</v>
      </c>
      <c r="E4354" t="s">
        <v>4241</v>
      </c>
      <c r="F4354" t="s">
        <v>4051</v>
      </c>
      <c r="G4354">
        <v>0.25</v>
      </c>
      <c r="H4354" s="2">
        <v>9941.22</v>
      </c>
      <c r="I4354" s="2">
        <v>2485.3</v>
      </c>
    </row>
    <row r="4355" spans="1:9" x14ac:dyDescent="0.25">
      <c r="A4355" t="s">
        <v>2368</v>
      </c>
      <c r="B4355" t="s">
        <v>2369</v>
      </c>
      <c r="C4355" t="s">
        <v>63</v>
      </c>
      <c r="D4355" t="s">
        <v>4049</v>
      </c>
      <c r="E4355" t="s">
        <v>4242</v>
      </c>
      <c r="F4355" t="s">
        <v>4051</v>
      </c>
      <c r="G4355">
        <v>0.25</v>
      </c>
      <c r="H4355" s="2">
        <v>17069.53</v>
      </c>
      <c r="I4355" s="2">
        <v>4267.38</v>
      </c>
    </row>
    <row r="4356" spans="1:9" x14ac:dyDescent="0.25">
      <c r="A4356" t="s">
        <v>2368</v>
      </c>
      <c r="B4356" t="s">
        <v>2369</v>
      </c>
      <c r="C4356" t="s">
        <v>63</v>
      </c>
      <c r="D4356" t="s">
        <v>4052</v>
      </c>
      <c r="E4356" t="s">
        <v>4053</v>
      </c>
      <c r="F4356" t="s">
        <v>4054</v>
      </c>
      <c r="G4356">
        <v>3.5</v>
      </c>
      <c r="H4356" s="2">
        <v>6752.68</v>
      </c>
      <c r="I4356" s="2">
        <v>236.34</v>
      </c>
    </row>
    <row r="4357" spans="1:9" x14ac:dyDescent="0.25">
      <c r="A4357" t="s">
        <v>2371</v>
      </c>
      <c r="B4357" t="s">
        <v>2372</v>
      </c>
      <c r="C4357" t="s">
        <v>63</v>
      </c>
      <c r="D4357" t="s">
        <v>4062</v>
      </c>
      <c r="E4357" t="s">
        <v>6400</v>
      </c>
      <c r="F4357" t="s">
        <v>63</v>
      </c>
      <c r="G4357">
        <v>1</v>
      </c>
      <c r="H4357" s="2">
        <v>29028</v>
      </c>
      <c r="I4357" s="2">
        <v>29028</v>
      </c>
    </row>
    <row r="4358" spans="1:9" x14ac:dyDescent="0.25">
      <c r="A4358" t="s">
        <v>2371</v>
      </c>
      <c r="B4358" t="s">
        <v>2372</v>
      </c>
      <c r="C4358" t="s">
        <v>63</v>
      </c>
      <c r="D4358" t="s">
        <v>4062</v>
      </c>
      <c r="E4358" t="s">
        <v>6166</v>
      </c>
      <c r="F4358" t="s">
        <v>63</v>
      </c>
      <c r="G4358">
        <v>0.02</v>
      </c>
      <c r="H4358" s="2">
        <v>19750</v>
      </c>
      <c r="I4358" s="2">
        <v>395</v>
      </c>
    </row>
    <row r="4359" spans="1:9" x14ac:dyDescent="0.25">
      <c r="A4359" t="s">
        <v>2371</v>
      </c>
      <c r="B4359" t="s">
        <v>2372</v>
      </c>
      <c r="C4359" t="s">
        <v>63</v>
      </c>
      <c r="D4359" t="s">
        <v>4049</v>
      </c>
      <c r="E4359" t="s">
        <v>4241</v>
      </c>
      <c r="F4359" t="s">
        <v>4051</v>
      </c>
      <c r="G4359">
        <v>0.25</v>
      </c>
      <c r="H4359" s="2">
        <v>9941.22</v>
      </c>
      <c r="I4359" s="2">
        <v>2485.3</v>
      </c>
    </row>
    <row r="4360" spans="1:9" x14ac:dyDescent="0.25">
      <c r="A4360" t="s">
        <v>2371</v>
      </c>
      <c r="B4360" t="s">
        <v>2372</v>
      </c>
      <c r="C4360" t="s">
        <v>63</v>
      </c>
      <c r="D4360" t="s">
        <v>4049</v>
      </c>
      <c r="E4360" t="s">
        <v>4242</v>
      </c>
      <c r="F4360" t="s">
        <v>4051</v>
      </c>
      <c r="G4360">
        <v>0.25</v>
      </c>
      <c r="H4360" s="2">
        <v>17069.53</v>
      </c>
      <c r="I4360" s="2">
        <v>4267.38</v>
      </c>
    </row>
    <row r="4361" spans="1:9" x14ac:dyDescent="0.25">
      <c r="A4361" t="s">
        <v>2371</v>
      </c>
      <c r="B4361" t="s">
        <v>2372</v>
      </c>
      <c r="C4361" t="s">
        <v>63</v>
      </c>
      <c r="D4361" t="s">
        <v>4052</v>
      </c>
      <c r="E4361" t="s">
        <v>4053</v>
      </c>
      <c r="F4361" t="s">
        <v>4054</v>
      </c>
      <c r="G4361">
        <v>3.5</v>
      </c>
      <c r="H4361" s="2">
        <v>6752.68</v>
      </c>
      <c r="I4361" s="2">
        <v>236.34</v>
      </c>
    </row>
    <row r="4362" spans="1:9" x14ac:dyDescent="0.25">
      <c r="A4362" t="s">
        <v>2374</v>
      </c>
      <c r="B4362" t="s">
        <v>2375</v>
      </c>
      <c r="C4362" t="s">
        <v>63</v>
      </c>
      <c r="D4362" t="s">
        <v>4062</v>
      </c>
      <c r="E4362" t="s">
        <v>6403</v>
      </c>
      <c r="F4362" t="s">
        <v>63</v>
      </c>
      <c r="G4362">
        <v>1</v>
      </c>
      <c r="H4362" s="2">
        <v>26586</v>
      </c>
      <c r="I4362" s="2">
        <v>26586</v>
      </c>
    </row>
    <row r="4363" spans="1:9" x14ac:dyDescent="0.25">
      <c r="A4363" t="s">
        <v>2374</v>
      </c>
      <c r="B4363" t="s">
        <v>2375</v>
      </c>
      <c r="C4363" t="s">
        <v>63</v>
      </c>
      <c r="D4363" t="s">
        <v>4062</v>
      </c>
      <c r="E4363" t="s">
        <v>6166</v>
      </c>
      <c r="F4363" t="s">
        <v>63</v>
      </c>
      <c r="G4363">
        <v>0.02</v>
      </c>
      <c r="H4363" s="2">
        <v>19750</v>
      </c>
      <c r="I4363" s="2">
        <v>395</v>
      </c>
    </row>
    <row r="4364" spans="1:9" x14ac:dyDescent="0.25">
      <c r="A4364" t="s">
        <v>2374</v>
      </c>
      <c r="B4364" t="s">
        <v>2375</v>
      </c>
      <c r="C4364" t="s">
        <v>63</v>
      </c>
      <c r="D4364" t="s">
        <v>4049</v>
      </c>
      <c r="E4364" t="s">
        <v>4241</v>
      </c>
      <c r="F4364" t="s">
        <v>4051</v>
      </c>
      <c r="G4364">
        <v>0.25</v>
      </c>
      <c r="H4364" s="2">
        <v>9941.22</v>
      </c>
      <c r="I4364" s="2">
        <v>2485.3</v>
      </c>
    </row>
    <row r="4365" spans="1:9" x14ac:dyDescent="0.25">
      <c r="A4365" t="s">
        <v>2374</v>
      </c>
      <c r="B4365" t="s">
        <v>2375</v>
      </c>
      <c r="C4365" t="s">
        <v>63</v>
      </c>
      <c r="D4365" t="s">
        <v>4049</v>
      </c>
      <c r="E4365" t="s">
        <v>4242</v>
      </c>
      <c r="F4365" t="s">
        <v>4051</v>
      </c>
      <c r="G4365">
        <v>0.25</v>
      </c>
      <c r="H4365" s="2">
        <v>17069.53</v>
      </c>
      <c r="I4365" s="2">
        <v>4267.38</v>
      </c>
    </row>
    <row r="4366" spans="1:9" x14ac:dyDescent="0.25">
      <c r="A4366" t="s">
        <v>2374</v>
      </c>
      <c r="B4366" t="s">
        <v>2375</v>
      </c>
      <c r="C4366" t="s">
        <v>63</v>
      </c>
      <c r="D4366" t="s">
        <v>4052</v>
      </c>
      <c r="E4366" t="s">
        <v>4053</v>
      </c>
      <c r="F4366" t="s">
        <v>4054</v>
      </c>
      <c r="G4366">
        <v>3.5</v>
      </c>
      <c r="H4366" s="2">
        <v>6752.68</v>
      </c>
      <c r="I4366" s="2">
        <v>236.34</v>
      </c>
    </row>
    <row r="4367" spans="1:9" x14ac:dyDescent="0.25">
      <c r="A4367" t="s">
        <v>2377</v>
      </c>
      <c r="B4367" t="s">
        <v>2378</v>
      </c>
      <c r="C4367" t="s">
        <v>63</v>
      </c>
      <c r="D4367" t="s">
        <v>4062</v>
      </c>
      <c r="E4367" t="s">
        <v>6406</v>
      </c>
      <c r="F4367" t="s">
        <v>63</v>
      </c>
      <c r="G4367">
        <v>1</v>
      </c>
      <c r="H4367" s="2">
        <v>44697</v>
      </c>
      <c r="I4367" s="2">
        <v>44697</v>
      </c>
    </row>
    <row r="4368" spans="1:9" x14ac:dyDescent="0.25">
      <c r="A4368" t="s">
        <v>2377</v>
      </c>
      <c r="B4368" t="s">
        <v>2378</v>
      </c>
      <c r="C4368" t="s">
        <v>63</v>
      </c>
      <c r="D4368" t="s">
        <v>4062</v>
      </c>
      <c r="E4368" t="s">
        <v>6166</v>
      </c>
      <c r="F4368" t="s">
        <v>63</v>
      </c>
      <c r="G4368">
        <v>0.02</v>
      </c>
      <c r="H4368" s="2">
        <v>19750</v>
      </c>
      <c r="I4368" s="2">
        <v>395</v>
      </c>
    </row>
    <row r="4369" spans="1:9" x14ac:dyDescent="0.25">
      <c r="A4369" t="s">
        <v>2377</v>
      </c>
      <c r="B4369" t="s">
        <v>2378</v>
      </c>
      <c r="C4369" t="s">
        <v>63</v>
      </c>
      <c r="D4369" t="s">
        <v>4049</v>
      </c>
      <c r="E4369" t="s">
        <v>4241</v>
      </c>
      <c r="F4369" t="s">
        <v>4051</v>
      </c>
      <c r="G4369">
        <v>0.25</v>
      </c>
      <c r="H4369" s="2">
        <v>9941.22</v>
      </c>
      <c r="I4369" s="2">
        <v>2485.3</v>
      </c>
    </row>
    <row r="4370" spans="1:9" x14ac:dyDescent="0.25">
      <c r="A4370" t="s">
        <v>2377</v>
      </c>
      <c r="B4370" t="s">
        <v>2378</v>
      </c>
      <c r="C4370" t="s">
        <v>63</v>
      </c>
      <c r="D4370" t="s">
        <v>4049</v>
      </c>
      <c r="E4370" t="s">
        <v>4242</v>
      </c>
      <c r="F4370" t="s">
        <v>4051</v>
      </c>
      <c r="G4370">
        <v>0.25</v>
      </c>
      <c r="H4370" s="2">
        <v>17069.53</v>
      </c>
      <c r="I4370" s="2">
        <v>4267.38</v>
      </c>
    </row>
    <row r="4371" spans="1:9" x14ac:dyDescent="0.25">
      <c r="A4371" t="s">
        <v>2377</v>
      </c>
      <c r="B4371" t="s">
        <v>2378</v>
      </c>
      <c r="C4371" t="s">
        <v>63</v>
      </c>
      <c r="D4371" t="s">
        <v>4052</v>
      </c>
      <c r="E4371" t="s">
        <v>4053</v>
      </c>
      <c r="F4371" t="s">
        <v>4054</v>
      </c>
      <c r="G4371">
        <v>3.5</v>
      </c>
      <c r="H4371" s="2">
        <v>6752.68</v>
      </c>
      <c r="I4371" s="2">
        <v>236.34</v>
      </c>
    </row>
    <row r="4372" spans="1:9" x14ac:dyDescent="0.25">
      <c r="A4372" t="s">
        <v>2380</v>
      </c>
      <c r="B4372" t="s">
        <v>2381</v>
      </c>
      <c r="C4372" t="s">
        <v>63</v>
      </c>
      <c r="D4372" t="s">
        <v>4062</v>
      </c>
      <c r="E4372" t="s">
        <v>6409</v>
      </c>
      <c r="F4372" t="s">
        <v>63</v>
      </c>
      <c r="G4372">
        <v>1</v>
      </c>
      <c r="H4372" s="2">
        <v>118465</v>
      </c>
      <c r="I4372" s="2">
        <v>118465</v>
      </c>
    </row>
    <row r="4373" spans="1:9" x14ac:dyDescent="0.25">
      <c r="A4373" t="s">
        <v>2380</v>
      </c>
      <c r="B4373" t="s">
        <v>2381</v>
      </c>
      <c r="C4373" t="s">
        <v>63</v>
      </c>
      <c r="D4373" t="s">
        <v>4062</v>
      </c>
      <c r="E4373" t="s">
        <v>6166</v>
      </c>
      <c r="F4373" t="s">
        <v>63</v>
      </c>
      <c r="G4373">
        <v>0.02</v>
      </c>
      <c r="H4373" s="2">
        <v>19750</v>
      </c>
      <c r="I4373" s="2">
        <v>395</v>
      </c>
    </row>
    <row r="4374" spans="1:9" x14ac:dyDescent="0.25">
      <c r="A4374" t="s">
        <v>2380</v>
      </c>
      <c r="B4374" t="s">
        <v>2381</v>
      </c>
      <c r="C4374" t="s">
        <v>63</v>
      </c>
      <c r="D4374" t="s">
        <v>4049</v>
      </c>
      <c r="E4374" t="s">
        <v>4241</v>
      </c>
      <c r="F4374" t="s">
        <v>4051</v>
      </c>
      <c r="G4374">
        <v>0.25</v>
      </c>
      <c r="H4374" s="2">
        <v>9941.22</v>
      </c>
      <c r="I4374" s="2">
        <v>2485.3</v>
      </c>
    </row>
    <row r="4375" spans="1:9" x14ac:dyDescent="0.25">
      <c r="A4375" t="s">
        <v>2380</v>
      </c>
      <c r="B4375" t="s">
        <v>2381</v>
      </c>
      <c r="C4375" t="s">
        <v>63</v>
      </c>
      <c r="D4375" t="s">
        <v>4049</v>
      </c>
      <c r="E4375" t="s">
        <v>4242</v>
      </c>
      <c r="F4375" t="s">
        <v>4051</v>
      </c>
      <c r="G4375">
        <v>0.25</v>
      </c>
      <c r="H4375" s="2">
        <v>17069.53</v>
      </c>
      <c r="I4375" s="2">
        <v>4267.38</v>
      </c>
    </row>
    <row r="4376" spans="1:9" x14ac:dyDescent="0.25">
      <c r="A4376" t="s">
        <v>2380</v>
      </c>
      <c r="B4376" t="s">
        <v>2381</v>
      </c>
      <c r="C4376" t="s">
        <v>63</v>
      </c>
      <c r="D4376" t="s">
        <v>4052</v>
      </c>
      <c r="E4376" t="s">
        <v>4053</v>
      </c>
      <c r="F4376" t="s">
        <v>4054</v>
      </c>
      <c r="G4376">
        <v>3.5</v>
      </c>
      <c r="H4376" s="2">
        <v>6752.68</v>
      </c>
      <c r="I4376" s="2">
        <v>236.34</v>
      </c>
    </row>
    <row r="4377" spans="1:9" x14ac:dyDescent="0.25">
      <c r="A4377" t="s">
        <v>2383</v>
      </c>
      <c r="B4377" t="s">
        <v>2384</v>
      </c>
      <c r="C4377" t="s">
        <v>63</v>
      </c>
      <c r="D4377" t="s">
        <v>4062</v>
      </c>
      <c r="E4377" t="s">
        <v>6412</v>
      </c>
      <c r="F4377" t="s">
        <v>63</v>
      </c>
      <c r="G4377">
        <v>1</v>
      </c>
      <c r="H4377" s="2">
        <v>247022</v>
      </c>
      <c r="I4377" s="2">
        <v>247022</v>
      </c>
    </row>
    <row r="4378" spans="1:9" x14ac:dyDescent="0.25">
      <c r="A4378" t="s">
        <v>2383</v>
      </c>
      <c r="B4378" t="s">
        <v>2384</v>
      </c>
      <c r="C4378" t="s">
        <v>63</v>
      </c>
      <c r="D4378" t="s">
        <v>4062</v>
      </c>
      <c r="E4378" t="s">
        <v>6166</v>
      </c>
      <c r="F4378" t="s">
        <v>63</v>
      </c>
      <c r="G4378">
        <v>0.02</v>
      </c>
      <c r="H4378" s="2">
        <v>19750</v>
      </c>
      <c r="I4378" s="2">
        <v>395</v>
      </c>
    </row>
    <row r="4379" spans="1:9" x14ac:dyDescent="0.25">
      <c r="A4379" t="s">
        <v>2383</v>
      </c>
      <c r="B4379" t="s">
        <v>2384</v>
      </c>
      <c r="C4379" t="s">
        <v>63</v>
      </c>
      <c r="D4379" t="s">
        <v>4049</v>
      </c>
      <c r="E4379" t="s">
        <v>4241</v>
      </c>
      <c r="F4379" t="s">
        <v>4051</v>
      </c>
      <c r="G4379">
        <v>0.25</v>
      </c>
      <c r="H4379" s="2">
        <v>9941.22</v>
      </c>
      <c r="I4379" s="2">
        <v>2485.3</v>
      </c>
    </row>
    <row r="4380" spans="1:9" x14ac:dyDescent="0.25">
      <c r="A4380" t="s">
        <v>2383</v>
      </c>
      <c r="B4380" t="s">
        <v>2384</v>
      </c>
      <c r="C4380" t="s">
        <v>63</v>
      </c>
      <c r="D4380" t="s">
        <v>4049</v>
      </c>
      <c r="E4380" t="s">
        <v>4242</v>
      </c>
      <c r="F4380" t="s">
        <v>4051</v>
      </c>
      <c r="G4380">
        <v>0.25</v>
      </c>
      <c r="H4380" s="2">
        <v>17069.53</v>
      </c>
      <c r="I4380" s="2">
        <v>4267.38</v>
      </c>
    </row>
    <row r="4381" spans="1:9" x14ac:dyDescent="0.25">
      <c r="A4381" t="s">
        <v>2383</v>
      </c>
      <c r="B4381" t="s">
        <v>2384</v>
      </c>
      <c r="C4381" t="s">
        <v>63</v>
      </c>
      <c r="D4381" t="s">
        <v>4052</v>
      </c>
      <c r="E4381" t="s">
        <v>4053</v>
      </c>
      <c r="F4381" t="s">
        <v>4054</v>
      </c>
      <c r="G4381">
        <v>3.5</v>
      </c>
      <c r="H4381" s="2">
        <v>6752.68</v>
      </c>
      <c r="I4381" s="2">
        <v>236.34</v>
      </c>
    </row>
    <row r="4382" spans="1:9" x14ac:dyDescent="0.25">
      <c r="A4382" t="s">
        <v>2386</v>
      </c>
      <c r="B4382" t="s">
        <v>2387</v>
      </c>
      <c r="C4382" t="s">
        <v>63</v>
      </c>
      <c r="D4382" t="s">
        <v>4062</v>
      </c>
      <c r="E4382" t="s">
        <v>6415</v>
      </c>
      <c r="F4382" t="s">
        <v>63</v>
      </c>
      <c r="G4382">
        <v>1</v>
      </c>
      <c r="H4382" s="2">
        <v>533766</v>
      </c>
      <c r="I4382" s="2">
        <v>533766</v>
      </c>
    </row>
    <row r="4383" spans="1:9" x14ac:dyDescent="0.25">
      <c r="A4383" t="s">
        <v>2386</v>
      </c>
      <c r="B4383" t="s">
        <v>2387</v>
      </c>
      <c r="C4383" t="s">
        <v>63</v>
      </c>
      <c r="D4383" t="s">
        <v>4062</v>
      </c>
      <c r="E4383" t="s">
        <v>6166</v>
      </c>
      <c r="F4383" t="s">
        <v>63</v>
      </c>
      <c r="G4383">
        <v>0.02</v>
      </c>
      <c r="H4383" s="2">
        <v>19750</v>
      </c>
      <c r="I4383" s="2">
        <v>395</v>
      </c>
    </row>
    <row r="4384" spans="1:9" x14ac:dyDescent="0.25">
      <c r="A4384" t="s">
        <v>2386</v>
      </c>
      <c r="B4384" t="s">
        <v>2387</v>
      </c>
      <c r="C4384" t="s">
        <v>63</v>
      </c>
      <c r="D4384" t="s">
        <v>4049</v>
      </c>
      <c r="E4384" t="s">
        <v>4241</v>
      </c>
      <c r="F4384" t="s">
        <v>4051</v>
      </c>
      <c r="G4384">
        <v>0.25</v>
      </c>
      <c r="H4384" s="2">
        <v>9941.22</v>
      </c>
      <c r="I4384" s="2">
        <v>2485.3</v>
      </c>
    </row>
    <row r="4385" spans="1:9" x14ac:dyDescent="0.25">
      <c r="A4385" t="s">
        <v>2386</v>
      </c>
      <c r="B4385" t="s">
        <v>2387</v>
      </c>
      <c r="C4385" t="s">
        <v>63</v>
      </c>
      <c r="D4385" t="s">
        <v>4049</v>
      </c>
      <c r="E4385" t="s">
        <v>4242</v>
      </c>
      <c r="F4385" t="s">
        <v>4051</v>
      </c>
      <c r="G4385">
        <v>0.25</v>
      </c>
      <c r="H4385" s="2">
        <v>17069.53</v>
      </c>
      <c r="I4385" s="2">
        <v>4267.38</v>
      </c>
    </row>
    <row r="4386" spans="1:9" x14ac:dyDescent="0.25">
      <c r="A4386" t="s">
        <v>2386</v>
      </c>
      <c r="B4386" t="s">
        <v>2387</v>
      </c>
      <c r="C4386" t="s">
        <v>63</v>
      </c>
      <c r="D4386" t="s">
        <v>4052</v>
      </c>
      <c r="E4386" t="s">
        <v>4053</v>
      </c>
      <c r="F4386" t="s">
        <v>4054</v>
      </c>
      <c r="G4386">
        <v>3.5</v>
      </c>
      <c r="H4386" s="2">
        <v>6752.68</v>
      </c>
      <c r="I4386" s="2">
        <v>236.34</v>
      </c>
    </row>
    <row r="4387" spans="1:9" x14ac:dyDescent="0.25">
      <c r="A4387" t="s">
        <v>2389</v>
      </c>
      <c r="B4387" t="s">
        <v>2390</v>
      </c>
      <c r="C4387" t="s">
        <v>63</v>
      </c>
      <c r="D4387" t="s">
        <v>4062</v>
      </c>
      <c r="E4387" t="s">
        <v>6418</v>
      </c>
      <c r="F4387" t="s">
        <v>63</v>
      </c>
      <c r="G4387">
        <v>1</v>
      </c>
      <c r="H4387" s="2">
        <v>460763</v>
      </c>
      <c r="I4387" s="2">
        <v>460763</v>
      </c>
    </row>
    <row r="4388" spans="1:9" x14ac:dyDescent="0.25">
      <c r="A4388" t="s">
        <v>2389</v>
      </c>
      <c r="B4388" t="s">
        <v>2390</v>
      </c>
      <c r="C4388" t="s">
        <v>63</v>
      </c>
      <c r="D4388" t="s">
        <v>4062</v>
      </c>
      <c r="E4388" t="s">
        <v>6166</v>
      </c>
      <c r="F4388" t="s">
        <v>63</v>
      </c>
      <c r="G4388">
        <v>0.02</v>
      </c>
      <c r="H4388" s="2">
        <v>19750</v>
      </c>
      <c r="I4388" s="2">
        <v>395</v>
      </c>
    </row>
    <row r="4389" spans="1:9" x14ac:dyDescent="0.25">
      <c r="A4389" t="s">
        <v>2389</v>
      </c>
      <c r="B4389" t="s">
        <v>2390</v>
      </c>
      <c r="C4389" t="s">
        <v>63</v>
      </c>
      <c r="D4389" t="s">
        <v>4049</v>
      </c>
      <c r="E4389" t="s">
        <v>4241</v>
      </c>
      <c r="F4389" t="s">
        <v>4051</v>
      </c>
      <c r="G4389">
        <v>0.25</v>
      </c>
      <c r="H4389" s="2">
        <v>9941.22</v>
      </c>
      <c r="I4389" s="2">
        <v>2485.3</v>
      </c>
    </row>
    <row r="4390" spans="1:9" x14ac:dyDescent="0.25">
      <c r="A4390" t="s">
        <v>2389</v>
      </c>
      <c r="B4390" t="s">
        <v>2390</v>
      </c>
      <c r="C4390" t="s">
        <v>63</v>
      </c>
      <c r="D4390" t="s">
        <v>4049</v>
      </c>
      <c r="E4390" t="s">
        <v>4242</v>
      </c>
      <c r="F4390" t="s">
        <v>4051</v>
      </c>
      <c r="G4390">
        <v>0.25</v>
      </c>
      <c r="H4390" s="2">
        <v>17069.53</v>
      </c>
      <c r="I4390" s="2">
        <v>4267.38</v>
      </c>
    </row>
    <row r="4391" spans="1:9" x14ac:dyDescent="0.25">
      <c r="A4391" t="s">
        <v>2389</v>
      </c>
      <c r="B4391" t="s">
        <v>2390</v>
      </c>
      <c r="C4391" t="s">
        <v>63</v>
      </c>
      <c r="D4391" t="s">
        <v>4052</v>
      </c>
      <c r="E4391" t="s">
        <v>4053</v>
      </c>
      <c r="F4391" t="s">
        <v>4054</v>
      </c>
      <c r="G4391">
        <v>3.5</v>
      </c>
      <c r="H4391" s="2">
        <v>6752.68</v>
      </c>
      <c r="I4391" s="2">
        <v>236.34</v>
      </c>
    </row>
    <row r="4392" spans="1:9" x14ac:dyDescent="0.25">
      <c r="A4392" t="s">
        <v>2392</v>
      </c>
      <c r="B4392" t="s">
        <v>2393</v>
      </c>
      <c r="C4392" t="s">
        <v>63</v>
      </c>
      <c r="D4392" t="s">
        <v>4062</v>
      </c>
      <c r="E4392" t="s">
        <v>6421</v>
      </c>
      <c r="F4392" t="s">
        <v>63</v>
      </c>
      <c r="G4392">
        <v>1</v>
      </c>
      <c r="H4392" s="2">
        <v>611914</v>
      </c>
      <c r="I4392" s="2">
        <v>611914</v>
      </c>
    </row>
    <row r="4393" spans="1:9" x14ac:dyDescent="0.25">
      <c r="A4393" t="s">
        <v>2392</v>
      </c>
      <c r="B4393" t="s">
        <v>2393</v>
      </c>
      <c r="C4393" t="s">
        <v>63</v>
      </c>
      <c r="D4393" t="s">
        <v>4062</v>
      </c>
      <c r="E4393" t="s">
        <v>6166</v>
      </c>
      <c r="F4393" t="s">
        <v>63</v>
      </c>
      <c r="G4393">
        <v>0.02</v>
      </c>
      <c r="H4393" s="2">
        <v>19750</v>
      </c>
      <c r="I4393" s="2">
        <v>395</v>
      </c>
    </row>
    <row r="4394" spans="1:9" x14ac:dyDescent="0.25">
      <c r="A4394" t="s">
        <v>2392</v>
      </c>
      <c r="B4394" t="s">
        <v>2393</v>
      </c>
      <c r="C4394" t="s">
        <v>63</v>
      </c>
      <c r="D4394" t="s">
        <v>4049</v>
      </c>
      <c r="E4394" t="s">
        <v>4241</v>
      </c>
      <c r="F4394" t="s">
        <v>4051</v>
      </c>
      <c r="G4394">
        <v>0.25</v>
      </c>
      <c r="H4394" s="2">
        <v>9941.22</v>
      </c>
      <c r="I4394" s="2">
        <v>2485.3</v>
      </c>
    </row>
    <row r="4395" spans="1:9" x14ac:dyDescent="0.25">
      <c r="A4395" t="s">
        <v>2392</v>
      </c>
      <c r="B4395" t="s">
        <v>2393</v>
      </c>
      <c r="C4395" t="s">
        <v>63</v>
      </c>
      <c r="D4395" t="s">
        <v>4049</v>
      </c>
      <c r="E4395" t="s">
        <v>4242</v>
      </c>
      <c r="F4395" t="s">
        <v>4051</v>
      </c>
      <c r="G4395">
        <v>0.25</v>
      </c>
      <c r="H4395" s="2">
        <v>17069.53</v>
      </c>
      <c r="I4395" s="2">
        <v>4267.38</v>
      </c>
    </row>
    <row r="4396" spans="1:9" x14ac:dyDescent="0.25">
      <c r="A4396" t="s">
        <v>2392</v>
      </c>
      <c r="B4396" t="s">
        <v>2393</v>
      </c>
      <c r="C4396" t="s">
        <v>63</v>
      </c>
      <c r="D4396" t="s">
        <v>4052</v>
      </c>
      <c r="E4396" t="s">
        <v>4053</v>
      </c>
      <c r="F4396" t="s">
        <v>4054</v>
      </c>
      <c r="G4396">
        <v>3.5</v>
      </c>
      <c r="H4396" s="2">
        <v>6752.68</v>
      </c>
      <c r="I4396" s="2">
        <v>236.34</v>
      </c>
    </row>
    <row r="4397" spans="1:9" x14ac:dyDescent="0.25">
      <c r="A4397" t="s">
        <v>2395</v>
      </c>
      <c r="B4397" t="s">
        <v>2396</v>
      </c>
      <c r="C4397" t="s">
        <v>63</v>
      </c>
      <c r="D4397" t="s">
        <v>4062</v>
      </c>
      <c r="E4397" t="s">
        <v>6424</v>
      </c>
      <c r="F4397" t="s">
        <v>63</v>
      </c>
      <c r="G4397">
        <v>1</v>
      </c>
      <c r="H4397" s="2">
        <v>218303.5</v>
      </c>
      <c r="I4397" s="2">
        <v>218303.5</v>
      </c>
    </row>
    <row r="4398" spans="1:9" x14ac:dyDescent="0.25">
      <c r="A4398" t="s">
        <v>2395</v>
      </c>
      <c r="B4398" t="s">
        <v>2396</v>
      </c>
      <c r="C4398" t="s">
        <v>63</v>
      </c>
      <c r="D4398" t="s">
        <v>4062</v>
      </c>
      <c r="E4398" t="s">
        <v>6166</v>
      </c>
      <c r="F4398" t="s">
        <v>63</v>
      </c>
      <c r="G4398">
        <v>0.02</v>
      </c>
      <c r="H4398" s="2">
        <v>19750</v>
      </c>
      <c r="I4398" s="2">
        <v>395</v>
      </c>
    </row>
    <row r="4399" spans="1:9" x14ac:dyDescent="0.25">
      <c r="A4399" t="s">
        <v>2395</v>
      </c>
      <c r="B4399" t="s">
        <v>2396</v>
      </c>
      <c r="C4399" t="s">
        <v>63</v>
      </c>
      <c r="D4399" t="s">
        <v>4049</v>
      </c>
      <c r="E4399" t="s">
        <v>4241</v>
      </c>
      <c r="F4399" t="s">
        <v>4051</v>
      </c>
      <c r="G4399">
        <v>0.25</v>
      </c>
      <c r="H4399" s="2">
        <v>9941.22</v>
      </c>
      <c r="I4399" s="2">
        <v>2485.3</v>
      </c>
    </row>
    <row r="4400" spans="1:9" x14ac:dyDescent="0.25">
      <c r="A4400" t="s">
        <v>2395</v>
      </c>
      <c r="B4400" t="s">
        <v>2396</v>
      </c>
      <c r="C4400" t="s">
        <v>63</v>
      </c>
      <c r="D4400" t="s">
        <v>4049</v>
      </c>
      <c r="E4400" t="s">
        <v>4242</v>
      </c>
      <c r="F4400" t="s">
        <v>4051</v>
      </c>
      <c r="G4400">
        <v>0.25</v>
      </c>
      <c r="H4400" s="2">
        <v>17069.53</v>
      </c>
      <c r="I4400" s="2">
        <v>4267.38</v>
      </c>
    </row>
    <row r="4401" spans="1:9" x14ac:dyDescent="0.25">
      <c r="A4401" t="s">
        <v>2395</v>
      </c>
      <c r="B4401" t="s">
        <v>2396</v>
      </c>
      <c r="C4401" t="s">
        <v>63</v>
      </c>
      <c r="D4401" t="s">
        <v>4052</v>
      </c>
      <c r="E4401" t="s">
        <v>4053</v>
      </c>
      <c r="F4401" t="s">
        <v>4054</v>
      </c>
      <c r="G4401">
        <v>3.5</v>
      </c>
      <c r="H4401" s="2">
        <v>6752.68</v>
      </c>
      <c r="I4401" s="2">
        <v>236.34</v>
      </c>
    </row>
    <row r="4402" spans="1:9" x14ac:dyDescent="0.25">
      <c r="A4402" t="s">
        <v>2398</v>
      </c>
      <c r="B4402" t="s">
        <v>2399</v>
      </c>
      <c r="C4402" t="s">
        <v>63</v>
      </c>
      <c r="D4402" t="s">
        <v>4062</v>
      </c>
      <c r="E4402" t="s">
        <v>6427</v>
      </c>
      <c r="F4402" t="s">
        <v>63</v>
      </c>
      <c r="G4402">
        <v>1</v>
      </c>
      <c r="H4402" s="2">
        <v>1756451.5</v>
      </c>
      <c r="I4402" s="2">
        <v>1756451.5</v>
      </c>
    </row>
    <row r="4403" spans="1:9" x14ac:dyDescent="0.25">
      <c r="A4403" t="s">
        <v>2398</v>
      </c>
      <c r="B4403" t="s">
        <v>2399</v>
      </c>
      <c r="C4403" t="s">
        <v>63</v>
      </c>
      <c r="D4403" t="s">
        <v>4062</v>
      </c>
      <c r="E4403" t="s">
        <v>6166</v>
      </c>
      <c r="F4403" t="s">
        <v>63</v>
      </c>
      <c r="G4403">
        <v>0.02</v>
      </c>
      <c r="H4403" s="2">
        <v>19750</v>
      </c>
      <c r="I4403" s="2">
        <v>395</v>
      </c>
    </row>
    <row r="4404" spans="1:9" x14ac:dyDescent="0.25">
      <c r="A4404" t="s">
        <v>2398</v>
      </c>
      <c r="B4404" t="s">
        <v>2399</v>
      </c>
      <c r="C4404" t="s">
        <v>63</v>
      </c>
      <c r="D4404" t="s">
        <v>4049</v>
      </c>
      <c r="E4404" t="s">
        <v>4241</v>
      </c>
      <c r="F4404" t="s">
        <v>4051</v>
      </c>
      <c r="G4404">
        <v>0.25</v>
      </c>
      <c r="H4404" s="2">
        <v>9941.22</v>
      </c>
      <c r="I4404" s="2">
        <v>2485.3</v>
      </c>
    </row>
    <row r="4405" spans="1:9" x14ac:dyDescent="0.25">
      <c r="A4405" t="s">
        <v>2398</v>
      </c>
      <c r="B4405" t="s">
        <v>2399</v>
      </c>
      <c r="C4405" t="s">
        <v>63</v>
      </c>
      <c r="D4405" t="s">
        <v>4049</v>
      </c>
      <c r="E4405" t="s">
        <v>4242</v>
      </c>
      <c r="F4405" t="s">
        <v>4051</v>
      </c>
      <c r="G4405">
        <v>0.25</v>
      </c>
      <c r="H4405" s="2">
        <v>17069.53</v>
      </c>
      <c r="I4405" s="2">
        <v>4267.38</v>
      </c>
    </row>
    <row r="4406" spans="1:9" x14ac:dyDescent="0.25">
      <c r="A4406" t="s">
        <v>2398</v>
      </c>
      <c r="B4406" t="s">
        <v>2399</v>
      </c>
      <c r="C4406" t="s">
        <v>63</v>
      </c>
      <c r="D4406" t="s">
        <v>4052</v>
      </c>
      <c r="E4406" t="s">
        <v>4053</v>
      </c>
      <c r="F4406" t="s">
        <v>4054</v>
      </c>
      <c r="G4406">
        <v>3.5</v>
      </c>
      <c r="H4406" s="2">
        <v>6752.68</v>
      </c>
      <c r="I4406" s="2">
        <v>236.34</v>
      </c>
    </row>
    <row r="4407" spans="1:9" x14ac:dyDescent="0.25">
      <c r="A4407" t="s">
        <v>2401</v>
      </c>
      <c r="B4407" t="s">
        <v>2402</v>
      </c>
      <c r="C4407" t="s">
        <v>63</v>
      </c>
      <c r="D4407" t="s">
        <v>4062</v>
      </c>
      <c r="E4407" t="s">
        <v>6430</v>
      </c>
      <c r="F4407" t="s">
        <v>63</v>
      </c>
      <c r="G4407">
        <v>1</v>
      </c>
      <c r="H4407" s="2">
        <v>2342551</v>
      </c>
      <c r="I4407" s="2">
        <v>2342551</v>
      </c>
    </row>
    <row r="4408" spans="1:9" x14ac:dyDescent="0.25">
      <c r="A4408" t="s">
        <v>2401</v>
      </c>
      <c r="B4408" t="s">
        <v>2402</v>
      </c>
      <c r="C4408" t="s">
        <v>63</v>
      </c>
      <c r="D4408" t="s">
        <v>4062</v>
      </c>
      <c r="E4408" t="s">
        <v>6166</v>
      </c>
      <c r="F4408" t="s">
        <v>63</v>
      </c>
      <c r="G4408">
        <v>0.02</v>
      </c>
      <c r="H4408" s="2">
        <v>19750</v>
      </c>
      <c r="I4408" s="2">
        <v>395</v>
      </c>
    </row>
    <row r="4409" spans="1:9" x14ac:dyDescent="0.25">
      <c r="A4409" t="s">
        <v>2401</v>
      </c>
      <c r="B4409" t="s">
        <v>2402</v>
      </c>
      <c r="C4409" t="s">
        <v>63</v>
      </c>
      <c r="D4409" t="s">
        <v>4049</v>
      </c>
      <c r="E4409" t="s">
        <v>4241</v>
      </c>
      <c r="F4409" t="s">
        <v>4051</v>
      </c>
      <c r="G4409">
        <v>0.25</v>
      </c>
      <c r="H4409" s="2">
        <v>9941.22</v>
      </c>
      <c r="I4409" s="2">
        <v>2485.3</v>
      </c>
    </row>
    <row r="4410" spans="1:9" x14ac:dyDescent="0.25">
      <c r="A4410" t="s">
        <v>2401</v>
      </c>
      <c r="B4410" t="s">
        <v>2402</v>
      </c>
      <c r="C4410" t="s">
        <v>63</v>
      </c>
      <c r="D4410" t="s">
        <v>4049</v>
      </c>
      <c r="E4410" t="s">
        <v>4242</v>
      </c>
      <c r="F4410" t="s">
        <v>4051</v>
      </c>
      <c r="G4410">
        <v>0.25</v>
      </c>
      <c r="H4410" s="2">
        <v>17069.53</v>
      </c>
      <c r="I4410" s="2">
        <v>4267.38</v>
      </c>
    </row>
    <row r="4411" spans="1:9" x14ac:dyDescent="0.25">
      <c r="A4411" t="s">
        <v>2401</v>
      </c>
      <c r="B4411" t="s">
        <v>2402</v>
      </c>
      <c r="C4411" t="s">
        <v>63</v>
      </c>
      <c r="D4411" t="s">
        <v>4052</v>
      </c>
      <c r="E4411" t="s">
        <v>4053</v>
      </c>
      <c r="F4411" t="s">
        <v>4054</v>
      </c>
      <c r="G4411">
        <v>3.5</v>
      </c>
      <c r="H4411" s="2">
        <v>6752.68</v>
      </c>
      <c r="I4411" s="2">
        <v>236.34</v>
      </c>
    </row>
    <row r="4412" spans="1:9" x14ac:dyDescent="0.25">
      <c r="A4412" t="s">
        <v>2404</v>
      </c>
      <c r="B4412" t="s">
        <v>2405</v>
      </c>
      <c r="C4412" t="s">
        <v>63</v>
      </c>
      <c r="D4412" t="s">
        <v>4062</v>
      </c>
      <c r="E4412" t="s">
        <v>6433</v>
      </c>
      <c r="F4412" t="s">
        <v>63</v>
      </c>
      <c r="G4412">
        <v>1</v>
      </c>
      <c r="H4412" s="2">
        <v>36530</v>
      </c>
      <c r="I4412" s="2">
        <v>36530</v>
      </c>
    </row>
    <row r="4413" spans="1:9" x14ac:dyDescent="0.25">
      <c r="A4413" t="s">
        <v>2404</v>
      </c>
      <c r="B4413" t="s">
        <v>2405</v>
      </c>
      <c r="C4413" t="s">
        <v>63</v>
      </c>
      <c r="D4413" t="s">
        <v>4062</v>
      </c>
      <c r="E4413" t="s">
        <v>6166</v>
      </c>
      <c r="F4413" t="s">
        <v>63</v>
      </c>
      <c r="G4413">
        <v>0.02</v>
      </c>
      <c r="H4413" s="2">
        <v>19750</v>
      </c>
      <c r="I4413" s="2">
        <v>395</v>
      </c>
    </row>
    <row r="4414" spans="1:9" x14ac:dyDescent="0.25">
      <c r="A4414" t="s">
        <v>2404</v>
      </c>
      <c r="B4414" t="s">
        <v>2405</v>
      </c>
      <c r="C4414" t="s">
        <v>63</v>
      </c>
      <c r="D4414" t="s">
        <v>4049</v>
      </c>
      <c r="E4414" t="s">
        <v>4241</v>
      </c>
      <c r="F4414" t="s">
        <v>4051</v>
      </c>
      <c r="G4414">
        <v>0.25</v>
      </c>
      <c r="H4414" s="2">
        <v>9941.22</v>
      </c>
      <c r="I4414" s="2">
        <v>2485.3</v>
      </c>
    </row>
    <row r="4415" spans="1:9" x14ac:dyDescent="0.25">
      <c r="A4415" t="s">
        <v>2404</v>
      </c>
      <c r="B4415" t="s">
        <v>2405</v>
      </c>
      <c r="C4415" t="s">
        <v>63</v>
      </c>
      <c r="D4415" t="s">
        <v>4049</v>
      </c>
      <c r="E4415" t="s">
        <v>4242</v>
      </c>
      <c r="F4415" t="s">
        <v>4051</v>
      </c>
      <c r="G4415">
        <v>0.25</v>
      </c>
      <c r="H4415" s="2">
        <v>17069.53</v>
      </c>
      <c r="I4415" s="2">
        <v>4267.38</v>
      </c>
    </row>
    <row r="4416" spans="1:9" x14ac:dyDescent="0.25">
      <c r="A4416" t="s">
        <v>2404</v>
      </c>
      <c r="B4416" t="s">
        <v>2405</v>
      </c>
      <c r="C4416" t="s">
        <v>63</v>
      </c>
      <c r="D4416" t="s">
        <v>4052</v>
      </c>
      <c r="E4416" t="s">
        <v>4053</v>
      </c>
      <c r="F4416" t="s">
        <v>4054</v>
      </c>
      <c r="G4416">
        <v>3.5</v>
      </c>
      <c r="H4416" s="2">
        <v>6752.68</v>
      </c>
      <c r="I4416" s="2">
        <v>236.34</v>
      </c>
    </row>
    <row r="4417" spans="1:9" x14ac:dyDescent="0.25">
      <c r="A4417" t="s">
        <v>2407</v>
      </c>
      <c r="B4417" t="s">
        <v>2408</v>
      </c>
      <c r="C4417" t="s">
        <v>63</v>
      </c>
      <c r="D4417" t="s">
        <v>4062</v>
      </c>
      <c r="E4417" t="s">
        <v>6436</v>
      </c>
      <c r="F4417" t="s">
        <v>63</v>
      </c>
      <c r="G4417">
        <v>1</v>
      </c>
      <c r="H4417" s="2">
        <v>30975.67</v>
      </c>
      <c r="I4417" s="2">
        <v>30975.67</v>
      </c>
    </row>
    <row r="4418" spans="1:9" x14ac:dyDescent="0.25">
      <c r="A4418" t="s">
        <v>2407</v>
      </c>
      <c r="B4418" t="s">
        <v>2408</v>
      </c>
      <c r="C4418" t="s">
        <v>63</v>
      </c>
      <c r="D4418" t="s">
        <v>4062</v>
      </c>
      <c r="E4418" t="s">
        <v>6166</v>
      </c>
      <c r="F4418" t="s">
        <v>63</v>
      </c>
      <c r="G4418">
        <v>0.02</v>
      </c>
      <c r="H4418" s="2">
        <v>19750</v>
      </c>
      <c r="I4418" s="2">
        <v>395</v>
      </c>
    </row>
    <row r="4419" spans="1:9" x14ac:dyDescent="0.25">
      <c r="A4419" t="s">
        <v>2407</v>
      </c>
      <c r="B4419" t="s">
        <v>2408</v>
      </c>
      <c r="C4419" t="s">
        <v>63</v>
      </c>
      <c r="D4419" t="s">
        <v>4049</v>
      </c>
      <c r="E4419" t="s">
        <v>4241</v>
      </c>
      <c r="F4419" t="s">
        <v>4051</v>
      </c>
      <c r="G4419">
        <v>0.25</v>
      </c>
      <c r="H4419" s="2">
        <v>9941.22</v>
      </c>
      <c r="I4419" s="2">
        <v>2485.3</v>
      </c>
    </row>
    <row r="4420" spans="1:9" x14ac:dyDescent="0.25">
      <c r="A4420" t="s">
        <v>2407</v>
      </c>
      <c r="B4420" t="s">
        <v>2408</v>
      </c>
      <c r="C4420" t="s">
        <v>63</v>
      </c>
      <c r="D4420" t="s">
        <v>4049</v>
      </c>
      <c r="E4420" t="s">
        <v>4242</v>
      </c>
      <c r="F4420" t="s">
        <v>4051</v>
      </c>
      <c r="G4420">
        <v>0.25</v>
      </c>
      <c r="H4420" s="2">
        <v>17069.53</v>
      </c>
      <c r="I4420" s="2">
        <v>4267.38</v>
      </c>
    </row>
    <row r="4421" spans="1:9" x14ac:dyDescent="0.25">
      <c r="A4421" t="s">
        <v>2407</v>
      </c>
      <c r="B4421" t="s">
        <v>2408</v>
      </c>
      <c r="C4421" t="s">
        <v>63</v>
      </c>
      <c r="D4421" t="s">
        <v>4052</v>
      </c>
      <c r="E4421" t="s">
        <v>4053</v>
      </c>
      <c r="F4421" t="s">
        <v>4054</v>
      </c>
      <c r="G4421">
        <v>3.5</v>
      </c>
      <c r="H4421" s="2">
        <v>6752.68</v>
      </c>
      <c r="I4421" s="2">
        <v>236.34</v>
      </c>
    </row>
    <row r="4422" spans="1:9" x14ac:dyDescent="0.25">
      <c r="A4422" t="s">
        <v>2410</v>
      </c>
      <c r="B4422" t="s">
        <v>2411</v>
      </c>
      <c r="C4422" t="s">
        <v>63</v>
      </c>
      <c r="D4422" t="s">
        <v>4062</v>
      </c>
      <c r="E4422" t="s">
        <v>6439</v>
      </c>
      <c r="F4422" t="s">
        <v>63</v>
      </c>
      <c r="G4422">
        <v>1</v>
      </c>
      <c r="H4422" s="2">
        <v>68334.66</v>
      </c>
      <c r="I4422" s="2">
        <v>68334.66</v>
      </c>
    </row>
    <row r="4423" spans="1:9" x14ac:dyDescent="0.25">
      <c r="A4423" t="s">
        <v>2410</v>
      </c>
      <c r="B4423" t="s">
        <v>2411</v>
      </c>
      <c r="C4423" t="s">
        <v>63</v>
      </c>
      <c r="D4423" t="s">
        <v>4062</v>
      </c>
      <c r="E4423" t="s">
        <v>6166</v>
      </c>
      <c r="F4423" t="s">
        <v>63</v>
      </c>
      <c r="G4423">
        <v>0.02</v>
      </c>
      <c r="H4423" s="2">
        <v>19750</v>
      </c>
      <c r="I4423" s="2">
        <v>395</v>
      </c>
    </row>
    <row r="4424" spans="1:9" x14ac:dyDescent="0.25">
      <c r="A4424" t="s">
        <v>2410</v>
      </c>
      <c r="B4424" t="s">
        <v>2411</v>
      </c>
      <c r="C4424" t="s">
        <v>63</v>
      </c>
      <c r="D4424" t="s">
        <v>4049</v>
      </c>
      <c r="E4424" t="s">
        <v>4241</v>
      </c>
      <c r="F4424" t="s">
        <v>4051</v>
      </c>
      <c r="G4424">
        <v>0.25</v>
      </c>
      <c r="H4424" s="2">
        <v>9941.22</v>
      </c>
      <c r="I4424" s="2">
        <v>2485.3</v>
      </c>
    </row>
    <row r="4425" spans="1:9" x14ac:dyDescent="0.25">
      <c r="A4425" t="s">
        <v>2410</v>
      </c>
      <c r="B4425" t="s">
        <v>2411</v>
      </c>
      <c r="C4425" t="s">
        <v>63</v>
      </c>
      <c r="D4425" t="s">
        <v>4049</v>
      </c>
      <c r="E4425" t="s">
        <v>4242</v>
      </c>
      <c r="F4425" t="s">
        <v>4051</v>
      </c>
      <c r="G4425">
        <v>0.25</v>
      </c>
      <c r="H4425" s="2">
        <v>17069.53</v>
      </c>
      <c r="I4425" s="2">
        <v>4267.38</v>
      </c>
    </row>
    <row r="4426" spans="1:9" x14ac:dyDescent="0.25">
      <c r="A4426" t="s">
        <v>2410</v>
      </c>
      <c r="B4426" t="s">
        <v>2411</v>
      </c>
      <c r="C4426" t="s">
        <v>63</v>
      </c>
      <c r="D4426" t="s">
        <v>4052</v>
      </c>
      <c r="E4426" t="s">
        <v>4053</v>
      </c>
      <c r="F4426" t="s">
        <v>4054</v>
      </c>
      <c r="G4426">
        <v>3.5</v>
      </c>
      <c r="H4426" s="2">
        <v>6752.68</v>
      </c>
      <c r="I4426" s="2">
        <v>236.34</v>
      </c>
    </row>
    <row r="4427" spans="1:9" x14ac:dyDescent="0.25">
      <c r="A4427" t="s">
        <v>2413</v>
      </c>
      <c r="B4427" t="s">
        <v>2414</v>
      </c>
      <c r="C4427" t="s">
        <v>63</v>
      </c>
      <c r="D4427" t="s">
        <v>4062</v>
      </c>
      <c r="E4427" t="s">
        <v>6442</v>
      </c>
      <c r="F4427" t="s">
        <v>63</v>
      </c>
      <c r="G4427">
        <v>1</v>
      </c>
      <c r="H4427" s="2">
        <v>127077.5</v>
      </c>
      <c r="I4427" s="2">
        <v>127077.5</v>
      </c>
    </row>
    <row r="4428" spans="1:9" x14ac:dyDescent="0.25">
      <c r="A4428" t="s">
        <v>2413</v>
      </c>
      <c r="B4428" t="s">
        <v>2414</v>
      </c>
      <c r="C4428" t="s">
        <v>63</v>
      </c>
      <c r="D4428" t="s">
        <v>4062</v>
      </c>
      <c r="E4428" t="s">
        <v>4659</v>
      </c>
      <c r="F4428" t="s">
        <v>4377</v>
      </c>
      <c r="G4428">
        <v>0.03</v>
      </c>
      <c r="H4428" s="2">
        <v>31500</v>
      </c>
      <c r="I4428" s="2">
        <v>787.5</v>
      </c>
    </row>
    <row r="4429" spans="1:9" x14ac:dyDescent="0.25">
      <c r="A4429" t="s">
        <v>2413</v>
      </c>
      <c r="B4429" t="s">
        <v>2414</v>
      </c>
      <c r="C4429" t="s">
        <v>63</v>
      </c>
      <c r="D4429" t="s">
        <v>4062</v>
      </c>
      <c r="E4429" t="s">
        <v>4376</v>
      </c>
      <c r="F4429" t="s">
        <v>4377</v>
      </c>
      <c r="G4429">
        <v>0.03</v>
      </c>
      <c r="H4429" s="2">
        <v>72237.67</v>
      </c>
      <c r="I4429" s="2">
        <v>1805.94</v>
      </c>
    </row>
    <row r="4430" spans="1:9" x14ac:dyDescent="0.25">
      <c r="A4430" t="s">
        <v>2413</v>
      </c>
      <c r="B4430" t="s">
        <v>2414</v>
      </c>
      <c r="C4430" t="s">
        <v>63</v>
      </c>
      <c r="D4430" t="s">
        <v>4049</v>
      </c>
      <c r="E4430" t="s">
        <v>4241</v>
      </c>
      <c r="F4430" t="s">
        <v>4051</v>
      </c>
      <c r="G4430">
        <v>0.4</v>
      </c>
      <c r="H4430" s="2">
        <v>9941.22</v>
      </c>
      <c r="I4430" s="2">
        <v>3976.49</v>
      </c>
    </row>
    <row r="4431" spans="1:9" x14ac:dyDescent="0.25">
      <c r="A4431" t="s">
        <v>2413</v>
      </c>
      <c r="B4431" t="s">
        <v>2414</v>
      </c>
      <c r="C4431" t="s">
        <v>63</v>
      </c>
      <c r="D4431" t="s">
        <v>4049</v>
      </c>
      <c r="E4431" t="s">
        <v>4242</v>
      </c>
      <c r="F4431" t="s">
        <v>4051</v>
      </c>
      <c r="G4431">
        <v>0.4</v>
      </c>
      <c r="H4431" s="2">
        <v>17069.53</v>
      </c>
      <c r="I4431" s="2">
        <v>6827.81</v>
      </c>
    </row>
    <row r="4432" spans="1:9" x14ac:dyDescent="0.25">
      <c r="A4432" t="s">
        <v>2413</v>
      </c>
      <c r="B4432" t="s">
        <v>2414</v>
      </c>
      <c r="C4432" t="s">
        <v>63</v>
      </c>
      <c r="D4432" t="s">
        <v>4052</v>
      </c>
      <c r="E4432" t="s">
        <v>4053</v>
      </c>
      <c r="F4432" t="s">
        <v>4054</v>
      </c>
      <c r="G4432">
        <v>3.5</v>
      </c>
      <c r="H4432" s="2">
        <v>10804.3</v>
      </c>
      <c r="I4432" s="2">
        <v>378.15</v>
      </c>
    </row>
    <row r="4433" spans="1:9" x14ac:dyDescent="0.25">
      <c r="A4433" t="s">
        <v>2416</v>
      </c>
      <c r="B4433" t="s">
        <v>2417</v>
      </c>
      <c r="C4433" t="s">
        <v>63</v>
      </c>
      <c r="D4433" t="s">
        <v>4062</v>
      </c>
      <c r="E4433" t="s">
        <v>6445</v>
      </c>
      <c r="F4433" t="s">
        <v>63</v>
      </c>
      <c r="G4433">
        <v>1</v>
      </c>
      <c r="H4433" s="2">
        <v>339260.5</v>
      </c>
      <c r="I4433" s="2">
        <v>339260.5</v>
      </c>
    </row>
    <row r="4434" spans="1:9" x14ac:dyDescent="0.25">
      <c r="A4434" t="s">
        <v>2416</v>
      </c>
      <c r="B4434" t="s">
        <v>2417</v>
      </c>
      <c r="C4434" t="s">
        <v>63</v>
      </c>
      <c r="D4434" t="s">
        <v>4062</v>
      </c>
      <c r="E4434" t="s">
        <v>4659</v>
      </c>
      <c r="F4434" t="s">
        <v>4377</v>
      </c>
      <c r="G4434">
        <v>0.04</v>
      </c>
      <c r="H4434" s="2">
        <v>31500</v>
      </c>
      <c r="I4434" s="2">
        <v>1260</v>
      </c>
    </row>
    <row r="4435" spans="1:9" x14ac:dyDescent="0.25">
      <c r="A4435" t="s">
        <v>2416</v>
      </c>
      <c r="B4435" t="s">
        <v>2417</v>
      </c>
      <c r="C4435" t="s">
        <v>63</v>
      </c>
      <c r="D4435" t="s">
        <v>4062</v>
      </c>
      <c r="E4435" t="s">
        <v>4376</v>
      </c>
      <c r="F4435" t="s">
        <v>4377</v>
      </c>
      <c r="G4435">
        <v>0.04</v>
      </c>
      <c r="H4435" s="2">
        <v>72237.67</v>
      </c>
      <c r="I4435" s="2">
        <v>2889.51</v>
      </c>
    </row>
    <row r="4436" spans="1:9" x14ac:dyDescent="0.25">
      <c r="A4436" t="s">
        <v>2416</v>
      </c>
      <c r="B4436" t="s">
        <v>2417</v>
      </c>
      <c r="C4436" t="s">
        <v>63</v>
      </c>
      <c r="D4436" t="s">
        <v>4049</v>
      </c>
      <c r="E4436" t="s">
        <v>4241</v>
      </c>
      <c r="F4436" t="s">
        <v>4051</v>
      </c>
      <c r="G4436">
        <v>0.4</v>
      </c>
      <c r="H4436" s="2">
        <v>9941.22</v>
      </c>
      <c r="I4436" s="2">
        <v>3976.49</v>
      </c>
    </row>
    <row r="4437" spans="1:9" x14ac:dyDescent="0.25">
      <c r="A4437" t="s">
        <v>2416</v>
      </c>
      <c r="B4437" t="s">
        <v>2417</v>
      </c>
      <c r="C4437" t="s">
        <v>63</v>
      </c>
      <c r="D4437" t="s">
        <v>4049</v>
      </c>
      <c r="E4437" t="s">
        <v>4242</v>
      </c>
      <c r="F4437" t="s">
        <v>4051</v>
      </c>
      <c r="G4437">
        <v>0.4</v>
      </c>
      <c r="H4437" s="2">
        <v>17069.53</v>
      </c>
      <c r="I4437" s="2">
        <v>6827.81</v>
      </c>
    </row>
    <row r="4438" spans="1:9" x14ac:dyDescent="0.25">
      <c r="A4438" t="s">
        <v>2416</v>
      </c>
      <c r="B4438" t="s">
        <v>2417</v>
      </c>
      <c r="C4438" t="s">
        <v>63</v>
      </c>
      <c r="D4438" t="s">
        <v>4052</v>
      </c>
      <c r="E4438" t="s">
        <v>4053</v>
      </c>
      <c r="F4438" t="s">
        <v>4054</v>
      </c>
      <c r="G4438">
        <v>3.5</v>
      </c>
      <c r="H4438" s="2">
        <v>10804.3</v>
      </c>
      <c r="I4438" s="2">
        <v>378.15</v>
      </c>
    </row>
    <row r="4439" spans="1:9" x14ac:dyDescent="0.25">
      <c r="A4439" t="s">
        <v>2419</v>
      </c>
      <c r="B4439" t="s">
        <v>2420</v>
      </c>
      <c r="C4439" t="s">
        <v>63</v>
      </c>
      <c r="D4439" t="s">
        <v>4062</v>
      </c>
      <c r="E4439" t="s">
        <v>6448</v>
      </c>
      <c r="F4439" t="s">
        <v>63</v>
      </c>
      <c r="G4439">
        <v>1.02</v>
      </c>
      <c r="H4439" s="2">
        <v>807578.5</v>
      </c>
      <c r="I4439" s="2">
        <v>823730.07</v>
      </c>
    </row>
    <row r="4440" spans="1:9" x14ac:dyDescent="0.25">
      <c r="A4440" t="s">
        <v>2419</v>
      </c>
      <c r="B4440" t="s">
        <v>2420</v>
      </c>
      <c r="C4440" t="s">
        <v>63</v>
      </c>
      <c r="D4440" t="s">
        <v>4062</v>
      </c>
      <c r="E4440" t="s">
        <v>4659</v>
      </c>
      <c r="F4440" t="s">
        <v>4377</v>
      </c>
      <c r="G4440">
        <v>0.06</v>
      </c>
      <c r="H4440" s="2">
        <v>31500</v>
      </c>
      <c r="I4440" s="2">
        <v>1890</v>
      </c>
    </row>
    <row r="4441" spans="1:9" x14ac:dyDescent="0.25">
      <c r="A4441" t="s">
        <v>2419</v>
      </c>
      <c r="B4441" t="s">
        <v>2420</v>
      </c>
      <c r="C4441" t="s">
        <v>63</v>
      </c>
      <c r="D4441" t="s">
        <v>4062</v>
      </c>
      <c r="E4441" t="s">
        <v>4376</v>
      </c>
      <c r="F4441" t="s">
        <v>4377</v>
      </c>
      <c r="G4441">
        <v>0.06</v>
      </c>
      <c r="H4441" s="2">
        <v>72237.67</v>
      </c>
      <c r="I4441" s="2">
        <v>4334.26</v>
      </c>
    </row>
    <row r="4442" spans="1:9" x14ac:dyDescent="0.25">
      <c r="A4442" t="s">
        <v>2419</v>
      </c>
      <c r="B4442" t="s">
        <v>2420</v>
      </c>
      <c r="C4442" t="s">
        <v>63</v>
      </c>
      <c r="D4442" t="s">
        <v>4049</v>
      </c>
      <c r="E4442" t="s">
        <v>4241</v>
      </c>
      <c r="F4442" t="s">
        <v>4051</v>
      </c>
      <c r="G4442">
        <v>0.4</v>
      </c>
      <c r="H4442" s="2">
        <v>9941.22</v>
      </c>
      <c r="I4442" s="2">
        <v>3976.49</v>
      </c>
    </row>
    <row r="4443" spans="1:9" x14ac:dyDescent="0.25">
      <c r="A4443" t="s">
        <v>2419</v>
      </c>
      <c r="B4443" t="s">
        <v>2420</v>
      </c>
      <c r="C4443" t="s">
        <v>63</v>
      </c>
      <c r="D4443" t="s">
        <v>4049</v>
      </c>
      <c r="E4443" t="s">
        <v>4242</v>
      </c>
      <c r="F4443" t="s">
        <v>4051</v>
      </c>
      <c r="G4443">
        <v>0.4</v>
      </c>
      <c r="H4443" s="2">
        <v>17069.53</v>
      </c>
      <c r="I4443" s="2">
        <v>6827.81</v>
      </c>
    </row>
    <row r="4444" spans="1:9" x14ac:dyDescent="0.25">
      <c r="A4444" t="s">
        <v>2419</v>
      </c>
      <c r="B4444" t="s">
        <v>2420</v>
      </c>
      <c r="C4444" t="s">
        <v>63</v>
      </c>
      <c r="D4444" t="s">
        <v>4052</v>
      </c>
      <c r="E4444" t="s">
        <v>4053</v>
      </c>
      <c r="F4444" t="s">
        <v>4054</v>
      </c>
      <c r="G4444">
        <v>3.5</v>
      </c>
      <c r="H4444" s="2">
        <v>10804.3</v>
      </c>
      <c r="I4444" s="2">
        <v>378.15</v>
      </c>
    </row>
    <row r="4445" spans="1:9" x14ac:dyDescent="0.25">
      <c r="A4445" t="s">
        <v>2422</v>
      </c>
      <c r="B4445" t="s">
        <v>2423</v>
      </c>
      <c r="C4445" t="s">
        <v>63</v>
      </c>
      <c r="D4445" t="s">
        <v>4062</v>
      </c>
      <c r="E4445" t="s">
        <v>6451</v>
      </c>
      <c r="F4445" t="s">
        <v>63</v>
      </c>
      <c r="G4445">
        <v>1</v>
      </c>
      <c r="H4445" s="2">
        <v>121777</v>
      </c>
      <c r="I4445" s="2">
        <v>121777</v>
      </c>
    </row>
    <row r="4446" spans="1:9" x14ac:dyDescent="0.25">
      <c r="A4446" t="s">
        <v>2422</v>
      </c>
      <c r="B4446" t="s">
        <v>2423</v>
      </c>
      <c r="C4446" t="s">
        <v>63</v>
      </c>
      <c r="D4446" t="s">
        <v>4062</v>
      </c>
      <c r="E4446" t="s">
        <v>6166</v>
      </c>
      <c r="F4446" t="s">
        <v>63</v>
      </c>
      <c r="G4446">
        <v>0.03</v>
      </c>
      <c r="H4446" s="2">
        <v>19750</v>
      </c>
      <c r="I4446" s="2">
        <v>592.5</v>
      </c>
    </row>
    <row r="4447" spans="1:9" x14ac:dyDescent="0.25">
      <c r="A4447" t="s">
        <v>2422</v>
      </c>
      <c r="B4447" t="s">
        <v>2423</v>
      </c>
      <c r="C4447" t="s">
        <v>63</v>
      </c>
      <c r="D4447" t="s">
        <v>4049</v>
      </c>
      <c r="E4447" t="s">
        <v>4241</v>
      </c>
      <c r="F4447" t="s">
        <v>4051</v>
      </c>
      <c r="G4447">
        <v>0.15</v>
      </c>
      <c r="H4447" s="2">
        <v>9941.22</v>
      </c>
      <c r="I4447" s="2">
        <v>1491.18</v>
      </c>
    </row>
    <row r="4448" spans="1:9" x14ac:dyDescent="0.25">
      <c r="A4448" t="s">
        <v>2422</v>
      </c>
      <c r="B4448" t="s">
        <v>2423</v>
      </c>
      <c r="C4448" t="s">
        <v>63</v>
      </c>
      <c r="D4448" t="s">
        <v>4049</v>
      </c>
      <c r="E4448" t="s">
        <v>4242</v>
      </c>
      <c r="F4448" t="s">
        <v>4051</v>
      </c>
      <c r="G4448">
        <v>0.15</v>
      </c>
      <c r="H4448" s="2">
        <v>17069.53</v>
      </c>
      <c r="I4448" s="2">
        <v>2560.43</v>
      </c>
    </row>
    <row r="4449" spans="1:9" x14ac:dyDescent="0.25">
      <c r="A4449" t="s">
        <v>2422</v>
      </c>
      <c r="B4449" t="s">
        <v>2423</v>
      </c>
      <c r="C4449" t="s">
        <v>63</v>
      </c>
      <c r="D4449" t="s">
        <v>4052</v>
      </c>
      <c r="E4449" t="s">
        <v>4053</v>
      </c>
      <c r="F4449" t="s">
        <v>4054</v>
      </c>
      <c r="G4449">
        <v>3.5</v>
      </c>
      <c r="H4449" s="2">
        <v>4051.61</v>
      </c>
      <c r="I4449" s="2">
        <v>141.81</v>
      </c>
    </row>
    <row r="4450" spans="1:9" x14ac:dyDescent="0.25">
      <c r="A4450" t="s">
        <v>2425</v>
      </c>
      <c r="B4450" t="s">
        <v>2426</v>
      </c>
      <c r="C4450" t="s">
        <v>63</v>
      </c>
      <c r="D4450" t="s">
        <v>4062</v>
      </c>
      <c r="E4450" t="s">
        <v>6454</v>
      </c>
      <c r="F4450" t="s">
        <v>63</v>
      </c>
      <c r="G4450">
        <v>1</v>
      </c>
      <c r="H4450" s="2">
        <v>207352</v>
      </c>
      <c r="I4450" s="2">
        <v>207352</v>
      </c>
    </row>
    <row r="4451" spans="1:9" x14ac:dyDescent="0.25">
      <c r="A4451" t="s">
        <v>2425</v>
      </c>
      <c r="B4451" t="s">
        <v>2426</v>
      </c>
      <c r="C4451" t="s">
        <v>63</v>
      </c>
      <c r="D4451" t="s">
        <v>4062</v>
      </c>
      <c r="E4451" t="s">
        <v>6166</v>
      </c>
      <c r="F4451" t="s">
        <v>63</v>
      </c>
      <c r="G4451">
        <v>0.02</v>
      </c>
      <c r="H4451" s="2">
        <v>19750</v>
      </c>
      <c r="I4451" s="2">
        <v>395</v>
      </c>
    </row>
    <row r="4452" spans="1:9" x14ac:dyDescent="0.25">
      <c r="A4452" t="s">
        <v>2425</v>
      </c>
      <c r="B4452" t="s">
        <v>2426</v>
      </c>
      <c r="C4452" t="s">
        <v>63</v>
      </c>
      <c r="D4452" t="s">
        <v>4049</v>
      </c>
      <c r="E4452" t="s">
        <v>4241</v>
      </c>
      <c r="F4452" t="s">
        <v>4051</v>
      </c>
      <c r="G4452">
        <v>0.25</v>
      </c>
      <c r="H4452" s="2">
        <v>9941.22</v>
      </c>
      <c r="I4452" s="2">
        <v>2485.3</v>
      </c>
    </row>
    <row r="4453" spans="1:9" x14ac:dyDescent="0.25">
      <c r="A4453" t="s">
        <v>2425</v>
      </c>
      <c r="B4453" t="s">
        <v>2426</v>
      </c>
      <c r="C4453" t="s">
        <v>63</v>
      </c>
      <c r="D4453" t="s">
        <v>4049</v>
      </c>
      <c r="E4453" t="s">
        <v>4242</v>
      </c>
      <c r="F4453" t="s">
        <v>4051</v>
      </c>
      <c r="G4453">
        <v>0.25</v>
      </c>
      <c r="H4453" s="2">
        <v>17069.53</v>
      </c>
      <c r="I4453" s="2">
        <v>4267.38</v>
      </c>
    </row>
    <row r="4454" spans="1:9" x14ac:dyDescent="0.25">
      <c r="A4454" t="s">
        <v>2425</v>
      </c>
      <c r="B4454" t="s">
        <v>2426</v>
      </c>
      <c r="C4454" t="s">
        <v>63</v>
      </c>
      <c r="D4454" t="s">
        <v>4052</v>
      </c>
      <c r="E4454" t="s">
        <v>4053</v>
      </c>
      <c r="F4454" t="s">
        <v>4054</v>
      </c>
      <c r="G4454">
        <v>3.5</v>
      </c>
      <c r="H4454" s="2">
        <v>6752.68</v>
      </c>
      <c r="I4454" s="2">
        <v>236.34</v>
      </c>
    </row>
    <row r="4455" spans="1:9" x14ac:dyDescent="0.25">
      <c r="A4455" t="s">
        <v>2428</v>
      </c>
      <c r="B4455" t="s">
        <v>2429</v>
      </c>
      <c r="C4455" t="s">
        <v>63</v>
      </c>
      <c r="D4455" t="s">
        <v>4062</v>
      </c>
      <c r="E4455" t="s">
        <v>6457</v>
      </c>
      <c r="F4455" t="s">
        <v>63</v>
      </c>
      <c r="G4455">
        <v>1</v>
      </c>
      <c r="H4455" s="2">
        <v>381916.61</v>
      </c>
      <c r="I4455" s="2">
        <v>381916.61</v>
      </c>
    </row>
    <row r="4456" spans="1:9" x14ac:dyDescent="0.25">
      <c r="A4456" t="s">
        <v>2428</v>
      </c>
      <c r="B4456" t="s">
        <v>2429</v>
      </c>
      <c r="C4456" t="s">
        <v>63</v>
      </c>
      <c r="D4456" t="s">
        <v>4062</v>
      </c>
      <c r="E4456" t="s">
        <v>6166</v>
      </c>
      <c r="F4456" t="s">
        <v>63</v>
      </c>
      <c r="G4456">
        <v>0.02</v>
      </c>
      <c r="H4456" s="2">
        <v>19750</v>
      </c>
      <c r="I4456" s="2">
        <v>395</v>
      </c>
    </row>
    <row r="4457" spans="1:9" x14ac:dyDescent="0.25">
      <c r="A4457" t="s">
        <v>2428</v>
      </c>
      <c r="B4457" t="s">
        <v>2429</v>
      </c>
      <c r="C4457" t="s">
        <v>63</v>
      </c>
      <c r="D4457" t="s">
        <v>4049</v>
      </c>
      <c r="E4457" t="s">
        <v>4241</v>
      </c>
      <c r="F4457" t="s">
        <v>4051</v>
      </c>
      <c r="G4457">
        <v>0.25</v>
      </c>
      <c r="H4457" s="2">
        <v>9941.22</v>
      </c>
      <c r="I4457" s="2">
        <v>2485.3</v>
      </c>
    </row>
    <row r="4458" spans="1:9" x14ac:dyDescent="0.25">
      <c r="A4458" t="s">
        <v>2428</v>
      </c>
      <c r="B4458" t="s">
        <v>2429</v>
      </c>
      <c r="C4458" t="s">
        <v>63</v>
      </c>
      <c r="D4458" t="s">
        <v>4049</v>
      </c>
      <c r="E4458" t="s">
        <v>4242</v>
      </c>
      <c r="F4458" t="s">
        <v>4051</v>
      </c>
      <c r="G4458">
        <v>0.25</v>
      </c>
      <c r="H4458" s="2">
        <v>17069.53</v>
      </c>
      <c r="I4458" s="2">
        <v>4267.38</v>
      </c>
    </row>
    <row r="4459" spans="1:9" x14ac:dyDescent="0.25">
      <c r="A4459" t="s">
        <v>2428</v>
      </c>
      <c r="B4459" t="s">
        <v>2429</v>
      </c>
      <c r="C4459" t="s">
        <v>63</v>
      </c>
      <c r="D4459" t="s">
        <v>4052</v>
      </c>
      <c r="E4459" t="s">
        <v>4053</v>
      </c>
      <c r="F4459" t="s">
        <v>4054</v>
      </c>
      <c r="G4459">
        <v>3.5</v>
      </c>
      <c r="H4459" s="2">
        <v>6752.68</v>
      </c>
      <c r="I4459" s="2">
        <v>236.34</v>
      </c>
    </row>
    <row r="4460" spans="1:9" x14ac:dyDescent="0.25">
      <c r="A4460" t="s">
        <v>2431</v>
      </c>
      <c r="B4460" t="s">
        <v>2432</v>
      </c>
      <c r="C4460" t="s">
        <v>63</v>
      </c>
      <c r="D4460" t="s">
        <v>4062</v>
      </c>
      <c r="E4460" t="s">
        <v>6460</v>
      </c>
      <c r="F4460" t="s">
        <v>63</v>
      </c>
      <c r="G4460">
        <v>1</v>
      </c>
      <c r="H4460" s="2">
        <v>744560</v>
      </c>
      <c r="I4460" s="2">
        <v>744560</v>
      </c>
    </row>
    <row r="4461" spans="1:9" x14ac:dyDescent="0.25">
      <c r="A4461" t="s">
        <v>2431</v>
      </c>
      <c r="B4461" t="s">
        <v>2432</v>
      </c>
      <c r="C4461" t="s">
        <v>63</v>
      </c>
      <c r="D4461" t="s">
        <v>4062</v>
      </c>
      <c r="E4461" t="s">
        <v>6166</v>
      </c>
      <c r="F4461" t="s">
        <v>63</v>
      </c>
      <c r="G4461">
        <v>0.02</v>
      </c>
      <c r="H4461" s="2">
        <v>19750</v>
      </c>
      <c r="I4461" s="2">
        <v>395</v>
      </c>
    </row>
    <row r="4462" spans="1:9" x14ac:dyDescent="0.25">
      <c r="A4462" t="s">
        <v>2431</v>
      </c>
      <c r="B4462" t="s">
        <v>2432</v>
      </c>
      <c r="C4462" t="s">
        <v>63</v>
      </c>
      <c r="D4462" t="s">
        <v>4049</v>
      </c>
      <c r="E4462" t="s">
        <v>4241</v>
      </c>
      <c r="F4462" t="s">
        <v>4051</v>
      </c>
      <c r="G4462">
        <v>0.25</v>
      </c>
      <c r="H4462" s="2">
        <v>9941.22</v>
      </c>
      <c r="I4462" s="2">
        <v>2485.3</v>
      </c>
    </row>
    <row r="4463" spans="1:9" x14ac:dyDescent="0.25">
      <c r="A4463" t="s">
        <v>2431</v>
      </c>
      <c r="B4463" t="s">
        <v>2432</v>
      </c>
      <c r="C4463" t="s">
        <v>63</v>
      </c>
      <c r="D4463" t="s">
        <v>4049</v>
      </c>
      <c r="E4463" t="s">
        <v>4242</v>
      </c>
      <c r="F4463" t="s">
        <v>4051</v>
      </c>
      <c r="G4463">
        <v>0.25</v>
      </c>
      <c r="H4463" s="2">
        <v>17069.53</v>
      </c>
      <c r="I4463" s="2">
        <v>4267.38</v>
      </c>
    </row>
    <row r="4464" spans="1:9" x14ac:dyDescent="0.25">
      <c r="A4464" t="s">
        <v>2431</v>
      </c>
      <c r="B4464" t="s">
        <v>2432</v>
      </c>
      <c r="C4464" t="s">
        <v>63</v>
      </c>
      <c r="D4464" t="s">
        <v>4052</v>
      </c>
      <c r="E4464" t="s">
        <v>4053</v>
      </c>
      <c r="F4464" t="s">
        <v>4054</v>
      </c>
      <c r="G4464">
        <v>3.5</v>
      </c>
      <c r="H4464" s="2">
        <v>6752.68</v>
      </c>
      <c r="I4464" s="2">
        <v>236.34</v>
      </c>
    </row>
    <row r="4465" spans="1:9" x14ac:dyDescent="0.25">
      <c r="A4465" t="s">
        <v>2434</v>
      </c>
      <c r="B4465" t="s">
        <v>2435</v>
      </c>
      <c r="C4465" t="s">
        <v>63</v>
      </c>
      <c r="D4465" t="s">
        <v>4062</v>
      </c>
      <c r="E4465" t="s">
        <v>6463</v>
      </c>
      <c r="F4465" t="s">
        <v>63</v>
      </c>
      <c r="G4465">
        <v>1</v>
      </c>
      <c r="H4465" s="2">
        <v>9455.8</v>
      </c>
      <c r="I4465" s="2">
        <v>9455.8</v>
      </c>
    </row>
    <row r="4466" spans="1:9" x14ac:dyDescent="0.25">
      <c r="A4466" t="s">
        <v>2434</v>
      </c>
      <c r="B4466" t="s">
        <v>2435</v>
      </c>
      <c r="C4466" t="s">
        <v>63</v>
      </c>
      <c r="D4466" t="s">
        <v>4049</v>
      </c>
      <c r="E4466" t="s">
        <v>4241</v>
      </c>
      <c r="F4466" t="s">
        <v>4051</v>
      </c>
      <c r="G4466">
        <v>0.17</v>
      </c>
      <c r="H4466" s="2">
        <v>9941.22</v>
      </c>
      <c r="I4466" s="2">
        <v>1657.2</v>
      </c>
    </row>
    <row r="4467" spans="1:9" x14ac:dyDescent="0.25">
      <c r="A4467" t="s">
        <v>2434</v>
      </c>
      <c r="B4467" t="s">
        <v>2435</v>
      </c>
      <c r="C4467" t="s">
        <v>63</v>
      </c>
      <c r="D4467" t="s">
        <v>4049</v>
      </c>
      <c r="E4467" t="s">
        <v>4242</v>
      </c>
      <c r="F4467" t="s">
        <v>4051</v>
      </c>
      <c r="G4467">
        <v>0.17</v>
      </c>
      <c r="H4467" s="2">
        <v>17069.53</v>
      </c>
      <c r="I4467" s="2">
        <v>2845.49</v>
      </c>
    </row>
    <row r="4468" spans="1:9" x14ac:dyDescent="0.25">
      <c r="A4468" t="s">
        <v>2434</v>
      </c>
      <c r="B4468" t="s">
        <v>2435</v>
      </c>
      <c r="C4468" t="s">
        <v>63</v>
      </c>
      <c r="D4468" t="s">
        <v>4052</v>
      </c>
      <c r="E4468" t="s">
        <v>4053</v>
      </c>
      <c r="F4468" t="s">
        <v>4054</v>
      </c>
      <c r="G4468">
        <v>5</v>
      </c>
      <c r="H4468" s="2">
        <v>4502.69</v>
      </c>
      <c r="I4468" s="2">
        <v>225.13</v>
      </c>
    </row>
    <row r="4469" spans="1:9" x14ac:dyDescent="0.25">
      <c r="A4469" t="s">
        <v>2437</v>
      </c>
      <c r="B4469" t="s">
        <v>2438</v>
      </c>
      <c r="C4469" t="s">
        <v>63</v>
      </c>
      <c r="D4469" t="s">
        <v>4062</v>
      </c>
      <c r="E4469" t="s">
        <v>6466</v>
      </c>
      <c r="F4469" t="s">
        <v>63</v>
      </c>
      <c r="G4469">
        <v>1</v>
      </c>
      <c r="H4469" s="2">
        <v>9054.49</v>
      </c>
      <c r="I4469" s="2">
        <v>9054.49</v>
      </c>
    </row>
    <row r="4470" spans="1:9" x14ac:dyDescent="0.25">
      <c r="A4470" t="s">
        <v>2437</v>
      </c>
      <c r="B4470" t="s">
        <v>2438</v>
      </c>
      <c r="C4470" t="s">
        <v>63</v>
      </c>
      <c r="D4470" t="s">
        <v>4049</v>
      </c>
      <c r="E4470" t="s">
        <v>4241</v>
      </c>
      <c r="F4470" t="s">
        <v>4051</v>
      </c>
      <c r="G4470">
        <v>0.17</v>
      </c>
      <c r="H4470" s="2">
        <v>9941.22</v>
      </c>
      <c r="I4470" s="2">
        <v>1657.2</v>
      </c>
    </row>
    <row r="4471" spans="1:9" x14ac:dyDescent="0.25">
      <c r="A4471" t="s">
        <v>2437</v>
      </c>
      <c r="B4471" t="s">
        <v>2438</v>
      </c>
      <c r="C4471" t="s">
        <v>63</v>
      </c>
      <c r="D4471" t="s">
        <v>4049</v>
      </c>
      <c r="E4471" t="s">
        <v>4242</v>
      </c>
      <c r="F4471" t="s">
        <v>4051</v>
      </c>
      <c r="G4471">
        <v>0.17</v>
      </c>
      <c r="H4471" s="2">
        <v>17069.53</v>
      </c>
      <c r="I4471" s="2">
        <v>2845.49</v>
      </c>
    </row>
    <row r="4472" spans="1:9" x14ac:dyDescent="0.25">
      <c r="A4472" t="s">
        <v>2437</v>
      </c>
      <c r="B4472" t="s">
        <v>2438</v>
      </c>
      <c r="C4472" t="s">
        <v>63</v>
      </c>
      <c r="D4472" t="s">
        <v>4052</v>
      </c>
      <c r="E4472" t="s">
        <v>4053</v>
      </c>
      <c r="F4472" t="s">
        <v>4054</v>
      </c>
      <c r="G4472">
        <v>5</v>
      </c>
      <c r="H4472" s="2">
        <v>4502.69</v>
      </c>
      <c r="I4472" s="2">
        <v>225.13</v>
      </c>
    </row>
    <row r="4473" spans="1:9" x14ac:dyDescent="0.25">
      <c r="A4473" t="s">
        <v>2440</v>
      </c>
      <c r="B4473" t="s">
        <v>2441</v>
      </c>
      <c r="C4473" t="s">
        <v>63</v>
      </c>
      <c r="D4473" t="s">
        <v>4062</v>
      </c>
      <c r="E4473" t="s">
        <v>4789</v>
      </c>
      <c r="F4473" t="s">
        <v>63</v>
      </c>
      <c r="G4473">
        <v>1</v>
      </c>
      <c r="H4473" s="2">
        <v>10300</v>
      </c>
      <c r="I4473" s="2">
        <v>10300</v>
      </c>
    </row>
    <row r="4474" spans="1:9" x14ac:dyDescent="0.25">
      <c r="A4474" t="s">
        <v>2440</v>
      </c>
      <c r="B4474" t="s">
        <v>2441</v>
      </c>
      <c r="C4474" t="s">
        <v>63</v>
      </c>
      <c r="D4474" t="s">
        <v>4049</v>
      </c>
      <c r="E4474" t="s">
        <v>4241</v>
      </c>
      <c r="F4474" t="s">
        <v>4051</v>
      </c>
      <c r="G4474">
        <v>0.17</v>
      </c>
      <c r="H4474" s="2">
        <v>9941.22</v>
      </c>
      <c r="I4474" s="2">
        <v>1657.2</v>
      </c>
    </row>
    <row r="4475" spans="1:9" x14ac:dyDescent="0.25">
      <c r="A4475" t="s">
        <v>2440</v>
      </c>
      <c r="B4475" t="s">
        <v>2441</v>
      </c>
      <c r="C4475" t="s">
        <v>63</v>
      </c>
      <c r="D4475" t="s">
        <v>4049</v>
      </c>
      <c r="E4475" t="s">
        <v>4242</v>
      </c>
      <c r="F4475" t="s">
        <v>4051</v>
      </c>
      <c r="G4475">
        <v>0.17</v>
      </c>
      <c r="H4475" s="2">
        <v>17069.53</v>
      </c>
      <c r="I4475" s="2">
        <v>2845.49</v>
      </c>
    </row>
    <row r="4476" spans="1:9" x14ac:dyDescent="0.25">
      <c r="A4476" t="s">
        <v>2440</v>
      </c>
      <c r="B4476" t="s">
        <v>2441</v>
      </c>
      <c r="C4476" t="s">
        <v>63</v>
      </c>
      <c r="D4476" t="s">
        <v>4052</v>
      </c>
      <c r="E4476" t="s">
        <v>4053</v>
      </c>
      <c r="F4476" t="s">
        <v>4054</v>
      </c>
      <c r="G4476">
        <v>5</v>
      </c>
      <c r="H4476" s="2">
        <v>4502.69</v>
      </c>
      <c r="I4476" s="2">
        <v>225.13</v>
      </c>
    </row>
    <row r="4477" spans="1:9" x14ac:dyDescent="0.25">
      <c r="A4477" t="s">
        <v>2443</v>
      </c>
      <c r="B4477" t="s">
        <v>2444</v>
      </c>
      <c r="C4477" t="s">
        <v>63</v>
      </c>
      <c r="D4477" t="s">
        <v>4062</v>
      </c>
      <c r="E4477" t="s">
        <v>4781</v>
      </c>
      <c r="F4477" t="s">
        <v>63</v>
      </c>
      <c r="G4477">
        <v>1</v>
      </c>
      <c r="H4477" s="2">
        <v>7783</v>
      </c>
      <c r="I4477" s="2">
        <v>7783</v>
      </c>
    </row>
    <row r="4478" spans="1:9" x14ac:dyDescent="0.25">
      <c r="A4478" t="s">
        <v>2443</v>
      </c>
      <c r="B4478" t="s">
        <v>2444</v>
      </c>
      <c r="C4478" t="s">
        <v>63</v>
      </c>
      <c r="D4478" t="s">
        <v>4049</v>
      </c>
      <c r="E4478" t="s">
        <v>4241</v>
      </c>
      <c r="F4478" t="s">
        <v>4051</v>
      </c>
      <c r="G4478">
        <v>0.17</v>
      </c>
      <c r="H4478" s="2">
        <v>9941.22</v>
      </c>
      <c r="I4478" s="2">
        <v>1657.2</v>
      </c>
    </row>
    <row r="4479" spans="1:9" x14ac:dyDescent="0.25">
      <c r="A4479" t="s">
        <v>2443</v>
      </c>
      <c r="B4479" t="s">
        <v>2444</v>
      </c>
      <c r="C4479" t="s">
        <v>63</v>
      </c>
      <c r="D4479" t="s">
        <v>4049</v>
      </c>
      <c r="E4479" t="s">
        <v>4242</v>
      </c>
      <c r="F4479" t="s">
        <v>4051</v>
      </c>
      <c r="G4479">
        <v>0.17</v>
      </c>
      <c r="H4479" s="2">
        <v>17069.53</v>
      </c>
      <c r="I4479" s="2">
        <v>2845.49</v>
      </c>
    </row>
    <row r="4480" spans="1:9" x14ac:dyDescent="0.25">
      <c r="A4480" t="s">
        <v>2443</v>
      </c>
      <c r="B4480" t="s">
        <v>2444</v>
      </c>
      <c r="C4480" t="s">
        <v>63</v>
      </c>
      <c r="D4480" t="s">
        <v>4052</v>
      </c>
      <c r="E4480" t="s">
        <v>4053</v>
      </c>
      <c r="F4480" t="s">
        <v>4054</v>
      </c>
      <c r="G4480">
        <v>5</v>
      </c>
      <c r="H4480" s="2">
        <v>4502.69</v>
      </c>
      <c r="I4480" s="2">
        <v>225.13</v>
      </c>
    </row>
    <row r="4481" spans="1:9" x14ac:dyDescent="0.25">
      <c r="A4481" t="s">
        <v>2446</v>
      </c>
      <c r="B4481" t="s">
        <v>2447</v>
      </c>
      <c r="C4481" t="s">
        <v>63</v>
      </c>
      <c r="D4481" t="s">
        <v>4062</v>
      </c>
      <c r="E4481" t="s">
        <v>4799</v>
      </c>
      <c r="F4481" t="s">
        <v>63</v>
      </c>
      <c r="G4481">
        <v>1</v>
      </c>
      <c r="H4481" s="2">
        <v>13414.67</v>
      </c>
      <c r="I4481" s="2">
        <v>13414.67</v>
      </c>
    </row>
    <row r="4482" spans="1:9" x14ac:dyDescent="0.25">
      <c r="A4482" t="s">
        <v>2446</v>
      </c>
      <c r="B4482" t="s">
        <v>2447</v>
      </c>
      <c r="C4482" t="s">
        <v>63</v>
      </c>
      <c r="D4482" t="s">
        <v>4049</v>
      </c>
      <c r="E4482" t="s">
        <v>4241</v>
      </c>
      <c r="F4482" t="s">
        <v>4051</v>
      </c>
      <c r="G4482">
        <v>0.17</v>
      </c>
      <c r="H4482" s="2">
        <v>9941.22</v>
      </c>
      <c r="I4482" s="2">
        <v>1657.2</v>
      </c>
    </row>
    <row r="4483" spans="1:9" x14ac:dyDescent="0.25">
      <c r="A4483" t="s">
        <v>2446</v>
      </c>
      <c r="B4483" t="s">
        <v>2447</v>
      </c>
      <c r="C4483" t="s">
        <v>63</v>
      </c>
      <c r="D4483" t="s">
        <v>4049</v>
      </c>
      <c r="E4483" t="s">
        <v>4242</v>
      </c>
      <c r="F4483" t="s">
        <v>4051</v>
      </c>
      <c r="G4483">
        <v>0.17</v>
      </c>
      <c r="H4483" s="2">
        <v>17069.53</v>
      </c>
      <c r="I4483" s="2">
        <v>2845.49</v>
      </c>
    </row>
    <row r="4484" spans="1:9" x14ac:dyDescent="0.25">
      <c r="A4484" t="s">
        <v>2446</v>
      </c>
      <c r="B4484" t="s">
        <v>2447</v>
      </c>
      <c r="C4484" t="s">
        <v>63</v>
      </c>
      <c r="D4484" t="s">
        <v>4052</v>
      </c>
      <c r="E4484" t="s">
        <v>4053</v>
      </c>
      <c r="F4484" t="s">
        <v>4054</v>
      </c>
      <c r="G4484">
        <v>5</v>
      </c>
      <c r="H4484" s="2">
        <v>4502.69</v>
      </c>
      <c r="I4484" s="2">
        <v>225.13</v>
      </c>
    </row>
    <row r="4485" spans="1:9" x14ac:dyDescent="0.25">
      <c r="A4485" t="s">
        <v>2449</v>
      </c>
      <c r="B4485" t="s">
        <v>2450</v>
      </c>
      <c r="C4485" t="s">
        <v>63</v>
      </c>
      <c r="D4485" t="s">
        <v>4062</v>
      </c>
      <c r="E4485" t="s">
        <v>4796</v>
      </c>
      <c r="F4485" t="s">
        <v>63</v>
      </c>
      <c r="G4485">
        <v>1</v>
      </c>
      <c r="H4485" s="2">
        <v>16666.66</v>
      </c>
      <c r="I4485" s="2">
        <v>16666.66</v>
      </c>
    </row>
    <row r="4486" spans="1:9" x14ac:dyDescent="0.25">
      <c r="A4486" t="s">
        <v>2449</v>
      </c>
      <c r="B4486" t="s">
        <v>2450</v>
      </c>
      <c r="C4486" t="s">
        <v>63</v>
      </c>
      <c r="D4486" t="s">
        <v>4049</v>
      </c>
      <c r="E4486" t="s">
        <v>4241</v>
      </c>
      <c r="F4486" t="s">
        <v>4051</v>
      </c>
      <c r="G4486">
        <v>0.17</v>
      </c>
      <c r="H4486" s="2">
        <v>9941.22</v>
      </c>
      <c r="I4486" s="2">
        <v>1657.2</v>
      </c>
    </row>
    <row r="4487" spans="1:9" x14ac:dyDescent="0.25">
      <c r="A4487" t="s">
        <v>2449</v>
      </c>
      <c r="B4487" t="s">
        <v>2450</v>
      </c>
      <c r="C4487" t="s">
        <v>63</v>
      </c>
      <c r="D4487" t="s">
        <v>4049</v>
      </c>
      <c r="E4487" t="s">
        <v>4242</v>
      </c>
      <c r="F4487" t="s">
        <v>4051</v>
      </c>
      <c r="G4487">
        <v>0.17</v>
      </c>
      <c r="H4487" s="2">
        <v>17069.53</v>
      </c>
      <c r="I4487" s="2">
        <v>2845.49</v>
      </c>
    </row>
    <row r="4488" spans="1:9" x14ac:dyDescent="0.25">
      <c r="A4488" t="s">
        <v>2449</v>
      </c>
      <c r="B4488" t="s">
        <v>2450</v>
      </c>
      <c r="C4488" t="s">
        <v>63</v>
      </c>
      <c r="D4488" t="s">
        <v>4052</v>
      </c>
      <c r="E4488" t="s">
        <v>4053</v>
      </c>
      <c r="F4488" t="s">
        <v>4054</v>
      </c>
      <c r="G4488">
        <v>5</v>
      </c>
      <c r="H4488" s="2">
        <v>4502.69</v>
      </c>
      <c r="I4488" s="2">
        <v>225.13</v>
      </c>
    </row>
    <row r="4489" spans="1:9" x14ac:dyDescent="0.25">
      <c r="A4489" t="s">
        <v>2452</v>
      </c>
      <c r="B4489" t="s">
        <v>2453</v>
      </c>
      <c r="C4489" t="s">
        <v>63</v>
      </c>
      <c r="D4489" t="s">
        <v>4062</v>
      </c>
      <c r="E4489" t="s">
        <v>6477</v>
      </c>
      <c r="F4489" t="s">
        <v>63</v>
      </c>
      <c r="G4489">
        <v>1</v>
      </c>
      <c r="H4489" s="2">
        <v>16925</v>
      </c>
      <c r="I4489" s="2">
        <v>16925</v>
      </c>
    </row>
    <row r="4490" spans="1:9" x14ac:dyDescent="0.25">
      <c r="A4490" t="s">
        <v>2452</v>
      </c>
      <c r="B4490" t="s">
        <v>2453</v>
      </c>
      <c r="C4490" t="s">
        <v>63</v>
      </c>
      <c r="D4490" t="s">
        <v>4049</v>
      </c>
      <c r="E4490" t="s">
        <v>4241</v>
      </c>
      <c r="F4490" t="s">
        <v>4051</v>
      </c>
      <c r="G4490">
        <v>0.17</v>
      </c>
      <c r="H4490" s="2">
        <v>9941.22</v>
      </c>
      <c r="I4490" s="2">
        <v>1657.2</v>
      </c>
    </row>
    <row r="4491" spans="1:9" x14ac:dyDescent="0.25">
      <c r="A4491" t="s">
        <v>2452</v>
      </c>
      <c r="B4491" t="s">
        <v>2453</v>
      </c>
      <c r="C4491" t="s">
        <v>63</v>
      </c>
      <c r="D4491" t="s">
        <v>4049</v>
      </c>
      <c r="E4491" t="s">
        <v>4242</v>
      </c>
      <c r="F4491" t="s">
        <v>4051</v>
      </c>
      <c r="G4491">
        <v>0.17</v>
      </c>
      <c r="H4491" s="2">
        <v>17069.53</v>
      </c>
      <c r="I4491" s="2">
        <v>2845.49</v>
      </c>
    </row>
    <row r="4492" spans="1:9" x14ac:dyDescent="0.25">
      <c r="A4492" t="s">
        <v>2452</v>
      </c>
      <c r="B4492" t="s">
        <v>2453</v>
      </c>
      <c r="C4492" t="s">
        <v>63</v>
      </c>
      <c r="D4492" t="s">
        <v>4052</v>
      </c>
      <c r="E4492" t="s">
        <v>4053</v>
      </c>
      <c r="F4492" t="s">
        <v>4054</v>
      </c>
      <c r="G4492">
        <v>5</v>
      </c>
      <c r="H4492" s="2">
        <v>4502.69</v>
      </c>
      <c r="I4492" s="2">
        <v>225.13</v>
      </c>
    </row>
    <row r="4493" spans="1:9" x14ac:dyDescent="0.25">
      <c r="A4493" t="s">
        <v>2455</v>
      </c>
      <c r="B4493" t="s">
        <v>2456</v>
      </c>
      <c r="C4493" t="s">
        <v>63</v>
      </c>
      <c r="D4493" t="s">
        <v>4062</v>
      </c>
      <c r="E4493" t="s">
        <v>6480</v>
      </c>
      <c r="F4493" t="s">
        <v>63</v>
      </c>
      <c r="G4493">
        <v>1</v>
      </c>
      <c r="H4493" s="2">
        <v>17250</v>
      </c>
      <c r="I4493" s="2">
        <v>17250</v>
      </c>
    </row>
    <row r="4494" spans="1:9" x14ac:dyDescent="0.25">
      <c r="A4494" t="s">
        <v>2455</v>
      </c>
      <c r="B4494" t="s">
        <v>2456</v>
      </c>
      <c r="C4494" t="s">
        <v>63</v>
      </c>
      <c r="D4494" t="s">
        <v>4049</v>
      </c>
      <c r="E4494" t="s">
        <v>4241</v>
      </c>
      <c r="F4494" t="s">
        <v>4051</v>
      </c>
      <c r="G4494">
        <v>0.17</v>
      </c>
      <c r="H4494" s="2">
        <v>9941.22</v>
      </c>
      <c r="I4494" s="2">
        <v>1657.2</v>
      </c>
    </row>
    <row r="4495" spans="1:9" x14ac:dyDescent="0.25">
      <c r="A4495" t="s">
        <v>2455</v>
      </c>
      <c r="B4495" t="s">
        <v>2456</v>
      </c>
      <c r="C4495" t="s">
        <v>63</v>
      </c>
      <c r="D4495" t="s">
        <v>4049</v>
      </c>
      <c r="E4495" t="s">
        <v>4242</v>
      </c>
      <c r="F4495" t="s">
        <v>4051</v>
      </c>
      <c r="G4495">
        <v>0.17</v>
      </c>
      <c r="H4495" s="2">
        <v>17069.53</v>
      </c>
      <c r="I4495" s="2">
        <v>2845.49</v>
      </c>
    </row>
    <row r="4496" spans="1:9" x14ac:dyDescent="0.25">
      <c r="A4496" t="s">
        <v>2455</v>
      </c>
      <c r="B4496" t="s">
        <v>2456</v>
      </c>
      <c r="C4496" t="s">
        <v>63</v>
      </c>
      <c r="D4496" t="s">
        <v>4052</v>
      </c>
      <c r="E4496" t="s">
        <v>4053</v>
      </c>
      <c r="F4496" t="s">
        <v>4054</v>
      </c>
      <c r="G4496">
        <v>5</v>
      </c>
      <c r="H4496" s="2">
        <v>4502.69</v>
      </c>
      <c r="I4496" s="2">
        <v>225.13</v>
      </c>
    </row>
    <row r="4497" spans="1:9" x14ac:dyDescent="0.25">
      <c r="A4497" t="s">
        <v>2458</v>
      </c>
      <c r="B4497" t="s">
        <v>2459</v>
      </c>
      <c r="C4497" t="s">
        <v>63</v>
      </c>
      <c r="D4497" t="s">
        <v>4062</v>
      </c>
      <c r="E4497" t="s">
        <v>6483</v>
      </c>
      <c r="F4497" t="s">
        <v>63</v>
      </c>
      <c r="G4497">
        <v>1</v>
      </c>
      <c r="H4497" s="2">
        <v>21725</v>
      </c>
      <c r="I4497" s="2">
        <v>21725</v>
      </c>
    </row>
    <row r="4498" spans="1:9" x14ac:dyDescent="0.25">
      <c r="A4498" t="s">
        <v>2458</v>
      </c>
      <c r="B4498" t="s">
        <v>2459</v>
      </c>
      <c r="C4498" t="s">
        <v>63</v>
      </c>
      <c r="D4498" t="s">
        <v>4049</v>
      </c>
      <c r="E4498" t="s">
        <v>4241</v>
      </c>
      <c r="F4498" t="s">
        <v>4051</v>
      </c>
      <c r="G4498">
        <v>0.17</v>
      </c>
      <c r="H4498" s="2">
        <v>9941.22</v>
      </c>
      <c r="I4498" s="2">
        <v>1657.2</v>
      </c>
    </row>
    <row r="4499" spans="1:9" x14ac:dyDescent="0.25">
      <c r="A4499" t="s">
        <v>2458</v>
      </c>
      <c r="B4499" t="s">
        <v>2459</v>
      </c>
      <c r="C4499" t="s">
        <v>63</v>
      </c>
      <c r="D4499" t="s">
        <v>4049</v>
      </c>
      <c r="E4499" t="s">
        <v>4242</v>
      </c>
      <c r="F4499" t="s">
        <v>4051</v>
      </c>
      <c r="G4499">
        <v>0.17</v>
      </c>
      <c r="H4499" s="2">
        <v>17069.53</v>
      </c>
      <c r="I4499" s="2">
        <v>2845.49</v>
      </c>
    </row>
    <row r="4500" spans="1:9" x14ac:dyDescent="0.25">
      <c r="A4500" t="s">
        <v>2458</v>
      </c>
      <c r="B4500" t="s">
        <v>2459</v>
      </c>
      <c r="C4500" t="s">
        <v>63</v>
      </c>
      <c r="D4500" t="s">
        <v>4052</v>
      </c>
      <c r="E4500" t="s">
        <v>4053</v>
      </c>
      <c r="F4500" t="s">
        <v>4054</v>
      </c>
      <c r="G4500">
        <v>5</v>
      </c>
      <c r="H4500" s="2">
        <v>4502.69</v>
      </c>
      <c r="I4500" s="2">
        <v>225.13</v>
      </c>
    </row>
    <row r="4501" spans="1:9" x14ac:dyDescent="0.25">
      <c r="A4501" t="s">
        <v>2461</v>
      </c>
      <c r="B4501" t="s">
        <v>2462</v>
      </c>
      <c r="C4501" t="s">
        <v>63</v>
      </c>
      <c r="D4501" t="s">
        <v>4062</v>
      </c>
      <c r="E4501" t="s">
        <v>6486</v>
      </c>
      <c r="F4501" t="s">
        <v>63</v>
      </c>
      <c r="G4501">
        <v>1</v>
      </c>
      <c r="H4501" s="2">
        <v>20013</v>
      </c>
      <c r="I4501" s="2">
        <v>20013</v>
      </c>
    </row>
    <row r="4502" spans="1:9" x14ac:dyDescent="0.25">
      <c r="A4502" t="s">
        <v>2461</v>
      </c>
      <c r="B4502" t="s">
        <v>2462</v>
      </c>
      <c r="C4502" t="s">
        <v>63</v>
      </c>
      <c r="D4502" t="s">
        <v>4049</v>
      </c>
      <c r="E4502" t="s">
        <v>4241</v>
      </c>
      <c r="F4502" t="s">
        <v>4051</v>
      </c>
      <c r="G4502">
        <v>0.17</v>
      </c>
      <c r="H4502" s="2">
        <v>9941.22</v>
      </c>
      <c r="I4502" s="2">
        <v>1657.2</v>
      </c>
    </row>
    <row r="4503" spans="1:9" x14ac:dyDescent="0.25">
      <c r="A4503" t="s">
        <v>2461</v>
      </c>
      <c r="B4503" t="s">
        <v>2462</v>
      </c>
      <c r="C4503" t="s">
        <v>63</v>
      </c>
      <c r="D4503" t="s">
        <v>4049</v>
      </c>
      <c r="E4503" t="s">
        <v>4242</v>
      </c>
      <c r="F4503" t="s">
        <v>4051</v>
      </c>
      <c r="G4503">
        <v>0.17</v>
      </c>
      <c r="H4503" s="2">
        <v>17069.53</v>
      </c>
      <c r="I4503" s="2">
        <v>2845.49</v>
      </c>
    </row>
    <row r="4504" spans="1:9" x14ac:dyDescent="0.25">
      <c r="A4504" t="s">
        <v>2461</v>
      </c>
      <c r="B4504" t="s">
        <v>2462</v>
      </c>
      <c r="C4504" t="s">
        <v>63</v>
      </c>
      <c r="D4504" t="s">
        <v>4052</v>
      </c>
      <c r="E4504" t="s">
        <v>4053</v>
      </c>
      <c r="F4504" t="s">
        <v>4054</v>
      </c>
      <c r="G4504">
        <v>5</v>
      </c>
      <c r="H4504" s="2">
        <v>4502.69</v>
      </c>
      <c r="I4504" s="2">
        <v>225.13</v>
      </c>
    </row>
    <row r="4505" spans="1:9" x14ac:dyDescent="0.25">
      <c r="A4505" t="s">
        <v>2464</v>
      </c>
      <c r="B4505" t="s">
        <v>2465</v>
      </c>
      <c r="C4505" t="s">
        <v>63</v>
      </c>
      <c r="D4505" t="s">
        <v>4062</v>
      </c>
      <c r="E4505" t="s">
        <v>6489</v>
      </c>
      <c r="F4505" t="s">
        <v>63</v>
      </c>
      <c r="G4505">
        <v>1</v>
      </c>
      <c r="H4505" s="2">
        <v>52382</v>
      </c>
      <c r="I4505" s="2">
        <v>52382</v>
      </c>
    </row>
    <row r="4506" spans="1:9" x14ac:dyDescent="0.25">
      <c r="A4506" t="s">
        <v>2464</v>
      </c>
      <c r="B4506" t="s">
        <v>2465</v>
      </c>
      <c r="C4506" t="s">
        <v>63</v>
      </c>
      <c r="D4506" t="s">
        <v>4049</v>
      </c>
      <c r="E4506" t="s">
        <v>4241</v>
      </c>
      <c r="F4506" t="s">
        <v>4051</v>
      </c>
      <c r="G4506">
        <v>0.17</v>
      </c>
      <c r="H4506" s="2">
        <v>9941.22</v>
      </c>
      <c r="I4506" s="2">
        <v>1657.2</v>
      </c>
    </row>
    <row r="4507" spans="1:9" x14ac:dyDescent="0.25">
      <c r="A4507" t="s">
        <v>2464</v>
      </c>
      <c r="B4507" t="s">
        <v>2465</v>
      </c>
      <c r="C4507" t="s">
        <v>63</v>
      </c>
      <c r="D4507" t="s">
        <v>4049</v>
      </c>
      <c r="E4507" t="s">
        <v>4242</v>
      </c>
      <c r="F4507" t="s">
        <v>4051</v>
      </c>
      <c r="G4507">
        <v>0.17</v>
      </c>
      <c r="H4507" s="2">
        <v>17069.53</v>
      </c>
      <c r="I4507" s="2">
        <v>2845.49</v>
      </c>
    </row>
    <row r="4508" spans="1:9" x14ac:dyDescent="0.25">
      <c r="A4508" t="s">
        <v>2464</v>
      </c>
      <c r="B4508" t="s">
        <v>2465</v>
      </c>
      <c r="C4508" t="s">
        <v>63</v>
      </c>
      <c r="D4508" t="s">
        <v>4052</v>
      </c>
      <c r="E4508" t="s">
        <v>4053</v>
      </c>
      <c r="F4508" t="s">
        <v>4054</v>
      </c>
      <c r="G4508">
        <v>5</v>
      </c>
      <c r="H4508" s="2">
        <v>4502.69</v>
      </c>
      <c r="I4508" s="2">
        <v>225.13</v>
      </c>
    </row>
    <row r="4509" spans="1:9" x14ac:dyDescent="0.25">
      <c r="A4509" t="s">
        <v>2467</v>
      </c>
      <c r="B4509" t="s">
        <v>2468</v>
      </c>
      <c r="C4509" t="s">
        <v>63</v>
      </c>
      <c r="D4509" t="s">
        <v>4062</v>
      </c>
      <c r="E4509" t="s">
        <v>6492</v>
      </c>
      <c r="F4509" t="s">
        <v>63</v>
      </c>
      <c r="G4509">
        <v>1</v>
      </c>
      <c r="H4509" s="2">
        <v>11892</v>
      </c>
      <c r="I4509" s="2">
        <v>11892</v>
      </c>
    </row>
    <row r="4510" spans="1:9" x14ac:dyDescent="0.25">
      <c r="A4510" t="s">
        <v>2467</v>
      </c>
      <c r="B4510" t="s">
        <v>2468</v>
      </c>
      <c r="C4510" t="s">
        <v>63</v>
      </c>
      <c r="D4510" t="s">
        <v>4062</v>
      </c>
      <c r="E4510" t="s">
        <v>6493</v>
      </c>
      <c r="F4510" t="s">
        <v>42</v>
      </c>
      <c r="G4510">
        <v>3</v>
      </c>
      <c r="H4510" s="2">
        <v>2293</v>
      </c>
      <c r="I4510" s="2">
        <v>6879</v>
      </c>
    </row>
    <row r="4511" spans="1:9" x14ac:dyDescent="0.25">
      <c r="A4511" t="s">
        <v>2467</v>
      </c>
      <c r="B4511" t="s">
        <v>2468</v>
      </c>
      <c r="C4511" t="s">
        <v>63</v>
      </c>
      <c r="D4511" t="s">
        <v>4062</v>
      </c>
      <c r="E4511" t="s">
        <v>6494</v>
      </c>
      <c r="F4511" t="s">
        <v>63</v>
      </c>
      <c r="G4511">
        <v>1</v>
      </c>
      <c r="H4511" s="2">
        <v>1783.33</v>
      </c>
      <c r="I4511" s="2">
        <v>1783.33</v>
      </c>
    </row>
    <row r="4512" spans="1:9" x14ac:dyDescent="0.25">
      <c r="A4512" t="s">
        <v>2467</v>
      </c>
      <c r="B4512" t="s">
        <v>2468</v>
      </c>
      <c r="C4512" t="s">
        <v>63</v>
      </c>
      <c r="D4512" t="s">
        <v>4062</v>
      </c>
      <c r="E4512" t="s">
        <v>6495</v>
      </c>
      <c r="F4512" t="s">
        <v>63</v>
      </c>
      <c r="G4512">
        <v>1</v>
      </c>
      <c r="H4512" s="2">
        <v>13981</v>
      </c>
      <c r="I4512" s="2">
        <v>13981</v>
      </c>
    </row>
    <row r="4513" spans="1:9" x14ac:dyDescent="0.25">
      <c r="A4513" t="s">
        <v>2467</v>
      </c>
      <c r="B4513" t="s">
        <v>2468</v>
      </c>
      <c r="C4513" t="s">
        <v>63</v>
      </c>
      <c r="D4513" t="s">
        <v>4062</v>
      </c>
      <c r="E4513" t="s">
        <v>6496</v>
      </c>
      <c r="F4513" t="s">
        <v>63</v>
      </c>
      <c r="G4513">
        <v>1</v>
      </c>
      <c r="H4513" s="2">
        <v>181423</v>
      </c>
      <c r="I4513" s="2">
        <v>181423</v>
      </c>
    </row>
    <row r="4514" spans="1:9" x14ac:dyDescent="0.25">
      <c r="A4514" t="s">
        <v>2467</v>
      </c>
      <c r="B4514" t="s">
        <v>2468</v>
      </c>
      <c r="C4514" t="s">
        <v>63</v>
      </c>
      <c r="D4514" t="s">
        <v>4062</v>
      </c>
      <c r="E4514" t="s">
        <v>3221</v>
      </c>
      <c r="F4514" t="s">
        <v>34</v>
      </c>
      <c r="G4514">
        <v>0.03</v>
      </c>
      <c r="H4514" s="2">
        <v>541179.04</v>
      </c>
      <c r="I4514" s="2">
        <v>13529.48</v>
      </c>
    </row>
    <row r="4515" spans="1:9" x14ac:dyDescent="0.25">
      <c r="A4515" t="s">
        <v>2467</v>
      </c>
      <c r="B4515" t="s">
        <v>2468</v>
      </c>
      <c r="C4515" t="s">
        <v>63</v>
      </c>
      <c r="D4515" t="s">
        <v>4062</v>
      </c>
      <c r="E4515" t="s">
        <v>6497</v>
      </c>
      <c r="F4515" t="s">
        <v>63</v>
      </c>
      <c r="G4515">
        <v>2</v>
      </c>
      <c r="H4515" s="2">
        <v>23500</v>
      </c>
      <c r="I4515" s="2">
        <v>47000</v>
      </c>
    </row>
    <row r="4516" spans="1:9" x14ac:dyDescent="0.25">
      <c r="A4516" t="s">
        <v>2467</v>
      </c>
      <c r="B4516" t="s">
        <v>2468</v>
      </c>
      <c r="C4516" t="s">
        <v>63</v>
      </c>
      <c r="D4516" t="s">
        <v>4049</v>
      </c>
      <c r="E4516" t="s">
        <v>4176</v>
      </c>
      <c r="F4516" t="s">
        <v>4177</v>
      </c>
      <c r="G4516">
        <v>0.17</v>
      </c>
      <c r="H4516" s="2">
        <v>72300.17</v>
      </c>
      <c r="I4516" s="2">
        <v>12291.03</v>
      </c>
    </row>
    <row r="4517" spans="1:9" x14ac:dyDescent="0.25">
      <c r="A4517" t="s">
        <v>2467</v>
      </c>
      <c r="B4517" t="s">
        <v>2468</v>
      </c>
      <c r="C4517" t="s">
        <v>63</v>
      </c>
      <c r="D4517" t="s">
        <v>4049</v>
      </c>
      <c r="E4517" t="s">
        <v>4313</v>
      </c>
      <c r="F4517" t="s">
        <v>4177</v>
      </c>
      <c r="G4517">
        <v>0.15</v>
      </c>
      <c r="H4517" s="2">
        <v>124137.15</v>
      </c>
      <c r="I4517" s="2">
        <v>18620.57</v>
      </c>
    </row>
    <row r="4518" spans="1:9" x14ac:dyDescent="0.25">
      <c r="A4518" t="s">
        <v>2467</v>
      </c>
      <c r="B4518" t="s">
        <v>2468</v>
      </c>
      <c r="C4518" t="s">
        <v>63</v>
      </c>
      <c r="D4518" t="s">
        <v>4052</v>
      </c>
      <c r="E4518" t="s">
        <v>4053</v>
      </c>
      <c r="F4518" t="s">
        <v>4054</v>
      </c>
      <c r="G4518">
        <v>7</v>
      </c>
      <c r="H4518" s="2">
        <v>30911.6</v>
      </c>
      <c r="I4518" s="2">
        <v>2163.81</v>
      </c>
    </row>
    <row r="4519" spans="1:9" x14ac:dyDescent="0.25">
      <c r="A4519" t="s">
        <v>2470</v>
      </c>
      <c r="B4519" t="s">
        <v>2471</v>
      </c>
      <c r="C4519" t="s">
        <v>34</v>
      </c>
      <c r="D4519" t="s">
        <v>4062</v>
      </c>
      <c r="E4519" t="s">
        <v>6500</v>
      </c>
      <c r="F4519" t="s">
        <v>34</v>
      </c>
      <c r="G4519">
        <v>1.05</v>
      </c>
      <c r="H4519" s="2">
        <v>513852.81</v>
      </c>
      <c r="I4519" s="2">
        <v>539545.45</v>
      </c>
    </row>
    <row r="4520" spans="1:9" x14ac:dyDescent="0.25">
      <c r="A4520" t="s">
        <v>2470</v>
      </c>
      <c r="B4520" t="s">
        <v>2471</v>
      </c>
      <c r="C4520" t="s">
        <v>34</v>
      </c>
      <c r="D4520" t="s">
        <v>4049</v>
      </c>
      <c r="E4520" t="s">
        <v>4176</v>
      </c>
      <c r="F4520" t="s">
        <v>4177</v>
      </c>
      <c r="G4520">
        <v>0.3</v>
      </c>
      <c r="H4520" s="2">
        <v>72300.17</v>
      </c>
      <c r="I4520" s="2">
        <v>21690.05</v>
      </c>
    </row>
    <row r="4521" spans="1:9" x14ac:dyDescent="0.25">
      <c r="A4521" t="s">
        <v>2470</v>
      </c>
      <c r="B4521" t="s">
        <v>2471</v>
      </c>
      <c r="C4521" t="s">
        <v>34</v>
      </c>
      <c r="D4521" t="s">
        <v>4049</v>
      </c>
      <c r="E4521" t="s">
        <v>4313</v>
      </c>
      <c r="F4521" t="s">
        <v>4177</v>
      </c>
      <c r="G4521">
        <v>0.1</v>
      </c>
      <c r="H4521" s="2">
        <v>124137.15</v>
      </c>
      <c r="I4521" s="2">
        <v>12413.72</v>
      </c>
    </row>
    <row r="4522" spans="1:9" x14ac:dyDescent="0.25">
      <c r="A4522" t="s">
        <v>2470</v>
      </c>
      <c r="B4522" t="s">
        <v>2471</v>
      </c>
      <c r="C4522" t="s">
        <v>34</v>
      </c>
      <c r="D4522" t="s">
        <v>4052</v>
      </c>
      <c r="E4522" t="s">
        <v>4053</v>
      </c>
      <c r="F4522" t="s">
        <v>4054</v>
      </c>
      <c r="G4522">
        <v>5</v>
      </c>
      <c r="H4522" s="2">
        <v>34103.77</v>
      </c>
      <c r="I4522" s="2">
        <v>1705.19</v>
      </c>
    </row>
    <row r="4523" spans="1:9" x14ac:dyDescent="0.25">
      <c r="A4523" t="s">
        <v>2473</v>
      </c>
      <c r="B4523" t="s">
        <v>2474</v>
      </c>
      <c r="C4523" t="s">
        <v>34</v>
      </c>
      <c r="D4523" t="s">
        <v>4062</v>
      </c>
      <c r="E4523" t="s">
        <v>6500</v>
      </c>
      <c r="F4523" t="s">
        <v>34</v>
      </c>
      <c r="G4523">
        <v>1.05</v>
      </c>
      <c r="H4523" s="2">
        <v>513852.81</v>
      </c>
      <c r="I4523" s="2">
        <v>539545.45</v>
      </c>
    </row>
    <row r="4524" spans="1:9" x14ac:dyDescent="0.25">
      <c r="A4524" t="s">
        <v>2473</v>
      </c>
      <c r="B4524" t="s">
        <v>2474</v>
      </c>
      <c r="C4524" t="s">
        <v>34</v>
      </c>
      <c r="D4524" t="s">
        <v>4049</v>
      </c>
      <c r="E4524" t="s">
        <v>4176</v>
      </c>
      <c r="F4524" t="s">
        <v>4177</v>
      </c>
      <c r="G4524">
        <v>0.3</v>
      </c>
      <c r="H4524" s="2">
        <v>72300.17</v>
      </c>
      <c r="I4524" s="2">
        <v>21690.05</v>
      </c>
    </row>
    <row r="4525" spans="1:9" x14ac:dyDescent="0.25">
      <c r="A4525" t="s">
        <v>2473</v>
      </c>
      <c r="B4525" t="s">
        <v>2474</v>
      </c>
      <c r="C4525" t="s">
        <v>34</v>
      </c>
      <c r="D4525" t="s">
        <v>4049</v>
      </c>
      <c r="E4525" t="s">
        <v>4313</v>
      </c>
      <c r="F4525" t="s">
        <v>4177</v>
      </c>
      <c r="G4525">
        <v>0.1</v>
      </c>
      <c r="H4525" s="2">
        <v>124137.15</v>
      </c>
      <c r="I4525" s="2">
        <v>12413.72</v>
      </c>
    </row>
    <row r="4526" spans="1:9" x14ac:dyDescent="0.25">
      <c r="A4526" t="s">
        <v>2473</v>
      </c>
      <c r="B4526" t="s">
        <v>2474</v>
      </c>
      <c r="C4526" t="s">
        <v>34</v>
      </c>
      <c r="D4526" t="s">
        <v>4052</v>
      </c>
      <c r="E4526" t="s">
        <v>4053</v>
      </c>
      <c r="F4526" t="s">
        <v>4054</v>
      </c>
      <c r="G4526">
        <v>5</v>
      </c>
      <c r="H4526" s="2">
        <v>34103.77</v>
      </c>
      <c r="I4526" s="2">
        <v>1705.19</v>
      </c>
    </row>
    <row r="4527" spans="1:9" x14ac:dyDescent="0.25">
      <c r="A4527" t="s">
        <v>2475</v>
      </c>
      <c r="B4527" t="s">
        <v>2476</v>
      </c>
      <c r="C4527" t="s">
        <v>34</v>
      </c>
      <c r="D4527" t="s">
        <v>4062</v>
      </c>
      <c r="E4527" t="s">
        <v>6500</v>
      </c>
      <c r="F4527" t="s">
        <v>34</v>
      </c>
      <c r="G4527">
        <v>1.05</v>
      </c>
      <c r="H4527" s="2">
        <v>513852.81</v>
      </c>
      <c r="I4527" s="2">
        <v>539545.45</v>
      </c>
    </row>
    <row r="4528" spans="1:9" x14ac:dyDescent="0.25">
      <c r="A4528" t="s">
        <v>2475</v>
      </c>
      <c r="B4528" t="s">
        <v>2476</v>
      </c>
      <c r="C4528" t="s">
        <v>34</v>
      </c>
      <c r="D4528" t="s">
        <v>4049</v>
      </c>
      <c r="E4528" t="s">
        <v>4176</v>
      </c>
      <c r="F4528" t="s">
        <v>4177</v>
      </c>
      <c r="G4528">
        <v>0.3</v>
      </c>
      <c r="H4528" s="2">
        <v>72300.17</v>
      </c>
      <c r="I4528" s="2">
        <v>21690.05</v>
      </c>
    </row>
    <row r="4529" spans="1:9" x14ac:dyDescent="0.25">
      <c r="A4529" t="s">
        <v>2475</v>
      </c>
      <c r="B4529" t="s">
        <v>2476</v>
      </c>
      <c r="C4529" t="s">
        <v>34</v>
      </c>
      <c r="D4529" t="s">
        <v>4049</v>
      </c>
      <c r="E4529" t="s">
        <v>4313</v>
      </c>
      <c r="F4529" t="s">
        <v>4177</v>
      </c>
      <c r="G4529">
        <v>0.1</v>
      </c>
      <c r="H4529" s="2">
        <v>124137.15</v>
      </c>
      <c r="I4529" s="2">
        <v>12413.72</v>
      </c>
    </row>
    <row r="4530" spans="1:9" x14ac:dyDescent="0.25">
      <c r="A4530" t="s">
        <v>2475</v>
      </c>
      <c r="B4530" t="s">
        <v>2476</v>
      </c>
      <c r="C4530" t="s">
        <v>34</v>
      </c>
      <c r="D4530" t="s">
        <v>4052</v>
      </c>
      <c r="E4530" t="s">
        <v>4053</v>
      </c>
      <c r="F4530" t="s">
        <v>4054</v>
      </c>
      <c r="G4530">
        <v>5</v>
      </c>
      <c r="H4530" s="2">
        <v>34103.77</v>
      </c>
      <c r="I4530" s="2">
        <v>1705.19</v>
      </c>
    </row>
    <row r="4531" spans="1:9" x14ac:dyDescent="0.25">
      <c r="A4531" t="s">
        <v>2477</v>
      </c>
      <c r="B4531" t="s">
        <v>2478</v>
      </c>
      <c r="C4531" t="s">
        <v>34</v>
      </c>
      <c r="D4531" t="s">
        <v>4062</v>
      </c>
      <c r="E4531" t="s">
        <v>6500</v>
      </c>
      <c r="F4531" t="s">
        <v>34</v>
      </c>
      <c r="G4531">
        <v>1.05</v>
      </c>
      <c r="H4531" s="2">
        <v>513852.81</v>
      </c>
      <c r="I4531" s="2">
        <v>539545.45</v>
      </c>
    </row>
    <row r="4532" spans="1:9" x14ac:dyDescent="0.25">
      <c r="A4532" t="s">
        <v>2477</v>
      </c>
      <c r="B4532" t="s">
        <v>2478</v>
      </c>
      <c r="C4532" t="s">
        <v>34</v>
      </c>
      <c r="D4532" t="s">
        <v>4049</v>
      </c>
      <c r="E4532" t="s">
        <v>4176</v>
      </c>
      <c r="F4532" t="s">
        <v>4177</v>
      </c>
      <c r="G4532">
        <v>0.3</v>
      </c>
      <c r="H4532" s="2">
        <v>72300.17</v>
      </c>
      <c r="I4532" s="2">
        <v>21690.05</v>
      </c>
    </row>
    <row r="4533" spans="1:9" x14ac:dyDescent="0.25">
      <c r="A4533" t="s">
        <v>2477</v>
      </c>
      <c r="B4533" t="s">
        <v>2478</v>
      </c>
      <c r="C4533" t="s">
        <v>34</v>
      </c>
      <c r="D4533" t="s">
        <v>4049</v>
      </c>
      <c r="E4533" t="s">
        <v>4313</v>
      </c>
      <c r="F4533" t="s">
        <v>4177</v>
      </c>
      <c r="G4533">
        <v>0.1</v>
      </c>
      <c r="H4533" s="2">
        <v>124137.15</v>
      </c>
      <c r="I4533" s="2">
        <v>12413.72</v>
      </c>
    </row>
    <row r="4534" spans="1:9" x14ac:dyDescent="0.25">
      <c r="A4534" t="s">
        <v>2477</v>
      </c>
      <c r="B4534" t="s">
        <v>2478</v>
      </c>
      <c r="C4534" t="s">
        <v>34</v>
      </c>
      <c r="D4534" t="s">
        <v>4052</v>
      </c>
      <c r="E4534" t="s">
        <v>4053</v>
      </c>
      <c r="F4534" t="s">
        <v>4054</v>
      </c>
      <c r="G4534">
        <v>5</v>
      </c>
      <c r="H4534" s="2">
        <v>34103.77</v>
      </c>
      <c r="I4534" s="2">
        <v>1705.19</v>
      </c>
    </row>
    <row r="4535" spans="1:9" x14ac:dyDescent="0.25">
      <c r="A4535" t="s">
        <v>2479</v>
      </c>
      <c r="B4535" t="s">
        <v>2480</v>
      </c>
      <c r="C4535" t="s">
        <v>63</v>
      </c>
      <c r="D4535" t="s">
        <v>4062</v>
      </c>
      <c r="E4535" t="s">
        <v>6179</v>
      </c>
      <c r="F4535" t="s">
        <v>42</v>
      </c>
      <c r="G4535">
        <v>6</v>
      </c>
      <c r="H4535" s="2">
        <v>2560</v>
      </c>
      <c r="I4535" s="2">
        <v>15360</v>
      </c>
    </row>
    <row r="4536" spans="1:9" x14ac:dyDescent="0.25">
      <c r="A4536" t="s">
        <v>2479</v>
      </c>
      <c r="B4536" t="s">
        <v>2480</v>
      </c>
      <c r="C4536" t="s">
        <v>63</v>
      </c>
      <c r="D4536" t="s">
        <v>4062</v>
      </c>
      <c r="E4536" t="s">
        <v>4691</v>
      </c>
      <c r="F4536" t="s">
        <v>4532</v>
      </c>
      <c r="G4536">
        <v>3</v>
      </c>
      <c r="H4536" s="2">
        <v>748</v>
      </c>
      <c r="I4536" s="2">
        <v>2244</v>
      </c>
    </row>
    <row r="4537" spans="1:9" x14ac:dyDescent="0.25">
      <c r="A4537" t="s">
        <v>2479</v>
      </c>
      <c r="B4537" t="s">
        <v>2480</v>
      </c>
      <c r="C4537" t="s">
        <v>63</v>
      </c>
      <c r="D4537" t="s">
        <v>4062</v>
      </c>
      <c r="E4537" t="s">
        <v>4703</v>
      </c>
      <c r="F4537" t="s">
        <v>63</v>
      </c>
      <c r="G4537">
        <v>4</v>
      </c>
      <c r="H4537" s="2">
        <v>546</v>
      </c>
      <c r="I4537" s="2">
        <v>2184</v>
      </c>
    </row>
    <row r="4538" spans="1:9" x14ac:dyDescent="0.25">
      <c r="A4538" t="s">
        <v>2479</v>
      </c>
      <c r="B4538" t="s">
        <v>2480</v>
      </c>
      <c r="C4538" t="s">
        <v>63</v>
      </c>
      <c r="D4538" t="s">
        <v>4062</v>
      </c>
      <c r="E4538" t="s">
        <v>4659</v>
      </c>
      <c r="F4538" t="s">
        <v>4377</v>
      </c>
      <c r="G4538">
        <v>0.04</v>
      </c>
      <c r="H4538" s="2">
        <v>31500</v>
      </c>
      <c r="I4538" s="2">
        <v>1260</v>
      </c>
    </row>
    <row r="4539" spans="1:9" x14ac:dyDescent="0.25">
      <c r="A4539" t="s">
        <v>2479</v>
      </c>
      <c r="B4539" t="s">
        <v>2480</v>
      </c>
      <c r="C4539" t="s">
        <v>63</v>
      </c>
      <c r="D4539" t="s">
        <v>4062</v>
      </c>
      <c r="E4539" t="s">
        <v>4376</v>
      </c>
      <c r="F4539" t="s">
        <v>4377</v>
      </c>
      <c r="G4539">
        <v>0.04</v>
      </c>
      <c r="H4539" s="2">
        <v>72237.67</v>
      </c>
      <c r="I4539" s="2">
        <v>2889.51</v>
      </c>
    </row>
    <row r="4540" spans="1:9" x14ac:dyDescent="0.25">
      <c r="A4540" t="s">
        <v>2479</v>
      </c>
      <c r="B4540" t="s">
        <v>2480</v>
      </c>
      <c r="C4540" t="s">
        <v>63</v>
      </c>
      <c r="D4540" t="s">
        <v>4049</v>
      </c>
      <c r="E4540" t="s">
        <v>4241</v>
      </c>
      <c r="F4540" t="s">
        <v>4051</v>
      </c>
      <c r="G4540">
        <v>3.5</v>
      </c>
      <c r="H4540" s="2">
        <v>9941.22</v>
      </c>
      <c r="I4540" s="2">
        <v>34794.27</v>
      </c>
    </row>
    <row r="4541" spans="1:9" x14ac:dyDescent="0.25">
      <c r="A4541" t="s">
        <v>2479</v>
      </c>
      <c r="B4541" t="s">
        <v>2480</v>
      </c>
      <c r="C4541" t="s">
        <v>63</v>
      </c>
      <c r="D4541" t="s">
        <v>4049</v>
      </c>
      <c r="E4541" t="s">
        <v>4242</v>
      </c>
      <c r="F4541" t="s">
        <v>4051</v>
      </c>
      <c r="G4541">
        <v>1.75</v>
      </c>
      <c r="H4541" s="2">
        <v>17069.53</v>
      </c>
      <c r="I4541" s="2">
        <v>29871.68</v>
      </c>
    </row>
    <row r="4542" spans="1:9" x14ac:dyDescent="0.25">
      <c r="A4542" t="s">
        <v>2479</v>
      </c>
      <c r="B4542" t="s">
        <v>2480</v>
      </c>
      <c r="C4542" t="s">
        <v>63</v>
      </c>
      <c r="D4542" t="s">
        <v>4052</v>
      </c>
      <c r="E4542" t="s">
        <v>4053</v>
      </c>
      <c r="F4542" t="s">
        <v>4054</v>
      </c>
      <c r="G4542">
        <v>5</v>
      </c>
      <c r="H4542" s="2">
        <v>64665.95</v>
      </c>
      <c r="I4542" s="2">
        <v>3233.3</v>
      </c>
    </row>
    <row r="4543" spans="1:9" x14ac:dyDescent="0.25">
      <c r="A4543" t="s">
        <v>2483</v>
      </c>
      <c r="B4543" t="s">
        <v>2484</v>
      </c>
      <c r="C4543" t="s">
        <v>63</v>
      </c>
      <c r="D4543" t="s">
        <v>4062</v>
      </c>
      <c r="E4543" t="s">
        <v>6179</v>
      </c>
      <c r="F4543" t="s">
        <v>42</v>
      </c>
      <c r="G4543">
        <v>3</v>
      </c>
      <c r="H4543" s="2">
        <v>2560</v>
      </c>
      <c r="I4543" s="2">
        <v>7680</v>
      </c>
    </row>
    <row r="4544" spans="1:9" x14ac:dyDescent="0.25">
      <c r="A4544" t="s">
        <v>2483</v>
      </c>
      <c r="B4544" t="s">
        <v>2484</v>
      </c>
      <c r="C4544" t="s">
        <v>63</v>
      </c>
      <c r="D4544" t="s">
        <v>4062</v>
      </c>
      <c r="E4544" t="s">
        <v>4691</v>
      </c>
      <c r="F4544" t="s">
        <v>4532</v>
      </c>
      <c r="G4544">
        <v>3</v>
      </c>
      <c r="H4544" s="2">
        <v>748</v>
      </c>
      <c r="I4544" s="2">
        <v>2244</v>
      </c>
    </row>
    <row r="4545" spans="1:9" x14ac:dyDescent="0.25">
      <c r="A4545" t="s">
        <v>2483</v>
      </c>
      <c r="B4545" t="s">
        <v>2484</v>
      </c>
      <c r="C4545" t="s">
        <v>63</v>
      </c>
      <c r="D4545" t="s">
        <v>4062</v>
      </c>
      <c r="E4545" t="s">
        <v>4752</v>
      </c>
      <c r="F4545" t="s">
        <v>63</v>
      </c>
      <c r="G4545">
        <v>4</v>
      </c>
      <c r="H4545" s="2">
        <v>382.07</v>
      </c>
      <c r="I4545" s="2">
        <v>1528.28</v>
      </c>
    </row>
    <row r="4546" spans="1:9" x14ac:dyDescent="0.25">
      <c r="A4546" t="s">
        <v>2483</v>
      </c>
      <c r="B4546" t="s">
        <v>2484</v>
      </c>
      <c r="C4546" t="s">
        <v>63</v>
      </c>
      <c r="D4546" t="s">
        <v>4062</v>
      </c>
      <c r="E4546" t="s">
        <v>4659</v>
      </c>
      <c r="F4546" t="s">
        <v>4377</v>
      </c>
      <c r="G4546">
        <v>0.04</v>
      </c>
      <c r="H4546" s="2">
        <v>31500</v>
      </c>
      <c r="I4546" s="2">
        <v>1260</v>
      </c>
    </row>
    <row r="4547" spans="1:9" x14ac:dyDescent="0.25">
      <c r="A4547" t="s">
        <v>2483</v>
      </c>
      <c r="B4547" t="s">
        <v>2484</v>
      </c>
      <c r="C4547" t="s">
        <v>63</v>
      </c>
      <c r="D4547" t="s">
        <v>4062</v>
      </c>
      <c r="E4547" t="s">
        <v>4376</v>
      </c>
      <c r="F4547" t="s">
        <v>4377</v>
      </c>
      <c r="G4547">
        <v>0.04</v>
      </c>
      <c r="H4547" s="2">
        <v>72237.67</v>
      </c>
      <c r="I4547" s="2">
        <v>2889.51</v>
      </c>
    </row>
    <row r="4548" spans="1:9" x14ac:dyDescent="0.25">
      <c r="A4548" t="s">
        <v>2483</v>
      </c>
      <c r="B4548" t="s">
        <v>2484</v>
      </c>
      <c r="C4548" t="s">
        <v>63</v>
      </c>
      <c r="D4548" t="s">
        <v>4049</v>
      </c>
      <c r="E4548" t="s">
        <v>4241</v>
      </c>
      <c r="F4548" t="s">
        <v>4051</v>
      </c>
      <c r="G4548">
        <v>3.5</v>
      </c>
      <c r="H4548" s="2">
        <v>9941.22</v>
      </c>
      <c r="I4548" s="2">
        <v>34794.27</v>
      </c>
    </row>
    <row r="4549" spans="1:9" x14ac:dyDescent="0.25">
      <c r="A4549" t="s">
        <v>2483</v>
      </c>
      <c r="B4549" t="s">
        <v>2484</v>
      </c>
      <c r="C4549" t="s">
        <v>63</v>
      </c>
      <c r="D4549" t="s">
        <v>4049</v>
      </c>
      <c r="E4549" t="s">
        <v>4242</v>
      </c>
      <c r="F4549" t="s">
        <v>4051</v>
      </c>
      <c r="G4549">
        <v>1.75</v>
      </c>
      <c r="H4549" s="2">
        <v>17069.53</v>
      </c>
      <c r="I4549" s="2">
        <v>29871.68</v>
      </c>
    </row>
    <row r="4550" spans="1:9" x14ac:dyDescent="0.25">
      <c r="A4550" t="s">
        <v>2483</v>
      </c>
      <c r="B4550" t="s">
        <v>2484</v>
      </c>
      <c r="C4550" t="s">
        <v>63</v>
      </c>
      <c r="D4550" t="s">
        <v>4052</v>
      </c>
      <c r="E4550" t="s">
        <v>4053</v>
      </c>
      <c r="F4550" t="s">
        <v>4054</v>
      </c>
      <c r="G4550">
        <v>5</v>
      </c>
      <c r="H4550" s="2">
        <v>64665.95</v>
      </c>
      <c r="I4550" s="2">
        <v>3233.3</v>
      </c>
    </row>
    <row r="4551" spans="1:9" x14ac:dyDescent="0.25">
      <c r="A4551" t="s">
        <v>2486</v>
      </c>
      <c r="B4551" t="s">
        <v>2487</v>
      </c>
      <c r="C4551" t="s">
        <v>63</v>
      </c>
      <c r="D4551" t="s">
        <v>4062</v>
      </c>
      <c r="E4551" t="s">
        <v>6510</v>
      </c>
      <c r="F4551" t="s">
        <v>42</v>
      </c>
      <c r="G4551">
        <v>5</v>
      </c>
      <c r="H4551" s="2">
        <v>4776</v>
      </c>
      <c r="I4551" s="2">
        <v>23880</v>
      </c>
    </row>
    <row r="4552" spans="1:9" x14ac:dyDescent="0.25">
      <c r="A4552" t="s">
        <v>2486</v>
      </c>
      <c r="B4552" t="s">
        <v>2487</v>
      </c>
      <c r="C4552" t="s">
        <v>63</v>
      </c>
      <c r="D4552" t="s">
        <v>4062</v>
      </c>
      <c r="E4552" t="s">
        <v>4691</v>
      </c>
      <c r="F4552" t="s">
        <v>4532</v>
      </c>
      <c r="G4552">
        <v>3</v>
      </c>
      <c r="H4552" s="2">
        <v>748</v>
      </c>
      <c r="I4552" s="2">
        <v>2244</v>
      </c>
    </row>
    <row r="4553" spans="1:9" x14ac:dyDescent="0.25">
      <c r="A4553" t="s">
        <v>2486</v>
      </c>
      <c r="B4553" t="s">
        <v>2487</v>
      </c>
      <c r="C4553" t="s">
        <v>63</v>
      </c>
      <c r="D4553" t="s">
        <v>4062</v>
      </c>
      <c r="E4553" t="s">
        <v>4779</v>
      </c>
      <c r="F4553" t="s">
        <v>63</v>
      </c>
      <c r="G4553">
        <v>4</v>
      </c>
      <c r="H4553" s="2">
        <v>701.4</v>
      </c>
      <c r="I4553" s="2">
        <v>2805.6</v>
      </c>
    </row>
    <row r="4554" spans="1:9" x14ac:dyDescent="0.25">
      <c r="A4554" t="s">
        <v>2486</v>
      </c>
      <c r="B4554" t="s">
        <v>2487</v>
      </c>
      <c r="C4554" t="s">
        <v>63</v>
      </c>
      <c r="D4554" t="s">
        <v>4062</v>
      </c>
      <c r="E4554" t="s">
        <v>4659</v>
      </c>
      <c r="F4554" t="s">
        <v>4377</v>
      </c>
      <c r="G4554">
        <v>0.04</v>
      </c>
      <c r="H4554" s="2">
        <v>31500</v>
      </c>
      <c r="I4554" s="2">
        <v>1260</v>
      </c>
    </row>
    <row r="4555" spans="1:9" x14ac:dyDescent="0.25">
      <c r="A4555" t="s">
        <v>2486</v>
      </c>
      <c r="B4555" t="s">
        <v>2487</v>
      </c>
      <c r="C4555" t="s">
        <v>63</v>
      </c>
      <c r="D4555" t="s">
        <v>4062</v>
      </c>
      <c r="E4555" t="s">
        <v>4376</v>
      </c>
      <c r="F4555" t="s">
        <v>4377</v>
      </c>
      <c r="G4555">
        <v>0.04</v>
      </c>
      <c r="H4555" s="2">
        <v>72237.67</v>
      </c>
      <c r="I4555" s="2">
        <v>2889.51</v>
      </c>
    </row>
    <row r="4556" spans="1:9" x14ac:dyDescent="0.25">
      <c r="A4556" t="s">
        <v>2486</v>
      </c>
      <c r="B4556" t="s">
        <v>2487</v>
      </c>
      <c r="C4556" t="s">
        <v>63</v>
      </c>
      <c r="D4556" t="s">
        <v>4049</v>
      </c>
      <c r="E4556" t="s">
        <v>4241</v>
      </c>
      <c r="F4556" t="s">
        <v>4051</v>
      </c>
      <c r="G4556">
        <v>3.5</v>
      </c>
      <c r="H4556" s="2">
        <v>9941.22</v>
      </c>
      <c r="I4556" s="2">
        <v>34794.27</v>
      </c>
    </row>
    <row r="4557" spans="1:9" x14ac:dyDescent="0.25">
      <c r="A4557" t="s">
        <v>2486</v>
      </c>
      <c r="B4557" t="s">
        <v>2487</v>
      </c>
      <c r="C4557" t="s">
        <v>63</v>
      </c>
      <c r="D4557" t="s">
        <v>4049</v>
      </c>
      <c r="E4557" t="s">
        <v>4242</v>
      </c>
      <c r="F4557" t="s">
        <v>4051</v>
      </c>
      <c r="G4557">
        <v>1.75</v>
      </c>
      <c r="H4557" s="2">
        <v>17069.53</v>
      </c>
      <c r="I4557" s="2">
        <v>29871.68</v>
      </c>
    </row>
    <row r="4558" spans="1:9" x14ac:dyDescent="0.25">
      <c r="A4558" t="s">
        <v>2486</v>
      </c>
      <c r="B4558" t="s">
        <v>2487</v>
      </c>
      <c r="C4558" t="s">
        <v>63</v>
      </c>
      <c r="D4558" t="s">
        <v>4052</v>
      </c>
      <c r="E4558" t="s">
        <v>4053</v>
      </c>
      <c r="F4558" t="s">
        <v>4054</v>
      </c>
      <c r="G4558">
        <v>5</v>
      </c>
      <c r="H4558" s="2">
        <v>64665.95</v>
      </c>
      <c r="I4558" s="2">
        <v>3233.3</v>
      </c>
    </row>
    <row r="4559" spans="1:9" x14ac:dyDescent="0.25">
      <c r="A4559" t="s">
        <v>2489</v>
      </c>
      <c r="B4559" t="s">
        <v>2490</v>
      </c>
      <c r="C4559" t="s">
        <v>63</v>
      </c>
      <c r="D4559" t="s">
        <v>4062</v>
      </c>
      <c r="E4559" t="s">
        <v>6513</v>
      </c>
      <c r="F4559" t="s">
        <v>63</v>
      </c>
      <c r="G4559">
        <v>1</v>
      </c>
      <c r="H4559" s="2">
        <v>135750</v>
      </c>
      <c r="I4559" s="2">
        <v>135750</v>
      </c>
    </row>
    <row r="4560" spans="1:9" x14ac:dyDescent="0.25">
      <c r="A4560" t="s">
        <v>2489</v>
      </c>
      <c r="B4560" t="s">
        <v>2490</v>
      </c>
      <c r="C4560" t="s">
        <v>63</v>
      </c>
      <c r="D4560" t="s">
        <v>4049</v>
      </c>
      <c r="E4560" t="s">
        <v>4176</v>
      </c>
      <c r="F4560" t="s">
        <v>4177</v>
      </c>
      <c r="G4560">
        <v>0.13</v>
      </c>
      <c r="H4560" s="2">
        <v>72300.17</v>
      </c>
      <c r="I4560" s="2">
        <v>9037.52</v>
      </c>
    </row>
    <row r="4561" spans="1:9" x14ac:dyDescent="0.25">
      <c r="A4561" t="s">
        <v>2489</v>
      </c>
      <c r="B4561" t="s">
        <v>2490</v>
      </c>
      <c r="C4561" t="s">
        <v>63</v>
      </c>
      <c r="D4561" t="s">
        <v>4049</v>
      </c>
      <c r="E4561" t="s">
        <v>4313</v>
      </c>
      <c r="F4561" t="s">
        <v>4177</v>
      </c>
      <c r="G4561">
        <v>0.13</v>
      </c>
      <c r="H4561" s="2">
        <v>124137.15</v>
      </c>
      <c r="I4561" s="2">
        <v>15517.14</v>
      </c>
    </row>
    <row r="4562" spans="1:9" x14ac:dyDescent="0.25">
      <c r="A4562" t="s">
        <v>2489</v>
      </c>
      <c r="B4562" t="s">
        <v>2490</v>
      </c>
      <c r="C4562" t="s">
        <v>63</v>
      </c>
      <c r="D4562" t="s">
        <v>4052</v>
      </c>
      <c r="E4562" t="s">
        <v>4053</v>
      </c>
      <c r="F4562" t="s">
        <v>4054</v>
      </c>
      <c r="G4562">
        <v>5</v>
      </c>
      <c r="H4562" s="2">
        <v>24554.66</v>
      </c>
      <c r="I4562" s="2">
        <v>1227.73</v>
      </c>
    </row>
    <row r="4563" spans="1:9" x14ac:dyDescent="0.25">
      <c r="A4563" t="s">
        <v>2492</v>
      </c>
      <c r="B4563" t="s">
        <v>2493</v>
      </c>
      <c r="C4563" t="s">
        <v>63</v>
      </c>
      <c r="D4563" t="s">
        <v>4062</v>
      </c>
      <c r="E4563" t="s">
        <v>6516</v>
      </c>
      <c r="F4563" t="s">
        <v>63</v>
      </c>
      <c r="G4563">
        <v>1</v>
      </c>
      <c r="H4563" s="2">
        <v>2155573</v>
      </c>
      <c r="I4563" s="2">
        <v>2155573</v>
      </c>
    </row>
    <row r="4564" spans="1:9" x14ac:dyDescent="0.25">
      <c r="A4564" t="s">
        <v>2492</v>
      </c>
      <c r="B4564" t="s">
        <v>2493</v>
      </c>
      <c r="C4564" t="s">
        <v>63</v>
      </c>
      <c r="D4564" t="s">
        <v>4049</v>
      </c>
      <c r="E4564" t="s">
        <v>4176</v>
      </c>
      <c r="F4564" t="s">
        <v>4177</v>
      </c>
      <c r="G4564">
        <v>1</v>
      </c>
      <c r="H4564" s="2">
        <v>72300.17</v>
      </c>
      <c r="I4564" s="2">
        <v>72300.17</v>
      </c>
    </row>
    <row r="4565" spans="1:9" x14ac:dyDescent="0.25">
      <c r="A4565" t="s">
        <v>2492</v>
      </c>
      <c r="B4565" t="s">
        <v>2493</v>
      </c>
      <c r="C4565" t="s">
        <v>63</v>
      </c>
      <c r="D4565" t="s">
        <v>4049</v>
      </c>
      <c r="E4565" t="s">
        <v>4313</v>
      </c>
      <c r="F4565" t="s">
        <v>4177</v>
      </c>
      <c r="G4565">
        <v>1</v>
      </c>
      <c r="H4565" s="2">
        <v>124137.15</v>
      </c>
      <c r="I4565" s="2">
        <v>124137.15</v>
      </c>
    </row>
    <row r="4566" spans="1:9" x14ac:dyDescent="0.25">
      <c r="A4566" t="s">
        <v>2492</v>
      </c>
      <c r="B4566" t="s">
        <v>2493</v>
      </c>
      <c r="C4566" t="s">
        <v>63</v>
      </c>
      <c r="D4566" t="s">
        <v>4052</v>
      </c>
      <c r="E4566" t="s">
        <v>4053</v>
      </c>
      <c r="F4566" t="s">
        <v>4054</v>
      </c>
      <c r="G4566">
        <v>10</v>
      </c>
      <c r="H4566" s="2">
        <v>196437.32</v>
      </c>
      <c r="I4566" s="2">
        <v>19643.73</v>
      </c>
    </row>
    <row r="4567" spans="1:9" x14ac:dyDescent="0.25">
      <c r="A4567" t="s">
        <v>2495</v>
      </c>
      <c r="B4567" t="s">
        <v>2496</v>
      </c>
      <c r="C4567" t="s">
        <v>63</v>
      </c>
      <c r="D4567" t="s">
        <v>4062</v>
      </c>
      <c r="E4567" t="s">
        <v>6519</v>
      </c>
      <c r="F4567" t="s">
        <v>63</v>
      </c>
      <c r="G4567">
        <v>1</v>
      </c>
      <c r="H4567" s="2">
        <v>1895880</v>
      </c>
      <c r="I4567" s="2">
        <v>1895880</v>
      </c>
    </row>
    <row r="4568" spans="1:9" x14ac:dyDescent="0.25">
      <c r="A4568" t="s">
        <v>2495</v>
      </c>
      <c r="B4568" t="s">
        <v>2496</v>
      </c>
      <c r="C4568" t="s">
        <v>63</v>
      </c>
      <c r="D4568" t="s">
        <v>4049</v>
      </c>
      <c r="E4568" t="s">
        <v>4176</v>
      </c>
      <c r="F4568" t="s">
        <v>4177</v>
      </c>
      <c r="G4568">
        <v>1</v>
      </c>
      <c r="H4568" s="2">
        <v>72300.17</v>
      </c>
      <c r="I4568" s="2">
        <v>72300.17</v>
      </c>
    </row>
    <row r="4569" spans="1:9" x14ac:dyDescent="0.25">
      <c r="A4569" t="s">
        <v>2495</v>
      </c>
      <c r="B4569" t="s">
        <v>2496</v>
      </c>
      <c r="C4569" t="s">
        <v>63</v>
      </c>
      <c r="D4569" t="s">
        <v>4049</v>
      </c>
      <c r="E4569" t="s">
        <v>4313</v>
      </c>
      <c r="F4569" t="s">
        <v>4177</v>
      </c>
      <c r="G4569">
        <v>1</v>
      </c>
      <c r="H4569" s="2">
        <v>124137.15</v>
      </c>
      <c r="I4569" s="2">
        <v>124137.15</v>
      </c>
    </row>
    <row r="4570" spans="1:9" x14ac:dyDescent="0.25">
      <c r="A4570" t="s">
        <v>2495</v>
      </c>
      <c r="B4570" t="s">
        <v>2496</v>
      </c>
      <c r="C4570" t="s">
        <v>63</v>
      </c>
      <c r="D4570" t="s">
        <v>4052</v>
      </c>
      <c r="E4570" t="s">
        <v>4053</v>
      </c>
      <c r="F4570" t="s">
        <v>4054</v>
      </c>
      <c r="G4570">
        <v>10</v>
      </c>
      <c r="H4570" s="2">
        <v>196437.32</v>
      </c>
      <c r="I4570" s="2">
        <v>19643.73</v>
      </c>
    </row>
    <row r="4571" spans="1:9" x14ac:dyDescent="0.25">
      <c r="A4571" t="s">
        <v>2498</v>
      </c>
      <c r="B4571" t="s">
        <v>2499</v>
      </c>
      <c r="C4571" t="s">
        <v>63</v>
      </c>
      <c r="D4571" t="s">
        <v>4062</v>
      </c>
      <c r="E4571" t="s">
        <v>6522</v>
      </c>
      <c r="F4571" t="s">
        <v>63</v>
      </c>
      <c r="G4571">
        <v>1</v>
      </c>
      <c r="H4571" s="2">
        <v>3213000</v>
      </c>
      <c r="I4571" s="2">
        <v>3213000</v>
      </c>
    </row>
    <row r="4572" spans="1:9" x14ac:dyDescent="0.25">
      <c r="A4572" t="s">
        <v>2498</v>
      </c>
      <c r="B4572" t="s">
        <v>2499</v>
      </c>
      <c r="C4572" t="s">
        <v>63</v>
      </c>
      <c r="D4572" t="s">
        <v>4049</v>
      </c>
      <c r="E4572" t="s">
        <v>4176</v>
      </c>
      <c r="F4572" t="s">
        <v>4177</v>
      </c>
      <c r="G4572">
        <v>1</v>
      </c>
      <c r="H4572" s="2">
        <v>72300.17</v>
      </c>
      <c r="I4572" s="2">
        <v>72300.17</v>
      </c>
    </row>
    <row r="4573" spans="1:9" x14ac:dyDescent="0.25">
      <c r="A4573" t="s">
        <v>2498</v>
      </c>
      <c r="B4573" t="s">
        <v>2499</v>
      </c>
      <c r="C4573" t="s">
        <v>63</v>
      </c>
      <c r="D4573" t="s">
        <v>4049</v>
      </c>
      <c r="E4573" t="s">
        <v>4313</v>
      </c>
      <c r="F4573" t="s">
        <v>4177</v>
      </c>
      <c r="G4573">
        <v>1</v>
      </c>
      <c r="H4573" s="2">
        <v>124137.15</v>
      </c>
      <c r="I4573" s="2">
        <v>124137.15</v>
      </c>
    </row>
    <row r="4574" spans="1:9" x14ac:dyDescent="0.25">
      <c r="A4574" t="s">
        <v>2498</v>
      </c>
      <c r="B4574" t="s">
        <v>2499</v>
      </c>
      <c r="C4574" t="s">
        <v>63</v>
      </c>
      <c r="D4574" t="s">
        <v>4052</v>
      </c>
      <c r="E4574" t="s">
        <v>4053</v>
      </c>
      <c r="F4574" t="s">
        <v>4054</v>
      </c>
      <c r="G4574">
        <v>10</v>
      </c>
      <c r="H4574" s="2">
        <v>196437.32</v>
      </c>
      <c r="I4574" s="2">
        <v>19643.73</v>
      </c>
    </row>
    <row r="4575" spans="1:9" x14ac:dyDescent="0.25">
      <c r="A4575" t="s">
        <v>2501</v>
      </c>
      <c r="B4575" t="s">
        <v>2502</v>
      </c>
      <c r="C4575" t="s">
        <v>63</v>
      </c>
      <c r="D4575" t="s">
        <v>4062</v>
      </c>
      <c r="E4575" t="s">
        <v>6525</v>
      </c>
      <c r="F4575" t="s">
        <v>63</v>
      </c>
      <c r="G4575">
        <v>1</v>
      </c>
      <c r="H4575" s="2">
        <v>2698920</v>
      </c>
      <c r="I4575" s="2">
        <v>2698920</v>
      </c>
    </row>
    <row r="4576" spans="1:9" x14ac:dyDescent="0.25">
      <c r="A4576" t="s">
        <v>2501</v>
      </c>
      <c r="B4576" t="s">
        <v>2502</v>
      </c>
      <c r="C4576" t="s">
        <v>63</v>
      </c>
      <c r="D4576" t="s">
        <v>4049</v>
      </c>
      <c r="E4576" t="s">
        <v>4176</v>
      </c>
      <c r="F4576" t="s">
        <v>4177</v>
      </c>
      <c r="G4576">
        <v>1.1</v>
      </c>
      <c r="H4576" s="2">
        <v>72300.17</v>
      </c>
      <c r="I4576" s="2">
        <v>79530.19</v>
      </c>
    </row>
    <row r="4577" spans="1:9" x14ac:dyDescent="0.25">
      <c r="A4577" t="s">
        <v>2501</v>
      </c>
      <c r="B4577" t="s">
        <v>2502</v>
      </c>
      <c r="C4577" t="s">
        <v>63</v>
      </c>
      <c r="D4577" t="s">
        <v>4049</v>
      </c>
      <c r="E4577" t="s">
        <v>4313</v>
      </c>
      <c r="F4577" t="s">
        <v>4177</v>
      </c>
      <c r="G4577">
        <v>1</v>
      </c>
      <c r="H4577" s="2">
        <v>124137.15</v>
      </c>
      <c r="I4577" s="2">
        <v>124137.15</v>
      </c>
    </row>
    <row r="4578" spans="1:9" x14ac:dyDescent="0.25">
      <c r="A4578" t="s">
        <v>2501</v>
      </c>
      <c r="B4578" t="s">
        <v>2502</v>
      </c>
      <c r="C4578" t="s">
        <v>63</v>
      </c>
      <c r="D4578" t="s">
        <v>4052</v>
      </c>
      <c r="E4578" t="s">
        <v>4053</v>
      </c>
      <c r="F4578" t="s">
        <v>4054</v>
      </c>
      <c r="G4578">
        <v>10</v>
      </c>
      <c r="H4578" s="2">
        <v>203667.34</v>
      </c>
      <c r="I4578" s="2">
        <v>20366.73</v>
      </c>
    </row>
    <row r="4579" spans="1:9" x14ac:dyDescent="0.25">
      <c r="A4579" t="s">
        <v>2504</v>
      </c>
      <c r="B4579" t="s">
        <v>2505</v>
      </c>
      <c r="C4579" t="s">
        <v>63</v>
      </c>
      <c r="D4579" t="s">
        <v>4062</v>
      </c>
      <c r="E4579" t="s">
        <v>6528</v>
      </c>
      <c r="F4579" t="s">
        <v>63</v>
      </c>
      <c r="G4579">
        <v>1</v>
      </c>
      <c r="H4579" s="2">
        <v>4208147</v>
      </c>
      <c r="I4579" s="2">
        <v>4208147</v>
      </c>
    </row>
    <row r="4580" spans="1:9" x14ac:dyDescent="0.25">
      <c r="A4580" t="s">
        <v>2504</v>
      </c>
      <c r="B4580" t="s">
        <v>2505</v>
      </c>
      <c r="C4580" t="s">
        <v>63</v>
      </c>
      <c r="D4580" t="s">
        <v>4049</v>
      </c>
      <c r="E4580" t="s">
        <v>4176</v>
      </c>
      <c r="F4580" t="s">
        <v>4177</v>
      </c>
      <c r="G4580">
        <v>1</v>
      </c>
      <c r="H4580" s="2">
        <v>72300.17</v>
      </c>
      <c r="I4580" s="2">
        <v>72300.17</v>
      </c>
    </row>
    <row r="4581" spans="1:9" x14ac:dyDescent="0.25">
      <c r="A4581" t="s">
        <v>2504</v>
      </c>
      <c r="B4581" t="s">
        <v>2505</v>
      </c>
      <c r="C4581" t="s">
        <v>63</v>
      </c>
      <c r="D4581" t="s">
        <v>4049</v>
      </c>
      <c r="E4581" t="s">
        <v>4313</v>
      </c>
      <c r="F4581" t="s">
        <v>4177</v>
      </c>
      <c r="G4581">
        <v>1</v>
      </c>
      <c r="H4581" s="2">
        <v>124137.15</v>
      </c>
      <c r="I4581" s="2">
        <v>124137.15</v>
      </c>
    </row>
    <row r="4582" spans="1:9" x14ac:dyDescent="0.25">
      <c r="A4582" t="s">
        <v>2504</v>
      </c>
      <c r="B4582" t="s">
        <v>2505</v>
      </c>
      <c r="C4582" t="s">
        <v>63</v>
      </c>
      <c r="D4582" t="s">
        <v>4052</v>
      </c>
      <c r="E4582" t="s">
        <v>4053</v>
      </c>
      <c r="F4582" t="s">
        <v>4054</v>
      </c>
      <c r="G4582">
        <v>10</v>
      </c>
      <c r="H4582" s="2">
        <v>196437.32</v>
      </c>
      <c r="I4582" s="2">
        <v>19643.73</v>
      </c>
    </row>
    <row r="4583" spans="1:9" x14ac:dyDescent="0.25">
      <c r="A4583" t="s">
        <v>2507</v>
      </c>
      <c r="B4583" t="s">
        <v>2508</v>
      </c>
      <c r="C4583" t="s">
        <v>63</v>
      </c>
      <c r="D4583" t="s">
        <v>4062</v>
      </c>
      <c r="E4583" t="s">
        <v>6531</v>
      </c>
      <c r="F4583" t="s">
        <v>63</v>
      </c>
      <c r="G4583">
        <v>1</v>
      </c>
      <c r="H4583" s="2">
        <v>4208307</v>
      </c>
      <c r="I4583" s="2">
        <v>4208307</v>
      </c>
    </row>
    <row r="4584" spans="1:9" x14ac:dyDescent="0.25">
      <c r="A4584" t="s">
        <v>2507</v>
      </c>
      <c r="B4584" t="s">
        <v>2508</v>
      </c>
      <c r="C4584" t="s">
        <v>63</v>
      </c>
      <c r="D4584" t="s">
        <v>4049</v>
      </c>
      <c r="E4584" t="s">
        <v>4176</v>
      </c>
      <c r="F4584" t="s">
        <v>4177</v>
      </c>
      <c r="G4584">
        <v>1</v>
      </c>
      <c r="H4584" s="2">
        <v>72300.17</v>
      </c>
      <c r="I4584" s="2">
        <v>72300.17</v>
      </c>
    </row>
    <row r="4585" spans="1:9" x14ac:dyDescent="0.25">
      <c r="A4585" t="s">
        <v>2507</v>
      </c>
      <c r="B4585" t="s">
        <v>2508</v>
      </c>
      <c r="C4585" t="s">
        <v>63</v>
      </c>
      <c r="D4585" t="s">
        <v>4049</v>
      </c>
      <c r="E4585" t="s">
        <v>4313</v>
      </c>
      <c r="F4585" t="s">
        <v>4177</v>
      </c>
      <c r="G4585">
        <v>1</v>
      </c>
      <c r="H4585" s="2">
        <v>124137.15</v>
      </c>
      <c r="I4585" s="2">
        <v>124137.15</v>
      </c>
    </row>
    <row r="4586" spans="1:9" x14ac:dyDescent="0.25">
      <c r="A4586" t="s">
        <v>2507</v>
      </c>
      <c r="B4586" t="s">
        <v>2508</v>
      </c>
      <c r="C4586" t="s">
        <v>63</v>
      </c>
      <c r="D4586" t="s">
        <v>4052</v>
      </c>
      <c r="E4586" t="s">
        <v>4053</v>
      </c>
      <c r="F4586" t="s">
        <v>4054</v>
      </c>
      <c r="G4586">
        <v>10</v>
      </c>
      <c r="H4586" s="2">
        <v>196437.32</v>
      </c>
      <c r="I4586" s="2">
        <v>19643.73</v>
      </c>
    </row>
    <row r="4587" spans="1:9" x14ac:dyDescent="0.25">
      <c r="A4587" t="s">
        <v>2510</v>
      </c>
      <c r="B4587" t="s">
        <v>2511</v>
      </c>
      <c r="C4587" t="s">
        <v>63</v>
      </c>
      <c r="D4587" t="s">
        <v>4062</v>
      </c>
      <c r="E4587" t="s">
        <v>4354</v>
      </c>
      <c r="F4587" t="s">
        <v>4171</v>
      </c>
      <c r="G4587">
        <v>1</v>
      </c>
      <c r="H4587" s="2">
        <v>1148</v>
      </c>
      <c r="I4587" s="2">
        <v>1148</v>
      </c>
    </row>
    <row r="4588" spans="1:9" x14ac:dyDescent="0.25">
      <c r="A4588" t="s">
        <v>2510</v>
      </c>
      <c r="B4588" t="s">
        <v>2511</v>
      </c>
      <c r="C4588" t="s">
        <v>63</v>
      </c>
      <c r="D4588" t="s">
        <v>4062</v>
      </c>
      <c r="E4588" t="s">
        <v>6534</v>
      </c>
      <c r="F4588" t="s">
        <v>63</v>
      </c>
      <c r="G4588">
        <v>1</v>
      </c>
      <c r="H4588" s="2">
        <v>58300</v>
      </c>
      <c r="I4588" s="2">
        <v>58300</v>
      </c>
    </row>
    <row r="4589" spans="1:9" x14ac:dyDescent="0.25">
      <c r="A4589" t="s">
        <v>2510</v>
      </c>
      <c r="B4589" t="s">
        <v>2511</v>
      </c>
      <c r="C4589" t="s">
        <v>63</v>
      </c>
      <c r="D4589" t="s">
        <v>4049</v>
      </c>
      <c r="E4589" t="s">
        <v>4176</v>
      </c>
      <c r="F4589" t="s">
        <v>4177</v>
      </c>
      <c r="G4589">
        <v>0.1</v>
      </c>
      <c r="H4589" s="2">
        <v>72300.17</v>
      </c>
      <c r="I4589" s="2">
        <v>7230.02</v>
      </c>
    </row>
    <row r="4590" spans="1:9" x14ac:dyDescent="0.25">
      <c r="A4590" t="s">
        <v>2510</v>
      </c>
      <c r="B4590" t="s">
        <v>2511</v>
      </c>
      <c r="C4590" t="s">
        <v>63</v>
      </c>
      <c r="D4590" t="s">
        <v>4049</v>
      </c>
      <c r="E4590" t="s">
        <v>4313</v>
      </c>
      <c r="F4590" t="s">
        <v>4177</v>
      </c>
      <c r="G4590">
        <v>0.1</v>
      </c>
      <c r="H4590" s="2">
        <v>124137.15</v>
      </c>
      <c r="I4590" s="2">
        <v>12413.72</v>
      </c>
    </row>
    <row r="4591" spans="1:9" x14ac:dyDescent="0.25">
      <c r="A4591" t="s">
        <v>2510</v>
      </c>
      <c r="B4591" t="s">
        <v>2511</v>
      </c>
      <c r="C4591" t="s">
        <v>63</v>
      </c>
      <c r="D4591" t="s">
        <v>4052</v>
      </c>
      <c r="E4591" t="s">
        <v>4053</v>
      </c>
      <c r="F4591" t="s">
        <v>4054</v>
      </c>
      <c r="G4591">
        <v>6.6</v>
      </c>
      <c r="H4591" s="2">
        <v>19643.74</v>
      </c>
      <c r="I4591" s="2">
        <v>1296.49</v>
      </c>
    </row>
    <row r="4592" spans="1:9" x14ac:dyDescent="0.25">
      <c r="A4592" t="s">
        <v>2513</v>
      </c>
      <c r="B4592" t="s">
        <v>2514</v>
      </c>
      <c r="C4592" t="s">
        <v>63</v>
      </c>
      <c r="D4592" t="s">
        <v>4062</v>
      </c>
      <c r="E4592" t="s">
        <v>4659</v>
      </c>
      <c r="F4592" t="s">
        <v>4377</v>
      </c>
      <c r="G4592">
        <v>0</v>
      </c>
      <c r="H4592" s="2">
        <v>31500</v>
      </c>
      <c r="I4592" s="2">
        <v>103.95</v>
      </c>
    </row>
    <row r="4593" spans="1:9" x14ac:dyDescent="0.25">
      <c r="A4593" t="s">
        <v>2513</v>
      </c>
      <c r="B4593" t="s">
        <v>2514</v>
      </c>
      <c r="C4593" t="s">
        <v>63</v>
      </c>
      <c r="D4593" t="s">
        <v>4062</v>
      </c>
      <c r="E4593" t="s">
        <v>6537</v>
      </c>
      <c r="F4593" t="s">
        <v>63</v>
      </c>
      <c r="G4593">
        <v>1</v>
      </c>
      <c r="H4593" s="2">
        <v>7505.33</v>
      </c>
      <c r="I4593" s="2">
        <v>7505.33</v>
      </c>
    </row>
    <row r="4594" spans="1:9" x14ac:dyDescent="0.25">
      <c r="A4594" t="s">
        <v>2513</v>
      </c>
      <c r="B4594" t="s">
        <v>2514</v>
      </c>
      <c r="C4594" t="s">
        <v>63</v>
      </c>
      <c r="D4594" t="s">
        <v>4062</v>
      </c>
      <c r="E4594" t="s">
        <v>4376</v>
      </c>
      <c r="F4594" t="s">
        <v>4377</v>
      </c>
      <c r="G4594">
        <v>0</v>
      </c>
      <c r="H4594" s="2">
        <v>72237.67</v>
      </c>
      <c r="I4594" s="2">
        <v>238.38</v>
      </c>
    </row>
    <row r="4595" spans="1:9" x14ac:dyDescent="0.25">
      <c r="A4595" t="s">
        <v>2513</v>
      </c>
      <c r="B4595" t="s">
        <v>2514</v>
      </c>
      <c r="C4595" t="s">
        <v>63</v>
      </c>
      <c r="D4595" t="s">
        <v>4049</v>
      </c>
      <c r="E4595" t="s">
        <v>4176</v>
      </c>
      <c r="F4595" t="s">
        <v>4177</v>
      </c>
      <c r="G4595">
        <v>0.04</v>
      </c>
      <c r="H4595" s="2">
        <v>72300.17</v>
      </c>
      <c r="I4595" s="2">
        <v>2892.01</v>
      </c>
    </row>
    <row r="4596" spans="1:9" x14ac:dyDescent="0.25">
      <c r="A4596" t="s">
        <v>2513</v>
      </c>
      <c r="B4596" t="s">
        <v>2514</v>
      </c>
      <c r="C4596" t="s">
        <v>63</v>
      </c>
      <c r="D4596" t="s">
        <v>4049</v>
      </c>
      <c r="E4596" t="s">
        <v>4313</v>
      </c>
      <c r="F4596" t="s">
        <v>4177</v>
      </c>
      <c r="G4596">
        <v>0.04</v>
      </c>
      <c r="H4596" s="2">
        <v>124137.15</v>
      </c>
      <c r="I4596" s="2">
        <v>4965.49</v>
      </c>
    </row>
    <row r="4597" spans="1:9" x14ac:dyDescent="0.25">
      <c r="A4597" t="s">
        <v>2513</v>
      </c>
      <c r="B4597" t="s">
        <v>2514</v>
      </c>
      <c r="C4597" t="s">
        <v>63</v>
      </c>
      <c r="D4597" t="s">
        <v>4052</v>
      </c>
      <c r="E4597" t="s">
        <v>4053</v>
      </c>
      <c r="F4597" t="s">
        <v>4054</v>
      </c>
      <c r="G4597">
        <v>6.6</v>
      </c>
      <c r="H4597" s="2">
        <v>7857.5</v>
      </c>
      <c r="I4597" s="2">
        <v>518.6</v>
      </c>
    </row>
    <row r="4598" spans="1:9" x14ac:dyDescent="0.25">
      <c r="A4598" t="s">
        <v>2516</v>
      </c>
      <c r="B4598" t="s">
        <v>2517</v>
      </c>
      <c r="C4598" t="s">
        <v>63</v>
      </c>
      <c r="D4598" t="s">
        <v>4062</v>
      </c>
      <c r="E4598" t="s">
        <v>4354</v>
      </c>
      <c r="F4598" t="s">
        <v>4171</v>
      </c>
      <c r="G4598">
        <v>1</v>
      </c>
      <c r="H4598" s="2">
        <v>1148</v>
      </c>
      <c r="I4598" s="2">
        <v>1148</v>
      </c>
    </row>
    <row r="4599" spans="1:9" x14ac:dyDescent="0.25">
      <c r="A4599" t="s">
        <v>2516</v>
      </c>
      <c r="B4599" t="s">
        <v>2517</v>
      </c>
      <c r="C4599" t="s">
        <v>63</v>
      </c>
      <c r="D4599" t="s">
        <v>4062</v>
      </c>
      <c r="E4599" t="s">
        <v>6540</v>
      </c>
      <c r="F4599" t="s">
        <v>63</v>
      </c>
      <c r="G4599">
        <v>1</v>
      </c>
      <c r="H4599" s="2">
        <v>177950</v>
      </c>
      <c r="I4599" s="2">
        <v>177950</v>
      </c>
    </row>
    <row r="4600" spans="1:9" x14ac:dyDescent="0.25">
      <c r="A4600" t="s">
        <v>2516</v>
      </c>
      <c r="B4600" t="s">
        <v>2517</v>
      </c>
      <c r="C4600" t="s">
        <v>63</v>
      </c>
      <c r="D4600" t="s">
        <v>4049</v>
      </c>
      <c r="E4600" t="s">
        <v>4176</v>
      </c>
      <c r="F4600" t="s">
        <v>4177</v>
      </c>
      <c r="G4600">
        <v>0.2</v>
      </c>
      <c r="H4600" s="2">
        <v>72300.17</v>
      </c>
      <c r="I4600" s="2">
        <v>14460.03</v>
      </c>
    </row>
    <row r="4601" spans="1:9" x14ac:dyDescent="0.25">
      <c r="A4601" t="s">
        <v>2516</v>
      </c>
      <c r="B4601" t="s">
        <v>2517</v>
      </c>
      <c r="C4601" t="s">
        <v>63</v>
      </c>
      <c r="D4601" t="s">
        <v>4049</v>
      </c>
      <c r="E4601" t="s">
        <v>4313</v>
      </c>
      <c r="F4601" t="s">
        <v>4177</v>
      </c>
      <c r="G4601">
        <v>0.1</v>
      </c>
      <c r="H4601" s="2">
        <v>124137.15</v>
      </c>
      <c r="I4601" s="2">
        <v>12413.72</v>
      </c>
    </row>
    <row r="4602" spans="1:9" x14ac:dyDescent="0.25">
      <c r="A4602" t="s">
        <v>2516</v>
      </c>
      <c r="B4602" t="s">
        <v>2517</v>
      </c>
      <c r="C4602" t="s">
        <v>63</v>
      </c>
      <c r="D4602" t="s">
        <v>4052</v>
      </c>
      <c r="E4602" t="s">
        <v>4053</v>
      </c>
      <c r="F4602" t="s">
        <v>4054</v>
      </c>
      <c r="G4602">
        <v>6.6</v>
      </c>
      <c r="H4602" s="2">
        <v>26873.75</v>
      </c>
      <c r="I4602" s="2">
        <v>1773.67</v>
      </c>
    </row>
    <row r="4603" spans="1:9" x14ac:dyDescent="0.25">
      <c r="A4603" t="s">
        <v>2519</v>
      </c>
      <c r="B4603" t="s">
        <v>2520</v>
      </c>
      <c r="C4603" t="s">
        <v>63</v>
      </c>
      <c r="D4603" t="s">
        <v>4062</v>
      </c>
      <c r="E4603" t="s">
        <v>4354</v>
      </c>
      <c r="F4603" t="s">
        <v>4171</v>
      </c>
      <c r="G4603">
        <v>1</v>
      </c>
      <c r="H4603" s="2">
        <v>1148</v>
      </c>
      <c r="I4603" s="2">
        <v>1148</v>
      </c>
    </row>
    <row r="4604" spans="1:9" x14ac:dyDescent="0.25">
      <c r="A4604" t="s">
        <v>2519</v>
      </c>
      <c r="B4604" t="s">
        <v>2520</v>
      </c>
      <c r="C4604" t="s">
        <v>63</v>
      </c>
      <c r="D4604" t="s">
        <v>4062</v>
      </c>
      <c r="E4604" t="s">
        <v>6543</v>
      </c>
      <c r="F4604" t="s">
        <v>63</v>
      </c>
      <c r="G4604">
        <v>1</v>
      </c>
      <c r="H4604" s="2">
        <v>97482</v>
      </c>
      <c r="I4604" s="2">
        <v>97482</v>
      </c>
    </row>
    <row r="4605" spans="1:9" x14ac:dyDescent="0.25">
      <c r="A4605" t="s">
        <v>2519</v>
      </c>
      <c r="B4605" t="s">
        <v>2520</v>
      </c>
      <c r="C4605" t="s">
        <v>63</v>
      </c>
      <c r="D4605" t="s">
        <v>4049</v>
      </c>
      <c r="E4605" t="s">
        <v>4176</v>
      </c>
      <c r="F4605" t="s">
        <v>4177</v>
      </c>
      <c r="G4605">
        <v>0.2</v>
      </c>
      <c r="H4605" s="2">
        <v>72300.17</v>
      </c>
      <c r="I4605" s="2">
        <v>14460.03</v>
      </c>
    </row>
    <row r="4606" spans="1:9" x14ac:dyDescent="0.25">
      <c r="A4606" t="s">
        <v>2519</v>
      </c>
      <c r="B4606" t="s">
        <v>2520</v>
      </c>
      <c r="C4606" t="s">
        <v>63</v>
      </c>
      <c r="D4606" t="s">
        <v>4049</v>
      </c>
      <c r="E4606" t="s">
        <v>4313</v>
      </c>
      <c r="F4606" t="s">
        <v>4177</v>
      </c>
      <c r="G4606">
        <v>0.1</v>
      </c>
      <c r="H4606" s="2">
        <v>124137.15</v>
      </c>
      <c r="I4606" s="2">
        <v>12413.72</v>
      </c>
    </row>
    <row r="4607" spans="1:9" x14ac:dyDescent="0.25">
      <c r="A4607" t="s">
        <v>2519</v>
      </c>
      <c r="B4607" t="s">
        <v>2520</v>
      </c>
      <c r="C4607" t="s">
        <v>63</v>
      </c>
      <c r="D4607" t="s">
        <v>4052</v>
      </c>
      <c r="E4607" t="s">
        <v>4053</v>
      </c>
      <c r="F4607" t="s">
        <v>4054</v>
      </c>
      <c r="G4607">
        <v>6.6</v>
      </c>
      <c r="H4607" s="2">
        <v>26873.75</v>
      </c>
      <c r="I4607" s="2">
        <v>1773.67</v>
      </c>
    </row>
    <row r="4608" spans="1:9" x14ac:dyDescent="0.25">
      <c r="A4608" t="s">
        <v>2522</v>
      </c>
      <c r="B4608" t="s">
        <v>2523</v>
      </c>
      <c r="C4608" t="s">
        <v>63</v>
      </c>
      <c r="D4608" t="s">
        <v>4062</v>
      </c>
      <c r="E4608" t="s">
        <v>4659</v>
      </c>
      <c r="F4608" t="s">
        <v>4377</v>
      </c>
      <c r="G4608">
        <v>0</v>
      </c>
      <c r="H4608" s="2">
        <v>31500</v>
      </c>
      <c r="I4608" s="2">
        <v>126</v>
      </c>
    </row>
    <row r="4609" spans="1:9" x14ac:dyDescent="0.25">
      <c r="A4609" t="s">
        <v>2522</v>
      </c>
      <c r="B4609" t="s">
        <v>2523</v>
      </c>
      <c r="C4609" t="s">
        <v>63</v>
      </c>
      <c r="D4609" t="s">
        <v>4062</v>
      </c>
      <c r="E4609" t="s">
        <v>6546</v>
      </c>
      <c r="F4609" t="s">
        <v>63</v>
      </c>
      <c r="G4609">
        <v>1</v>
      </c>
      <c r="H4609" s="2">
        <v>9651.08</v>
      </c>
      <c r="I4609" s="2">
        <v>9651.08</v>
      </c>
    </row>
    <row r="4610" spans="1:9" x14ac:dyDescent="0.25">
      <c r="A4610" t="s">
        <v>2522</v>
      </c>
      <c r="B4610" t="s">
        <v>2523</v>
      </c>
      <c r="C4610" t="s">
        <v>63</v>
      </c>
      <c r="D4610" t="s">
        <v>4062</v>
      </c>
      <c r="E4610" t="s">
        <v>4376</v>
      </c>
      <c r="F4610" t="s">
        <v>4377</v>
      </c>
      <c r="G4610">
        <v>0</v>
      </c>
      <c r="H4610" s="2">
        <v>72237.67</v>
      </c>
      <c r="I4610" s="2">
        <v>288.95</v>
      </c>
    </row>
    <row r="4611" spans="1:9" x14ac:dyDescent="0.25">
      <c r="A4611" t="s">
        <v>2522</v>
      </c>
      <c r="B4611" t="s">
        <v>2523</v>
      </c>
      <c r="C4611" t="s">
        <v>63</v>
      </c>
      <c r="D4611" t="s">
        <v>4049</v>
      </c>
      <c r="E4611" t="s">
        <v>4176</v>
      </c>
      <c r="F4611" t="s">
        <v>4177</v>
      </c>
      <c r="G4611">
        <v>0.05</v>
      </c>
      <c r="H4611" s="2">
        <v>72300.17</v>
      </c>
      <c r="I4611" s="2">
        <v>3615.01</v>
      </c>
    </row>
    <row r="4612" spans="1:9" x14ac:dyDescent="0.25">
      <c r="A4612" t="s">
        <v>2522</v>
      </c>
      <c r="B4612" t="s">
        <v>2523</v>
      </c>
      <c r="C4612" t="s">
        <v>63</v>
      </c>
      <c r="D4612" t="s">
        <v>4049</v>
      </c>
      <c r="E4612" t="s">
        <v>4313</v>
      </c>
      <c r="F4612" t="s">
        <v>4177</v>
      </c>
      <c r="G4612">
        <v>0.05</v>
      </c>
      <c r="H4612" s="2">
        <v>124137.15</v>
      </c>
      <c r="I4612" s="2">
        <v>6206.86</v>
      </c>
    </row>
    <row r="4613" spans="1:9" x14ac:dyDescent="0.25">
      <c r="A4613" t="s">
        <v>2522</v>
      </c>
      <c r="B4613" t="s">
        <v>2523</v>
      </c>
      <c r="C4613" t="s">
        <v>63</v>
      </c>
      <c r="D4613" t="s">
        <v>4052</v>
      </c>
      <c r="E4613" t="s">
        <v>4053</v>
      </c>
      <c r="F4613" t="s">
        <v>4054</v>
      </c>
      <c r="G4613">
        <v>6.6</v>
      </c>
      <c r="H4613" s="2">
        <v>9821.87</v>
      </c>
      <c r="I4613" s="2">
        <v>648.24</v>
      </c>
    </row>
    <row r="4614" spans="1:9" x14ac:dyDescent="0.25">
      <c r="A4614" t="s">
        <v>2525</v>
      </c>
      <c r="B4614" t="s">
        <v>2526</v>
      </c>
      <c r="C4614" t="s">
        <v>63</v>
      </c>
      <c r="D4614" t="s">
        <v>4062</v>
      </c>
      <c r="E4614" t="s">
        <v>4354</v>
      </c>
      <c r="F4614" t="s">
        <v>4171</v>
      </c>
      <c r="G4614">
        <v>1</v>
      </c>
      <c r="H4614" s="2">
        <v>1148</v>
      </c>
      <c r="I4614" s="2">
        <v>1148</v>
      </c>
    </row>
    <row r="4615" spans="1:9" x14ac:dyDescent="0.25">
      <c r="A4615" t="s">
        <v>2525</v>
      </c>
      <c r="B4615" t="s">
        <v>2526</v>
      </c>
      <c r="C4615" t="s">
        <v>63</v>
      </c>
      <c r="D4615" t="s">
        <v>4062</v>
      </c>
      <c r="E4615" t="s">
        <v>6549</v>
      </c>
      <c r="F4615" t="s">
        <v>63</v>
      </c>
      <c r="G4615">
        <v>1</v>
      </c>
      <c r="H4615" s="2">
        <v>310500</v>
      </c>
      <c r="I4615" s="2">
        <v>310500</v>
      </c>
    </row>
    <row r="4616" spans="1:9" x14ac:dyDescent="0.25">
      <c r="A4616" t="s">
        <v>2525</v>
      </c>
      <c r="B4616" t="s">
        <v>2526</v>
      </c>
      <c r="C4616" t="s">
        <v>63</v>
      </c>
      <c r="D4616" t="s">
        <v>4049</v>
      </c>
      <c r="E4616" t="s">
        <v>4176</v>
      </c>
      <c r="F4616" t="s">
        <v>4177</v>
      </c>
      <c r="G4616">
        <v>0.2</v>
      </c>
      <c r="H4616" s="2">
        <v>72300.17</v>
      </c>
      <c r="I4616" s="2">
        <v>14460.03</v>
      </c>
    </row>
    <row r="4617" spans="1:9" x14ac:dyDescent="0.25">
      <c r="A4617" t="s">
        <v>2525</v>
      </c>
      <c r="B4617" t="s">
        <v>2526</v>
      </c>
      <c r="C4617" t="s">
        <v>63</v>
      </c>
      <c r="D4617" t="s">
        <v>4049</v>
      </c>
      <c r="E4617" t="s">
        <v>4313</v>
      </c>
      <c r="F4617" t="s">
        <v>4177</v>
      </c>
      <c r="G4617">
        <v>0.1</v>
      </c>
      <c r="H4617" s="2">
        <v>124137.15</v>
      </c>
      <c r="I4617" s="2">
        <v>12413.72</v>
      </c>
    </row>
    <row r="4618" spans="1:9" x14ac:dyDescent="0.25">
      <c r="A4618" t="s">
        <v>2525</v>
      </c>
      <c r="B4618" t="s">
        <v>2526</v>
      </c>
      <c r="C4618" t="s">
        <v>63</v>
      </c>
      <c r="D4618" t="s">
        <v>4052</v>
      </c>
      <c r="E4618" t="s">
        <v>4053</v>
      </c>
      <c r="F4618" t="s">
        <v>4054</v>
      </c>
      <c r="G4618">
        <v>6.6</v>
      </c>
      <c r="H4618" s="2">
        <v>26873.75</v>
      </c>
      <c r="I4618" s="2">
        <v>1773.67</v>
      </c>
    </row>
    <row r="4619" spans="1:9" x14ac:dyDescent="0.25">
      <c r="A4619" t="s">
        <v>2528</v>
      </c>
      <c r="B4619" t="s">
        <v>2529</v>
      </c>
      <c r="C4619" t="s">
        <v>63</v>
      </c>
      <c r="D4619" t="s">
        <v>4062</v>
      </c>
      <c r="E4619" t="s">
        <v>4354</v>
      </c>
      <c r="F4619" t="s">
        <v>4171</v>
      </c>
      <c r="G4619">
        <v>1</v>
      </c>
      <c r="H4619" s="2">
        <v>1148</v>
      </c>
      <c r="I4619" s="2">
        <v>1148</v>
      </c>
    </row>
    <row r="4620" spans="1:9" x14ac:dyDescent="0.25">
      <c r="A4620" t="s">
        <v>2528</v>
      </c>
      <c r="B4620" t="s">
        <v>2529</v>
      </c>
      <c r="C4620" t="s">
        <v>63</v>
      </c>
      <c r="D4620" t="s">
        <v>4062</v>
      </c>
      <c r="E4620" t="s">
        <v>6552</v>
      </c>
      <c r="F4620" t="s">
        <v>63</v>
      </c>
      <c r="G4620">
        <v>1</v>
      </c>
      <c r="H4620" s="2">
        <v>56650</v>
      </c>
      <c r="I4620" s="2">
        <v>56650</v>
      </c>
    </row>
    <row r="4621" spans="1:9" x14ac:dyDescent="0.25">
      <c r="A4621" t="s">
        <v>2528</v>
      </c>
      <c r="B4621" t="s">
        <v>2529</v>
      </c>
      <c r="C4621" t="s">
        <v>63</v>
      </c>
      <c r="D4621" t="s">
        <v>4049</v>
      </c>
      <c r="E4621" t="s">
        <v>4176</v>
      </c>
      <c r="F4621" t="s">
        <v>4177</v>
      </c>
      <c r="G4621">
        <v>0.4</v>
      </c>
      <c r="H4621" s="2">
        <v>72300.17</v>
      </c>
      <c r="I4621" s="2">
        <v>28920.07</v>
      </c>
    </row>
    <row r="4622" spans="1:9" x14ac:dyDescent="0.25">
      <c r="A4622" t="s">
        <v>2528</v>
      </c>
      <c r="B4622" t="s">
        <v>2529</v>
      </c>
      <c r="C4622" t="s">
        <v>63</v>
      </c>
      <c r="D4622" t="s">
        <v>4049</v>
      </c>
      <c r="E4622" t="s">
        <v>4313</v>
      </c>
      <c r="F4622" t="s">
        <v>4177</v>
      </c>
      <c r="G4622">
        <v>0.2</v>
      </c>
      <c r="H4622" s="2">
        <v>124137.15</v>
      </c>
      <c r="I4622" s="2">
        <v>24827.43</v>
      </c>
    </row>
    <row r="4623" spans="1:9" x14ac:dyDescent="0.25">
      <c r="A4623" t="s">
        <v>2528</v>
      </c>
      <c r="B4623" t="s">
        <v>2529</v>
      </c>
      <c r="C4623" t="s">
        <v>63</v>
      </c>
      <c r="D4623" t="s">
        <v>4052</v>
      </c>
      <c r="E4623" t="s">
        <v>4053</v>
      </c>
      <c r="F4623" t="s">
        <v>4054</v>
      </c>
      <c r="G4623">
        <v>6.6</v>
      </c>
      <c r="H4623" s="2">
        <v>53747.5</v>
      </c>
      <c r="I4623" s="2">
        <v>3547.34</v>
      </c>
    </row>
    <row r="4624" spans="1:9" x14ac:dyDescent="0.25">
      <c r="A4624" t="s">
        <v>2531</v>
      </c>
      <c r="B4624" t="s">
        <v>2532</v>
      </c>
      <c r="C4624" t="s">
        <v>63</v>
      </c>
      <c r="D4624" t="s">
        <v>4062</v>
      </c>
      <c r="E4624" t="s">
        <v>4736</v>
      </c>
      <c r="F4624" t="s">
        <v>63</v>
      </c>
      <c r="G4624">
        <v>1</v>
      </c>
      <c r="H4624" s="2">
        <v>2318</v>
      </c>
      <c r="I4624" s="2">
        <v>2318</v>
      </c>
    </row>
    <row r="4625" spans="1:9" x14ac:dyDescent="0.25">
      <c r="A4625" t="s">
        <v>2531</v>
      </c>
      <c r="B4625" t="s">
        <v>2532</v>
      </c>
      <c r="C4625" t="s">
        <v>63</v>
      </c>
      <c r="D4625" t="s">
        <v>4062</v>
      </c>
      <c r="E4625" t="s">
        <v>4659</v>
      </c>
      <c r="F4625" t="s">
        <v>4377</v>
      </c>
      <c r="G4625">
        <v>0</v>
      </c>
      <c r="H4625" s="2">
        <v>31500</v>
      </c>
      <c r="I4625" s="2">
        <v>31.5</v>
      </c>
    </row>
    <row r="4626" spans="1:9" x14ac:dyDescent="0.25">
      <c r="A4626" t="s">
        <v>2531</v>
      </c>
      <c r="B4626" t="s">
        <v>2532</v>
      </c>
      <c r="C4626" t="s">
        <v>63</v>
      </c>
      <c r="D4626" t="s">
        <v>4062</v>
      </c>
      <c r="E4626" t="s">
        <v>4376</v>
      </c>
      <c r="F4626" t="s">
        <v>4377</v>
      </c>
      <c r="G4626">
        <v>0</v>
      </c>
      <c r="H4626" s="2">
        <v>72237.67</v>
      </c>
      <c r="I4626" s="2">
        <v>72.24</v>
      </c>
    </row>
    <row r="4627" spans="1:9" x14ac:dyDescent="0.25">
      <c r="A4627" t="s">
        <v>2531</v>
      </c>
      <c r="B4627" t="s">
        <v>2532</v>
      </c>
      <c r="C4627" t="s">
        <v>63</v>
      </c>
      <c r="D4627" t="s">
        <v>4049</v>
      </c>
      <c r="E4627" t="s">
        <v>4241</v>
      </c>
      <c r="F4627" t="s">
        <v>4051</v>
      </c>
      <c r="G4627">
        <v>0.05</v>
      </c>
      <c r="H4627" s="2">
        <v>9941.22</v>
      </c>
      <c r="I4627" s="2">
        <v>497.06</v>
      </c>
    </row>
    <row r="4628" spans="1:9" x14ac:dyDescent="0.25">
      <c r="A4628" t="s">
        <v>2531</v>
      </c>
      <c r="B4628" t="s">
        <v>2532</v>
      </c>
      <c r="C4628" t="s">
        <v>63</v>
      </c>
      <c r="D4628" t="s">
        <v>4049</v>
      </c>
      <c r="E4628" t="s">
        <v>4242</v>
      </c>
      <c r="F4628" t="s">
        <v>4051</v>
      </c>
      <c r="G4628">
        <v>0.05</v>
      </c>
      <c r="H4628" s="2">
        <v>17069.53</v>
      </c>
      <c r="I4628" s="2">
        <v>853.48</v>
      </c>
    </row>
    <row r="4629" spans="1:9" x14ac:dyDescent="0.25">
      <c r="A4629" t="s">
        <v>2531</v>
      </c>
      <c r="B4629" t="s">
        <v>2532</v>
      </c>
      <c r="C4629" t="s">
        <v>63</v>
      </c>
      <c r="D4629" t="s">
        <v>4052</v>
      </c>
      <c r="E4629" t="s">
        <v>4053</v>
      </c>
      <c r="F4629" t="s">
        <v>4054</v>
      </c>
      <c r="G4629">
        <v>10</v>
      </c>
      <c r="H4629" s="2">
        <v>1350.54</v>
      </c>
      <c r="I4629" s="2">
        <v>135.05</v>
      </c>
    </row>
    <row r="4630" spans="1:9" x14ac:dyDescent="0.25">
      <c r="A4630" t="s">
        <v>2534</v>
      </c>
      <c r="B4630" t="s">
        <v>2535</v>
      </c>
      <c r="C4630" t="s">
        <v>63</v>
      </c>
      <c r="D4630" t="s">
        <v>4062</v>
      </c>
      <c r="E4630" t="s">
        <v>6557</v>
      </c>
      <c r="F4630" t="s">
        <v>63</v>
      </c>
      <c r="G4630">
        <v>1</v>
      </c>
      <c r="H4630" s="2">
        <v>5926</v>
      </c>
      <c r="I4630" s="2">
        <v>5926</v>
      </c>
    </row>
    <row r="4631" spans="1:9" x14ac:dyDescent="0.25">
      <c r="A4631" t="s">
        <v>2534</v>
      </c>
      <c r="B4631" t="s">
        <v>2535</v>
      </c>
      <c r="C4631" t="s">
        <v>63</v>
      </c>
      <c r="D4631" t="s">
        <v>4062</v>
      </c>
      <c r="E4631" t="s">
        <v>4659</v>
      </c>
      <c r="F4631" t="s">
        <v>4377</v>
      </c>
      <c r="G4631">
        <v>0</v>
      </c>
      <c r="H4631" s="2">
        <v>31500</v>
      </c>
      <c r="I4631" s="2">
        <v>31.5</v>
      </c>
    </row>
    <row r="4632" spans="1:9" x14ac:dyDescent="0.25">
      <c r="A4632" t="s">
        <v>2534</v>
      </c>
      <c r="B4632" t="s">
        <v>2535</v>
      </c>
      <c r="C4632" t="s">
        <v>63</v>
      </c>
      <c r="D4632" t="s">
        <v>4062</v>
      </c>
      <c r="E4632" t="s">
        <v>4376</v>
      </c>
      <c r="F4632" t="s">
        <v>4377</v>
      </c>
      <c r="G4632">
        <v>0</v>
      </c>
      <c r="H4632" s="2">
        <v>72237.67</v>
      </c>
      <c r="I4632" s="2">
        <v>72.24</v>
      </c>
    </row>
    <row r="4633" spans="1:9" x14ac:dyDescent="0.25">
      <c r="A4633" t="s">
        <v>2534</v>
      </c>
      <c r="B4633" t="s">
        <v>2535</v>
      </c>
      <c r="C4633" t="s">
        <v>63</v>
      </c>
      <c r="D4633" t="s">
        <v>4049</v>
      </c>
      <c r="E4633" t="s">
        <v>4241</v>
      </c>
      <c r="F4633" t="s">
        <v>4051</v>
      </c>
      <c r="G4633">
        <v>0.06</v>
      </c>
      <c r="H4633" s="2">
        <v>9941.22</v>
      </c>
      <c r="I4633" s="2">
        <v>596.47</v>
      </c>
    </row>
    <row r="4634" spans="1:9" x14ac:dyDescent="0.25">
      <c r="A4634" t="s">
        <v>2534</v>
      </c>
      <c r="B4634" t="s">
        <v>2535</v>
      </c>
      <c r="C4634" t="s">
        <v>63</v>
      </c>
      <c r="D4634" t="s">
        <v>4049</v>
      </c>
      <c r="E4634" t="s">
        <v>4242</v>
      </c>
      <c r="F4634" t="s">
        <v>4051</v>
      </c>
      <c r="G4634">
        <v>0.06</v>
      </c>
      <c r="H4634" s="2">
        <v>17069.53</v>
      </c>
      <c r="I4634" s="2">
        <v>1024.17</v>
      </c>
    </row>
    <row r="4635" spans="1:9" x14ac:dyDescent="0.25">
      <c r="A4635" t="s">
        <v>2534</v>
      </c>
      <c r="B4635" t="s">
        <v>2535</v>
      </c>
      <c r="C4635" t="s">
        <v>63</v>
      </c>
      <c r="D4635" t="s">
        <v>4052</v>
      </c>
      <c r="E4635" t="s">
        <v>4053</v>
      </c>
      <c r="F4635" t="s">
        <v>4054</v>
      </c>
      <c r="G4635">
        <v>5</v>
      </c>
      <c r="H4635" s="2">
        <v>1620.64</v>
      </c>
      <c r="I4635" s="2">
        <v>81.03</v>
      </c>
    </row>
    <row r="4636" spans="1:9" x14ac:dyDescent="0.25">
      <c r="A4636" t="s">
        <v>2537</v>
      </c>
      <c r="B4636" t="s">
        <v>2538</v>
      </c>
      <c r="C4636" t="s">
        <v>63</v>
      </c>
      <c r="D4636" t="s">
        <v>4062</v>
      </c>
      <c r="E4636" t="s">
        <v>6560</v>
      </c>
      <c r="F4636" t="s">
        <v>63</v>
      </c>
      <c r="G4636">
        <v>1</v>
      </c>
      <c r="H4636" s="2">
        <v>6873</v>
      </c>
      <c r="I4636" s="2">
        <v>6873</v>
      </c>
    </row>
    <row r="4637" spans="1:9" x14ac:dyDescent="0.25">
      <c r="A4637" t="s">
        <v>2537</v>
      </c>
      <c r="B4637" t="s">
        <v>2538</v>
      </c>
      <c r="C4637" t="s">
        <v>63</v>
      </c>
      <c r="D4637" t="s">
        <v>4062</v>
      </c>
      <c r="E4637" t="s">
        <v>4659</v>
      </c>
      <c r="F4637" t="s">
        <v>4377</v>
      </c>
      <c r="G4637">
        <v>0.01</v>
      </c>
      <c r="H4637" s="2">
        <v>31500</v>
      </c>
      <c r="I4637" s="2">
        <v>179.55</v>
      </c>
    </row>
    <row r="4638" spans="1:9" x14ac:dyDescent="0.25">
      <c r="A4638" t="s">
        <v>2537</v>
      </c>
      <c r="B4638" t="s">
        <v>2538</v>
      </c>
      <c r="C4638" t="s">
        <v>63</v>
      </c>
      <c r="D4638" t="s">
        <v>4062</v>
      </c>
      <c r="E4638" t="s">
        <v>4376</v>
      </c>
      <c r="F4638" t="s">
        <v>4377</v>
      </c>
      <c r="G4638">
        <v>0.01</v>
      </c>
      <c r="H4638" s="2">
        <v>72237.67</v>
      </c>
      <c r="I4638" s="2">
        <v>411.75</v>
      </c>
    </row>
    <row r="4639" spans="1:9" x14ac:dyDescent="0.25">
      <c r="A4639" t="s">
        <v>2537</v>
      </c>
      <c r="B4639" t="s">
        <v>2538</v>
      </c>
      <c r="C4639" t="s">
        <v>63</v>
      </c>
      <c r="D4639" t="s">
        <v>4049</v>
      </c>
      <c r="E4639" t="s">
        <v>4241</v>
      </c>
      <c r="F4639" t="s">
        <v>4051</v>
      </c>
      <c r="G4639">
        <v>0.1</v>
      </c>
      <c r="H4639" s="2">
        <v>9941.22</v>
      </c>
      <c r="I4639" s="2">
        <v>994.12</v>
      </c>
    </row>
    <row r="4640" spans="1:9" x14ac:dyDescent="0.25">
      <c r="A4640" t="s">
        <v>2537</v>
      </c>
      <c r="B4640" t="s">
        <v>2538</v>
      </c>
      <c r="C4640" t="s">
        <v>63</v>
      </c>
      <c r="D4640" t="s">
        <v>4049</v>
      </c>
      <c r="E4640" t="s">
        <v>4242</v>
      </c>
      <c r="F4640" t="s">
        <v>4051</v>
      </c>
      <c r="G4640">
        <v>0.1</v>
      </c>
      <c r="H4640" s="2">
        <v>17069.53</v>
      </c>
      <c r="I4640" s="2">
        <v>1706.95</v>
      </c>
    </row>
    <row r="4641" spans="1:9" x14ac:dyDescent="0.25">
      <c r="A4641" t="s">
        <v>2537</v>
      </c>
      <c r="B4641" t="s">
        <v>2538</v>
      </c>
      <c r="C4641" t="s">
        <v>63</v>
      </c>
      <c r="D4641" t="s">
        <v>4052</v>
      </c>
      <c r="E4641" t="s">
        <v>4053</v>
      </c>
      <c r="F4641" t="s">
        <v>4054</v>
      </c>
      <c r="G4641">
        <v>11</v>
      </c>
      <c r="H4641" s="2">
        <v>2701.07</v>
      </c>
      <c r="I4641" s="2">
        <v>297.12</v>
      </c>
    </row>
    <row r="4642" spans="1:9" x14ac:dyDescent="0.25">
      <c r="A4642" t="s">
        <v>2540</v>
      </c>
      <c r="B4642" t="s">
        <v>2541</v>
      </c>
      <c r="C4642" t="s">
        <v>63</v>
      </c>
      <c r="D4642" t="s">
        <v>4062</v>
      </c>
      <c r="E4642" t="s">
        <v>4750</v>
      </c>
      <c r="F4642" t="s">
        <v>63</v>
      </c>
      <c r="G4642">
        <v>1</v>
      </c>
      <c r="H4642" s="2">
        <v>741</v>
      </c>
      <c r="I4642" s="2">
        <v>741</v>
      </c>
    </row>
    <row r="4643" spans="1:9" x14ac:dyDescent="0.25">
      <c r="A4643" t="s">
        <v>2540</v>
      </c>
      <c r="B4643" t="s">
        <v>2541</v>
      </c>
      <c r="C4643" t="s">
        <v>63</v>
      </c>
      <c r="D4643" t="s">
        <v>4062</v>
      </c>
      <c r="E4643" t="s">
        <v>4659</v>
      </c>
      <c r="F4643" t="s">
        <v>4377</v>
      </c>
      <c r="G4643">
        <v>0</v>
      </c>
      <c r="H4643" s="2">
        <v>31500</v>
      </c>
      <c r="I4643" s="2">
        <v>31.5</v>
      </c>
    </row>
    <row r="4644" spans="1:9" x14ac:dyDescent="0.25">
      <c r="A4644" t="s">
        <v>2540</v>
      </c>
      <c r="B4644" t="s">
        <v>2541</v>
      </c>
      <c r="C4644" t="s">
        <v>63</v>
      </c>
      <c r="D4644" t="s">
        <v>4062</v>
      </c>
      <c r="E4644" t="s">
        <v>4376</v>
      </c>
      <c r="F4644" t="s">
        <v>4377</v>
      </c>
      <c r="G4644">
        <v>0</v>
      </c>
      <c r="H4644" s="2">
        <v>72237.67</v>
      </c>
      <c r="I4644" s="2">
        <v>72.24</v>
      </c>
    </row>
    <row r="4645" spans="1:9" x14ac:dyDescent="0.25">
      <c r="A4645" t="s">
        <v>2540</v>
      </c>
      <c r="B4645" t="s">
        <v>2541</v>
      </c>
      <c r="C4645" t="s">
        <v>63</v>
      </c>
      <c r="D4645" t="s">
        <v>4049</v>
      </c>
      <c r="E4645" t="s">
        <v>4241</v>
      </c>
      <c r="F4645" t="s">
        <v>4051</v>
      </c>
      <c r="G4645">
        <v>0.01</v>
      </c>
      <c r="H4645" s="2">
        <v>9941.22</v>
      </c>
      <c r="I4645" s="2">
        <v>109.35</v>
      </c>
    </row>
    <row r="4646" spans="1:9" x14ac:dyDescent="0.25">
      <c r="A4646" t="s">
        <v>2540</v>
      </c>
      <c r="B4646" t="s">
        <v>2541</v>
      </c>
      <c r="C4646" t="s">
        <v>63</v>
      </c>
      <c r="D4646" t="s">
        <v>4049</v>
      </c>
      <c r="E4646" t="s">
        <v>4242</v>
      </c>
      <c r="F4646" t="s">
        <v>4051</v>
      </c>
      <c r="G4646">
        <v>0.01</v>
      </c>
      <c r="H4646" s="2">
        <v>17069.53</v>
      </c>
      <c r="I4646" s="2">
        <v>187.76</v>
      </c>
    </row>
    <row r="4647" spans="1:9" x14ac:dyDescent="0.25">
      <c r="A4647" t="s">
        <v>2540</v>
      </c>
      <c r="B4647" t="s">
        <v>2541</v>
      </c>
      <c r="C4647" t="s">
        <v>63</v>
      </c>
      <c r="D4647" t="s">
        <v>4052</v>
      </c>
      <c r="E4647" t="s">
        <v>4053</v>
      </c>
      <c r="F4647" t="s">
        <v>4054</v>
      </c>
      <c r="G4647">
        <v>5</v>
      </c>
      <c r="H4647" s="2">
        <v>297.11</v>
      </c>
      <c r="I4647" s="2">
        <v>14.86</v>
      </c>
    </row>
    <row r="4648" spans="1:9" x14ac:dyDescent="0.25">
      <c r="A4648" t="s">
        <v>2543</v>
      </c>
      <c r="B4648" t="s">
        <v>2544</v>
      </c>
      <c r="C4648" t="s">
        <v>63</v>
      </c>
      <c r="D4648" t="s">
        <v>4062</v>
      </c>
      <c r="E4648" t="s">
        <v>4682</v>
      </c>
      <c r="F4648" t="s">
        <v>63</v>
      </c>
      <c r="G4648">
        <v>1</v>
      </c>
      <c r="H4648" s="2">
        <v>13300</v>
      </c>
      <c r="I4648" s="2">
        <v>13300</v>
      </c>
    </row>
    <row r="4649" spans="1:9" x14ac:dyDescent="0.25">
      <c r="A4649" t="s">
        <v>2543</v>
      </c>
      <c r="B4649" t="s">
        <v>2544</v>
      </c>
      <c r="C4649" t="s">
        <v>63</v>
      </c>
      <c r="D4649" t="s">
        <v>4062</v>
      </c>
      <c r="E4649" t="s">
        <v>4659</v>
      </c>
      <c r="F4649" t="s">
        <v>4377</v>
      </c>
      <c r="G4649">
        <v>0</v>
      </c>
      <c r="H4649" s="2">
        <v>31500</v>
      </c>
      <c r="I4649" s="2">
        <v>63</v>
      </c>
    </row>
    <row r="4650" spans="1:9" x14ac:dyDescent="0.25">
      <c r="A4650" t="s">
        <v>2543</v>
      </c>
      <c r="B4650" t="s">
        <v>2544</v>
      </c>
      <c r="C4650" t="s">
        <v>63</v>
      </c>
      <c r="D4650" t="s">
        <v>4062</v>
      </c>
      <c r="E4650" t="s">
        <v>4376</v>
      </c>
      <c r="F4650" t="s">
        <v>4377</v>
      </c>
      <c r="G4650">
        <v>0</v>
      </c>
      <c r="H4650" s="2">
        <v>72237.67</v>
      </c>
      <c r="I4650" s="2">
        <v>144.48</v>
      </c>
    </row>
    <row r="4651" spans="1:9" x14ac:dyDescent="0.25">
      <c r="A4651" t="s">
        <v>2543</v>
      </c>
      <c r="B4651" t="s">
        <v>2544</v>
      </c>
      <c r="C4651" t="s">
        <v>63</v>
      </c>
      <c r="D4651" t="s">
        <v>4049</v>
      </c>
      <c r="E4651" t="s">
        <v>4241</v>
      </c>
      <c r="F4651" t="s">
        <v>4051</v>
      </c>
      <c r="G4651">
        <v>0.05</v>
      </c>
      <c r="H4651" s="2">
        <v>9941.22</v>
      </c>
      <c r="I4651" s="2">
        <v>497.06</v>
      </c>
    </row>
    <row r="4652" spans="1:9" x14ac:dyDescent="0.25">
      <c r="A4652" t="s">
        <v>2543</v>
      </c>
      <c r="B4652" t="s">
        <v>2544</v>
      </c>
      <c r="C4652" t="s">
        <v>63</v>
      </c>
      <c r="D4652" t="s">
        <v>4049</v>
      </c>
      <c r="E4652" t="s">
        <v>4242</v>
      </c>
      <c r="F4652" t="s">
        <v>4051</v>
      </c>
      <c r="G4652">
        <v>0.05</v>
      </c>
      <c r="H4652" s="2">
        <v>17069.53</v>
      </c>
      <c r="I4652" s="2">
        <v>853.48</v>
      </c>
    </row>
    <row r="4653" spans="1:9" x14ac:dyDescent="0.25">
      <c r="A4653" t="s">
        <v>2543</v>
      </c>
      <c r="B4653" t="s">
        <v>2544</v>
      </c>
      <c r="C4653" t="s">
        <v>63</v>
      </c>
      <c r="D4653" t="s">
        <v>4052</v>
      </c>
      <c r="E4653" t="s">
        <v>4053</v>
      </c>
      <c r="F4653" t="s">
        <v>4054</v>
      </c>
      <c r="G4653">
        <v>10</v>
      </c>
      <c r="H4653" s="2">
        <v>1350.54</v>
      </c>
      <c r="I4653" s="2">
        <v>135.05</v>
      </c>
    </row>
    <row r="4654" spans="1:9" x14ac:dyDescent="0.25">
      <c r="A4654" t="s">
        <v>2546</v>
      </c>
      <c r="B4654" t="s">
        <v>2547</v>
      </c>
      <c r="C4654" t="s">
        <v>63</v>
      </c>
      <c r="D4654" t="s">
        <v>4062</v>
      </c>
      <c r="E4654" t="s">
        <v>6567</v>
      </c>
      <c r="F4654" t="s">
        <v>63</v>
      </c>
      <c r="G4654">
        <v>1</v>
      </c>
      <c r="H4654" s="2">
        <v>51867</v>
      </c>
      <c r="I4654" s="2">
        <v>51867</v>
      </c>
    </row>
    <row r="4655" spans="1:9" x14ac:dyDescent="0.25">
      <c r="A4655" t="s">
        <v>2546</v>
      </c>
      <c r="B4655" t="s">
        <v>2547</v>
      </c>
      <c r="C4655" t="s">
        <v>63</v>
      </c>
      <c r="D4655" t="s">
        <v>4062</v>
      </c>
      <c r="E4655" t="s">
        <v>4659</v>
      </c>
      <c r="F4655" t="s">
        <v>4377</v>
      </c>
      <c r="G4655">
        <v>0</v>
      </c>
      <c r="H4655" s="2">
        <v>31500</v>
      </c>
      <c r="I4655" s="2">
        <v>63</v>
      </c>
    </row>
    <row r="4656" spans="1:9" x14ac:dyDescent="0.25">
      <c r="A4656" t="s">
        <v>2546</v>
      </c>
      <c r="B4656" t="s">
        <v>2547</v>
      </c>
      <c r="C4656" t="s">
        <v>63</v>
      </c>
      <c r="D4656" t="s">
        <v>4062</v>
      </c>
      <c r="E4656" t="s">
        <v>4376</v>
      </c>
      <c r="F4656" t="s">
        <v>4377</v>
      </c>
      <c r="G4656">
        <v>0</v>
      </c>
      <c r="H4656" s="2">
        <v>72237.67</v>
      </c>
      <c r="I4656" s="2">
        <v>144.48</v>
      </c>
    </row>
    <row r="4657" spans="1:9" x14ac:dyDescent="0.25">
      <c r="A4657" t="s">
        <v>2546</v>
      </c>
      <c r="B4657" t="s">
        <v>2547</v>
      </c>
      <c r="C4657" t="s">
        <v>63</v>
      </c>
      <c r="D4657" t="s">
        <v>4049</v>
      </c>
      <c r="E4657" t="s">
        <v>4241</v>
      </c>
      <c r="F4657" t="s">
        <v>4051</v>
      </c>
      <c r="G4657">
        <v>0.08</v>
      </c>
      <c r="H4657" s="2">
        <v>9941.22</v>
      </c>
      <c r="I4657" s="2">
        <v>795.3</v>
      </c>
    </row>
    <row r="4658" spans="1:9" x14ac:dyDescent="0.25">
      <c r="A4658" t="s">
        <v>2546</v>
      </c>
      <c r="B4658" t="s">
        <v>2547</v>
      </c>
      <c r="C4658" t="s">
        <v>63</v>
      </c>
      <c r="D4658" t="s">
        <v>4049</v>
      </c>
      <c r="E4658" t="s">
        <v>4242</v>
      </c>
      <c r="F4658" t="s">
        <v>4051</v>
      </c>
      <c r="G4658">
        <v>0.08</v>
      </c>
      <c r="H4658" s="2">
        <v>17069.53</v>
      </c>
      <c r="I4658" s="2">
        <v>1365.56</v>
      </c>
    </row>
    <row r="4659" spans="1:9" x14ac:dyDescent="0.25">
      <c r="A4659" t="s">
        <v>2546</v>
      </c>
      <c r="B4659" t="s">
        <v>2547</v>
      </c>
      <c r="C4659" t="s">
        <v>63</v>
      </c>
      <c r="D4659" t="s">
        <v>4052</v>
      </c>
      <c r="E4659" t="s">
        <v>4053</v>
      </c>
      <c r="F4659" t="s">
        <v>4054</v>
      </c>
      <c r="G4659">
        <v>10</v>
      </c>
      <c r="H4659" s="2">
        <v>2160.86</v>
      </c>
      <c r="I4659" s="2">
        <v>216.09</v>
      </c>
    </row>
    <row r="4660" spans="1:9" x14ac:dyDescent="0.25">
      <c r="A4660" t="s">
        <v>2549</v>
      </c>
      <c r="B4660" t="s">
        <v>2550</v>
      </c>
      <c r="C4660" t="s">
        <v>63</v>
      </c>
      <c r="D4660" t="s">
        <v>4062</v>
      </c>
      <c r="E4660" t="s">
        <v>4743</v>
      </c>
      <c r="F4660" t="s">
        <v>63</v>
      </c>
      <c r="G4660">
        <v>1</v>
      </c>
      <c r="H4660" s="2">
        <v>1107</v>
      </c>
      <c r="I4660" s="2">
        <v>1107</v>
      </c>
    </row>
    <row r="4661" spans="1:9" x14ac:dyDescent="0.25">
      <c r="A4661" t="s">
        <v>2549</v>
      </c>
      <c r="B4661" t="s">
        <v>2550</v>
      </c>
      <c r="C4661" t="s">
        <v>63</v>
      </c>
      <c r="D4661" t="s">
        <v>4062</v>
      </c>
      <c r="E4661" t="s">
        <v>4659</v>
      </c>
      <c r="F4661" t="s">
        <v>4377</v>
      </c>
      <c r="G4661">
        <v>0</v>
      </c>
      <c r="H4661" s="2">
        <v>31500</v>
      </c>
      <c r="I4661" s="2">
        <v>31.5</v>
      </c>
    </row>
    <row r="4662" spans="1:9" x14ac:dyDescent="0.25">
      <c r="A4662" t="s">
        <v>2549</v>
      </c>
      <c r="B4662" t="s">
        <v>2550</v>
      </c>
      <c r="C4662" t="s">
        <v>63</v>
      </c>
      <c r="D4662" t="s">
        <v>4062</v>
      </c>
      <c r="E4662" t="s">
        <v>4376</v>
      </c>
      <c r="F4662" t="s">
        <v>4377</v>
      </c>
      <c r="G4662">
        <v>0</v>
      </c>
      <c r="H4662" s="2">
        <v>72237.67</v>
      </c>
      <c r="I4662" s="2">
        <v>72.24</v>
      </c>
    </row>
    <row r="4663" spans="1:9" x14ac:dyDescent="0.25">
      <c r="A4663" t="s">
        <v>2549</v>
      </c>
      <c r="B4663" t="s">
        <v>2550</v>
      </c>
      <c r="C4663" t="s">
        <v>63</v>
      </c>
      <c r="D4663" t="s">
        <v>4049</v>
      </c>
      <c r="E4663" t="s">
        <v>4241</v>
      </c>
      <c r="F4663" t="s">
        <v>4051</v>
      </c>
      <c r="G4663">
        <v>0.06</v>
      </c>
      <c r="H4663" s="2">
        <v>9941.22</v>
      </c>
      <c r="I4663" s="2">
        <v>596.47</v>
      </c>
    </row>
    <row r="4664" spans="1:9" x14ac:dyDescent="0.25">
      <c r="A4664" t="s">
        <v>2549</v>
      </c>
      <c r="B4664" t="s">
        <v>2550</v>
      </c>
      <c r="C4664" t="s">
        <v>63</v>
      </c>
      <c r="D4664" t="s">
        <v>4049</v>
      </c>
      <c r="E4664" t="s">
        <v>4242</v>
      </c>
      <c r="F4664" t="s">
        <v>4051</v>
      </c>
      <c r="G4664">
        <v>0.06</v>
      </c>
      <c r="H4664" s="2">
        <v>17069.53</v>
      </c>
      <c r="I4664" s="2">
        <v>1024.17</v>
      </c>
    </row>
    <row r="4665" spans="1:9" x14ac:dyDescent="0.25">
      <c r="A4665" t="s">
        <v>2549</v>
      </c>
      <c r="B4665" t="s">
        <v>2550</v>
      </c>
      <c r="C4665" t="s">
        <v>63</v>
      </c>
      <c r="D4665" t="s">
        <v>4052</v>
      </c>
      <c r="E4665" t="s">
        <v>4053</v>
      </c>
      <c r="F4665" t="s">
        <v>4054</v>
      </c>
      <c r="G4665">
        <v>5</v>
      </c>
      <c r="H4665" s="2">
        <v>1620.64</v>
      </c>
      <c r="I4665" s="2">
        <v>81.03</v>
      </c>
    </row>
    <row r="4666" spans="1:9" x14ac:dyDescent="0.25">
      <c r="A4666" t="s">
        <v>2552</v>
      </c>
      <c r="B4666" t="s">
        <v>2553</v>
      </c>
      <c r="C4666" t="s">
        <v>63</v>
      </c>
      <c r="D4666" t="s">
        <v>4062</v>
      </c>
      <c r="E4666" t="s">
        <v>6572</v>
      </c>
      <c r="F4666" t="s">
        <v>63</v>
      </c>
      <c r="G4666">
        <v>1</v>
      </c>
      <c r="H4666" s="2">
        <v>113687</v>
      </c>
      <c r="I4666" s="2">
        <v>113687</v>
      </c>
    </row>
    <row r="4667" spans="1:9" x14ac:dyDescent="0.25">
      <c r="A4667" t="s">
        <v>2552</v>
      </c>
      <c r="B4667" t="s">
        <v>2553</v>
      </c>
      <c r="C4667" t="s">
        <v>63</v>
      </c>
      <c r="D4667" t="s">
        <v>4062</v>
      </c>
      <c r="E4667" t="s">
        <v>4659</v>
      </c>
      <c r="F4667" t="s">
        <v>4377</v>
      </c>
      <c r="G4667">
        <v>0</v>
      </c>
      <c r="H4667" s="2">
        <v>31500</v>
      </c>
      <c r="I4667" s="2">
        <v>63</v>
      </c>
    </row>
    <row r="4668" spans="1:9" x14ac:dyDescent="0.25">
      <c r="A4668" t="s">
        <v>2552</v>
      </c>
      <c r="B4668" t="s">
        <v>2553</v>
      </c>
      <c r="C4668" t="s">
        <v>63</v>
      </c>
      <c r="D4668" t="s">
        <v>4062</v>
      </c>
      <c r="E4668" t="s">
        <v>4376</v>
      </c>
      <c r="F4668" t="s">
        <v>4377</v>
      </c>
      <c r="G4668">
        <v>0</v>
      </c>
      <c r="H4668" s="2">
        <v>72237.67</v>
      </c>
      <c r="I4668" s="2">
        <v>144.48</v>
      </c>
    </row>
    <row r="4669" spans="1:9" x14ac:dyDescent="0.25">
      <c r="A4669" t="s">
        <v>2552</v>
      </c>
      <c r="B4669" t="s">
        <v>2553</v>
      </c>
      <c r="C4669" t="s">
        <v>63</v>
      </c>
      <c r="D4669" t="s">
        <v>4049</v>
      </c>
      <c r="E4669" t="s">
        <v>4241</v>
      </c>
      <c r="F4669" t="s">
        <v>4051</v>
      </c>
      <c r="G4669">
        <v>0.1</v>
      </c>
      <c r="H4669" s="2">
        <v>9941.22</v>
      </c>
      <c r="I4669" s="2">
        <v>994.12</v>
      </c>
    </row>
    <row r="4670" spans="1:9" x14ac:dyDescent="0.25">
      <c r="A4670" t="s">
        <v>2552</v>
      </c>
      <c r="B4670" t="s">
        <v>2553</v>
      </c>
      <c r="C4670" t="s">
        <v>63</v>
      </c>
      <c r="D4670" t="s">
        <v>4049</v>
      </c>
      <c r="E4670" t="s">
        <v>4242</v>
      </c>
      <c r="F4670" t="s">
        <v>4051</v>
      </c>
      <c r="G4670">
        <v>0.1</v>
      </c>
      <c r="H4670" s="2">
        <v>17069.53</v>
      </c>
      <c r="I4670" s="2">
        <v>1706.95</v>
      </c>
    </row>
    <row r="4671" spans="1:9" x14ac:dyDescent="0.25">
      <c r="A4671" t="s">
        <v>2552</v>
      </c>
      <c r="B4671" t="s">
        <v>2553</v>
      </c>
      <c r="C4671" t="s">
        <v>63</v>
      </c>
      <c r="D4671" t="s">
        <v>4052</v>
      </c>
      <c r="E4671" t="s">
        <v>4053</v>
      </c>
      <c r="F4671" t="s">
        <v>4054</v>
      </c>
      <c r="G4671">
        <v>10</v>
      </c>
      <c r="H4671" s="2">
        <v>2701.07</v>
      </c>
      <c r="I4671" s="2">
        <v>270.11</v>
      </c>
    </row>
    <row r="4672" spans="1:9" x14ac:dyDescent="0.25">
      <c r="A4672" t="s">
        <v>2555</v>
      </c>
      <c r="B4672" t="s">
        <v>2556</v>
      </c>
      <c r="C4672" t="s">
        <v>63</v>
      </c>
      <c r="D4672" t="s">
        <v>4062</v>
      </c>
      <c r="E4672" t="s">
        <v>6575</v>
      </c>
      <c r="F4672" t="s">
        <v>63</v>
      </c>
      <c r="G4672">
        <v>1</v>
      </c>
      <c r="H4672" s="2">
        <v>3149</v>
      </c>
      <c r="I4672" s="2">
        <v>3149</v>
      </c>
    </row>
    <row r="4673" spans="1:9" x14ac:dyDescent="0.25">
      <c r="A4673" t="s">
        <v>2555</v>
      </c>
      <c r="B4673" t="s">
        <v>2556</v>
      </c>
      <c r="C4673" t="s">
        <v>63</v>
      </c>
      <c r="D4673" t="s">
        <v>4062</v>
      </c>
      <c r="E4673" t="s">
        <v>4659</v>
      </c>
      <c r="F4673" t="s">
        <v>4377</v>
      </c>
      <c r="G4673">
        <v>0</v>
      </c>
      <c r="H4673" s="2">
        <v>31500</v>
      </c>
      <c r="I4673" s="2">
        <v>63</v>
      </c>
    </row>
    <row r="4674" spans="1:9" x14ac:dyDescent="0.25">
      <c r="A4674" t="s">
        <v>2555</v>
      </c>
      <c r="B4674" t="s">
        <v>2556</v>
      </c>
      <c r="C4674" t="s">
        <v>63</v>
      </c>
      <c r="D4674" t="s">
        <v>4062</v>
      </c>
      <c r="E4674" t="s">
        <v>4376</v>
      </c>
      <c r="F4674" t="s">
        <v>4377</v>
      </c>
      <c r="G4674">
        <v>0</v>
      </c>
      <c r="H4674" s="2">
        <v>72237.67</v>
      </c>
      <c r="I4674" s="2">
        <v>144.48</v>
      </c>
    </row>
    <row r="4675" spans="1:9" x14ac:dyDescent="0.25">
      <c r="A4675" t="s">
        <v>2555</v>
      </c>
      <c r="B4675" t="s">
        <v>2556</v>
      </c>
      <c r="C4675" t="s">
        <v>63</v>
      </c>
      <c r="D4675" t="s">
        <v>4049</v>
      </c>
      <c r="E4675" t="s">
        <v>4241</v>
      </c>
      <c r="F4675" t="s">
        <v>4051</v>
      </c>
      <c r="G4675">
        <v>0.05</v>
      </c>
      <c r="H4675" s="2">
        <v>9941.22</v>
      </c>
      <c r="I4675" s="2">
        <v>497.06</v>
      </c>
    </row>
    <row r="4676" spans="1:9" x14ac:dyDescent="0.25">
      <c r="A4676" t="s">
        <v>2555</v>
      </c>
      <c r="B4676" t="s">
        <v>2556</v>
      </c>
      <c r="C4676" t="s">
        <v>63</v>
      </c>
      <c r="D4676" t="s">
        <v>4049</v>
      </c>
      <c r="E4676" t="s">
        <v>4242</v>
      </c>
      <c r="F4676" t="s">
        <v>4051</v>
      </c>
      <c r="G4676">
        <v>0.05</v>
      </c>
      <c r="H4676" s="2">
        <v>17069.53</v>
      </c>
      <c r="I4676" s="2">
        <v>853.48</v>
      </c>
    </row>
    <row r="4677" spans="1:9" x14ac:dyDescent="0.25">
      <c r="A4677" t="s">
        <v>2555</v>
      </c>
      <c r="B4677" t="s">
        <v>2556</v>
      </c>
      <c r="C4677" t="s">
        <v>63</v>
      </c>
      <c r="D4677" t="s">
        <v>4052</v>
      </c>
      <c r="E4677" t="s">
        <v>4053</v>
      </c>
      <c r="F4677" t="s">
        <v>4054</v>
      </c>
      <c r="G4677">
        <v>5</v>
      </c>
      <c r="H4677" s="2">
        <v>1350.54</v>
      </c>
      <c r="I4677" s="2">
        <v>67.53</v>
      </c>
    </row>
    <row r="4678" spans="1:9" x14ac:dyDescent="0.25">
      <c r="A4678" t="s">
        <v>2558</v>
      </c>
      <c r="B4678" t="s">
        <v>2559</v>
      </c>
      <c r="C4678" t="s">
        <v>63</v>
      </c>
      <c r="D4678" t="s">
        <v>4062</v>
      </c>
      <c r="E4678" t="s">
        <v>6578</v>
      </c>
      <c r="F4678" t="s">
        <v>63</v>
      </c>
      <c r="G4678">
        <v>1</v>
      </c>
      <c r="H4678" s="2">
        <v>3683</v>
      </c>
      <c r="I4678" s="2">
        <v>3683</v>
      </c>
    </row>
    <row r="4679" spans="1:9" x14ac:dyDescent="0.25">
      <c r="A4679" t="s">
        <v>2558</v>
      </c>
      <c r="B4679" t="s">
        <v>2559</v>
      </c>
      <c r="C4679" t="s">
        <v>63</v>
      </c>
      <c r="D4679" t="s">
        <v>4062</v>
      </c>
      <c r="E4679" t="s">
        <v>4659</v>
      </c>
      <c r="F4679" t="s">
        <v>4377</v>
      </c>
      <c r="G4679">
        <v>0</v>
      </c>
      <c r="H4679" s="2">
        <v>31500</v>
      </c>
      <c r="I4679" s="2">
        <v>63</v>
      </c>
    </row>
    <row r="4680" spans="1:9" x14ac:dyDescent="0.25">
      <c r="A4680" t="s">
        <v>2558</v>
      </c>
      <c r="B4680" t="s">
        <v>2559</v>
      </c>
      <c r="C4680" t="s">
        <v>63</v>
      </c>
      <c r="D4680" t="s">
        <v>4062</v>
      </c>
      <c r="E4680" t="s">
        <v>4376</v>
      </c>
      <c r="F4680" t="s">
        <v>4377</v>
      </c>
      <c r="G4680">
        <v>0</v>
      </c>
      <c r="H4680" s="2">
        <v>72237.67</v>
      </c>
      <c r="I4680" s="2">
        <v>144.48</v>
      </c>
    </row>
    <row r="4681" spans="1:9" x14ac:dyDescent="0.25">
      <c r="A4681" t="s">
        <v>2558</v>
      </c>
      <c r="B4681" t="s">
        <v>2559</v>
      </c>
      <c r="C4681" t="s">
        <v>63</v>
      </c>
      <c r="D4681" t="s">
        <v>4049</v>
      </c>
      <c r="E4681" t="s">
        <v>4241</v>
      </c>
      <c r="F4681" t="s">
        <v>4051</v>
      </c>
      <c r="G4681">
        <v>0.03</v>
      </c>
      <c r="H4681" s="2">
        <v>9941.22</v>
      </c>
      <c r="I4681" s="2">
        <v>298.24</v>
      </c>
    </row>
    <row r="4682" spans="1:9" x14ac:dyDescent="0.25">
      <c r="A4682" t="s">
        <v>2558</v>
      </c>
      <c r="B4682" t="s">
        <v>2559</v>
      </c>
      <c r="C4682" t="s">
        <v>63</v>
      </c>
      <c r="D4682" t="s">
        <v>4049</v>
      </c>
      <c r="E4682" t="s">
        <v>4242</v>
      </c>
      <c r="F4682" t="s">
        <v>4051</v>
      </c>
      <c r="G4682">
        <v>0.03</v>
      </c>
      <c r="H4682" s="2">
        <v>17069.53</v>
      </c>
      <c r="I4682" s="2">
        <v>512.09</v>
      </c>
    </row>
    <row r="4683" spans="1:9" x14ac:dyDescent="0.25">
      <c r="A4683" t="s">
        <v>2558</v>
      </c>
      <c r="B4683" t="s">
        <v>2559</v>
      </c>
      <c r="C4683" t="s">
        <v>63</v>
      </c>
      <c r="D4683" t="s">
        <v>4052</v>
      </c>
      <c r="E4683" t="s">
        <v>4053</v>
      </c>
      <c r="F4683" t="s">
        <v>4054</v>
      </c>
      <c r="G4683">
        <v>10</v>
      </c>
      <c r="H4683" s="2">
        <v>810.33</v>
      </c>
      <c r="I4683" s="2">
        <v>81.03</v>
      </c>
    </row>
    <row r="4684" spans="1:9" x14ac:dyDescent="0.25">
      <c r="A4684" t="s">
        <v>2561</v>
      </c>
      <c r="B4684" t="s">
        <v>2562</v>
      </c>
      <c r="C4684" t="s">
        <v>63</v>
      </c>
      <c r="D4684" t="s">
        <v>4062</v>
      </c>
      <c r="E4684" t="s">
        <v>6581</v>
      </c>
      <c r="F4684" t="s">
        <v>63</v>
      </c>
      <c r="G4684">
        <v>1</v>
      </c>
      <c r="H4684" s="2">
        <v>2104</v>
      </c>
      <c r="I4684" s="2">
        <v>2104</v>
      </c>
    </row>
    <row r="4685" spans="1:9" x14ac:dyDescent="0.25">
      <c r="A4685" t="s">
        <v>2561</v>
      </c>
      <c r="B4685" t="s">
        <v>2562</v>
      </c>
      <c r="C4685" t="s">
        <v>63</v>
      </c>
      <c r="D4685" t="s">
        <v>4062</v>
      </c>
      <c r="E4685" t="s">
        <v>4659</v>
      </c>
      <c r="F4685" t="s">
        <v>4377</v>
      </c>
      <c r="G4685">
        <v>0</v>
      </c>
      <c r="H4685" s="2">
        <v>31500</v>
      </c>
      <c r="I4685" s="2">
        <v>31.5</v>
      </c>
    </row>
    <row r="4686" spans="1:9" x14ac:dyDescent="0.25">
      <c r="A4686" t="s">
        <v>2561</v>
      </c>
      <c r="B4686" t="s">
        <v>2562</v>
      </c>
      <c r="C4686" t="s">
        <v>63</v>
      </c>
      <c r="D4686" t="s">
        <v>4062</v>
      </c>
      <c r="E4686" t="s">
        <v>4376</v>
      </c>
      <c r="F4686" t="s">
        <v>4377</v>
      </c>
      <c r="G4686">
        <v>0</v>
      </c>
      <c r="H4686" s="2">
        <v>72237.67</v>
      </c>
      <c r="I4686" s="2">
        <v>72.24</v>
      </c>
    </row>
    <row r="4687" spans="1:9" x14ac:dyDescent="0.25">
      <c r="A4687" t="s">
        <v>2561</v>
      </c>
      <c r="B4687" t="s">
        <v>2562</v>
      </c>
      <c r="C4687" t="s">
        <v>63</v>
      </c>
      <c r="D4687" t="s">
        <v>4049</v>
      </c>
      <c r="E4687" t="s">
        <v>4241</v>
      </c>
      <c r="F4687" t="s">
        <v>4051</v>
      </c>
      <c r="G4687">
        <v>0.03</v>
      </c>
      <c r="H4687" s="2">
        <v>9941.22</v>
      </c>
      <c r="I4687" s="2">
        <v>298.24</v>
      </c>
    </row>
    <row r="4688" spans="1:9" x14ac:dyDescent="0.25">
      <c r="A4688" t="s">
        <v>2561</v>
      </c>
      <c r="B4688" t="s">
        <v>2562</v>
      </c>
      <c r="C4688" t="s">
        <v>63</v>
      </c>
      <c r="D4688" t="s">
        <v>4049</v>
      </c>
      <c r="E4688" t="s">
        <v>4242</v>
      </c>
      <c r="F4688" t="s">
        <v>4051</v>
      </c>
      <c r="G4688">
        <v>0.03</v>
      </c>
      <c r="H4688" s="2">
        <v>17069.53</v>
      </c>
      <c r="I4688" s="2">
        <v>512.09</v>
      </c>
    </row>
    <row r="4689" spans="1:9" x14ac:dyDescent="0.25">
      <c r="A4689" t="s">
        <v>2561</v>
      </c>
      <c r="B4689" t="s">
        <v>2562</v>
      </c>
      <c r="C4689" t="s">
        <v>63</v>
      </c>
      <c r="D4689" t="s">
        <v>4052</v>
      </c>
      <c r="E4689" t="s">
        <v>4053</v>
      </c>
      <c r="F4689" t="s">
        <v>4054</v>
      </c>
      <c r="G4689">
        <v>10</v>
      </c>
      <c r="H4689" s="2">
        <v>810.33</v>
      </c>
      <c r="I4689" s="2">
        <v>81.03</v>
      </c>
    </row>
    <row r="4690" spans="1:9" x14ac:dyDescent="0.25">
      <c r="A4690" t="s">
        <v>2564</v>
      </c>
      <c r="B4690" t="s">
        <v>2565</v>
      </c>
      <c r="C4690" t="s">
        <v>63</v>
      </c>
      <c r="D4690" t="s">
        <v>4062</v>
      </c>
      <c r="E4690" t="s">
        <v>6584</v>
      </c>
      <c r="F4690" t="s">
        <v>63</v>
      </c>
      <c r="G4690">
        <v>1</v>
      </c>
      <c r="H4690" s="2">
        <v>71592</v>
      </c>
      <c r="I4690" s="2">
        <v>71592</v>
      </c>
    </row>
    <row r="4691" spans="1:9" x14ac:dyDescent="0.25">
      <c r="A4691" t="s">
        <v>2564</v>
      </c>
      <c r="B4691" t="s">
        <v>2565</v>
      </c>
      <c r="C4691" t="s">
        <v>63</v>
      </c>
      <c r="D4691" t="s">
        <v>4062</v>
      </c>
      <c r="E4691" t="s">
        <v>6166</v>
      </c>
      <c r="F4691" t="s">
        <v>63</v>
      </c>
      <c r="G4691">
        <v>0.05</v>
      </c>
      <c r="H4691" s="2">
        <v>19750</v>
      </c>
      <c r="I4691" s="2">
        <v>987.5</v>
      </c>
    </row>
    <row r="4692" spans="1:9" x14ac:dyDescent="0.25">
      <c r="A4692" t="s">
        <v>2564</v>
      </c>
      <c r="B4692" t="s">
        <v>2565</v>
      </c>
      <c r="C4692" t="s">
        <v>63</v>
      </c>
      <c r="D4692" t="s">
        <v>4049</v>
      </c>
      <c r="E4692" t="s">
        <v>4241</v>
      </c>
      <c r="F4692" t="s">
        <v>4051</v>
      </c>
      <c r="G4692">
        <v>0.15</v>
      </c>
      <c r="H4692" s="2">
        <v>9941.22</v>
      </c>
      <c r="I4692" s="2">
        <v>1491.18</v>
      </c>
    </row>
    <row r="4693" spans="1:9" x14ac:dyDescent="0.25">
      <c r="A4693" t="s">
        <v>2564</v>
      </c>
      <c r="B4693" t="s">
        <v>2565</v>
      </c>
      <c r="C4693" t="s">
        <v>63</v>
      </c>
      <c r="D4693" t="s">
        <v>4049</v>
      </c>
      <c r="E4693" t="s">
        <v>4242</v>
      </c>
      <c r="F4693" t="s">
        <v>4051</v>
      </c>
      <c r="G4693">
        <v>0.15</v>
      </c>
      <c r="H4693" s="2">
        <v>17069.53</v>
      </c>
      <c r="I4693" s="2">
        <v>2560.43</v>
      </c>
    </row>
    <row r="4694" spans="1:9" x14ac:dyDescent="0.25">
      <c r="A4694" t="s">
        <v>2564</v>
      </c>
      <c r="B4694" t="s">
        <v>2565</v>
      </c>
      <c r="C4694" t="s">
        <v>63</v>
      </c>
      <c r="D4694" t="s">
        <v>4052</v>
      </c>
      <c r="E4694" t="s">
        <v>4053</v>
      </c>
      <c r="F4694" t="s">
        <v>4054</v>
      </c>
      <c r="G4694">
        <v>10</v>
      </c>
      <c r="H4694" s="2">
        <v>4051.61</v>
      </c>
      <c r="I4694" s="2">
        <v>405.16</v>
      </c>
    </row>
    <row r="4695" spans="1:9" x14ac:dyDescent="0.25">
      <c r="A4695" t="s">
        <v>2567</v>
      </c>
      <c r="B4695" t="s">
        <v>2568</v>
      </c>
      <c r="C4695" t="s">
        <v>63</v>
      </c>
      <c r="D4695" t="s">
        <v>4062</v>
      </c>
      <c r="E4695" t="s">
        <v>6587</v>
      </c>
      <c r="F4695" t="s">
        <v>63</v>
      </c>
      <c r="G4695">
        <v>1</v>
      </c>
      <c r="H4695" s="2">
        <v>66823</v>
      </c>
      <c r="I4695" s="2">
        <v>66823</v>
      </c>
    </row>
    <row r="4696" spans="1:9" x14ac:dyDescent="0.25">
      <c r="A4696" t="s">
        <v>2567</v>
      </c>
      <c r="B4696" t="s">
        <v>2568</v>
      </c>
      <c r="C4696" t="s">
        <v>63</v>
      </c>
      <c r="D4696" t="s">
        <v>4062</v>
      </c>
      <c r="E4696" t="s">
        <v>6166</v>
      </c>
      <c r="F4696" t="s">
        <v>63</v>
      </c>
      <c r="G4696">
        <v>0.05</v>
      </c>
      <c r="H4696" s="2">
        <v>19750</v>
      </c>
      <c r="I4696" s="2">
        <v>987.5</v>
      </c>
    </row>
    <row r="4697" spans="1:9" x14ac:dyDescent="0.25">
      <c r="A4697" t="s">
        <v>2567</v>
      </c>
      <c r="B4697" t="s">
        <v>2568</v>
      </c>
      <c r="C4697" t="s">
        <v>63</v>
      </c>
      <c r="D4697" t="s">
        <v>4049</v>
      </c>
      <c r="E4697" t="s">
        <v>4241</v>
      </c>
      <c r="F4697" t="s">
        <v>4051</v>
      </c>
      <c r="G4697">
        <v>0.15</v>
      </c>
      <c r="H4697" s="2">
        <v>9941.22</v>
      </c>
      <c r="I4697" s="2">
        <v>1491.18</v>
      </c>
    </row>
    <row r="4698" spans="1:9" x14ac:dyDescent="0.25">
      <c r="A4698" t="s">
        <v>2567</v>
      </c>
      <c r="B4698" t="s">
        <v>2568</v>
      </c>
      <c r="C4698" t="s">
        <v>63</v>
      </c>
      <c r="D4698" t="s">
        <v>4049</v>
      </c>
      <c r="E4698" t="s">
        <v>4242</v>
      </c>
      <c r="F4698" t="s">
        <v>4051</v>
      </c>
      <c r="G4698">
        <v>0.15</v>
      </c>
      <c r="H4698" s="2">
        <v>17069.53</v>
      </c>
      <c r="I4698" s="2">
        <v>2560.43</v>
      </c>
    </row>
    <row r="4699" spans="1:9" x14ac:dyDescent="0.25">
      <c r="A4699" t="s">
        <v>2567</v>
      </c>
      <c r="B4699" t="s">
        <v>2568</v>
      </c>
      <c r="C4699" t="s">
        <v>63</v>
      </c>
      <c r="D4699" t="s">
        <v>4052</v>
      </c>
      <c r="E4699" t="s">
        <v>4053</v>
      </c>
      <c r="F4699" t="s">
        <v>4054</v>
      </c>
      <c r="G4699">
        <v>10</v>
      </c>
      <c r="H4699" s="2">
        <v>4051.61</v>
      </c>
      <c r="I4699" s="2">
        <v>405.16</v>
      </c>
    </row>
    <row r="4700" spans="1:9" x14ac:dyDescent="0.25">
      <c r="A4700" t="s">
        <v>2570</v>
      </c>
      <c r="B4700" t="s">
        <v>2571</v>
      </c>
      <c r="C4700" t="s">
        <v>63</v>
      </c>
      <c r="D4700" t="s">
        <v>4062</v>
      </c>
      <c r="E4700" t="s">
        <v>6590</v>
      </c>
      <c r="F4700" t="s">
        <v>63</v>
      </c>
      <c r="G4700">
        <v>1</v>
      </c>
      <c r="H4700" s="2">
        <v>75764</v>
      </c>
      <c r="I4700" s="2">
        <v>75764</v>
      </c>
    </row>
    <row r="4701" spans="1:9" x14ac:dyDescent="0.25">
      <c r="A4701" t="s">
        <v>2570</v>
      </c>
      <c r="B4701" t="s">
        <v>2571</v>
      </c>
      <c r="C4701" t="s">
        <v>63</v>
      </c>
      <c r="D4701" t="s">
        <v>4062</v>
      </c>
      <c r="E4701" t="s">
        <v>6166</v>
      </c>
      <c r="F4701" t="s">
        <v>63</v>
      </c>
      <c r="G4701">
        <v>0.05</v>
      </c>
      <c r="H4701" s="2">
        <v>19750</v>
      </c>
      <c r="I4701" s="2">
        <v>987.5</v>
      </c>
    </row>
    <row r="4702" spans="1:9" x14ac:dyDescent="0.25">
      <c r="A4702" t="s">
        <v>2570</v>
      </c>
      <c r="B4702" t="s">
        <v>2571</v>
      </c>
      <c r="C4702" t="s">
        <v>63</v>
      </c>
      <c r="D4702" t="s">
        <v>4049</v>
      </c>
      <c r="E4702" t="s">
        <v>4241</v>
      </c>
      <c r="F4702" t="s">
        <v>4051</v>
      </c>
      <c r="G4702">
        <v>0.15</v>
      </c>
      <c r="H4702" s="2">
        <v>9941.22</v>
      </c>
      <c r="I4702" s="2">
        <v>1491.18</v>
      </c>
    </row>
    <row r="4703" spans="1:9" x14ac:dyDescent="0.25">
      <c r="A4703" t="s">
        <v>2570</v>
      </c>
      <c r="B4703" t="s">
        <v>2571</v>
      </c>
      <c r="C4703" t="s">
        <v>63</v>
      </c>
      <c r="D4703" t="s">
        <v>4049</v>
      </c>
      <c r="E4703" t="s">
        <v>4242</v>
      </c>
      <c r="F4703" t="s">
        <v>4051</v>
      </c>
      <c r="G4703">
        <v>0.15</v>
      </c>
      <c r="H4703" s="2">
        <v>17069.53</v>
      </c>
      <c r="I4703" s="2">
        <v>2560.43</v>
      </c>
    </row>
    <row r="4704" spans="1:9" x14ac:dyDescent="0.25">
      <c r="A4704" t="s">
        <v>2570</v>
      </c>
      <c r="B4704" t="s">
        <v>2571</v>
      </c>
      <c r="C4704" t="s">
        <v>63</v>
      </c>
      <c r="D4704" t="s">
        <v>4052</v>
      </c>
      <c r="E4704" t="s">
        <v>4053</v>
      </c>
      <c r="F4704" t="s">
        <v>4054</v>
      </c>
      <c r="G4704">
        <v>10</v>
      </c>
      <c r="H4704" s="2">
        <v>4051.61</v>
      </c>
      <c r="I4704" s="2">
        <v>405.16</v>
      </c>
    </row>
    <row r="4705" spans="1:9" x14ac:dyDescent="0.25">
      <c r="A4705" t="s">
        <v>2573</v>
      </c>
      <c r="B4705" t="s">
        <v>2574</v>
      </c>
      <c r="C4705" t="s">
        <v>63</v>
      </c>
      <c r="D4705" t="s">
        <v>4062</v>
      </c>
      <c r="E4705" t="s">
        <v>6593</v>
      </c>
      <c r="F4705" t="s">
        <v>63</v>
      </c>
      <c r="G4705">
        <v>1</v>
      </c>
      <c r="H4705" s="2">
        <v>115068</v>
      </c>
      <c r="I4705" s="2">
        <v>115068</v>
      </c>
    </row>
    <row r="4706" spans="1:9" x14ac:dyDescent="0.25">
      <c r="A4706" t="s">
        <v>2573</v>
      </c>
      <c r="B4706" t="s">
        <v>2574</v>
      </c>
      <c r="C4706" t="s">
        <v>63</v>
      </c>
      <c r="D4706" t="s">
        <v>4062</v>
      </c>
      <c r="E4706" t="s">
        <v>6166</v>
      </c>
      <c r="F4706" t="s">
        <v>63</v>
      </c>
      <c r="G4706">
        <v>0.06</v>
      </c>
      <c r="H4706" s="2">
        <v>19750</v>
      </c>
      <c r="I4706" s="2">
        <v>1185</v>
      </c>
    </row>
    <row r="4707" spans="1:9" x14ac:dyDescent="0.25">
      <c r="A4707" t="s">
        <v>2573</v>
      </c>
      <c r="B4707" t="s">
        <v>2574</v>
      </c>
      <c r="C4707" t="s">
        <v>63</v>
      </c>
      <c r="D4707" t="s">
        <v>4049</v>
      </c>
      <c r="E4707" t="s">
        <v>4241</v>
      </c>
      <c r="F4707" t="s">
        <v>4051</v>
      </c>
      <c r="G4707">
        <v>0.15</v>
      </c>
      <c r="H4707" s="2">
        <v>9941.22</v>
      </c>
      <c r="I4707" s="2">
        <v>1491.18</v>
      </c>
    </row>
    <row r="4708" spans="1:9" x14ac:dyDescent="0.25">
      <c r="A4708" t="s">
        <v>2573</v>
      </c>
      <c r="B4708" t="s">
        <v>2574</v>
      </c>
      <c r="C4708" t="s">
        <v>63</v>
      </c>
      <c r="D4708" t="s">
        <v>4049</v>
      </c>
      <c r="E4708" t="s">
        <v>4242</v>
      </c>
      <c r="F4708" t="s">
        <v>4051</v>
      </c>
      <c r="G4708">
        <v>0.15</v>
      </c>
      <c r="H4708" s="2">
        <v>17069.53</v>
      </c>
      <c r="I4708" s="2">
        <v>2560.43</v>
      </c>
    </row>
    <row r="4709" spans="1:9" x14ac:dyDescent="0.25">
      <c r="A4709" t="s">
        <v>2573</v>
      </c>
      <c r="B4709" t="s">
        <v>2574</v>
      </c>
      <c r="C4709" t="s">
        <v>63</v>
      </c>
      <c r="D4709" t="s">
        <v>4052</v>
      </c>
      <c r="E4709" t="s">
        <v>4053</v>
      </c>
      <c r="F4709" t="s">
        <v>4054</v>
      </c>
      <c r="G4709">
        <v>10</v>
      </c>
      <c r="H4709" s="2">
        <v>4051.61</v>
      </c>
      <c r="I4709" s="2">
        <v>405.16</v>
      </c>
    </row>
    <row r="4710" spans="1:9" x14ac:dyDescent="0.25">
      <c r="A4710" t="s">
        <v>2576</v>
      </c>
      <c r="B4710" t="s">
        <v>2577</v>
      </c>
      <c r="C4710" t="s">
        <v>63</v>
      </c>
      <c r="D4710" t="s">
        <v>4062</v>
      </c>
      <c r="E4710" t="s">
        <v>6596</v>
      </c>
      <c r="F4710" t="s">
        <v>63</v>
      </c>
      <c r="G4710">
        <v>1</v>
      </c>
      <c r="H4710" s="2">
        <v>122623</v>
      </c>
      <c r="I4710" s="2">
        <v>122623</v>
      </c>
    </row>
    <row r="4711" spans="1:9" x14ac:dyDescent="0.25">
      <c r="A4711" t="s">
        <v>2576</v>
      </c>
      <c r="B4711" t="s">
        <v>2577</v>
      </c>
      <c r="C4711" t="s">
        <v>63</v>
      </c>
      <c r="D4711" t="s">
        <v>4062</v>
      </c>
      <c r="E4711" t="s">
        <v>6166</v>
      </c>
      <c r="F4711" t="s">
        <v>63</v>
      </c>
      <c r="G4711">
        <v>0.06</v>
      </c>
      <c r="H4711" s="2">
        <v>19750</v>
      </c>
      <c r="I4711" s="2">
        <v>1185</v>
      </c>
    </row>
    <row r="4712" spans="1:9" x14ac:dyDescent="0.25">
      <c r="A4712" t="s">
        <v>2576</v>
      </c>
      <c r="B4712" t="s">
        <v>2577</v>
      </c>
      <c r="C4712" t="s">
        <v>63</v>
      </c>
      <c r="D4712" t="s">
        <v>4049</v>
      </c>
      <c r="E4712" t="s">
        <v>4241</v>
      </c>
      <c r="F4712" t="s">
        <v>4051</v>
      </c>
      <c r="G4712">
        <v>0.15</v>
      </c>
      <c r="H4712" s="2">
        <v>9941.22</v>
      </c>
      <c r="I4712" s="2">
        <v>1491.18</v>
      </c>
    </row>
    <row r="4713" spans="1:9" x14ac:dyDescent="0.25">
      <c r="A4713" t="s">
        <v>2576</v>
      </c>
      <c r="B4713" t="s">
        <v>2577</v>
      </c>
      <c r="C4713" t="s">
        <v>63</v>
      </c>
      <c r="D4713" t="s">
        <v>4049</v>
      </c>
      <c r="E4713" t="s">
        <v>4242</v>
      </c>
      <c r="F4713" t="s">
        <v>4051</v>
      </c>
      <c r="G4713">
        <v>0.15</v>
      </c>
      <c r="H4713" s="2">
        <v>17069.53</v>
      </c>
      <c r="I4713" s="2">
        <v>2560.43</v>
      </c>
    </row>
    <row r="4714" spans="1:9" x14ac:dyDescent="0.25">
      <c r="A4714" t="s">
        <v>2576</v>
      </c>
      <c r="B4714" t="s">
        <v>2577</v>
      </c>
      <c r="C4714" t="s">
        <v>63</v>
      </c>
      <c r="D4714" t="s">
        <v>4052</v>
      </c>
      <c r="E4714" t="s">
        <v>4053</v>
      </c>
      <c r="F4714" t="s">
        <v>4054</v>
      </c>
      <c r="G4714">
        <v>10</v>
      </c>
      <c r="H4714" s="2">
        <v>4051.61</v>
      </c>
      <c r="I4714" s="2">
        <v>405.16</v>
      </c>
    </row>
    <row r="4715" spans="1:9" x14ac:dyDescent="0.25">
      <c r="A4715" t="s">
        <v>2579</v>
      </c>
      <c r="B4715" t="s">
        <v>2580</v>
      </c>
      <c r="C4715" t="s">
        <v>63</v>
      </c>
      <c r="D4715" t="s">
        <v>4062</v>
      </c>
      <c r="E4715" t="s">
        <v>6599</v>
      </c>
      <c r="F4715" t="s">
        <v>63</v>
      </c>
      <c r="G4715">
        <v>1</v>
      </c>
      <c r="H4715" s="2">
        <v>58827</v>
      </c>
      <c r="I4715" s="2">
        <v>58827</v>
      </c>
    </row>
    <row r="4716" spans="1:9" x14ac:dyDescent="0.25">
      <c r="A4716" t="s">
        <v>2579</v>
      </c>
      <c r="B4716" t="s">
        <v>2580</v>
      </c>
      <c r="C4716" t="s">
        <v>63</v>
      </c>
      <c r="D4716" t="s">
        <v>4062</v>
      </c>
      <c r="E4716" t="s">
        <v>6166</v>
      </c>
      <c r="F4716" t="s">
        <v>63</v>
      </c>
      <c r="G4716">
        <v>0.05</v>
      </c>
      <c r="H4716" s="2">
        <v>19750</v>
      </c>
      <c r="I4716" s="2">
        <v>987.5</v>
      </c>
    </row>
    <row r="4717" spans="1:9" x14ac:dyDescent="0.25">
      <c r="A4717" t="s">
        <v>2579</v>
      </c>
      <c r="B4717" t="s">
        <v>2580</v>
      </c>
      <c r="C4717" t="s">
        <v>63</v>
      </c>
      <c r="D4717" t="s">
        <v>4049</v>
      </c>
      <c r="E4717" t="s">
        <v>4241</v>
      </c>
      <c r="F4717" t="s">
        <v>4051</v>
      </c>
      <c r="G4717">
        <v>0.15</v>
      </c>
      <c r="H4717" s="2">
        <v>9941.22</v>
      </c>
      <c r="I4717" s="2">
        <v>1491.18</v>
      </c>
    </row>
    <row r="4718" spans="1:9" x14ac:dyDescent="0.25">
      <c r="A4718" t="s">
        <v>2579</v>
      </c>
      <c r="B4718" t="s">
        <v>2580</v>
      </c>
      <c r="C4718" t="s">
        <v>63</v>
      </c>
      <c r="D4718" t="s">
        <v>4049</v>
      </c>
      <c r="E4718" t="s">
        <v>4242</v>
      </c>
      <c r="F4718" t="s">
        <v>4051</v>
      </c>
      <c r="G4718">
        <v>0.15</v>
      </c>
      <c r="H4718" s="2">
        <v>17069.53</v>
      </c>
      <c r="I4718" s="2">
        <v>2560.43</v>
      </c>
    </row>
    <row r="4719" spans="1:9" x14ac:dyDescent="0.25">
      <c r="A4719" t="s">
        <v>2579</v>
      </c>
      <c r="B4719" t="s">
        <v>2580</v>
      </c>
      <c r="C4719" t="s">
        <v>63</v>
      </c>
      <c r="D4719" t="s">
        <v>4052</v>
      </c>
      <c r="E4719" t="s">
        <v>4053</v>
      </c>
      <c r="F4719" t="s">
        <v>4054</v>
      </c>
      <c r="G4719">
        <v>10</v>
      </c>
      <c r="H4719" s="2">
        <v>4051.61</v>
      </c>
      <c r="I4719" s="2">
        <v>405.16</v>
      </c>
    </row>
    <row r="4720" spans="1:9" x14ac:dyDescent="0.25">
      <c r="A4720" t="s">
        <v>2582</v>
      </c>
      <c r="B4720" t="s">
        <v>2583</v>
      </c>
      <c r="C4720" t="s">
        <v>63</v>
      </c>
      <c r="D4720" t="s">
        <v>4062</v>
      </c>
      <c r="E4720" t="s">
        <v>6602</v>
      </c>
      <c r="F4720" t="s">
        <v>63</v>
      </c>
      <c r="G4720">
        <v>1</v>
      </c>
      <c r="H4720" s="2">
        <v>39060</v>
      </c>
      <c r="I4720" s="2">
        <v>39060</v>
      </c>
    </row>
    <row r="4721" spans="1:9" x14ac:dyDescent="0.25">
      <c r="A4721" t="s">
        <v>2582</v>
      </c>
      <c r="B4721" t="s">
        <v>2583</v>
      </c>
      <c r="C4721" t="s">
        <v>63</v>
      </c>
      <c r="D4721" t="s">
        <v>4062</v>
      </c>
      <c r="E4721" t="s">
        <v>6166</v>
      </c>
      <c r="F4721" t="s">
        <v>63</v>
      </c>
      <c r="G4721">
        <v>0.06</v>
      </c>
      <c r="H4721" s="2">
        <v>19750</v>
      </c>
      <c r="I4721" s="2">
        <v>1185</v>
      </c>
    </row>
    <row r="4722" spans="1:9" x14ac:dyDescent="0.25">
      <c r="A4722" t="s">
        <v>2582</v>
      </c>
      <c r="B4722" t="s">
        <v>2583</v>
      </c>
      <c r="C4722" t="s">
        <v>63</v>
      </c>
      <c r="D4722" t="s">
        <v>4049</v>
      </c>
      <c r="E4722" t="s">
        <v>4241</v>
      </c>
      <c r="F4722" t="s">
        <v>4051</v>
      </c>
      <c r="G4722">
        <v>0.15</v>
      </c>
      <c r="H4722" s="2">
        <v>9941.22</v>
      </c>
      <c r="I4722" s="2">
        <v>1491.18</v>
      </c>
    </row>
    <row r="4723" spans="1:9" x14ac:dyDescent="0.25">
      <c r="A4723" t="s">
        <v>2582</v>
      </c>
      <c r="B4723" t="s">
        <v>2583</v>
      </c>
      <c r="C4723" t="s">
        <v>63</v>
      </c>
      <c r="D4723" t="s">
        <v>4049</v>
      </c>
      <c r="E4723" t="s">
        <v>4242</v>
      </c>
      <c r="F4723" t="s">
        <v>4051</v>
      </c>
      <c r="G4723">
        <v>0.15</v>
      </c>
      <c r="H4723" s="2">
        <v>17069.53</v>
      </c>
      <c r="I4723" s="2">
        <v>2560.43</v>
      </c>
    </row>
    <row r="4724" spans="1:9" x14ac:dyDescent="0.25">
      <c r="A4724" t="s">
        <v>2582</v>
      </c>
      <c r="B4724" t="s">
        <v>2583</v>
      </c>
      <c r="C4724" t="s">
        <v>63</v>
      </c>
      <c r="D4724" t="s">
        <v>4052</v>
      </c>
      <c r="E4724" t="s">
        <v>4053</v>
      </c>
      <c r="F4724" t="s">
        <v>4054</v>
      </c>
      <c r="G4724">
        <v>10</v>
      </c>
      <c r="H4724" s="2">
        <v>4051.61</v>
      </c>
      <c r="I4724" s="2">
        <v>405.16</v>
      </c>
    </row>
    <row r="4725" spans="1:9" x14ac:dyDescent="0.25">
      <c r="A4725" t="s">
        <v>2585</v>
      </c>
      <c r="B4725" t="s">
        <v>2586</v>
      </c>
      <c r="C4725" t="s">
        <v>63</v>
      </c>
      <c r="D4725" t="s">
        <v>4062</v>
      </c>
      <c r="E4725" t="s">
        <v>6605</v>
      </c>
      <c r="F4725" t="s">
        <v>63</v>
      </c>
      <c r="G4725">
        <v>1</v>
      </c>
      <c r="H4725" s="2">
        <v>29069</v>
      </c>
      <c r="I4725" s="2">
        <v>29069</v>
      </c>
    </row>
    <row r="4726" spans="1:9" x14ac:dyDescent="0.25">
      <c r="A4726" t="s">
        <v>2585</v>
      </c>
      <c r="B4726" t="s">
        <v>2586</v>
      </c>
      <c r="C4726" t="s">
        <v>63</v>
      </c>
      <c r="D4726" t="s">
        <v>4062</v>
      </c>
      <c r="E4726" t="s">
        <v>6166</v>
      </c>
      <c r="F4726" t="s">
        <v>63</v>
      </c>
      <c r="G4726">
        <v>0.01</v>
      </c>
      <c r="H4726" s="2">
        <v>19750</v>
      </c>
      <c r="I4726" s="2">
        <v>118.5</v>
      </c>
    </row>
    <row r="4727" spans="1:9" x14ac:dyDescent="0.25">
      <c r="A4727" t="s">
        <v>2585</v>
      </c>
      <c r="B4727" t="s">
        <v>2586</v>
      </c>
      <c r="C4727" t="s">
        <v>63</v>
      </c>
      <c r="D4727" t="s">
        <v>4049</v>
      </c>
      <c r="E4727" t="s">
        <v>4241</v>
      </c>
      <c r="F4727" t="s">
        <v>4051</v>
      </c>
      <c r="G4727">
        <v>0.4</v>
      </c>
      <c r="H4727" s="2">
        <v>9941.22</v>
      </c>
      <c r="I4727" s="2">
        <v>3976.49</v>
      </c>
    </row>
    <row r="4728" spans="1:9" x14ac:dyDescent="0.25">
      <c r="A4728" t="s">
        <v>2585</v>
      </c>
      <c r="B4728" t="s">
        <v>2586</v>
      </c>
      <c r="C4728" t="s">
        <v>63</v>
      </c>
      <c r="D4728" t="s">
        <v>4049</v>
      </c>
      <c r="E4728" t="s">
        <v>4242</v>
      </c>
      <c r="F4728" t="s">
        <v>4051</v>
      </c>
      <c r="G4728">
        <v>0.4</v>
      </c>
      <c r="H4728" s="2">
        <v>17069.53</v>
      </c>
      <c r="I4728" s="2">
        <v>6827.81</v>
      </c>
    </row>
    <row r="4729" spans="1:9" x14ac:dyDescent="0.25">
      <c r="A4729" t="s">
        <v>2585</v>
      </c>
      <c r="B4729" t="s">
        <v>2586</v>
      </c>
      <c r="C4729" t="s">
        <v>63</v>
      </c>
      <c r="D4729" t="s">
        <v>4052</v>
      </c>
      <c r="E4729" t="s">
        <v>4053</v>
      </c>
      <c r="F4729" t="s">
        <v>4054</v>
      </c>
      <c r="G4729">
        <v>8</v>
      </c>
      <c r="H4729" s="2">
        <v>10804.3</v>
      </c>
      <c r="I4729" s="2">
        <v>864.34</v>
      </c>
    </row>
    <row r="4730" spans="1:9" x14ac:dyDescent="0.25">
      <c r="A4730" t="s">
        <v>2588</v>
      </c>
      <c r="B4730" t="s">
        <v>2589</v>
      </c>
      <c r="C4730" t="s">
        <v>63</v>
      </c>
      <c r="D4730" t="s">
        <v>4062</v>
      </c>
      <c r="E4730" t="s">
        <v>6608</v>
      </c>
      <c r="F4730" t="s">
        <v>63</v>
      </c>
      <c r="G4730">
        <v>1</v>
      </c>
      <c r="H4730" s="2">
        <v>23621</v>
      </c>
      <c r="I4730" s="2">
        <v>23621</v>
      </c>
    </row>
    <row r="4731" spans="1:9" x14ac:dyDescent="0.25">
      <c r="A4731" t="s">
        <v>2588</v>
      </c>
      <c r="B4731" t="s">
        <v>2589</v>
      </c>
      <c r="C4731" t="s">
        <v>63</v>
      </c>
      <c r="D4731" t="s">
        <v>4062</v>
      </c>
      <c r="E4731" t="s">
        <v>6166</v>
      </c>
      <c r="F4731" t="s">
        <v>63</v>
      </c>
      <c r="G4731">
        <v>0.01</v>
      </c>
      <c r="H4731" s="2">
        <v>19750</v>
      </c>
      <c r="I4731" s="2">
        <v>118.5</v>
      </c>
    </row>
    <row r="4732" spans="1:9" x14ac:dyDescent="0.25">
      <c r="A4732" t="s">
        <v>2588</v>
      </c>
      <c r="B4732" t="s">
        <v>2589</v>
      </c>
      <c r="C4732" t="s">
        <v>63</v>
      </c>
      <c r="D4732" t="s">
        <v>4049</v>
      </c>
      <c r="E4732" t="s">
        <v>4241</v>
      </c>
      <c r="F4732" t="s">
        <v>4051</v>
      </c>
      <c r="G4732">
        <v>0.4</v>
      </c>
      <c r="H4732" s="2">
        <v>9941.22</v>
      </c>
      <c r="I4732" s="2">
        <v>3976.49</v>
      </c>
    </row>
    <row r="4733" spans="1:9" x14ac:dyDescent="0.25">
      <c r="A4733" t="s">
        <v>2588</v>
      </c>
      <c r="B4733" t="s">
        <v>2589</v>
      </c>
      <c r="C4733" t="s">
        <v>63</v>
      </c>
      <c r="D4733" t="s">
        <v>4049</v>
      </c>
      <c r="E4733" t="s">
        <v>4242</v>
      </c>
      <c r="F4733" t="s">
        <v>4051</v>
      </c>
      <c r="G4733">
        <v>0.4</v>
      </c>
      <c r="H4733" s="2">
        <v>17069.53</v>
      </c>
      <c r="I4733" s="2">
        <v>6827.81</v>
      </c>
    </row>
    <row r="4734" spans="1:9" x14ac:dyDescent="0.25">
      <c r="A4734" t="s">
        <v>2588</v>
      </c>
      <c r="B4734" t="s">
        <v>2589</v>
      </c>
      <c r="C4734" t="s">
        <v>63</v>
      </c>
      <c r="D4734" t="s">
        <v>4052</v>
      </c>
      <c r="E4734" t="s">
        <v>4053</v>
      </c>
      <c r="F4734" t="s">
        <v>4054</v>
      </c>
      <c r="G4734">
        <v>5</v>
      </c>
      <c r="H4734" s="2">
        <v>10804.3</v>
      </c>
      <c r="I4734" s="2">
        <v>540.22</v>
      </c>
    </row>
    <row r="4735" spans="1:9" x14ac:dyDescent="0.25">
      <c r="A4735" t="s">
        <v>2591</v>
      </c>
      <c r="B4735" t="s">
        <v>2592</v>
      </c>
      <c r="C4735" t="s">
        <v>63</v>
      </c>
      <c r="D4735" t="s">
        <v>4062</v>
      </c>
      <c r="E4735" t="s">
        <v>6611</v>
      </c>
      <c r="F4735" t="s">
        <v>63</v>
      </c>
      <c r="G4735">
        <v>1</v>
      </c>
      <c r="H4735" s="2">
        <v>496018</v>
      </c>
      <c r="I4735" s="2">
        <v>496018</v>
      </c>
    </row>
    <row r="4736" spans="1:9" x14ac:dyDescent="0.25">
      <c r="A4736" t="s">
        <v>2591</v>
      </c>
      <c r="B4736" t="s">
        <v>2592</v>
      </c>
      <c r="C4736" t="s">
        <v>63</v>
      </c>
      <c r="D4736" t="s">
        <v>4062</v>
      </c>
      <c r="E4736" t="s">
        <v>6166</v>
      </c>
      <c r="F4736" t="s">
        <v>63</v>
      </c>
      <c r="G4736">
        <v>0.01</v>
      </c>
      <c r="H4736" s="2">
        <v>19750</v>
      </c>
      <c r="I4736" s="2">
        <v>118.5</v>
      </c>
    </row>
    <row r="4737" spans="1:9" x14ac:dyDescent="0.25">
      <c r="A4737" t="s">
        <v>2591</v>
      </c>
      <c r="B4737" t="s">
        <v>2592</v>
      </c>
      <c r="C4737" t="s">
        <v>63</v>
      </c>
      <c r="D4737" t="s">
        <v>4049</v>
      </c>
      <c r="E4737" t="s">
        <v>4241</v>
      </c>
      <c r="F4737" t="s">
        <v>4051</v>
      </c>
      <c r="G4737">
        <v>0.5</v>
      </c>
      <c r="H4737" s="2">
        <v>9941.22</v>
      </c>
      <c r="I4737" s="2">
        <v>4970.61</v>
      </c>
    </row>
    <row r="4738" spans="1:9" x14ac:dyDescent="0.25">
      <c r="A4738" t="s">
        <v>2591</v>
      </c>
      <c r="B4738" t="s">
        <v>2592</v>
      </c>
      <c r="C4738" t="s">
        <v>63</v>
      </c>
      <c r="D4738" t="s">
        <v>4049</v>
      </c>
      <c r="E4738" t="s">
        <v>4242</v>
      </c>
      <c r="F4738" t="s">
        <v>4051</v>
      </c>
      <c r="G4738">
        <v>0.5</v>
      </c>
      <c r="H4738" s="2">
        <v>17069.53</v>
      </c>
      <c r="I4738" s="2">
        <v>8534.76</v>
      </c>
    </row>
    <row r="4739" spans="1:9" x14ac:dyDescent="0.25">
      <c r="A4739" t="s">
        <v>2591</v>
      </c>
      <c r="B4739" t="s">
        <v>2592</v>
      </c>
      <c r="C4739" t="s">
        <v>63</v>
      </c>
      <c r="D4739" t="s">
        <v>4052</v>
      </c>
      <c r="E4739" t="s">
        <v>4053</v>
      </c>
      <c r="F4739" t="s">
        <v>4054</v>
      </c>
      <c r="G4739">
        <v>10</v>
      </c>
      <c r="H4739" s="2">
        <v>13505.37</v>
      </c>
      <c r="I4739" s="2">
        <v>1350.54</v>
      </c>
    </row>
    <row r="4740" spans="1:9" x14ac:dyDescent="0.25">
      <c r="A4740" t="s">
        <v>2594</v>
      </c>
      <c r="B4740" t="s">
        <v>2595</v>
      </c>
      <c r="C4740" t="s">
        <v>63</v>
      </c>
      <c r="D4740" t="s">
        <v>4062</v>
      </c>
      <c r="E4740" t="s">
        <v>6614</v>
      </c>
      <c r="F4740" t="s">
        <v>63</v>
      </c>
      <c r="G4740">
        <v>1</v>
      </c>
      <c r="H4740" s="2">
        <v>840627</v>
      </c>
      <c r="I4740" s="2">
        <v>840627</v>
      </c>
    </row>
    <row r="4741" spans="1:9" x14ac:dyDescent="0.25">
      <c r="A4741" t="s">
        <v>2594</v>
      </c>
      <c r="B4741" t="s">
        <v>2595</v>
      </c>
      <c r="C4741" t="s">
        <v>63</v>
      </c>
      <c r="D4741" t="s">
        <v>4062</v>
      </c>
      <c r="E4741" t="s">
        <v>6166</v>
      </c>
      <c r="F4741" t="s">
        <v>63</v>
      </c>
      <c r="G4741">
        <v>0.01</v>
      </c>
      <c r="H4741" s="2">
        <v>19750</v>
      </c>
      <c r="I4741" s="2">
        <v>118.5</v>
      </c>
    </row>
    <row r="4742" spans="1:9" x14ac:dyDescent="0.25">
      <c r="A4742" t="s">
        <v>2594</v>
      </c>
      <c r="B4742" t="s">
        <v>2595</v>
      </c>
      <c r="C4742" t="s">
        <v>63</v>
      </c>
      <c r="D4742" t="s">
        <v>4049</v>
      </c>
      <c r="E4742" t="s">
        <v>4241</v>
      </c>
      <c r="F4742" t="s">
        <v>4051</v>
      </c>
      <c r="G4742">
        <v>0.5</v>
      </c>
      <c r="H4742" s="2">
        <v>9941.22</v>
      </c>
      <c r="I4742" s="2">
        <v>4970.61</v>
      </c>
    </row>
    <row r="4743" spans="1:9" x14ac:dyDescent="0.25">
      <c r="A4743" t="s">
        <v>2594</v>
      </c>
      <c r="B4743" t="s">
        <v>2595</v>
      </c>
      <c r="C4743" t="s">
        <v>63</v>
      </c>
      <c r="D4743" t="s">
        <v>4049</v>
      </c>
      <c r="E4743" t="s">
        <v>4242</v>
      </c>
      <c r="F4743" t="s">
        <v>4051</v>
      </c>
      <c r="G4743">
        <v>0.5</v>
      </c>
      <c r="H4743" s="2">
        <v>17069.53</v>
      </c>
      <c r="I4743" s="2">
        <v>8534.76</v>
      </c>
    </row>
    <row r="4744" spans="1:9" x14ac:dyDescent="0.25">
      <c r="A4744" t="s">
        <v>2594</v>
      </c>
      <c r="B4744" t="s">
        <v>2595</v>
      </c>
      <c r="C4744" t="s">
        <v>63</v>
      </c>
      <c r="D4744" t="s">
        <v>4052</v>
      </c>
      <c r="E4744" t="s">
        <v>4053</v>
      </c>
      <c r="F4744" t="s">
        <v>4054</v>
      </c>
      <c r="G4744">
        <v>10</v>
      </c>
      <c r="H4744" s="2">
        <v>13505.37</v>
      </c>
      <c r="I4744" s="2">
        <v>1350.54</v>
      </c>
    </row>
    <row r="4745" spans="1:9" x14ac:dyDescent="0.25">
      <c r="A4745" t="s">
        <v>2597</v>
      </c>
      <c r="B4745" t="s">
        <v>2598</v>
      </c>
      <c r="C4745" t="s">
        <v>63</v>
      </c>
      <c r="D4745" t="s">
        <v>4062</v>
      </c>
      <c r="E4745" t="s">
        <v>6617</v>
      </c>
      <c r="F4745" t="s">
        <v>63</v>
      </c>
      <c r="G4745">
        <v>1</v>
      </c>
      <c r="H4745" s="2">
        <v>39780</v>
      </c>
      <c r="I4745" s="2">
        <v>39780</v>
      </c>
    </row>
    <row r="4746" spans="1:9" x14ac:dyDescent="0.25">
      <c r="A4746" t="s">
        <v>2597</v>
      </c>
      <c r="B4746" t="s">
        <v>2598</v>
      </c>
      <c r="C4746" t="s">
        <v>63</v>
      </c>
      <c r="D4746" t="s">
        <v>4062</v>
      </c>
      <c r="E4746" t="s">
        <v>6166</v>
      </c>
      <c r="F4746" t="s">
        <v>63</v>
      </c>
      <c r="G4746">
        <v>0.01</v>
      </c>
      <c r="H4746" s="2">
        <v>19750</v>
      </c>
      <c r="I4746" s="2">
        <v>118.5</v>
      </c>
    </row>
    <row r="4747" spans="1:9" x14ac:dyDescent="0.25">
      <c r="A4747" t="s">
        <v>2597</v>
      </c>
      <c r="B4747" t="s">
        <v>2598</v>
      </c>
      <c r="C4747" t="s">
        <v>63</v>
      </c>
      <c r="D4747" t="s">
        <v>4049</v>
      </c>
      <c r="E4747" t="s">
        <v>4241</v>
      </c>
      <c r="F4747" t="s">
        <v>4051</v>
      </c>
      <c r="G4747">
        <v>0.5</v>
      </c>
      <c r="H4747" s="2">
        <v>9941.22</v>
      </c>
      <c r="I4747" s="2">
        <v>4970.61</v>
      </c>
    </row>
    <row r="4748" spans="1:9" x14ac:dyDescent="0.25">
      <c r="A4748" t="s">
        <v>2597</v>
      </c>
      <c r="B4748" t="s">
        <v>2598</v>
      </c>
      <c r="C4748" t="s">
        <v>63</v>
      </c>
      <c r="D4748" t="s">
        <v>4049</v>
      </c>
      <c r="E4748" t="s">
        <v>4242</v>
      </c>
      <c r="F4748" t="s">
        <v>4051</v>
      </c>
      <c r="G4748">
        <v>0.5</v>
      </c>
      <c r="H4748" s="2">
        <v>17069.53</v>
      </c>
      <c r="I4748" s="2">
        <v>8534.76</v>
      </c>
    </row>
    <row r="4749" spans="1:9" x14ac:dyDescent="0.25">
      <c r="A4749" t="s">
        <v>2597</v>
      </c>
      <c r="B4749" t="s">
        <v>2598</v>
      </c>
      <c r="C4749" t="s">
        <v>63</v>
      </c>
      <c r="D4749" t="s">
        <v>4052</v>
      </c>
      <c r="E4749" t="s">
        <v>4053</v>
      </c>
      <c r="F4749" t="s">
        <v>4054</v>
      </c>
      <c r="G4749">
        <v>10</v>
      </c>
      <c r="H4749" s="2">
        <v>13505.37</v>
      </c>
      <c r="I4749" s="2">
        <v>1350.54</v>
      </c>
    </row>
    <row r="4750" spans="1:9" x14ac:dyDescent="0.25">
      <c r="A4750" t="s">
        <v>2600</v>
      </c>
      <c r="B4750" t="s">
        <v>2601</v>
      </c>
      <c r="C4750" t="s">
        <v>63</v>
      </c>
      <c r="D4750" t="s">
        <v>4062</v>
      </c>
      <c r="E4750" t="s">
        <v>6620</v>
      </c>
      <c r="F4750" t="s">
        <v>63</v>
      </c>
      <c r="G4750">
        <v>1</v>
      </c>
      <c r="H4750" s="2">
        <v>66518</v>
      </c>
      <c r="I4750" s="2">
        <v>66518</v>
      </c>
    </row>
    <row r="4751" spans="1:9" x14ac:dyDescent="0.25">
      <c r="A4751" t="s">
        <v>2600</v>
      </c>
      <c r="B4751" t="s">
        <v>2601</v>
      </c>
      <c r="C4751" t="s">
        <v>63</v>
      </c>
      <c r="D4751" t="s">
        <v>4062</v>
      </c>
      <c r="E4751" t="s">
        <v>6166</v>
      </c>
      <c r="F4751" t="s">
        <v>63</v>
      </c>
      <c r="G4751">
        <v>0.01</v>
      </c>
      <c r="H4751" s="2">
        <v>19750</v>
      </c>
      <c r="I4751" s="2">
        <v>118.5</v>
      </c>
    </row>
    <row r="4752" spans="1:9" x14ac:dyDescent="0.25">
      <c r="A4752" t="s">
        <v>2600</v>
      </c>
      <c r="B4752" t="s">
        <v>2601</v>
      </c>
      <c r="C4752" t="s">
        <v>63</v>
      </c>
      <c r="D4752" t="s">
        <v>4049</v>
      </c>
      <c r="E4752" t="s">
        <v>4241</v>
      </c>
      <c r="F4752" t="s">
        <v>4051</v>
      </c>
      <c r="G4752">
        <v>0.5</v>
      </c>
      <c r="H4752" s="2">
        <v>9941.22</v>
      </c>
      <c r="I4752" s="2">
        <v>4970.61</v>
      </c>
    </row>
    <row r="4753" spans="1:9" x14ac:dyDescent="0.25">
      <c r="A4753" t="s">
        <v>2600</v>
      </c>
      <c r="B4753" t="s">
        <v>2601</v>
      </c>
      <c r="C4753" t="s">
        <v>63</v>
      </c>
      <c r="D4753" t="s">
        <v>4049</v>
      </c>
      <c r="E4753" t="s">
        <v>4242</v>
      </c>
      <c r="F4753" t="s">
        <v>4051</v>
      </c>
      <c r="G4753">
        <v>0.5</v>
      </c>
      <c r="H4753" s="2">
        <v>17069.53</v>
      </c>
      <c r="I4753" s="2">
        <v>8534.76</v>
      </c>
    </row>
    <row r="4754" spans="1:9" x14ac:dyDescent="0.25">
      <c r="A4754" t="s">
        <v>2600</v>
      </c>
      <c r="B4754" t="s">
        <v>2601</v>
      </c>
      <c r="C4754" t="s">
        <v>63</v>
      </c>
      <c r="D4754" t="s">
        <v>4052</v>
      </c>
      <c r="E4754" t="s">
        <v>4053</v>
      </c>
      <c r="F4754" t="s">
        <v>4054</v>
      </c>
      <c r="G4754">
        <v>10</v>
      </c>
      <c r="H4754" s="2">
        <v>13505.37</v>
      </c>
      <c r="I4754" s="2">
        <v>1350.54</v>
      </c>
    </row>
    <row r="4755" spans="1:9" x14ac:dyDescent="0.25">
      <c r="A4755" t="s">
        <v>2603</v>
      </c>
      <c r="B4755" t="s">
        <v>2604</v>
      </c>
      <c r="C4755" t="s">
        <v>63</v>
      </c>
      <c r="D4755" t="s">
        <v>4062</v>
      </c>
      <c r="E4755" t="s">
        <v>6623</v>
      </c>
      <c r="F4755" t="s">
        <v>63</v>
      </c>
      <c r="G4755">
        <v>1</v>
      </c>
      <c r="H4755" s="2">
        <v>154638</v>
      </c>
      <c r="I4755" s="2">
        <v>154638</v>
      </c>
    </row>
    <row r="4756" spans="1:9" x14ac:dyDescent="0.25">
      <c r="A4756" t="s">
        <v>2603</v>
      </c>
      <c r="B4756" t="s">
        <v>2604</v>
      </c>
      <c r="C4756" t="s">
        <v>63</v>
      </c>
      <c r="D4756" t="s">
        <v>4062</v>
      </c>
      <c r="E4756" t="s">
        <v>6166</v>
      </c>
      <c r="F4756" t="s">
        <v>63</v>
      </c>
      <c r="G4756">
        <v>0.01</v>
      </c>
      <c r="H4756" s="2">
        <v>19750</v>
      </c>
      <c r="I4756" s="2">
        <v>118.5</v>
      </c>
    </row>
    <row r="4757" spans="1:9" x14ac:dyDescent="0.25">
      <c r="A4757" t="s">
        <v>2603</v>
      </c>
      <c r="B4757" t="s">
        <v>2604</v>
      </c>
      <c r="C4757" t="s">
        <v>63</v>
      </c>
      <c r="D4757" t="s">
        <v>4049</v>
      </c>
      <c r="E4757" t="s">
        <v>4241</v>
      </c>
      <c r="F4757" t="s">
        <v>4051</v>
      </c>
      <c r="G4757">
        <v>0.5</v>
      </c>
      <c r="H4757" s="2">
        <v>9941.22</v>
      </c>
      <c r="I4757" s="2">
        <v>4970.61</v>
      </c>
    </row>
    <row r="4758" spans="1:9" x14ac:dyDescent="0.25">
      <c r="A4758" t="s">
        <v>2603</v>
      </c>
      <c r="B4758" t="s">
        <v>2604</v>
      </c>
      <c r="C4758" t="s">
        <v>63</v>
      </c>
      <c r="D4758" t="s">
        <v>4049</v>
      </c>
      <c r="E4758" t="s">
        <v>4242</v>
      </c>
      <c r="F4758" t="s">
        <v>4051</v>
      </c>
      <c r="G4758">
        <v>0.5</v>
      </c>
      <c r="H4758" s="2">
        <v>17069.53</v>
      </c>
      <c r="I4758" s="2">
        <v>8534.76</v>
      </c>
    </row>
    <row r="4759" spans="1:9" x14ac:dyDescent="0.25">
      <c r="A4759" t="s">
        <v>2603</v>
      </c>
      <c r="B4759" t="s">
        <v>2604</v>
      </c>
      <c r="C4759" t="s">
        <v>63</v>
      </c>
      <c r="D4759" t="s">
        <v>4052</v>
      </c>
      <c r="E4759" t="s">
        <v>4053</v>
      </c>
      <c r="F4759" t="s">
        <v>4054</v>
      </c>
      <c r="G4759">
        <v>10</v>
      </c>
      <c r="H4759" s="2">
        <v>13505.37</v>
      </c>
      <c r="I4759" s="2">
        <v>1350.54</v>
      </c>
    </row>
    <row r="4760" spans="1:9" x14ac:dyDescent="0.25">
      <c r="A4760" t="s">
        <v>2606</v>
      </c>
      <c r="B4760" t="s">
        <v>2607</v>
      </c>
      <c r="C4760" t="s">
        <v>63</v>
      </c>
      <c r="D4760" t="s">
        <v>4062</v>
      </c>
      <c r="E4760" t="s">
        <v>6626</v>
      </c>
      <c r="F4760" t="s">
        <v>63</v>
      </c>
      <c r="G4760">
        <v>1</v>
      </c>
      <c r="H4760" s="2">
        <v>284223</v>
      </c>
      <c r="I4760" s="2">
        <v>284223</v>
      </c>
    </row>
    <row r="4761" spans="1:9" x14ac:dyDescent="0.25">
      <c r="A4761" t="s">
        <v>2606</v>
      </c>
      <c r="B4761" t="s">
        <v>2607</v>
      </c>
      <c r="C4761" t="s">
        <v>63</v>
      </c>
      <c r="D4761" t="s">
        <v>4062</v>
      </c>
      <c r="E4761" t="s">
        <v>6166</v>
      </c>
      <c r="F4761" t="s">
        <v>63</v>
      </c>
      <c r="G4761">
        <v>0.01</v>
      </c>
      <c r="H4761" s="2">
        <v>19750</v>
      </c>
      <c r="I4761" s="2">
        <v>118.5</v>
      </c>
    </row>
    <row r="4762" spans="1:9" x14ac:dyDescent="0.25">
      <c r="A4762" t="s">
        <v>2606</v>
      </c>
      <c r="B4762" t="s">
        <v>2607</v>
      </c>
      <c r="C4762" t="s">
        <v>63</v>
      </c>
      <c r="D4762" t="s">
        <v>4049</v>
      </c>
      <c r="E4762" t="s">
        <v>4241</v>
      </c>
      <c r="F4762" t="s">
        <v>4051</v>
      </c>
      <c r="G4762">
        <v>0.5</v>
      </c>
      <c r="H4762" s="2">
        <v>9941.22</v>
      </c>
      <c r="I4762" s="2">
        <v>4970.61</v>
      </c>
    </row>
    <row r="4763" spans="1:9" x14ac:dyDescent="0.25">
      <c r="A4763" t="s">
        <v>2606</v>
      </c>
      <c r="B4763" t="s">
        <v>2607</v>
      </c>
      <c r="C4763" t="s">
        <v>63</v>
      </c>
      <c r="D4763" t="s">
        <v>4049</v>
      </c>
      <c r="E4763" t="s">
        <v>4242</v>
      </c>
      <c r="F4763" t="s">
        <v>4051</v>
      </c>
      <c r="G4763">
        <v>0.5</v>
      </c>
      <c r="H4763" s="2">
        <v>17069.53</v>
      </c>
      <c r="I4763" s="2">
        <v>8534.76</v>
      </c>
    </row>
    <row r="4764" spans="1:9" x14ac:dyDescent="0.25">
      <c r="A4764" t="s">
        <v>2606</v>
      </c>
      <c r="B4764" t="s">
        <v>2607</v>
      </c>
      <c r="C4764" t="s">
        <v>63</v>
      </c>
      <c r="D4764" t="s">
        <v>4052</v>
      </c>
      <c r="E4764" t="s">
        <v>4053</v>
      </c>
      <c r="F4764" t="s">
        <v>4054</v>
      </c>
      <c r="G4764">
        <v>10</v>
      </c>
      <c r="H4764" s="2">
        <v>13505.37</v>
      </c>
      <c r="I4764" s="2">
        <v>1350.54</v>
      </c>
    </row>
    <row r="4765" spans="1:9" x14ac:dyDescent="0.25">
      <c r="A4765" t="s">
        <v>2609</v>
      </c>
      <c r="B4765" t="s">
        <v>2611</v>
      </c>
      <c r="C4765" t="s">
        <v>63</v>
      </c>
      <c r="D4765" t="s">
        <v>4062</v>
      </c>
      <c r="E4765" t="s">
        <v>2611</v>
      </c>
      <c r="F4765" t="s">
        <v>63</v>
      </c>
      <c r="G4765">
        <v>1</v>
      </c>
      <c r="H4765" s="2">
        <v>215000</v>
      </c>
      <c r="I4765" s="2">
        <v>215000</v>
      </c>
    </row>
    <row r="4766" spans="1:9" x14ac:dyDescent="0.25">
      <c r="A4766" t="s">
        <v>2614</v>
      </c>
      <c r="B4766" t="s">
        <v>2615</v>
      </c>
      <c r="C4766" t="s">
        <v>34</v>
      </c>
      <c r="D4766" t="s">
        <v>4062</v>
      </c>
      <c r="E4766" t="s">
        <v>4001</v>
      </c>
      <c r="F4766" t="s">
        <v>34</v>
      </c>
      <c r="G4766">
        <v>1</v>
      </c>
      <c r="H4766" s="2">
        <v>450245.66</v>
      </c>
      <c r="I4766" s="2">
        <v>450245.66</v>
      </c>
    </row>
    <row r="4767" spans="1:9" x14ac:dyDescent="0.25">
      <c r="A4767" t="s">
        <v>2614</v>
      </c>
      <c r="B4767" t="s">
        <v>2615</v>
      </c>
      <c r="C4767" t="s">
        <v>34</v>
      </c>
      <c r="D4767" t="s">
        <v>4049</v>
      </c>
      <c r="E4767" t="s">
        <v>4050</v>
      </c>
      <c r="F4767" t="s">
        <v>4051</v>
      </c>
      <c r="G4767">
        <v>7</v>
      </c>
      <c r="H4767" s="2">
        <v>9037.33</v>
      </c>
      <c r="I4767" s="2">
        <v>63261.31</v>
      </c>
    </row>
    <row r="4768" spans="1:9" x14ac:dyDescent="0.25">
      <c r="A4768" t="s">
        <v>2614</v>
      </c>
      <c r="B4768" t="s">
        <v>2615</v>
      </c>
      <c r="C4768" t="s">
        <v>34</v>
      </c>
      <c r="D4768" t="s">
        <v>4049</v>
      </c>
      <c r="E4768" t="s">
        <v>4073</v>
      </c>
      <c r="F4768" t="s">
        <v>4051</v>
      </c>
      <c r="G4768">
        <v>7</v>
      </c>
      <c r="H4768" s="2">
        <v>15517.89</v>
      </c>
      <c r="I4768" s="2">
        <v>108625.23</v>
      </c>
    </row>
    <row r="4769" spans="1:9" x14ac:dyDescent="0.25">
      <c r="A4769" t="s">
        <v>2614</v>
      </c>
      <c r="B4769" t="s">
        <v>2615</v>
      </c>
      <c r="C4769" t="s">
        <v>34</v>
      </c>
      <c r="D4769" t="s">
        <v>4052</v>
      </c>
      <c r="E4769" t="s">
        <v>4053</v>
      </c>
      <c r="F4769" t="s">
        <v>4054</v>
      </c>
      <c r="G4769">
        <v>0.3</v>
      </c>
      <c r="H4769" s="2">
        <v>171886.54</v>
      </c>
      <c r="I4769" s="2">
        <v>515.66</v>
      </c>
    </row>
    <row r="4770" spans="1:9" x14ac:dyDescent="0.25">
      <c r="A4770" t="s">
        <v>2617</v>
      </c>
      <c r="B4770" t="s">
        <v>2618</v>
      </c>
      <c r="C4770" t="s">
        <v>63</v>
      </c>
      <c r="D4770" t="s">
        <v>4062</v>
      </c>
      <c r="E4770" t="s">
        <v>3205</v>
      </c>
      <c r="F4770" t="s">
        <v>34</v>
      </c>
      <c r="G4770">
        <v>0.26</v>
      </c>
      <c r="H4770" s="2">
        <v>650668.16</v>
      </c>
      <c r="I4770" s="2">
        <v>169173.72</v>
      </c>
    </row>
    <row r="4771" spans="1:9" x14ac:dyDescent="0.25">
      <c r="A4771" t="s">
        <v>2617</v>
      </c>
      <c r="B4771" t="s">
        <v>2618</v>
      </c>
      <c r="C4771" t="s">
        <v>63</v>
      </c>
      <c r="D4771" t="s">
        <v>4062</v>
      </c>
      <c r="E4771" t="s">
        <v>2611</v>
      </c>
      <c r="F4771" t="s">
        <v>63</v>
      </c>
      <c r="G4771">
        <v>1</v>
      </c>
      <c r="H4771" s="2">
        <v>215000</v>
      </c>
      <c r="I4771" s="2">
        <v>215000</v>
      </c>
    </row>
    <row r="4772" spans="1:9" x14ac:dyDescent="0.25">
      <c r="A4772" t="s">
        <v>2617</v>
      </c>
      <c r="B4772" t="s">
        <v>2618</v>
      </c>
      <c r="C4772" t="s">
        <v>63</v>
      </c>
      <c r="D4772" t="s">
        <v>4062</v>
      </c>
      <c r="E4772" t="s">
        <v>4031</v>
      </c>
      <c r="F4772" t="s">
        <v>21</v>
      </c>
      <c r="G4772">
        <v>3.1</v>
      </c>
      <c r="H4772" s="2">
        <v>142134.84</v>
      </c>
      <c r="I4772" s="2">
        <v>440618</v>
      </c>
    </row>
    <row r="4773" spans="1:9" x14ac:dyDescent="0.25">
      <c r="A4773" t="s">
        <v>2617</v>
      </c>
      <c r="B4773" t="s">
        <v>2618</v>
      </c>
      <c r="C4773" t="s">
        <v>63</v>
      </c>
      <c r="D4773" t="s">
        <v>4062</v>
      </c>
      <c r="E4773" t="s">
        <v>2858</v>
      </c>
      <c r="F4773" t="s">
        <v>63</v>
      </c>
      <c r="G4773">
        <v>3</v>
      </c>
      <c r="H4773" s="2">
        <v>6597.32</v>
      </c>
      <c r="I4773" s="2">
        <v>19791.96</v>
      </c>
    </row>
    <row r="4774" spans="1:9" x14ac:dyDescent="0.25">
      <c r="A4774" t="s">
        <v>2617</v>
      </c>
      <c r="B4774" t="s">
        <v>2618</v>
      </c>
      <c r="C4774" t="s">
        <v>63</v>
      </c>
      <c r="D4774" t="s">
        <v>4049</v>
      </c>
      <c r="E4774" t="s">
        <v>4176</v>
      </c>
      <c r="F4774" t="s">
        <v>4177</v>
      </c>
      <c r="G4774">
        <v>1.33</v>
      </c>
      <c r="H4774" s="2">
        <v>72300.17</v>
      </c>
      <c r="I4774" s="2">
        <v>96397.82</v>
      </c>
    </row>
    <row r="4775" spans="1:9" x14ac:dyDescent="0.25">
      <c r="A4775" t="s">
        <v>2617</v>
      </c>
      <c r="B4775" t="s">
        <v>2618</v>
      </c>
      <c r="C4775" t="s">
        <v>63</v>
      </c>
      <c r="D4775" t="s">
        <v>4049</v>
      </c>
      <c r="E4775" t="s">
        <v>4313</v>
      </c>
      <c r="F4775" t="s">
        <v>4177</v>
      </c>
      <c r="G4775">
        <v>1.33</v>
      </c>
      <c r="H4775" s="2">
        <v>124137.15</v>
      </c>
      <c r="I4775" s="2">
        <v>165512.06</v>
      </c>
    </row>
    <row r="4776" spans="1:9" x14ac:dyDescent="0.25">
      <c r="A4776" t="s">
        <v>2617</v>
      </c>
      <c r="B4776" t="s">
        <v>2618</v>
      </c>
      <c r="C4776" t="s">
        <v>63</v>
      </c>
      <c r="D4776" t="s">
        <v>4052</v>
      </c>
      <c r="E4776" t="s">
        <v>4053</v>
      </c>
      <c r="F4776" t="s">
        <v>4054</v>
      </c>
      <c r="G4776">
        <v>6.8</v>
      </c>
      <c r="H4776" s="2">
        <v>261909.88</v>
      </c>
      <c r="I4776" s="2">
        <v>17809.87</v>
      </c>
    </row>
    <row r="4777" spans="1:9" x14ac:dyDescent="0.25">
      <c r="A4777" t="s">
        <v>2620</v>
      </c>
      <c r="B4777" t="s">
        <v>2621</v>
      </c>
      <c r="C4777" t="s">
        <v>63</v>
      </c>
      <c r="D4777" t="s">
        <v>4062</v>
      </c>
      <c r="E4777" t="s">
        <v>2611</v>
      </c>
      <c r="F4777" t="s">
        <v>63</v>
      </c>
      <c r="G4777">
        <v>1</v>
      </c>
      <c r="H4777" s="2">
        <v>215000</v>
      </c>
      <c r="I4777" s="2">
        <v>215000</v>
      </c>
    </row>
    <row r="4778" spans="1:9" x14ac:dyDescent="0.25">
      <c r="A4778" t="s">
        <v>2620</v>
      </c>
      <c r="B4778" t="s">
        <v>2621</v>
      </c>
      <c r="C4778" t="s">
        <v>63</v>
      </c>
      <c r="D4778" t="s">
        <v>4062</v>
      </c>
      <c r="E4778" t="s">
        <v>4031</v>
      </c>
      <c r="F4778" t="s">
        <v>21</v>
      </c>
      <c r="G4778">
        <v>9.5</v>
      </c>
      <c r="H4778" s="2">
        <v>142134.84</v>
      </c>
      <c r="I4778" s="2">
        <v>1350280.98</v>
      </c>
    </row>
    <row r="4779" spans="1:9" x14ac:dyDescent="0.25">
      <c r="A4779" t="s">
        <v>2620</v>
      </c>
      <c r="B4779" t="s">
        <v>2621</v>
      </c>
      <c r="C4779" t="s">
        <v>63</v>
      </c>
      <c r="D4779" t="s">
        <v>4062</v>
      </c>
      <c r="E4779" t="s">
        <v>2858</v>
      </c>
      <c r="F4779" t="s">
        <v>63</v>
      </c>
      <c r="G4779">
        <v>5</v>
      </c>
      <c r="H4779" s="2">
        <v>6597.32</v>
      </c>
      <c r="I4779" s="2">
        <v>32986.6</v>
      </c>
    </row>
    <row r="4780" spans="1:9" x14ac:dyDescent="0.25">
      <c r="A4780" t="s">
        <v>2620</v>
      </c>
      <c r="B4780" t="s">
        <v>2621</v>
      </c>
      <c r="C4780" t="s">
        <v>63</v>
      </c>
      <c r="D4780" t="s">
        <v>4062</v>
      </c>
      <c r="E4780" t="s">
        <v>3221</v>
      </c>
      <c r="F4780" t="s">
        <v>34</v>
      </c>
      <c r="G4780">
        <v>0.35</v>
      </c>
      <c r="H4780" s="2">
        <v>541179.04</v>
      </c>
      <c r="I4780" s="2">
        <v>189412.66</v>
      </c>
    </row>
    <row r="4781" spans="1:9" x14ac:dyDescent="0.25">
      <c r="A4781" t="s">
        <v>2620</v>
      </c>
      <c r="B4781" t="s">
        <v>2621</v>
      </c>
      <c r="C4781" t="s">
        <v>63</v>
      </c>
      <c r="D4781" t="s">
        <v>4049</v>
      </c>
      <c r="E4781" t="s">
        <v>4176</v>
      </c>
      <c r="F4781" t="s">
        <v>4177</v>
      </c>
      <c r="G4781">
        <v>2.5</v>
      </c>
      <c r="H4781" s="2">
        <v>72300.17</v>
      </c>
      <c r="I4781" s="2">
        <v>180750.42</v>
      </c>
    </row>
    <row r="4782" spans="1:9" x14ac:dyDescent="0.25">
      <c r="A4782" t="s">
        <v>2620</v>
      </c>
      <c r="B4782" t="s">
        <v>2621</v>
      </c>
      <c r="C4782" t="s">
        <v>63</v>
      </c>
      <c r="D4782" t="s">
        <v>4049</v>
      </c>
      <c r="E4782" t="s">
        <v>4313</v>
      </c>
      <c r="F4782" t="s">
        <v>4177</v>
      </c>
      <c r="G4782">
        <v>2.5</v>
      </c>
      <c r="H4782" s="2">
        <v>124137.15</v>
      </c>
      <c r="I4782" s="2">
        <v>310342.88</v>
      </c>
    </row>
    <row r="4783" spans="1:9" x14ac:dyDescent="0.25">
      <c r="A4783" t="s">
        <v>2620</v>
      </c>
      <c r="B4783" t="s">
        <v>2621</v>
      </c>
      <c r="C4783" t="s">
        <v>63</v>
      </c>
      <c r="D4783" t="s">
        <v>4052</v>
      </c>
      <c r="E4783" t="s">
        <v>4053</v>
      </c>
      <c r="F4783" t="s">
        <v>4054</v>
      </c>
      <c r="G4783">
        <v>6.8</v>
      </c>
      <c r="H4783" s="2">
        <v>491093.3</v>
      </c>
      <c r="I4783" s="2">
        <v>33394.34</v>
      </c>
    </row>
    <row r="4784" spans="1:9" x14ac:dyDescent="0.25">
      <c r="A4784" t="s">
        <v>2623</v>
      </c>
      <c r="B4784" t="s">
        <v>2624</v>
      </c>
      <c r="C4784" t="s">
        <v>63</v>
      </c>
      <c r="D4784" t="s">
        <v>4062</v>
      </c>
      <c r="E4784" t="s">
        <v>2611</v>
      </c>
      <c r="F4784" t="s">
        <v>63</v>
      </c>
      <c r="G4784">
        <v>1</v>
      </c>
      <c r="H4784" s="2">
        <v>215000</v>
      </c>
      <c r="I4784" s="2">
        <v>215000</v>
      </c>
    </row>
    <row r="4785" spans="1:9" x14ac:dyDescent="0.25">
      <c r="A4785" t="s">
        <v>2623</v>
      </c>
      <c r="B4785" t="s">
        <v>2624</v>
      </c>
      <c r="C4785" t="s">
        <v>63</v>
      </c>
      <c r="D4785" t="s">
        <v>4062</v>
      </c>
      <c r="E4785" t="s">
        <v>4031</v>
      </c>
      <c r="F4785" t="s">
        <v>21</v>
      </c>
      <c r="G4785">
        <v>5.7</v>
      </c>
      <c r="H4785" s="2">
        <v>142134.84</v>
      </c>
      <c r="I4785" s="2">
        <v>810168.59</v>
      </c>
    </row>
    <row r="4786" spans="1:9" x14ac:dyDescent="0.25">
      <c r="A4786" t="s">
        <v>2623</v>
      </c>
      <c r="B4786" t="s">
        <v>2624</v>
      </c>
      <c r="C4786" t="s">
        <v>63</v>
      </c>
      <c r="D4786" t="s">
        <v>4062</v>
      </c>
      <c r="E4786" t="s">
        <v>2858</v>
      </c>
      <c r="F4786" t="s">
        <v>63</v>
      </c>
      <c r="G4786">
        <v>5</v>
      </c>
      <c r="H4786" s="2">
        <v>6597.32</v>
      </c>
      <c r="I4786" s="2">
        <v>32986.6</v>
      </c>
    </row>
    <row r="4787" spans="1:9" x14ac:dyDescent="0.25">
      <c r="A4787" t="s">
        <v>2623</v>
      </c>
      <c r="B4787" t="s">
        <v>2624</v>
      </c>
      <c r="C4787" t="s">
        <v>63</v>
      </c>
      <c r="D4787" t="s">
        <v>4062</v>
      </c>
      <c r="E4787" t="s">
        <v>3221</v>
      </c>
      <c r="F4787" t="s">
        <v>34</v>
      </c>
      <c r="G4787">
        <v>0.35</v>
      </c>
      <c r="H4787" s="2">
        <v>541179.04</v>
      </c>
      <c r="I4787" s="2">
        <v>189412.66</v>
      </c>
    </row>
    <row r="4788" spans="1:9" x14ac:dyDescent="0.25">
      <c r="A4788" t="s">
        <v>2623</v>
      </c>
      <c r="B4788" t="s">
        <v>2624</v>
      </c>
      <c r="C4788" t="s">
        <v>63</v>
      </c>
      <c r="D4788" t="s">
        <v>4049</v>
      </c>
      <c r="E4788" t="s">
        <v>4176</v>
      </c>
      <c r="F4788" t="s">
        <v>4177</v>
      </c>
      <c r="G4788">
        <v>2.5</v>
      </c>
      <c r="H4788" s="2">
        <v>72300.17</v>
      </c>
      <c r="I4788" s="2">
        <v>180750.42</v>
      </c>
    </row>
    <row r="4789" spans="1:9" x14ac:dyDescent="0.25">
      <c r="A4789" t="s">
        <v>2623</v>
      </c>
      <c r="B4789" t="s">
        <v>2624</v>
      </c>
      <c r="C4789" t="s">
        <v>63</v>
      </c>
      <c r="D4789" t="s">
        <v>4049</v>
      </c>
      <c r="E4789" t="s">
        <v>4313</v>
      </c>
      <c r="F4789" t="s">
        <v>4177</v>
      </c>
      <c r="G4789">
        <v>2.5</v>
      </c>
      <c r="H4789" s="2">
        <v>124137.15</v>
      </c>
      <c r="I4789" s="2">
        <v>310342.88</v>
      </c>
    </row>
    <row r="4790" spans="1:9" x14ac:dyDescent="0.25">
      <c r="A4790" t="s">
        <v>2623</v>
      </c>
      <c r="B4790" t="s">
        <v>2624</v>
      </c>
      <c r="C4790" t="s">
        <v>63</v>
      </c>
      <c r="D4790" t="s">
        <v>4052</v>
      </c>
      <c r="E4790" t="s">
        <v>4053</v>
      </c>
      <c r="F4790" t="s">
        <v>4054</v>
      </c>
      <c r="G4790">
        <v>6.8</v>
      </c>
      <c r="H4790" s="2">
        <v>491093.3</v>
      </c>
      <c r="I4790" s="2">
        <v>33394.34</v>
      </c>
    </row>
    <row r="4791" spans="1:9" x14ac:dyDescent="0.25">
      <c r="A4791" t="s">
        <v>2626</v>
      </c>
      <c r="B4791" t="s">
        <v>2627</v>
      </c>
      <c r="C4791" t="s">
        <v>63</v>
      </c>
      <c r="D4791" t="s">
        <v>4062</v>
      </c>
      <c r="E4791" t="s">
        <v>2611</v>
      </c>
      <c r="F4791" t="s">
        <v>63</v>
      </c>
      <c r="G4791">
        <v>1</v>
      </c>
      <c r="H4791" s="2">
        <v>215000</v>
      </c>
      <c r="I4791" s="2">
        <v>215000</v>
      </c>
    </row>
    <row r="4792" spans="1:9" x14ac:dyDescent="0.25">
      <c r="A4792" t="s">
        <v>2626</v>
      </c>
      <c r="B4792" t="s">
        <v>2627</v>
      </c>
      <c r="C4792" t="s">
        <v>63</v>
      </c>
      <c r="D4792" t="s">
        <v>4062</v>
      </c>
      <c r="E4792" t="s">
        <v>4031</v>
      </c>
      <c r="F4792" t="s">
        <v>21</v>
      </c>
      <c r="G4792">
        <v>3.1</v>
      </c>
      <c r="H4792" s="2">
        <v>142134.84</v>
      </c>
      <c r="I4792" s="2">
        <v>440618</v>
      </c>
    </row>
    <row r="4793" spans="1:9" x14ac:dyDescent="0.25">
      <c r="A4793" t="s">
        <v>2626</v>
      </c>
      <c r="B4793" t="s">
        <v>2627</v>
      </c>
      <c r="C4793" t="s">
        <v>63</v>
      </c>
      <c r="D4793" t="s">
        <v>4062</v>
      </c>
      <c r="E4793" t="s">
        <v>2858</v>
      </c>
      <c r="F4793" t="s">
        <v>63</v>
      </c>
      <c r="G4793">
        <v>3</v>
      </c>
      <c r="H4793" s="2">
        <v>6597.32</v>
      </c>
      <c r="I4793" s="2">
        <v>19791.96</v>
      </c>
    </row>
    <row r="4794" spans="1:9" x14ac:dyDescent="0.25">
      <c r="A4794" t="s">
        <v>2626</v>
      </c>
      <c r="B4794" t="s">
        <v>2627</v>
      </c>
      <c r="C4794" t="s">
        <v>63</v>
      </c>
      <c r="D4794" t="s">
        <v>4062</v>
      </c>
      <c r="E4794" t="s">
        <v>3221</v>
      </c>
      <c r="F4794" t="s">
        <v>34</v>
      </c>
      <c r="G4794">
        <v>0.35</v>
      </c>
      <c r="H4794" s="2">
        <v>541179.04</v>
      </c>
      <c r="I4794" s="2">
        <v>189412.66</v>
      </c>
    </row>
    <row r="4795" spans="1:9" x14ac:dyDescent="0.25">
      <c r="A4795" t="s">
        <v>2626</v>
      </c>
      <c r="B4795" t="s">
        <v>2627</v>
      </c>
      <c r="C4795" t="s">
        <v>63</v>
      </c>
      <c r="D4795" t="s">
        <v>4049</v>
      </c>
      <c r="E4795" t="s">
        <v>4176</v>
      </c>
      <c r="F4795" t="s">
        <v>4177</v>
      </c>
      <c r="G4795">
        <v>1.5</v>
      </c>
      <c r="H4795" s="2">
        <v>72300.17</v>
      </c>
      <c r="I4795" s="2">
        <v>108450.26</v>
      </c>
    </row>
    <row r="4796" spans="1:9" x14ac:dyDescent="0.25">
      <c r="A4796" t="s">
        <v>2626</v>
      </c>
      <c r="B4796" t="s">
        <v>2627</v>
      </c>
      <c r="C4796" t="s">
        <v>63</v>
      </c>
      <c r="D4796" t="s">
        <v>4049</v>
      </c>
      <c r="E4796" t="s">
        <v>4313</v>
      </c>
      <c r="F4796" t="s">
        <v>4177</v>
      </c>
      <c r="G4796">
        <v>1.5</v>
      </c>
      <c r="H4796" s="2">
        <v>124137.15</v>
      </c>
      <c r="I4796" s="2">
        <v>186205.72</v>
      </c>
    </row>
    <row r="4797" spans="1:9" x14ac:dyDescent="0.25">
      <c r="A4797" t="s">
        <v>2626</v>
      </c>
      <c r="B4797" t="s">
        <v>2627</v>
      </c>
      <c r="C4797" t="s">
        <v>63</v>
      </c>
      <c r="D4797" t="s">
        <v>4052</v>
      </c>
      <c r="E4797" t="s">
        <v>4053</v>
      </c>
      <c r="F4797" t="s">
        <v>4054</v>
      </c>
      <c r="G4797">
        <v>6.8</v>
      </c>
      <c r="H4797" s="2">
        <v>294655.98</v>
      </c>
      <c r="I4797" s="2">
        <v>20036.61</v>
      </c>
    </row>
    <row r="4798" spans="1:9" x14ac:dyDescent="0.25">
      <c r="A4798" t="s">
        <v>2629</v>
      </c>
      <c r="B4798" t="s">
        <v>2630</v>
      </c>
      <c r="C4798" t="s">
        <v>63</v>
      </c>
      <c r="D4798" t="s">
        <v>4062</v>
      </c>
      <c r="E4798" t="s">
        <v>3205</v>
      </c>
      <c r="F4798" t="s">
        <v>34</v>
      </c>
      <c r="G4798">
        <v>0.5</v>
      </c>
      <c r="H4798" s="2">
        <v>650668.16</v>
      </c>
      <c r="I4798" s="2">
        <v>325334.08</v>
      </c>
    </row>
    <row r="4799" spans="1:9" x14ac:dyDescent="0.25">
      <c r="A4799" t="s">
        <v>2629</v>
      </c>
      <c r="B4799" t="s">
        <v>2630</v>
      </c>
      <c r="C4799" t="s">
        <v>63</v>
      </c>
      <c r="D4799" t="s">
        <v>4062</v>
      </c>
      <c r="E4799" t="s">
        <v>2611</v>
      </c>
      <c r="F4799" t="s">
        <v>63</v>
      </c>
      <c r="G4799">
        <v>1</v>
      </c>
      <c r="H4799" s="2">
        <v>215000</v>
      </c>
      <c r="I4799" s="2">
        <v>215000</v>
      </c>
    </row>
    <row r="4800" spans="1:9" x14ac:dyDescent="0.25">
      <c r="A4800" t="s">
        <v>2629</v>
      </c>
      <c r="B4800" t="s">
        <v>2630</v>
      </c>
      <c r="C4800" t="s">
        <v>63</v>
      </c>
      <c r="D4800" t="s">
        <v>4062</v>
      </c>
      <c r="E4800" t="s">
        <v>4031</v>
      </c>
      <c r="F4800" t="s">
        <v>21</v>
      </c>
      <c r="G4800">
        <v>16.9</v>
      </c>
      <c r="H4800" s="2">
        <v>142134.84</v>
      </c>
      <c r="I4800" s="2">
        <v>2402078.8</v>
      </c>
    </row>
    <row r="4801" spans="1:9" x14ac:dyDescent="0.25">
      <c r="A4801" t="s">
        <v>2629</v>
      </c>
      <c r="B4801" t="s">
        <v>2630</v>
      </c>
      <c r="C4801" t="s">
        <v>63</v>
      </c>
      <c r="D4801" t="s">
        <v>4062</v>
      </c>
      <c r="E4801" t="s">
        <v>2858</v>
      </c>
      <c r="F4801" t="s">
        <v>63</v>
      </c>
      <c r="G4801">
        <v>11</v>
      </c>
      <c r="H4801" s="2">
        <v>6597.32</v>
      </c>
      <c r="I4801" s="2">
        <v>72570.52</v>
      </c>
    </row>
    <row r="4802" spans="1:9" x14ac:dyDescent="0.25">
      <c r="A4802" t="s">
        <v>2629</v>
      </c>
      <c r="B4802" t="s">
        <v>2630</v>
      </c>
      <c r="C4802" t="s">
        <v>63</v>
      </c>
      <c r="D4802" t="s">
        <v>4049</v>
      </c>
      <c r="E4802" t="s">
        <v>4176</v>
      </c>
      <c r="F4802" t="s">
        <v>4177</v>
      </c>
      <c r="G4802">
        <v>2.5</v>
      </c>
      <c r="H4802" s="2">
        <v>72300.17</v>
      </c>
      <c r="I4802" s="2">
        <v>180750.42</v>
      </c>
    </row>
    <row r="4803" spans="1:9" x14ac:dyDescent="0.25">
      <c r="A4803" t="s">
        <v>2629</v>
      </c>
      <c r="B4803" t="s">
        <v>2630</v>
      </c>
      <c r="C4803" t="s">
        <v>63</v>
      </c>
      <c r="D4803" t="s">
        <v>4049</v>
      </c>
      <c r="E4803" t="s">
        <v>4313</v>
      </c>
      <c r="F4803" t="s">
        <v>4177</v>
      </c>
      <c r="G4803">
        <v>2.5</v>
      </c>
      <c r="H4803" s="2">
        <v>124137.15</v>
      </c>
      <c r="I4803" s="2">
        <v>310342.88</v>
      </c>
    </row>
    <row r="4804" spans="1:9" x14ac:dyDescent="0.25">
      <c r="A4804" t="s">
        <v>2629</v>
      </c>
      <c r="B4804" t="s">
        <v>2630</v>
      </c>
      <c r="C4804" t="s">
        <v>63</v>
      </c>
      <c r="D4804" t="s">
        <v>4052</v>
      </c>
      <c r="E4804" t="s">
        <v>4053</v>
      </c>
      <c r="F4804" t="s">
        <v>4054</v>
      </c>
      <c r="G4804">
        <v>6.6</v>
      </c>
      <c r="H4804" s="2">
        <v>491093.3</v>
      </c>
      <c r="I4804" s="2">
        <v>32412.16</v>
      </c>
    </row>
    <row r="4805" spans="1:9" x14ac:dyDescent="0.25">
      <c r="A4805" t="s">
        <v>2632</v>
      </c>
      <c r="B4805" t="s">
        <v>2633</v>
      </c>
      <c r="C4805" t="s">
        <v>63</v>
      </c>
      <c r="D4805" t="s">
        <v>4062</v>
      </c>
      <c r="E4805" t="s">
        <v>6645</v>
      </c>
      <c r="F4805" t="s">
        <v>63</v>
      </c>
      <c r="G4805">
        <v>2</v>
      </c>
      <c r="H4805" s="2">
        <v>2766.67</v>
      </c>
      <c r="I4805" s="2">
        <v>5533.34</v>
      </c>
    </row>
    <row r="4806" spans="1:9" x14ac:dyDescent="0.25">
      <c r="A4806" t="s">
        <v>2632</v>
      </c>
      <c r="B4806" t="s">
        <v>2633</v>
      </c>
      <c r="C4806" t="s">
        <v>63</v>
      </c>
      <c r="D4806" t="s">
        <v>4062</v>
      </c>
      <c r="E4806" t="s">
        <v>6646</v>
      </c>
      <c r="F4806" t="s">
        <v>63</v>
      </c>
      <c r="G4806">
        <v>2</v>
      </c>
      <c r="H4806" s="2">
        <v>1967</v>
      </c>
      <c r="I4806" s="2">
        <v>3934</v>
      </c>
    </row>
    <row r="4807" spans="1:9" x14ac:dyDescent="0.25">
      <c r="A4807" t="s">
        <v>2632</v>
      </c>
      <c r="B4807" t="s">
        <v>2633</v>
      </c>
      <c r="C4807" t="s">
        <v>63</v>
      </c>
      <c r="D4807" t="s">
        <v>4062</v>
      </c>
      <c r="E4807" t="s">
        <v>6647</v>
      </c>
      <c r="F4807" t="s">
        <v>42</v>
      </c>
      <c r="G4807">
        <v>1.2</v>
      </c>
      <c r="H4807" s="2">
        <v>10770</v>
      </c>
      <c r="I4807" s="2">
        <v>12924</v>
      </c>
    </row>
    <row r="4808" spans="1:9" x14ac:dyDescent="0.25">
      <c r="A4808" t="s">
        <v>2632</v>
      </c>
      <c r="B4808" t="s">
        <v>2633</v>
      </c>
      <c r="C4808" t="s">
        <v>63</v>
      </c>
      <c r="D4808" t="s">
        <v>4062</v>
      </c>
      <c r="E4808" t="s">
        <v>4659</v>
      </c>
      <c r="F4808" t="s">
        <v>4377</v>
      </c>
      <c r="G4808">
        <v>0.1</v>
      </c>
      <c r="H4808" s="2">
        <v>31500</v>
      </c>
      <c r="I4808" s="2">
        <v>3150</v>
      </c>
    </row>
    <row r="4809" spans="1:9" x14ac:dyDescent="0.25">
      <c r="A4809" t="s">
        <v>2632</v>
      </c>
      <c r="B4809" t="s">
        <v>2633</v>
      </c>
      <c r="C4809" t="s">
        <v>63</v>
      </c>
      <c r="D4809" t="s">
        <v>4062</v>
      </c>
      <c r="E4809" t="s">
        <v>4376</v>
      </c>
      <c r="F4809" t="s">
        <v>4377</v>
      </c>
      <c r="G4809">
        <v>0.1</v>
      </c>
      <c r="H4809" s="2">
        <v>72237.67</v>
      </c>
      <c r="I4809" s="2">
        <v>7223.77</v>
      </c>
    </row>
    <row r="4810" spans="1:9" x14ac:dyDescent="0.25">
      <c r="A4810" t="s">
        <v>2632</v>
      </c>
      <c r="B4810" t="s">
        <v>2633</v>
      </c>
      <c r="C4810" t="s">
        <v>63</v>
      </c>
      <c r="D4810" t="s">
        <v>4049</v>
      </c>
      <c r="E4810" t="s">
        <v>4241</v>
      </c>
      <c r="F4810" t="s">
        <v>4051</v>
      </c>
      <c r="G4810">
        <v>0.4</v>
      </c>
      <c r="H4810" s="2">
        <v>9941.22</v>
      </c>
      <c r="I4810" s="2">
        <v>3976.49</v>
      </c>
    </row>
    <row r="4811" spans="1:9" x14ac:dyDescent="0.25">
      <c r="A4811" t="s">
        <v>2632</v>
      </c>
      <c r="B4811" t="s">
        <v>2633</v>
      </c>
      <c r="C4811" t="s">
        <v>63</v>
      </c>
      <c r="D4811" t="s">
        <v>4049</v>
      </c>
      <c r="E4811" t="s">
        <v>4242</v>
      </c>
      <c r="F4811" t="s">
        <v>4051</v>
      </c>
      <c r="G4811">
        <v>0.4</v>
      </c>
      <c r="H4811" s="2">
        <v>17069.53</v>
      </c>
      <c r="I4811" s="2">
        <v>6827.81</v>
      </c>
    </row>
    <row r="4812" spans="1:9" x14ac:dyDescent="0.25">
      <c r="A4812" t="s">
        <v>2632</v>
      </c>
      <c r="B4812" t="s">
        <v>2633</v>
      </c>
      <c r="C4812" t="s">
        <v>63</v>
      </c>
      <c r="D4812" t="s">
        <v>4052</v>
      </c>
      <c r="E4812" t="s">
        <v>4053</v>
      </c>
      <c r="F4812" t="s">
        <v>4054</v>
      </c>
      <c r="G4812">
        <v>5</v>
      </c>
      <c r="H4812" s="2">
        <v>10804.3</v>
      </c>
      <c r="I4812" s="2">
        <v>540.22</v>
      </c>
    </row>
    <row r="4813" spans="1:9" x14ac:dyDescent="0.25">
      <c r="A4813" t="s">
        <v>2635</v>
      </c>
      <c r="B4813" t="s">
        <v>2636</v>
      </c>
      <c r="C4813" t="s">
        <v>63</v>
      </c>
      <c r="D4813" t="s">
        <v>4062</v>
      </c>
      <c r="E4813" t="s">
        <v>4380</v>
      </c>
      <c r="F4813" t="s">
        <v>42</v>
      </c>
      <c r="G4813">
        <v>1</v>
      </c>
      <c r="H4813" s="2">
        <v>16665</v>
      </c>
      <c r="I4813" s="2">
        <v>16665</v>
      </c>
    </row>
    <row r="4814" spans="1:9" x14ac:dyDescent="0.25">
      <c r="A4814" t="s">
        <v>2635</v>
      </c>
      <c r="B4814" t="s">
        <v>2636</v>
      </c>
      <c r="C4814" t="s">
        <v>63</v>
      </c>
      <c r="D4814" t="s">
        <v>4062</v>
      </c>
      <c r="E4814" t="s">
        <v>4386</v>
      </c>
      <c r="F4814" t="s">
        <v>42</v>
      </c>
      <c r="G4814">
        <v>0.5</v>
      </c>
      <c r="H4814" s="2">
        <v>23228</v>
      </c>
      <c r="I4814" s="2">
        <v>11614</v>
      </c>
    </row>
    <row r="4815" spans="1:9" x14ac:dyDescent="0.25">
      <c r="A4815" t="s">
        <v>2635</v>
      </c>
      <c r="B4815" t="s">
        <v>2636</v>
      </c>
      <c r="C4815" t="s">
        <v>63</v>
      </c>
      <c r="D4815" t="s">
        <v>4062</v>
      </c>
      <c r="E4815" t="s">
        <v>4663</v>
      </c>
      <c r="F4815" t="s">
        <v>63</v>
      </c>
      <c r="G4815">
        <v>3</v>
      </c>
      <c r="H4815" s="2">
        <v>5259</v>
      </c>
      <c r="I4815" s="2">
        <v>15777</v>
      </c>
    </row>
    <row r="4816" spans="1:9" x14ac:dyDescent="0.25">
      <c r="A4816" t="s">
        <v>2635</v>
      </c>
      <c r="B4816" t="s">
        <v>2636</v>
      </c>
      <c r="C4816" t="s">
        <v>63</v>
      </c>
      <c r="D4816" t="s">
        <v>4062</v>
      </c>
      <c r="E4816" t="s">
        <v>4658</v>
      </c>
      <c r="F4816" t="s">
        <v>63</v>
      </c>
      <c r="G4816">
        <v>2</v>
      </c>
      <c r="H4816" s="2">
        <v>13724.66</v>
      </c>
      <c r="I4816" s="2">
        <v>27449.32</v>
      </c>
    </row>
    <row r="4817" spans="1:9" x14ac:dyDescent="0.25">
      <c r="A4817" t="s">
        <v>2635</v>
      </c>
      <c r="B4817" t="s">
        <v>2636</v>
      </c>
      <c r="C4817" t="s">
        <v>63</v>
      </c>
      <c r="D4817" t="s">
        <v>4062</v>
      </c>
      <c r="E4817" t="s">
        <v>4659</v>
      </c>
      <c r="F4817" t="s">
        <v>4377</v>
      </c>
      <c r="G4817">
        <v>0.05</v>
      </c>
      <c r="H4817" s="2">
        <v>31500</v>
      </c>
      <c r="I4817" s="2">
        <v>1575</v>
      </c>
    </row>
    <row r="4818" spans="1:9" x14ac:dyDescent="0.25">
      <c r="A4818" t="s">
        <v>2635</v>
      </c>
      <c r="B4818" t="s">
        <v>2636</v>
      </c>
      <c r="C4818" t="s">
        <v>63</v>
      </c>
      <c r="D4818" t="s">
        <v>4062</v>
      </c>
      <c r="E4818" t="s">
        <v>4376</v>
      </c>
      <c r="F4818" t="s">
        <v>4377</v>
      </c>
      <c r="G4818">
        <v>0.05</v>
      </c>
      <c r="H4818" s="2">
        <v>72237.67</v>
      </c>
      <c r="I4818" s="2">
        <v>3611.88</v>
      </c>
    </row>
    <row r="4819" spans="1:9" x14ac:dyDescent="0.25">
      <c r="A4819" t="s">
        <v>2635</v>
      </c>
      <c r="B4819" t="s">
        <v>2636</v>
      </c>
      <c r="C4819" t="s">
        <v>63</v>
      </c>
      <c r="D4819" t="s">
        <v>4049</v>
      </c>
      <c r="E4819" t="s">
        <v>4241</v>
      </c>
      <c r="F4819" t="s">
        <v>4051</v>
      </c>
      <c r="G4819">
        <v>0.4</v>
      </c>
      <c r="H4819" s="2">
        <v>9941.22</v>
      </c>
      <c r="I4819" s="2">
        <v>3976.49</v>
      </c>
    </row>
    <row r="4820" spans="1:9" x14ac:dyDescent="0.25">
      <c r="A4820" t="s">
        <v>2635</v>
      </c>
      <c r="B4820" t="s">
        <v>2636</v>
      </c>
      <c r="C4820" t="s">
        <v>63</v>
      </c>
      <c r="D4820" t="s">
        <v>4049</v>
      </c>
      <c r="E4820" t="s">
        <v>4242</v>
      </c>
      <c r="F4820" t="s">
        <v>4051</v>
      </c>
      <c r="G4820">
        <v>0.4</v>
      </c>
      <c r="H4820" s="2">
        <v>17069.53</v>
      </c>
      <c r="I4820" s="2">
        <v>6827.81</v>
      </c>
    </row>
    <row r="4821" spans="1:9" x14ac:dyDescent="0.25">
      <c r="A4821" t="s">
        <v>2635</v>
      </c>
      <c r="B4821" t="s">
        <v>2636</v>
      </c>
      <c r="C4821" t="s">
        <v>63</v>
      </c>
      <c r="D4821" t="s">
        <v>4052</v>
      </c>
      <c r="E4821" t="s">
        <v>4053</v>
      </c>
      <c r="F4821" t="s">
        <v>4054</v>
      </c>
      <c r="G4821">
        <v>5</v>
      </c>
      <c r="H4821" s="2">
        <v>10804.3</v>
      </c>
      <c r="I4821" s="2">
        <v>540.22</v>
      </c>
    </row>
    <row r="4822" spans="1:9" x14ac:dyDescent="0.25">
      <c r="A4822" t="s">
        <v>2638</v>
      </c>
      <c r="B4822" t="s">
        <v>2639</v>
      </c>
      <c r="C4822" t="s">
        <v>63</v>
      </c>
      <c r="D4822" t="s">
        <v>4062</v>
      </c>
      <c r="E4822" t="s">
        <v>6652</v>
      </c>
      <c r="F4822" t="s">
        <v>63</v>
      </c>
      <c r="G4822">
        <v>1</v>
      </c>
      <c r="H4822" s="2">
        <v>6309</v>
      </c>
      <c r="I4822" s="2">
        <v>6309</v>
      </c>
    </row>
    <row r="4823" spans="1:9" x14ac:dyDescent="0.25">
      <c r="A4823" t="s">
        <v>2638</v>
      </c>
      <c r="B4823" t="s">
        <v>2639</v>
      </c>
      <c r="C4823" t="s">
        <v>63</v>
      </c>
      <c r="D4823" t="s">
        <v>4062</v>
      </c>
      <c r="E4823" t="s">
        <v>4659</v>
      </c>
      <c r="F4823" t="s">
        <v>4377</v>
      </c>
      <c r="G4823">
        <v>0</v>
      </c>
      <c r="H4823" s="2">
        <v>31500</v>
      </c>
      <c r="I4823" s="2">
        <v>126</v>
      </c>
    </row>
    <row r="4824" spans="1:9" x14ac:dyDescent="0.25">
      <c r="A4824" t="s">
        <v>2638</v>
      </c>
      <c r="B4824" t="s">
        <v>2639</v>
      </c>
      <c r="C4824" t="s">
        <v>63</v>
      </c>
      <c r="D4824" t="s">
        <v>4062</v>
      </c>
      <c r="E4824" t="s">
        <v>4376</v>
      </c>
      <c r="F4824" t="s">
        <v>4377</v>
      </c>
      <c r="G4824">
        <v>0</v>
      </c>
      <c r="H4824" s="2">
        <v>72237.67</v>
      </c>
      <c r="I4824" s="2">
        <v>288.95</v>
      </c>
    </row>
    <row r="4825" spans="1:9" x14ac:dyDescent="0.25">
      <c r="A4825" t="s">
        <v>2638</v>
      </c>
      <c r="B4825" t="s">
        <v>2639</v>
      </c>
      <c r="C4825" t="s">
        <v>63</v>
      </c>
      <c r="D4825" t="s">
        <v>4049</v>
      </c>
      <c r="E4825" t="s">
        <v>4241</v>
      </c>
      <c r="F4825" t="s">
        <v>4051</v>
      </c>
      <c r="G4825">
        <v>0.02</v>
      </c>
      <c r="H4825" s="2">
        <v>9941.22</v>
      </c>
      <c r="I4825" s="2">
        <v>198.82</v>
      </c>
    </row>
    <row r="4826" spans="1:9" x14ac:dyDescent="0.25">
      <c r="A4826" t="s">
        <v>2638</v>
      </c>
      <c r="B4826" t="s">
        <v>2639</v>
      </c>
      <c r="C4826" t="s">
        <v>63</v>
      </c>
      <c r="D4826" t="s">
        <v>4049</v>
      </c>
      <c r="E4826" t="s">
        <v>4242</v>
      </c>
      <c r="F4826" t="s">
        <v>4051</v>
      </c>
      <c r="G4826">
        <v>0.02</v>
      </c>
      <c r="H4826" s="2">
        <v>17069.53</v>
      </c>
      <c r="I4826" s="2">
        <v>341.39</v>
      </c>
    </row>
    <row r="4827" spans="1:9" x14ac:dyDescent="0.25">
      <c r="A4827" t="s">
        <v>2638</v>
      </c>
      <c r="B4827" t="s">
        <v>2639</v>
      </c>
      <c r="C4827" t="s">
        <v>63</v>
      </c>
      <c r="D4827" t="s">
        <v>4052</v>
      </c>
      <c r="E4827" t="s">
        <v>4053</v>
      </c>
      <c r="F4827" t="s">
        <v>4054</v>
      </c>
      <c r="G4827">
        <v>3.4</v>
      </c>
      <c r="H4827" s="2">
        <v>540.21</v>
      </c>
      <c r="I4827" s="2">
        <v>18.37</v>
      </c>
    </row>
    <row r="4828" spans="1:9" x14ac:dyDescent="0.25">
      <c r="A4828" t="s">
        <v>2642</v>
      </c>
      <c r="B4828" t="s">
        <v>2643</v>
      </c>
      <c r="C4828" t="s">
        <v>63</v>
      </c>
      <c r="D4828" t="s">
        <v>4062</v>
      </c>
      <c r="E4828" t="s">
        <v>6655</v>
      </c>
      <c r="F4828" t="s">
        <v>63</v>
      </c>
      <c r="G4828">
        <v>1</v>
      </c>
      <c r="H4828" s="2">
        <v>13743</v>
      </c>
      <c r="I4828" s="2">
        <v>13743</v>
      </c>
    </row>
    <row r="4829" spans="1:9" x14ac:dyDescent="0.25">
      <c r="A4829" t="s">
        <v>2642</v>
      </c>
      <c r="B4829" t="s">
        <v>2643</v>
      </c>
      <c r="C4829" t="s">
        <v>63</v>
      </c>
      <c r="D4829" t="s">
        <v>4062</v>
      </c>
      <c r="E4829" t="s">
        <v>4659</v>
      </c>
      <c r="F4829" t="s">
        <v>4377</v>
      </c>
      <c r="G4829">
        <v>0.02</v>
      </c>
      <c r="H4829" s="2">
        <v>31500</v>
      </c>
      <c r="I4829" s="2">
        <v>504</v>
      </c>
    </row>
    <row r="4830" spans="1:9" x14ac:dyDescent="0.25">
      <c r="A4830" t="s">
        <v>2642</v>
      </c>
      <c r="B4830" t="s">
        <v>2643</v>
      </c>
      <c r="C4830" t="s">
        <v>63</v>
      </c>
      <c r="D4830" t="s">
        <v>4062</v>
      </c>
      <c r="E4830" t="s">
        <v>4376</v>
      </c>
      <c r="F4830" t="s">
        <v>4377</v>
      </c>
      <c r="G4830">
        <v>0.02</v>
      </c>
      <c r="H4830" s="2">
        <v>72237.67</v>
      </c>
      <c r="I4830" s="2">
        <v>1155.8</v>
      </c>
    </row>
    <row r="4831" spans="1:9" x14ac:dyDescent="0.25">
      <c r="A4831" t="s">
        <v>2642</v>
      </c>
      <c r="B4831" t="s">
        <v>2643</v>
      </c>
      <c r="C4831" t="s">
        <v>63</v>
      </c>
      <c r="D4831" t="s">
        <v>4049</v>
      </c>
      <c r="E4831" t="s">
        <v>4241</v>
      </c>
      <c r="F4831" t="s">
        <v>4051</v>
      </c>
      <c r="G4831">
        <v>0.02</v>
      </c>
      <c r="H4831" s="2">
        <v>9941.22</v>
      </c>
      <c r="I4831" s="2">
        <v>198.82</v>
      </c>
    </row>
    <row r="4832" spans="1:9" x14ac:dyDescent="0.25">
      <c r="A4832" t="s">
        <v>2642</v>
      </c>
      <c r="B4832" t="s">
        <v>2643</v>
      </c>
      <c r="C4832" t="s">
        <v>63</v>
      </c>
      <c r="D4832" t="s">
        <v>4049</v>
      </c>
      <c r="E4832" t="s">
        <v>4242</v>
      </c>
      <c r="F4832" t="s">
        <v>4051</v>
      </c>
      <c r="G4832">
        <v>0.02</v>
      </c>
      <c r="H4832" s="2">
        <v>17069.53</v>
      </c>
      <c r="I4832" s="2">
        <v>341.39</v>
      </c>
    </row>
    <row r="4833" spans="1:9" x14ac:dyDescent="0.25">
      <c r="A4833" t="s">
        <v>2642</v>
      </c>
      <c r="B4833" t="s">
        <v>2643</v>
      </c>
      <c r="C4833" t="s">
        <v>63</v>
      </c>
      <c r="D4833" t="s">
        <v>4052</v>
      </c>
      <c r="E4833" t="s">
        <v>4053</v>
      </c>
      <c r="F4833" t="s">
        <v>4054</v>
      </c>
      <c r="G4833">
        <v>3.4</v>
      </c>
      <c r="H4833" s="2">
        <v>540.21</v>
      </c>
      <c r="I4833" s="2">
        <v>18.37</v>
      </c>
    </row>
    <row r="4834" spans="1:9" x14ac:dyDescent="0.25">
      <c r="A4834" t="s">
        <v>2645</v>
      </c>
      <c r="B4834" t="s">
        <v>2646</v>
      </c>
      <c r="C4834" t="s">
        <v>63</v>
      </c>
      <c r="D4834" t="s">
        <v>4062</v>
      </c>
      <c r="E4834" t="s">
        <v>6658</v>
      </c>
      <c r="F4834" t="s">
        <v>63</v>
      </c>
      <c r="G4834">
        <v>1</v>
      </c>
      <c r="H4834" s="2">
        <v>20245</v>
      </c>
      <c r="I4834" s="2">
        <v>20245</v>
      </c>
    </row>
    <row r="4835" spans="1:9" x14ac:dyDescent="0.25">
      <c r="A4835" t="s">
        <v>2645</v>
      </c>
      <c r="B4835" t="s">
        <v>2646</v>
      </c>
      <c r="C4835" t="s">
        <v>63</v>
      </c>
      <c r="D4835" t="s">
        <v>4062</v>
      </c>
      <c r="E4835" t="s">
        <v>4659</v>
      </c>
      <c r="F4835" t="s">
        <v>4377</v>
      </c>
      <c r="G4835">
        <v>0.03</v>
      </c>
      <c r="H4835" s="2">
        <v>31500</v>
      </c>
      <c r="I4835" s="2">
        <v>787.5</v>
      </c>
    </row>
    <row r="4836" spans="1:9" x14ac:dyDescent="0.25">
      <c r="A4836" t="s">
        <v>2645</v>
      </c>
      <c r="B4836" t="s">
        <v>2646</v>
      </c>
      <c r="C4836" t="s">
        <v>63</v>
      </c>
      <c r="D4836" t="s">
        <v>4062</v>
      </c>
      <c r="E4836" t="s">
        <v>4376</v>
      </c>
      <c r="F4836" t="s">
        <v>4377</v>
      </c>
      <c r="G4836">
        <v>0.03</v>
      </c>
      <c r="H4836" s="2">
        <v>72237.67</v>
      </c>
      <c r="I4836" s="2">
        <v>1805.94</v>
      </c>
    </row>
    <row r="4837" spans="1:9" x14ac:dyDescent="0.25">
      <c r="A4837" t="s">
        <v>2645</v>
      </c>
      <c r="B4837" t="s">
        <v>2646</v>
      </c>
      <c r="C4837" t="s">
        <v>63</v>
      </c>
      <c r="D4837" t="s">
        <v>4049</v>
      </c>
      <c r="E4837" t="s">
        <v>4241</v>
      </c>
      <c r="F4837" t="s">
        <v>4051</v>
      </c>
      <c r="G4837">
        <v>0.02</v>
      </c>
      <c r="H4837" s="2">
        <v>9941.22</v>
      </c>
      <c r="I4837" s="2">
        <v>198.82</v>
      </c>
    </row>
    <row r="4838" spans="1:9" x14ac:dyDescent="0.25">
      <c r="A4838" t="s">
        <v>2645</v>
      </c>
      <c r="B4838" t="s">
        <v>2646</v>
      </c>
      <c r="C4838" t="s">
        <v>63</v>
      </c>
      <c r="D4838" t="s">
        <v>4049</v>
      </c>
      <c r="E4838" t="s">
        <v>4242</v>
      </c>
      <c r="F4838" t="s">
        <v>4051</v>
      </c>
      <c r="G4838">
        <v>0.02</v>
      </c>
      <c r="H4838" s="2">
        <v>17069.53</v>
      </c>
      <c r="I4838" s="2">
        <v>341.39</v>
      </c>
    </row>
    <row r="4839" spans="1:9" x14ac:dyDescent="0.25">
      <c r="A4839" t="s">
        <v>2645</v>
      </c>
      <c r="B4839" t="s">
        <v>2646</v>
      </c>
      <c r="C4839" t="s">
        <v>63</v>
      </c>
      <c r="D4839" t="s">
        <v>4052</v>
      </c>
      <c r="E4839" t="s">
        <v>4053</v>
      </c>
      <c r="F4839" t="s">
        <v>4054</v>
      </c>
      <c r="G4839">
        <v>3.4</v>
      </c>
      <c r="H4839" s="2">
        <v>540.21</v>
      </c>
      <c r="I4839" s="2">
        <v>18.37</v>
      </c>
    </row>
    <row r="4840" spans="1:9" x14ac:dyDescent="0.25">
      <c r="A4840" t="s">
        <v>2648</v>
      </c>
      <c r="B4840" t="s">
        <v>2649</v>
      </c>
      <c r="C4840" t="s">
        <v>63</v>
      </c>
      <c r="D4840" t="s">
        <v>4062</v>
      </c>
      <c r="E4840" t="s">
        <v>6661</v>
      </c>
      <c r="F4840" t="s">
        <v>63</v>
      </c>
      <c r="G4840">
        <v>1</v>
      </c>
      <c r="H4840" s="2">
        <v>53199</v>
      </c>
      <c r="I4840" s="2">
        <v>53199</v>
      </c>
    </row>
    <row r="4841" spans="1:9" x14ac:dyDescent="0.25">
      <c r="A4841" t="s">
        <v>2648</v>
      </c>
      <c r="B4841" t="s">
        <v>2649</v>
      </c>
      <c r="C4841" t="s">
        <v>63</v>
      </c>
      <c r="D4841" t="s">
        <v>4062</v>
      </c>
      <c r="E4841" t="s">
        <v>4659</v>
      </c>
      <c r="F4841" t="s">
        <v>4377</v>
      </c>
      <c r="G4841">
        <v>0.04</v>
      </c>
      <c r="H4841" s="2">
        <v>31500</v>
      </c>
      <c r="I4841" s="2">
        <v>1260</v>
      </c>
    </row>
    <row r="4842" spans="1:9" x14ac:dyDescent="0.25">
      <c r="A4842" t="s">
        <v>2648</v>
      </c>
      <c r="B4842" t="s">
        <v>2649</v>
      </c>
      <c r="C4842" t="s">
        <v>63</v>
      </c>
      <c r="D4842" t="s">
        <v>4062</v>
      </c>
      <c r="E4842" t="s">
        <v>4376</v>
      </c>
      <c r="F4842" t="s">
        <v>4377</v>
      </c>
      <c r="G4842">
        <v>0.04</v>
      </c>
      <c r="H4842" s="2">
        <v>72237.67</v>
      </c>
      <c r="I4842" s="2">
        <v>2889.51</v>
      </c>
    </row>
    <row r="4843" spans="1:9" x14ac:dyDescent="0.25">
      <c r="A4843" t="s">
        <v>2648</v>
      </c>
      <c r="B4843" t="s">
        <v>2649</v>
      </c>
      <c r="C4843" t="s">
        <v>63</v>
      </c>
      <c r="D4843" t="s">
        <v>4049</v>
      </c>
      <c r="E4843" t="s">
        <v>4241</v>
      </c>
      <c r="F4843" t="s">
        <v>4051</v>
      </c>
      <c r="G4843">
        <v>0.05</v>
      </c>
      <c r="H4843" s="2">
        <v>9941.22</v>
      </c>
      <c r="I4843" s="2">
        <v>497.06</v>
      </c>
    </row>
    <row r="4844" spans="1:9" x14ac:dyDescent="0.25">
      <c r="A4844" t="s">
        <v>2648</v>
      </c>
      <c r="B4844" t="s">
        <v>2649</v>
      </c>
      <c r="C4844" t="s">
        <v>63</v>
      </c>
      <c r="D4844" t="s">
        <v>4049</v>
      </c>
      <c r="E4844" t="s">
        <v>4242</v>
      </c>
      <c r="F4844" t="s">
        <v>4051</v>
      </c>
      <c r="G4844">
        <v>0.05</v>
      </c>
      <c r="H4844" s="2">
        <v>17069.53</v>
      </c>
      <c r="I4844" s="2">
        <v>853.48</v>
      </c>
    </row>
    <row r="4845" spans="1:9" x14ac:dyDescent="0.25">
      <c r="A4845" t="s">
        <v>2648</v>
      </c>
      <c r="B4845" t="s">
        <v>2649</v>
      </c>
      <c r="C4845" t="s">
        <v>63</v>
      </c>
      <c r="D4845" t="s">
        <v>4052</v>
      </c>
      <c r="E4845" t="s">
        <v>4053</v>
      </c>
      <c r="F4845" t="s">
        <v>4054</v>
      </c>
      <c r="G4845">
        <v>3.4</v>
      </c>
      <c r="H4845" s="2">
        <v>1350.54</v>
      </c>
      <c r="I4845" s="2">
        <v>45.92</v>
      </c>
    </row>
    <row r="4846" spans="1:9" x14ac:dyDescent="0.25">
      <c r="A4846" t="s">
        <v>2651</v>
      </c>
      <c r="B4846" t="s">
        <v>2652</v>
      </c>
      <c r="C4846" t="s">
        <v>63</v>
      </c>
      <c r="D4846" t="s">
        <v>4062</v>
      </c>
      <c r="E4846" t="s">
        <v>6664</v>
      </c>
      <c r="F4846" t="s">
        <v>63</v>
      </c>
      <c r="G4846">
        <v>1</v>
      </c>
      <c r="H4846" s="2">
        <v>2226574</v>
      </c>
      <c r="I4846" s="2">
        <v>2226574</v>
      </c>
    </row>
    <row r="4847" spans="1:9" x14ac:dyDescent="0.25">
      <c r="A4847" t="s">
        <v>2651</v>
      </c>
      <c r="B4847" t="s">
        <v>2652</v>
      </c>
      <c r="C4847" t="s">
        <v>63</v>
      </c>
      <c r="D4847" t="s">
        <v>4049</v>
      </c>
      <c r="E4847" t="s">
        <v>4241</v>
      </c>
      <c r="F4847" t="s">
        <v>4051</v>
      </c>
      <c r="G4847">
        <v>3</v>
      </c>
      <c r="H4847" s="2">
        <v>9941.22</v>
      </c>
      <c r="I4847" s="2">
        <v>29823.66</v>
      </c>
    </row>
    <row r="4848" spans="1:9" x14ac:dyDescent="0.25">
      <c r="A4848" t="s">
        <v>2651</v>
      </c>
      <c r="B4848" t="s">
        <v>2652</v>
      </c>
      <c r="C4848" t="s">
        <v>63</v>
      </c>
      <c r="D4848" t="s">
        <v>4049</v>
      </c>
      <c r="E4848" t="s">
        <v>4242</v>
      </c>
      <c r="F4848" t="s">
        <v>4051</v>
      </c>
      <c r="G4848">
        <v>1.5</v>
      </c>
      <c r="H4848" s="2">
        <v>17069.53</v>
      </c>
      <c r="I4848" s="2">
        <v>25604.29</v>
      </c>
    </row>
    <row r="4849" spans="1:9" x14ac:dyDescent="0.25">
      <c r="A4849" t="s">
        <v>2651</v>
      </c>
      <c r="B4849" t="s">
        <v>2652</v>
      </c>
      <c r="C4849" t="s">
        <v>63</v>
      </c>
      <c r="D4849" t="s">
        <v>4052</v>
      </c>
      <c r="E4849" t="s">
        <v>4053</v>
      </c>
      <c r="F4849" t="s">
        <v>4054</v>
      </c>
      <c r="G4849">
        <v>10</v>
      </c>
      <c r="H4849" s="2">
        <v>55427.95</v>
      </c>
      <c r="I4849" s="2">
        <v>5542.8</v>
      </c>
    </row>
    <row r="4850" spans="1:9" x14ac:dyDescent="0.25">
      <c r="A4850" t="s">
        <v>2654</v>
      </c>
      <c r="B4850" t="s">
        <v>2655</v>
      </c>
      <c r="C4850" t="s">
        <v>63</v>
      </c>
      <c r="D4850" t="s">
        <v>4062</v>
      </c>
      <c r="E4850" t="s">
        <v>6667</v>
      </c>
      <c r="F4850" t="s">
        <v>63</v>
      </c>
      <c r="G4850">
        <v>1</v>
      </c>
      <c r="H4850" s="2">
        <v>2368138</v>
      </c>
      <c r="I4850" s="2">
        <v>2368138</v>
      </c>
    </row>
    <row r="4851" spans="1:9" x14ac:dyDescent="0.25">
      <c r="A4851" t="s">
        <v>2654</v>
      </c>
      <c r="B4851" t="s">
        <v>2655</v>
      </c>
      <c r="C4851" t="s">
        <v>63</v>
      </c>
      <c r="D4851" t="s">
        <v>4049</v>
      </c>
      <c r="E4851" t="s">
        <v>4241</v>
      </c>
      <c r="F4851" t="s">
        <v>4051</v>
      </c>
      <c r="G4851">
        <v>3</v>
      </c>
      <c r="H4851" s="2">
        <v>9941.22</v>
      </c>
      <c r="I4851" s="2">
        <v>29823.66</v>
      </c>
    </row>
    <row r="4852" spans="1:9" x14ac:dyDescent="0.25">
      <c r="A4852" t="s">
        <v>2654</v>
      </c>
      <c r="B4852" t="s">
        <v>2655</v>
      </c>
      <c r="C4852" t="s">
        <v>63</v>
      </c>
      <c r="D4852" t="s">
        <v>4049</v>
      </c>
      <c r="E4852" t="s">
        <v>4242</v>
      </c>
      <c r="F4852" t="s">
        <v>4051</v>
      </c>
      <c r="G4852">
        <v>1.5</v>
      </c>
      <c r="H4852" s="2">
        <v>17069.53</v>
      </c>
      <c r="I4852" s="2">
        <v>25604.29</v>
      </c>
    </row>
    <row r="4853" spans="1:9" x14ac:dyDescent="0.25">
      <c r="A4853" t="s">
        <v>2654</v>
      </c>
      <c r="B4853" t="s">
        <v>2655</v>
      </c>
      <c r="C4853" t="s">
        <v>63</v>
      </c>
      <c r="D4853" t="s">
        <v>4052</v>
      </c>
      <c r="E4853" t="s">
        <v>4053</v>
      </c>
      <c r="F4853" t="s">
        <v>4054</v>
      </c>
      <c r="G4853">
        <v>10</v>
      </c>
      <c r="H4853" s="2">
        <v>55427.95</v>
      </c>
      <c r="I4853" s="2">
        <v>5542.8</v>
      </c>
    </row>
    <row r="4854" spans="1:9" x14ac:dyDescent="0.25">
      <c r="A4854" t="s">
        <v>2657</v>
      </c>
      <c r="B4854" t="s">
        <v>2658</v>
      </c>
      <c r="C4854" t="s">
        <v>63</v>
      </c>
      <c r="D4854" t="s">
        <v>4062</v>
      </c>
      <c r="E4854" t="s">
        <v>6670</v>
      </c>
      <c r="F4854" t="s">
        <v>63</v>
      </c>
      <c r="G4854">
        <v>1</v>
      </c>
      <c r="H4854" s="2">
        <v>2446665</v>
      </c>
      <c r="I4854" s="2">
        <v>2446665</v>
      </c>
    </row>
    <row r="4855" spans="1:9" x14ac:dyDescent="0.25">
      <c r="A4855" t="s">
        <v>2657</v>
      </c>
      <c r="B4855" t="s">
        <v>2658</v>
      </c>
      <c r="C4855" t="s">
        <v>63</v>
      </c>
      <c r="D4855" t="s">
        <v>4049</v>
      </c>
      <c r="E4855" t="s">
        <v>4241</v>
      </c>
      <c r="F4855" t="s">
        <v>4051</v>
      </c>
      <c r="G4855">
        <v>3</v>
      </c>
      <c r="H4855" s="2">
        <v>9941.22</v>
      </c>
      <c r="I4855" s="2">
        <v>29823.66</v>
      </c>
    </row>
    <row r="4856" spans="1:9" x14ac:dyDescent="0.25">
      <c r="A4856" t="s">
        <v>2657</v>
      </c>
      <c r="B4856" t="s">
        <v>2658</v>
      </c>
      <c r="C4856" t="s">
        <v>63</v>
      </c>
      <c r="D4856" t="s">
        <v>4049</v>
      </c>
      <c r="E4856" t="s">
        <v>4242</v>
      </c>
      <c r="F4856" t="s">
        <v>4051</v>
      </c>
      <c r="G4856">
        <v>1.5</v>
      </c>
      <c r="H4856" s="2">
        <v>17069.53</v>
      </c>
      <c r="I4856" s="2">
        <v>25604.29</v>
      </c>
    </row>
    <row r="4857" spans="1:9" x14ac:dyDescent="0.25">
      <c r="A4857" t="s">
        <v>2657</v>
      </c>
      <c r="B4857" t="s">
        <v>2658</v>
      </c>
      <c r="C4857" t="s">
        <v>63</v>
      </c>
      <c r="D4857" t="s">
        <v>4052</v>
      </c>
      <c r="E4857" t="s">
        <v>4053</v>
      </c>
      <c r="F4857" t="s">
        <v>4054</v>
      </c>
      <c r="G4857">
        <v>10</v>
      </c>
      <c r="H4857" s="2">
        <v>55427.95</v>
      </c>
      <c r="I4857" s="2">
        <v>5542.8</v>
      </c>
    </row>
    <row r="4858" spans="1:9" x14ac:dyDescent="0.25">
      <c r="A4858" t="s">
        <v>2660</v>
      </c>
      <c r="B4858" t="s">
        <v>2661</v>
      </c>
      <c r="C4858" t="s">
        <v>63</v>
      </c>
      <c r="D4858" t="s">
        <v>4062</v>
      </c>
      <c r="E4858" t="s">
        <v>6673</v>
      </c>
      <c r="F4858" t="s">
        <v>63</v>
      </c>
      <c r="G4858">
        <v>1</v>
      </c>
      <c r="H4858" s="2">
        <v>2225810</v>
      </c>
      <c r="I4858" s="2">
        <v>2225810</v>
      </c>
    </row>
    <row r="4859" spans="1:9" x14ac:dyDescent="0.25">
      <c r="A4859" t="s">
        <v>2660</v>
      </c>
      <c r="B4859" t="s">
        <v>2661</v>
      </c>
      <c r="C4859" t="s">
        <v>63</v>
      </c>
      <c r="D4859" t="s">
        <v>4049</v>
      </c>
      <c r="E4859" t="s">
        <v>4241</v>
      </c>
      <c r="F4859" t="s">
        <v>4051</v>
      </c>
      <c r="G4859">
        <v>3</v>
      </c>
      <c r="H4859" s="2">
        <v>9941.22</v>
      </c>
      <c r="I4859" s="2">
        <v>29823.66</v>
      </c>
    </row>
    <row r="4860" spans="1:9" x14ac:dyDescent="0.25">
      <c r="A4860" t="s">
        <v>2660</v>
      </c>
      <c r="B4860" t="s">
        <v>2661</v>
      </c>
      <c r="C4860" t="s">
        <v>63</v>
      </c>
      <c r="D4860" t="s">
        <v>4049</v>
      </c>
      <c r="E4860" t="s">
        <v>4242</v>
      </c>
      <c r="F4860" t="s">
        <v>4051</v>
      </c>
      <c r="G4860">
        <v>1.5</v>
      </c>
      <c r="H4860" s="2">
        <v>17069.53</v>
      </c>
      <c r="I4860" s="2">
        <v>25604.29</v>
      </c>
    </row>
    <row r="4861" spans="1:9" x14ac:dyDescent="0.25">
      <c r="A4861" t="s">
        <v>2660</v>
      </c>
      <c r="B4861" t="s">
        <v>2661</v>
      </c>
      <c r="C4861" t="s">
        <v>63</v>
      </c>
      <c r="D4861" t="s">
        <v>4052</v>
      </c>
      <c r="E4861" t="s">
        <v>4053</v>
      </c>
      <c r="F4861" t="s">
        <v>4054</v>
      </c>
      <c r="G4861">
        <v>10</v>
      </c>
      <c r="H4861" s="2">
        <v>55427.95</v>
      </c>
      <c r="I4861" s="2">
        <v>5542.8</v>
      </c>
    </row>
    <row r="4862" spans="1:9" x14ac:dyDescent="0.25">
      <c r="A4862" t="s">
        <v>2663</v>
      </c>
      <c r="B4862" t="s">
        <v>2664</v>
      </c>
      <c r="C4862" t="s">
        <v>63</v>
      </c>
      <c r="D4862" t="s">
        <v>4062</v>
      </c>
      <c r="E4862" t="s">
        <v>6676</v>
      </c>
      <c r="F4862" t="s">
        <v>63</v>
      </c>
      <c r="G4862">
        <v>1</v>
      </c>
      <c r="H4862" s="2">
        <v>2319606</v>
      </c>
      <c r="I4862" s="2">
        <v>2319606</v>
      </c>
    </row>
    <row r="4863" spans="1:9" x14ac:dyDescent="0.25">
      <c r="A4863" t="s">
        <v>2663</v>
      </c>
      <c r="B4863" t="s">
        <v>2664</v>
      </c>
      <c r="C4863" t="s">
        <v>63</v>
      </c>
      <c r="D4863" t="s">
        <v>4049</v>
      </c>
      <c r="E4863" t="s">
        <v>4241</v>
      </c>
      <c r="F4863" t="s">
        <v>4051</v>
      </c>
      <c r="G4863">
        <v>3</v>
      </c>
      <c r="H4863" s="2">
        <v>9941.22</v>
      </c>
      <c r="I4863" s="2">
        <v>29823.66</v>
      </c>
    </row>
    <row r="4864" spans="1:9" x14ac:dyDescent="0.25">
      <c r="A4864" t="s">
        <v>2663</v>
      </c>
      <c r="B4864" t="s">
        <v>2664</v>
      </c>
      <c r="C4864" t="s">
        <v>63</v>
      </c>
      <c r="D4864" t="s">
        <v>4049</v>
      </c>
      <c r="E4864" t="s">
        <v>4242</v>
      </c>
      <c r="F4864" t="s">
        <v>4051</v>
      </c>
      <c r="G4864">
        <v>1.5</v>
      </c>
      <c r="H4864" s="2">
        <v>17069.53</v>
      </c>
      <c r="I4864" s="2">
        <v>25604.29</v>
      </c>
    </row>
    <row r="4865" spans="1:9" x14ac:dyDescent="0.25">
      <c r="A4865" t="s">
        <v>2663</v>
      </c>
      <c r="B4865" t="s">
        <v>2664</v>
      </c>
      <c r="C4865" t="s">
        <v>63</v>
      </c>
      <c r="D4865" t="s">
        <v>4052</v>
      </c>
      <c r="E4865" t="s">
        <v>4053</v>
      </c>
      <c r="F4865" t="s">
        <v>4054</v>
      </c>
      <c r="G4865">
        <v>10</v>
      </c>
      <c r="H4865" s="2">
        <v>55427.95</v>
      </c>
      <c r="I4865" s="2">
        <v>5542.8</v>
      </c>
    </row>
    <row r="4866" spans="1:9" x14ac:dyDescent="0.25">
      <c r="A4866" t="s">
        <v>2666</v>
      </c>
      <c r="B4866" t="s">
        <v>2667</v>
      </c>
      <c r="C4866" t="s">
        <v>63</v>
      </c>
      <c r="D4866" t="s">
        <v>4062</v>
      </c>
      <c r="E4866" t="s">
        <v>6679</v>
      </c>
      <c r="F4866" t="s">
        <v>63</v>
      </c>
      <c r="G4866">
        <v>1</v>
      </c>
      <c r="H4866" s="2">
        <v>2445606</v>
      </c>
      <c r="I4866" s="2">
        <v>2445606</v>
      </c>
    </row>
    <row r="4867" spans="1:9" x14ac:dyDescent="0.25">
      <c r="A4867" t="s">
        <v>2666</v>
      </c>
      <c r="B4867" t="s">
        <v>2667</v>
      </c>
      <c r="C4867" t="s">
        <v>63</v>
      </c>
      <c r="D4867" t="s">
        <v>4049</v>
      </c>
      <c r="E4867" t="s">
        <v>4241</v>
      </c>
      <c r="F4867" t="s">
        <v>4051</v>
      </c>
      <c r="G4867">
        <v>3</v>
      </c>
      <c r="H4867" s="2">
        <v>9941.22</v>
      </c>
      <c r="I4867" s="2">
        <v>29823.66</v>
      </c>
    </row>
    <row r="4868" spans="1:9" x14ac:dyDescent="0.25">
      <c r="A4868" t="s">
        <v>2666</v>
      </c>
      <c r="B4868" t="s">
        <v>2667</v>
      </c>
      <c r="C4868" t="s">
        <v>63</v>
      </c>
      <c r="D4868" t="s">
        <v>4049</v>
      </c>
      <c r="E4868" t="s">
        <v>4242</v>
      </c>
      <c r="F4868" t="s">
        <v>4051</v>
      </c>
      <c r="G4868">
        <v>1.5</v>
      </c>
      <c r="H4868" s="2">
        <v>17069.53</v>
      </c>
      <c r="I4868" s="2">
        <v>25604.29</v>
      </c>
    </row>
    <row r="4869" spans="1:9" x14ac:dyDescent="0.25">
      <c r="A4869" t="s">
        <v>2666</v>
      </c>
      <c r="B4869" t="s">
        <v>2667</v>
      </c>
      <c r="C4869" t="s">
        <v>63</v>
      </c>
      <c r="D4869" t="s">
        <v>4052</v>
      </c>
      <c r="E4869" t="s">
        <v>4053</v>
      </c>
      <c r="F4869" t="s">
        <v>4054</v>
      </c>
      <c r="G4869">
        <v>10</v>
      </c>
      <c r="H4869" s="2">
        <v>55427.95</v>
      </c>
      <c r="I4869" s="2">
        <v>5542.8</v>
      </c>
    </row>
    <row r="4870" spans="1:9" x14ac:dyDescent="0.25">
      <c r="A4870" t="s">
        <v>2669</v>
      </c>
      <c r="B4870" t="s">
        <v>2670</v>
      </c>
      <c r="C4870" t="s">
        <v>63</v>
      </c>
      <c r="D4870" t="s">
        <v>4062</v>
      </c>
      <c r="E4870" t="s">
        <v>6682</v>
      </c>
      <c r="F4870" t="s">
        <v>63</v>
      </c>
      <c r="G4870">
        <v>1</v>
      </c>
      <c r="H4870" s="2">
        <v>2561465</v>
      </c>
      <c r="I4870" s="2">
        <v>2561465</v>
      </c>
    </row>
    <row r="4871" spans="1:9" x14ac:dyDescent="0.25">
      <c r="A4871" t="s">
        <v>2669</v>
      </c>
      <c r="B4871" t="s">
        <v>2670</v>
      </c>
      <c r="C4871" t="s">
        <v>63</v>
      </c>
      <c r="D4871" t="s">
        <v>4049</v>
      </c>
      <c r="E4871" t="s">
        <v>4241</v>
      </c>
      <c r="F4871" t="s">
        <v>4051</v>
      </c>
      <c r="G4871">
        <v>3</v>
      </c>
      <c r="H4871" s="2">
        <v>9941.22</v>
      </c>
      <c r="I4871" s="2">
        <v>29823.66</v>
      </c>
    </row>
    <row r="4872" spans="1:9" x14ac:dyDescent="0.25">
      <c r="A4872" t="s">
        <v>2669</v>
      </c>
      <c r="B4872" t="s">
        <v>2670</v>
      </c>
      <c r="C4872" t="s">
        <v>63</v>
      </c>
      <c r="D4872" t="s">
        <v>4049</v>
      </c>
      <c r="E4872" t="s">
        <v>4242</v>
      </c>
      <c r="F4872" t="s">
        <v>4051</v>
      </c>
      <c r="G4872">
        <v>1.5</v>
      </c>
      <c r="H4872" s="2">
        <v>17069.53</v>
      </c>
      <c r="I4872" s="2">
        <v>25604.29</v>
      </c>
    </row>
    <row r="4873" spans="1:9" x14ac:dyDescent="0.25">
      <c r="A4873" t="s">
        <v>2669</v>
      </c>
      <c r="B4873" t="s">
        <v>2670</v>
      </c>
      <c r="C4873" t="s">
        <v>63</v>
      </c>
      <c r="D4873" t="s">
        <v>4052</v>
      </c>
      <c r="E4873" t="s">
        <v>4053</v>
      </c>
      <c r="F4873" t="s">
        <v>4054</v>
      </c>
      <c r="G4873">
        <v>10</v>
      </c>
      <c r="H4873" s="2">
        <v>55427.95</v>
      </c>
      <c r="I4873" s="2">
        <v>5542.8</v>
      </c>
    </row>
    <row r="4874" spans="1:9" x14ac:dyDescent="0.25">
      <c r="A4874" t="s">
        <v>2672</v>
      </c>
      <c r="B4874" t="s">
        <v>2673</v>
      </c>
      <c r="C4874" t="s">
        <v>63</v>
      </c>
      <c r="D4874" t="s">
        <v>4062</v>
      </c>
      <c r="E4874" t="s">
        <v>6685</v>
      </c>
      <c r="F4874" t="s">
        <v>63</v>
      </c>
      <c r="G4874">
        <v>1</v>
      </c>
      <c r="H4874" s="2">
        <v>2846475</v>
      </c>
      <c r="I4874" s="2">
        <v>2846475</v>
      </c>
    </row>
    <row r="4875" spans="1:9" x14ac:dyDescent="0.25">
      <c r="A4875" t="s">
        <v>2672</v>
      </c>
      <c r="B4875" t="s">
        <v>2673</v>
      </c>
      <c r="C4875" t="s">
        <v>63</v>
      </c>
      <c r="D4875" t="s">
        <v>4049</v>
      </c>
      <c r="E4875" t="s">
        <v>4241</v>
      </c>
      <c r="F4875" t="s">
        <v>4051</v>
      </c>
      <c r="G4875">
        <v>3</v>
      </c>
      <c r="H4875" s="2">
        <v>9941.22</v>
      </c>
      <c r="I4875" s="2">
        <v>29823.66</v>
      </c>
    </row>
    <row r="4876" spans="1:9" x14ac:dyDescent="0.25">
      <c r="A4876" t="s">
        <v>2672</v>
      </c>
      <c r="B4876" t="s">
        <v>2673</v>
      </c>
      <c r="C4876" t="s">
        <v>63</v>
      </c>
      <c r="D4876" t="s">
        <v>4049</v>
      </c>
      <c r="E4876" t="s">
        <v>4242</v>
      </c>
      <c r="F4876" t="s">
        <v>4051</v>
      </c>
      <c r="G4876">
        <v>1.5</v>
      </c>
      <c r="H4876" s="2">
        <v>17069.53</v>
      </c>
      <c r="I4876" s="2">
        <v>25604.29</v>
      </c>
    </row>
    <row r="4877" spans="1:9" x14ac:dyDescent="0.25">
      <c r="A4877" t="s">
        <v>2672</v>
      </c>
      <c r="B4877" t="s">
        <v>2673</v>
      </c>
      <c r="C4877" t="s">
        <v>63</v>
      </c>
      <c r="D4877" t="s">
        <v>4052</v>
      </c>
      <c r="E4877" t="s">
        <v>4053</v>
      </c>
      <c r="F4877" t="s">
        <v>4054</v>
      </c>
      <c r="G4877">
        <v>10</v>
      </c>
      <c r="H4877" s="2">
        <v>55427.95</v>
      </c>
      <c r="I4877" s="2">
        <v>5542.8</v>
      </c>
    </row>
    <row r="4878" spans="1:9" x14ac:dyDescent="0.25">
      <c r="A4878" t="s">
        <v>2675</v>
      </c>
      <c r="B4878" t="s">
        <v>2676</v>
      </c>
      <c r="C4878" t="s">
        <v>63</v>
      </c>
      <c r="D4878" t="s">
        <v>4062</v>
      </c>
      <c r="E4878" t="s">
        <v>6688</v>
      </c>
      <c r="F4878" t="s">
        <v>63</v>
      </c>
      <c r="G4878">
        <v>1</v>
      </c>
      <c r="H4878" s="2">
        <v>3001050</v>
      </c>
      <c r="I4878" s="2">
        <v>3001050</v>
      </c>
    </row>
    <row r="4879" spans="1:9" x14ac:dyDescent="0.25">
      <c r="A4879" t="s">
        <v>2675</v>
      </c>
      <c r="B4879" t="s">
        <v>2676</v>
      </c>
      <c r="C4879" t="s">
        <v>63</v>
      </c>
      <c r="D4879" t="s">
        <v>4049</v>
      </c>
      <c r="E4879" t="s">
        <v>4241</v>
      </c>
      <c r="F4879" t="s">
        <v>4051</v>
      </c>
      <c r="G4879">
        <v>3</v>
      </c>
      <c r="H4879" s="2">
        <v>9941.22</v>
      </c>
      <c r="I4879" s="2">
        <v>29823.66</v>
      </c>
    </row>
    <row r="4880" spans="1:9" x14ac:dyDescent="0.25">
      <c r="A4880" t="s">
        <v>2675</v>
      </c>
      <c r="B4880" t="s">
        <v>2676</v>
      </c>
      <c r="C4880" t="s">
        <v>63</v>
      </c>
      <c r="D4880" t="s">
        <v>4049</v>
      </c>
      <c r="E4880" t="s">
        <v>4242</v>
      </c>
      <c r="F4880" t="s">
        <v>4051</v>
      </c>
      <c r="G4880">
        <v>1.5</v>
      </c>
      <c r="H4880" s="2">
        <v>17069.53</v>
      </c>
      <c r="I4880" s="2">
        <v>25604.29</v>
      </c>
    </row>
    <row r="4881" spans="1:9" x14ac:dyDescent="0.25">
      <c r="A4881" t="s">
        <v>2675</v>
      </c>
      <c r="B4881" t="s">
        <v>2676</v>
      </c>
      <c r="C4881" t="s">
        <v>63</v>
      </c>
      <c r="D4881" t="s">
        <v>4052</v>
      </c>
      <c r="E4881" t="s">
        <v>4053</v>
      </c>
      <c r="F4881" t="s">
        <v>4054</v>
      </c>
      <c r="G4881">
        <v>10</v>
      </c>
      <c r="H4881" s="2">
        <v>55427.95</v>
      </c>
      <c r="I4881" s="2">
        <v>5542.8</v>
      </c>
    </row>
    <row r="4882" spans="1:9" x14ac:dyDescent="0.25">
      <c r="A4882" t="s">
        <v>2678</v>
      </c>
      <c r="B4882" t="s">
        <v>2679</v>
      </c>
      <c r="C4882" t="s">
        <v>63</v>
      </c>
      <c r="D4882" t="s">
        <v>4062</v>
      </c>
      <c r="E4882" t="s">
        <v>6691</v>
      </c>
      <c r="F4882" t="s">
        <v>63</v>
      </c>
      <c r="G4882">
        <v>1</v>
      </c>
      <c r="H4882" s="2">
        <v>2104904</v>
      </c>
      <c r="I4882" s="2">
        <v>2104904</v>
      </c>
    </row>
    <row r="4883" spans="1:9" x14ac:dyDescent="0.25">
      <c r="A4883" t="s">
        <v>2678</v>
      </c>
      <c r="B4883" t="s">
        <v>2679</v>
      </c>
      <c r="C4883" t="s">
        <v>63</v>
      </c>
      <c r="D4883" t="s">
        <v>4049</v>
      </c>
      <c r="E4883" t="s">
        <v>4241</v>
      </c>
      <c r="F4883" t="s">
        <v>4051</v>
      </c>
      <c r="G4883">
        <v>3</v>
      </c>
      <c r="H4883" s="2">
        <v>9941.22</v>
      </c>
      <c r="I4883" s="2">
        <v>29823.66</v>
      </c>
    </row>
    <row r="4884" spans="1:9" x14ac:dyDescent="0.25">
      <c r="A4884" t="s">
        <v>2678</v>
      </c>
      <c r="B4884" t="s">
        <v>2679</v>
      </c>
      <c r="C4884" t="s">
        <v>63</v>
      </c>
      <c r="D4884" t="s">
        <v>4049</v>
      </c>
      <c r="E4884" t="s">
        <v>4242</v>
      </c>
      <c r="F4884" t="s">
        <v>4051</v>
      </c>
      <c r="G4884">
        <v>1.5</v>
      </c>
      <c r="H4884" s="2">
        <v>17069.53</v>
      </c>
      <c r="I4884" s="2">
        <v>25604.29</v>
      </c>
    </row>
    <row r="4885" spans="1:9" x14ac:dyDescent="0.25">
      <c r="A4885" t="s">
        <v>2678</v>
      </c>
      <c r="B4885" t="s">
        <v>2679</v>
      </c>
      <c r="C4885" t="s">
        <v>63</v>
      </c>
      <c r="D4885" t="s">
        <v>4052</v>
      </c>
      <c r="E4885" t="s">
        <v>4053</v>
      </c>
      <c r="F4885" t="s">
        <v>4054</v>
      </c>
      <c r="G4885">
        <v>10</v>
      </c>
      <c r="H4885" s="2">
        <v>55427.95</v>
      </c>
      <c r="I4885" s="2">
        <v>5542.8</v>
      </c>
    </row>
    <row r="4886" spans="1:9" x14ac:dyDescent="0.25">
      <c r="A4886" t="s">
        <v>2681</v>
      </c>
      <c r="B4886" t="s">
        <v>2682</v>
      </c>
      <c r="C4886" t="s">
        <v>63</v>
      </c>
      <c r="D4886" t="s">
        <v>4062</v>
      </c>
      <c r="E4886" t="s">
        <v>6694</v>
      </c>
      <c r="F4886" t="s">
        <v>63</v>
      </c>
      <c r="G4886">
        <v>1</v>
      </c>
      <c r="H4886" s="2">
        <v>2129458</v>
      </c>
      <c r="I4886" s="2">
        <v>2129458</v>
      </c>
    </row>
    <row r="4887" spans="1:9" x14ac:dyDescent="0.25">
      <c r="A4887" t="s">
        <v>2681</v>
      </c>
      <c r="B4887" t="s">
        <v>2682</v>
      </c>
      <c r="C4887" t="s">
        <v>63</v>
      </c>
      <c r="D4887" t="s">
        <v>4049</v>
      </c>
      <c r="E4887" t="s">
        <v>4241</v>
      </c>
      <c r="F4887" t="s">
        <v>4051</v>
      </c>
      <c r="G4887">
        <v>3</v>
      </c>
      <c r="H4887" s="2">
        <v>9941.22</v>
      </c>
      <c r="I4887" s="2">
        <v>29823.66</v>
      </c>
    </row>
    <row r="4888" spans="1:9" x14ac:dyDescent="0.25">
      <c r="A4888" t="s">
        <v>2681</v>
      </c>
      <c r="B4888" t="s">
        <v>2682</v>
      </c>
      <c r="C4888" t="s">
        <v>63</v>
      </c>
      <c r="D4888" t="s">
        <v>4049</v>
      </c>
      <c r="E4888" t="s">
        <v>4242</v>
      </c>
      <c r="F4888" t="s">
        <v>4051</v>
      </c>
      <c r="G4888">
        <v>1.5</v>
      </c>
      <c r="H4888" s="2">
        <v>17069.53</v>
      </c>
      <c r="I4888" s="2">
        <v>25604.29</v>
      </c>
    </row>
    <row r="4889" spans="1:9" x14ac:dyDescent="0.25">
      <c r="A4889" t="s">
        <v>2681</v>
      </c>
      <c r="B4889" t="s">
        <v>2682</v>
      </c>
      <c r="C4889" t="s">
        <v>63</v>
      </c>
      <c r="D4889" t="s">
        <v>4052</v>
      </c>
      <c r="E4889" t="s">
        <v>4053</v>
      </c>
      <c r="F4889" t="s">
        <v>4054</v>
      </c>
      <c r="G4889">
        <v>10</v>
      </c>
      <c r="H4889" s="2">
        <v>55427.95</v>
      </c>
      <c r="I4889" s="2">
        <v>5542.8</v>
      </c>
    </row>
    <row r="4890" spans="1:9" x14ac:dyDescent="0.25">
      <c r="A4890" t="s">
        <v>2684</v>
      </c>
      <c r="B4890" t="s">
        <v>2685</v>
      </c>
      <c r="C4890" t="s">
        <v>63</v>
      </c>
      <c r="D4890" t="s">
        <v>4062</v>
      </c>
      <c r="E4890" t="s">
        <v>6697</v>
      </c>
      <c r="F4890" t="s">
        <v>63</v>
      </c>
      <c r="G4890">
        <v>1</v>
      </c>
      <c r="H4890" s="2">
        <v>2186656</v>
      </c>
      <c r="I4890" s="2">
        <v>2186656</v>
      </c>
    </row>
    <row r="4891" spans="1:9" x14ac:dyDescent="0.25">
      <c r="A4891" t="s">
        <v>2684</v>
      </c>
      <c r="B4891" t="s">
        <v>2685</v>
      </c>
      <c r="C4891" t="s">
        <v>63</v>
      </c>
      <c r="D4891" t="s">
        <v>4049</v>
      </c>
      <c r="E4891" t="s">
        <v>4241</v>
      </c>
      <c r="F4891" t="s">
        <v>4051</v>
      </c>
      <c r="G4891">
        <v>3</v>
      </c>
      <c r="H4891" s="2">
        <v>9941.22</v>
      </c>
      <c r="I4891" s="2">
        <v>29823.66</v>
      </c>
    </row>
    <row r="4892" spans="1:9" x14ac:dyDescent="0.25">
      <c r="A4892" t="s">
        <v>2684</v>
      </c>
      <c r="B4892" t="s">
        <v>2685</v>
      </c>
      <c r="C4892" t="s">
        <v>63</v>
      </c>
      <c r="D4892" t="s">
        <v>4049</v>
      </c>
      <c r="E4892" t="s">
        <v>4242</v>
      </c>
      <c r="F4892" t="s">
        <v>4051</v>
      </c>
      <c r="G4892">
        <v>1.5</v>
      </c>
      <c r="H4892" s="2">
        <v>17069.53</v>
      </c>
      <c r="I4892" s="2">
        <v>25604.29</v>
      </c>
    </row>
    <row r="4893" spans="1:9" x14ac:dyDescent="0.25">
      <c r="A4893" t="s">
        <v>2684</v>
      </c>
      <c r="B4893" t="s">
        <v>2685</v>
      </c>
      <c r="C4893" t="s">
        <v>63</v>
      </c>
      <c r="D4893" t="s">
        <v>4052</v>
      </c>
      <c r="E4893" t="s">
        <v>4053</v>
      </c>
      <c r="F4893" t="s">
        <v>4054</v>
      </c>
      <c r="G4893">
        <v>10</v>
      </c>
      <c r="H4893" s="2">
        <v>55427.95</v>
      </c>
      <c r="I4893" s="2">
        <v>5542.8</v>
      </c>
    </row>
    <row r="4894" spans="1:9" x14ac:dyDescent="0.25">
      <c r="A4894" t="s">
        <v>2687</v>
      </c>
      <c r="B4894" t="s">
        <v>2688</v>
      </c>
      <c r="C4894" t="s">
        <v>63</v>
      </c>
      <c r="D4894" t="s">
        <v>4062</v>
      </c>
      <c r="E4894" t="s">
        <v>6700</v>
      </c>
      <c r="F4894" t="s">
        <v>63</v>
      </c>
      <c r="G4894">
        <v>1</v>
      </c>
      <c r="H4894" s="2">
        <v>2444731</v>
      </c>
      <c r="I4894" s="2">
        <v>2444731</v>
      </c>
    </row>
    <row r="4895" spans="1:9" x14ac:dyDescent="0.25">
      <c r="A4895" t="s">
        <v>2687</v>
      </c>
      <c r="B4895" t="s">
        <v>2688</v>
      </c>
      <c r="C4895" t="s">
        <v>63</v>
      </c>
      <c r="D4895" t="s">
        <v>4049</v>
      </c>
      <c r="E4895" t="s">
        <v>4241</v>
      </c>
      <c r="F4895" t="s">
        <v>4051</v>
      </c>
      <c r="G4895">
        <v>3</v>
      </c>
      <c r="H4895" s="2">
        <v>9941.22</v>
      </c>
      <c r="I4895" s="2">
        <v>29823.66</v>
      </c>
    </row>
    <row r="4896" spans="1:9" x14ac:dyDescent="0.25">
      <c r="A4896" t="s">
        <v>2687</v>
      </c>
      <c r="B4896" t="s">
        <v>2688</v>
      </c>
      <c r="C4896" t="s">
        <v>63</v>
      </c>
      <c r="D4896" t="s">
        <v>4049</v>
      </c>
      <c r="E4896" t="s">
        <v>4242</v>
      </c>
      <c r="F4896" t="s">
        <v>4051</v>
      </c>
      <c r="G4896">
        <v>1.5</v>
      </c>
      <c r="H4896" s="2">
        <v>17069.53</v>
      </c>
      <c r="I4896" s="2">
        <v>25604.29</v>
      </c>
    </row>
    <row r="4897" spans="1:9" x14ac:dyDescent="0.25">
      <c r="A4897" t="s">
        <v>2687</v>
      </c>
      <c r="B4897" t="s">
        <v>2688</v>
      </c>
      <c r="C4897" t="s">
        <v>63</v>
      </c>
      <c r="D4897" t="s">
        <v>4052</v>
      </c>
      <c r="E4897" t="s">
        <v>4053</v>
      </c>
      <c r="F4897" t="s">
        <v>4054</v>
      </c>
      <c r="G4897">
        <v>10</v>
      </c>
      <c r="H4897" s="2">
        <v>55427.95</v>
      </c>
      <c r="I4897" s="2">
        <v>5542.8</v>
      </c>
    </row>
    <row r="4898" spans="1:9" x14ac:dyDescent="0.25">
      <c r="A4898" t="s">
        <v>2690</v>
      </c>
      <c r="B4898" t="s">
        <v>2691</v>
      </c>
      <c r="C4898" t="s">
        <v>63</v>
      </c>
      <c r="D4898" t="s">
        <v>4062</v>
      </c>
      <c r="E4898" t="s">
        <v>6703</v>
      </c>
      <c r="F4898" t="s">
        <v>63</v>
      </c>
      <c r="G4898">
        <v>1</v>
      </c>
      <c r="H4898" s="2">
        <v>2679521</v>
      </c>
      <c r="I4898" s="2">
        <v>2679521</v>
      </c>
    </row>
    <row r="4899" spans="1:9" x14ac:dyDescent="0.25">
      <c r="A4899" t="s">
        <v>2690</v>
      </c>
      <c r="B4899" t="s">
        <v>2691</v>
      </c>
      <c r="C4899" t="s">
        <v>63</v>
      </c>
      <c r="D4899" t="s">
        <v>4049</v>
      </c>
      <c r="E4899" t="s">
        <v>4241</v>
      </c>
      <c r="F4899" t="s">
        <v>4051</v>
      </c>
      <c r="G4899">
        <v>3</v>
      </c>
      <c r="H4899" s="2">
        <v>9941.22</v>
      </c>
      <c r="I4899" s="2">
        <v>29823.66</v>
      </c>
    </row>
    <row r="4900" spans="1:9" x14ac:dyDescent="0.25">
      <c r="A4900" t="s">
        <v>2690</v>
      </c>
      <c r="B4900" t="s">
        <v>2691</v>
      </c>
      <c r="C4900" t="s">
        <v>63</v>
      </c>
      <c r="D4900" t="s">
        <v>4049</v>
      </c>
      <c r="E4900" t="s">
        <v>4242</v>
      </c>
      <c r="F4900" t="s">
        <v>4051</v>
      </c>
      <c r="G4900">
        <v>1.5</v>
      </c>
      <c r="H4900" s="2">
        <v>17069.53</v>
      </c>
      <c r="I4900" s="2">
        <v>25604.29</v>
      </c>
    </row>
    <row r="4901" spans="1:9" x14ac:dyDescent="0.25">
      <c r="A4901" t="s">
        <v>2690</v>
      </c>
      <c r="B4901" t="s">
        <v>2691</v>
      </c>
      <c r="C4901" t="s">
        <v>63</v>
      </c>
      <c r="D4901" t="s">
        <v>4052</v>
      </c>
      <c r="E4901" t="s">
        <v>4053</v>
      </c>
      <c r="F4901" t="s">
        <v>4054</v>
      </c>
      <c r="G4901">
        <v>10</v>
      </c>
      <c r="H4901" s="2">
        <v>55427.95</v>
      </c>
      <c r="I4901" s="2">
        <v>5542.8</v>
      </c>
    </row>
    <row r="4902" spans="1:9" x14ac:dyDescent="0.25">
      <c r="A4902" t="s">
        <v>2693</v>
      </c>
      <c r="B4902" t="s">
        <v>2694</v>
      </c>
      <c r="C4902" t="s">
        <v>63</v>
      </c>
      <c r="D4902" t="s">
        <v>4062</v>
      </c>
      <c r="E4902" t="s">
        <v>6706</v>
      </c>
      <c r="F4902" t="s">
        <v>63</v>
      </c>
      <c r="G4902">
        <v>1</v>
      </c>
      <c r="H4902" s="2">
        <v>2807279</v>
      </c>
      <c r="I4902" s="2">
        <v>2807279</v>
      </c>
    </row>
    <row r="4903" spans="1:9" x14ac:dyDescent="0.25">
      <c r="A4903" t="s">
        <v>2693</v>
      </c>
      <c r="B4903" t="s">
        <v>2694</v>
      </c>
      <c r="C4903" t="s">
        <v>63</v>
      </c>
      <c r="D4903" t="s">
        <v>4049</v>
      </c>
      <c r="E4903" t="s">
        <v>4241</v>
      </c>
      <c r="F4903" t="s">
        <v>4051</v>
      </c>
      <c r="G4903">
        <v>3</v>
      </c>
      <c r="H4903" s="2">
        <v>9941.22</v>
      </c>
      <c r="I4903" s="2">
        <v>29823.66</v>
      </c>
    </row>
    <row r="4904" spans="1:9" x14ac:dyDescent="0.25">
      <c r="A4904" t="s">
        <v>2693</v>
      </c>
      <c r="B4904" t="s">
        <v>2694</v>
      </c>
      <c r="C4904" t="s">
        <v>63</v>
      </c>
      <c r="D4904" t="s">
        <v>4049</v>
      </c>
      <c r="E4904" t="s">
        <v>4242</v>
      </c>
      <c r="F4904" t="s">
        <v>4051</v>
      </c>
      <c r="G4904">
        <v>1.5</v>
      </c>
      <c r="H4904" s="2">
        <v>17069.53</v>
      </c>
      <c r="I4904" s="2">
        <v>25604.29</v>
      </c>
    </row>
    <row r="4905" spans="1:9" x14ac:dyDescent="0.25">
      <c r="A4905" t="s">
        <v>2693</v>
      </c>
      <c r="B4905" t="s">
        <v>2694</v>
      </c>
      <c r="C4905" t="s">
        <v>63</v>
      </c>
      <c r="D4905" t="s">
        <v>4052</v>
      </c>
      <c r="E4905" t="s">
        <v>4053</v>
      </c>
      <c r="F4905" t="s">
        <v>4054</v>
      </c>
      <c r="G4905">
        <v>10</v>
      </c>
      <c r="H4905" s="2">
        <v>55427.95</v>
      </c>
      <c r="I4905" s="2">
        <v>5542.8</v>
      </c>
    </row>
    <row r="4906" spans="1:9" x14ac:dyDescent="0.25">
      <c r="A4906" t="s">
        <v>2696</v>
      </c>
      <c r="B4906" t="s">
        <v>2694</v>
      </c>
      <c r="C4906" t="s">
        <v>63</v>
      </c>
      <c r="D4906" t="s">
        <v>4062</v>
      </c>
      <c r="E4906" t="s">
        <v>6706</v>
      </c>
      <c r="F4906" t="s">
        <v>63</v>
      </c>
      <c r="G4906">
        <v>1</v>
      </c>
      <c r="H4906" s="2">
        <v>2807279</v>
      </c>
      <c r="I4906" s="2">
        <v>2807279</v>
      </c>
    </row>
    <row r="4907" spans="1:9" x14ac:dyDescent="0.25">
      <c r="A4907" t="s">
        <v>2696</v>
      </c>
      <c r="B4907" t="s">
        <v>2694</v>
      </c>
      <c r="C4907" t="s">
        <v>63</v>
      </c>
      <c r="D4907" t="s">
        <v>4049</v>
      </c>
      <c r="E4907" t="s">
        <v>4241</v>
      </c>
      <c r="F4907" t="s">
        <v>4051</v>
      </c>
      <c r="G4907">
        <v>3</v>
      </c>
      <c r="H4907" s="2">
        <v>9941.22</v>
      </c>
      <c r="I4907" s="2">
        <v>29823.66</v>
      </c>
    </row>
    <row r="4908" spans="1:9" x14ac:dyDescent="0.25">
      <c r="A4908" t="s">
        <v>2696</v>
      </c>
      <c r="B4908" t="s">
        <v>2694</v>
      </c>
      <c r="C4908" t="s">
        <v>63</v>
      </c>
      <c r="D4908" t="s">
        <v>4049</v>
      </c>
      <c r="E4908" t="s">
        <v>4242</v>
      </c>
      <c r="F4908" t="s">
        <v>4051</v>
      </c>
      <c r="G4908">
        <v>1.5</v>
      </c>
      <c r="H4908" s="2">
        <v>17069.53</v>
      </c>
      <c r="I4908" s="2">
        <v>25604.29</v>
      </c>
    </row>
    <row r="4909" spans="1:9" x14ac:dyDescent="0.25">
      <c r="A4909" t="s">
        <v>2696</v>
      </c>
      <c r="B4909" t="s">
        <v>2694</v>
      </c>
      <c r="C4909" t="s">
        <v>63</v>
      </c>
      <c r="D4909" t="s">
        <v>4052</v>
      </c>
      <c r="E4909" t="s">
        <v>4053</v>
      </c>
      <c r="F4909" t="s">
        <v>4054</v>
      </c>
      <c r="G4909">
        <v>10</v>
      </c>
      <c r="H4909" s="2">
        <v>55427.95</v>
      </c>
      <c r="I4909" s="2">
        <v>5542.8</v>
      </c>
    </row>
    <row r="4910" spans="1:9" x14ac:dyDescent="0.25">
      <c r="A4910" t="s">
        <v>2697</v>
      </c>
      <c r="B4910" t="s">
        <v>2698</v>
      </c>
      <c r="C4910" t="s">
        <v>63</v>
      </c>
      <c r="D4910" t="s">
        <v>4062</v>
      </c>
      <c r="E4910" t="s">
        <v>6710</v>
      </c>
      <c r="F4910" t="s">
        <v>63</v>
      </c>
      <c r="G4910">
        <v>1</v>
      </c>
      <c r="H4910" s="2">
        <v>544330</v>
      </c>
      <c r="I4910" s="2">
        <v>544330</v>
      </c>
    </row>
    <row r="4911" spans="1:9" x14ac:dyDescent="0.25">
      <c r="A4911" t="s">
        <v>2697</v>
      </c>
      <c r="B4911" t="s">
        <v>2698</v>
      </c>
      <c r="C4911" t="s">
        <v>63</v>
      </c>
      <c r="D4911" t="s">
        <v>4062</v>
      </c>
      <c r="E4911" t="s">
        <v>4659</v>
      </c>
      <c r="F4911" t="s">
        <v>4377</v>
      </c>
      <c r="G4911">
        <v>0</v>
      </c>
      <c r="H4911" s="2">
        <v>31500</v>
      </c>
      <c r="I4911" s="2">
        <v>126</v>
      </c>
    </row>
    <row r="4912" spans="1:9" x14ac:dyDescent="0.25">
      <c r="A4912" t="s">
        <v>2697</v>
      </c>
      <c r="B4912" t="s">
        <v>2698</v>
      </c>
      <c r="C4912" t="s">
        <v>63</v>
      </c>
      <c r="D4912" t="s">
        <v>4062</v>
      </c>
      <c r="E4912" t="s">
        <v>4376</v>
      </c>
      <c r="F4912" t="s">
        <v>4377</v>
      </c>
      <c r="G4912">
        <v>0</v>
      </c>
      <c r="H4912" s="2">
        <v>72237.67</v>
      </c>
      <c r="I4912" s="2">
        <v>288.95</v>
      </c>
    </row>
    <row r="4913" spans="1:9" x14ac:dyDescent="0.25">
      <c r="A4913" t="s">
        <v>2697</v>
      </c>
      <c r="B4913" t="s">
        <v>2698</v>
      </c>
      <c r="C4913" t="s">
        <v>63</v>
      </c>
      <c r="D4913" t="s">
        <v>4049</v>
      </c>
      <c r="E4913" t="s">
        <v>4241</v>
      </c>
      <c r="F4913" t="s">
        <v>4051</v>
      </c>
      <c r="G4913">
        <v>0.05</v>
      </c>
      <c r="H4913" s="2">
        <v>9941.22</v>
      </c>
      <c r="I4913" s="2">
        <v>497.06</v>
      </c>
    </row>
    <row r="4914" spans="1:9" x14ac:dyDescent="0.25">
      <c r="A4914" t="s">
        <v>2697</v>
      </c>
      <c r="B4914" t="s">
        <v>2698</v>
      </c>
      <c r="C4914" t="s">
        <v>63</v>
      </c>
      <c r="D4914" t="s">
        <v>4049</v>
      </c>
      <c r="E4914" t="s">
        <v>4242</v>
      </c>
      <c r="F4914" t="s">
        <v>4051</v>
      </c>
      <c r="G4914">
        <v>0.05</v>
      </c>
      <c r="H4914" s="2">
        <v>17069.53</v>
      </c>
      <c r="I4914" s="2">
        <v>853.48</v>
      </c>
    </row>
    <row r="4915" spans="1:9" x14ac:dyDescent="0.25">
      <c r="A4915" t="s">
        <v>2697</v>
      </c>
      <c r="B4915" t="s">
        <v>2698</v>
      </c>
      <c r="C4915" t="s">
        <v>63</v>
      </c>
      <c r="D4915" t="s">
        <v>4052</v>
      </c>
      <c r="E4915" t="s">
        <v>4053</v>
      </c>
      <c r="F4915" t="s">
        <v>4054</v>
      </c>
      <c r="G4915">
        <v>3.4</v>
      </c>
      <c r="H4915" s="2">
        <v>1350.54</v>
      </c>
      <c r="I4915" s="2">
        <v>45.92</v>
      </c>
    </row>
    <row r="4916" spans="1:9" x14ac:dyDescent="0.25">
      <c r="A4916" t="s">
        <v>2700</v>
      </c>
      <c r="B4916" t="s">
        <v>2701</v>
      </c>
      <c r="C4916" t="s">
        <v>63</v>
      </c>
      <c r="D4916" t="s">
        <v>4062</v>
      </c>
      <c r="E4916" t="s">
        <v>6713</v>
      </c>
      <c r="F4916" t="s">
        <v>63</v>
      </c>
      <c r="G4916">
        <v>1</v>
      </c>
      <c r="H4916" s="2">
        <v>3055</v>
      </c>
      <c r="I4916" s="2">
        <v>3055</v>
      </c>
    </row>
    <row r="4917" spans="1:9" x14ac:dyDescent="0.25">
      <c r="A4917" t="s">
        <v>2700</v>
      </c>
      <c r="B4917" t="s">
        <v>2701</v>
      </c>
      <c r="C4917" t="s">
        <v>63</v>
      </c>
      <c r="D4917" t="s">
        <v>4062</v>
      </c>
      <c r="E4917" t="s">
        <v>4659</v>
      </c>
      <c r="F4917" t="s">
        <v>4377</v>
      </c>
      <c r="G4917">
        <v>0</v>
      </c>
      <c r="H4917" s="2">
        <v>31500</v>
      </c>
      <c r="I4917" s="2">
        <v>126</v>
      </c>
    </row>
    <row r="4918" spans="1:9" x14ac:dyDescent="0.25">
      <c r="A4918" t="s">
        <v>2700</v>
      </c>
      <c r="B4918" t="s">
        <v>2701</v>
      </c>
      <c r="C4918" t="s">
        <v>63</v>
      </c>
      <c r="D4918" t="s">
        <v>4062</v>
      </c>
      <c r="E4918" t="s">
        <v>4376</v>
      </c>
      <c r="F4918" t="s">
        <v>4377</v>
      </c>
      <c r="G4918">
        <v>0</v>
      </c>
      <c r="H4918" s="2">
        <v>72237.67</v>
      </c>
      <c r="I4918" s="2">
        <v>288.95</v>
      </c>
    </row>
    <row r="4919" spans="1:9" x14ac:dyDescent="0.25">
      <c r="A4919" t="s">
        <v>2700</v>
      </c>
      <c r="B4919" t="s">
        <v>2701</v>
      </c>
      <c r="C4919" t="s">
        <v>63</v>
      </c>
      <c r="D4919" t="s">
        <v>4049</v>
      </c>
      <c r="E4919" t="s">
        <v>4241</v>
      </c>
      <c r="F4919" t="s">
        <v>4051</v>
      </c>
      <c r="G4919">
        <v>0.05</v>
      </c>
      <c r="H4919" s="2">
        <v>9941.22</v>
      </c>
      <c r="I4919" s="2">
        <v>497.06</v>
      </c>
    </row>
    <row r="4920" spans="1:9" x14ac:dyDescent="0.25">
      <c r="A4920" t="s">
        <v>2700</v>
      </c>
      <c r="B4920" t="s">
        <v>2701</v>
      </c>
      <c r="C4920" t="s">
        <v>63</v>
      </c>
      <c r="D4920" t="s">
        <v>4049</v>
      </c>
      <c r="E4920" t="s">
        <v>4242</v>
      </c>
      <c r="F4920" t="s">
        <v>4051</v>
      </c>
      <c r="G4920">
        <v>0.05</v>
      </c>
      <c r="H4920" s="2">
        <v>17069.53</v>
      </c>
      <c r="I4920" s="2">
        <v>853.48</v>
      </c>
    </row>
    <row r="4921" spans="1:9" x14ac:dyDescent="0.25">
      <c r="A4921" t="s">
        <v>2700</v>
      </c>
      <c r="B4921" t="s">
        <v>2701</v>
      </c>
      <c r="C4921" t="s">
        <v>63</v>
      </c>
      <c r="D4921" t="s">
        <v>4052</v>
      </c>
      <c r="E4921" t="s">
        <v>4053</v>
      </c>
      <c r="F4921" t="s">
        <v>4054</v>
      </c>
      <c r="G4921">
        <v>3.4</v>
      </c>
      <c r="H4921" s="2">
        <v>1350.54</v>
      </c>
      <c r="I4921" s="2">
        <v>45.92</v>
      </c>
    </row>
    <row r="4922" spans="1:9" x14ac:dyDescent="0.25">
      <c r="A4922" t="s">
        <v>2703</v>
      </c>
      <c r="B4922" t="s">
        <v>2704</v>
      </c>
      <c r="C4922" t="s">
        <v>63</v>
      </c>
      <c r="D4922" t="s">
        <v>4062</v>
      </c>
      <c r="E4922" t="s">
        <v>6716</v>
      </c>
      <c r="F4922" t="s">
        <v>63</v>
      </c>
      <c r="G4922">
        <v>1</v>
      </c>
      <c r="H4922" s="2">
        <v>7079.5</v>
      </c>
      <c r="I4922" s="2">
        <v>7079.5</v>
      </c>
    </row>
    <row r="4923" spans="1:9" x14ac:dyDescent="0.25">
      <c r="A4923" t="s">
        <v>2703</v>
      </c>
      <c r="B4923" t="s">
        <v>2704</v>
      </c>
      <c r="C4923" t="s">
        <v>63</v>
      </c>
      <c r="D4923" t="s">
        <v>4062</v>
      </c>
      <c r="E4923" t="s">
        <v>4659</v>
      </c>
      <c r="F4923" t="s">
        <v>4377</v>
      </c>
      <c r="G4923">
        <v>0</v>
      </c>
      <c r="H4923" s="2">
        <v>31500</v>
      </c>
      <c r="I4923" s="2">
        <v>126</v>
      </c>
    </row>
    <row r="4924" spans="1:9" x14ac:dyDescent="0.25">
      <c r="A4924" t="s">
        <v>2703</v>
      </c>
      <c r="B4924" t="s">
        <v>2704</v>
      </c>
      <c r="C4924" t="s">
        <v>63</v>
      </c>
      <c r="D4924" t="s">
        <v>4062</v>
      </c>
      <c r="E4924" t="s">
        <v>4376</v>
      </c>
      <c r="F4924" t="s">
        <v>4377</v>
      </c>
      <c r="G4924">
        <v>0</v>
      </c>
      <c r="H4924" s="2">
        <v>72237.67</v>
      </c>
      <c r="I4924" s="2">
        <v>288.95</v>
      </c>
    </row>
    <row r="4925" spans="1:9" x14ac:dyDescent="0.25">
      <c r="A4925" t="s">
        <v>2703</v>
      </c>
      <c r="B4925" t="s">
        <v>2704</v>
      </c>
      <c r="C4925" t="s">
        <v>63</v>
      </c>
      <c r="D4925" t="s">
        <v>4049</v>
      </c>
      <c r="E4925" t="s">
        <v>4241</v>
      </c>
      <c r="F4925" t="s">
        <v>4051</v>
      </c>
      <c r="G4925">
        <v>0.05</v>
      </c>
      <c r="H4925" s="2">
        <v>9941.22</v>
      </c>
      <c r="I4925" s="2">
        <v>497.06</v>
      </c>
    </row>
    <row r="4926" spans="1:9" x14ac:dyDescent="0.25">
      <c r="A4926" t="s">
        <v>2703</v>
      </c>
      <c r="B4926" t="s">
        <v>2704</v>
      </c>
      <c r="C4926" t="s">
        <v>63</v>
      </c>
      <c r="D4926" t="s">
        <v>4049</v>
      </c>
      <c r="E4926" t="s">
        <v>4242</v>
      </c>
      <c r="F4926" t="s">
        <v>4051</v>
      </c>
      <c r="G4926">
        <v>0.05</v>
      </c>
      <c r="H4926" s="2">
        <v>17069.53</v>
      </c>
      <c r="I4926" s="2">
        <v>853.48</v>
      </c>
    </row>
    <row r="4927" spans="1:9" x14ac:dyDescent="0.25">
      <c r="A4927" t="s">
        <v>2703</v>
      </c>
      <c r="B4927" t="s">
        <v>2704</v>
      </c>
      <c r="C4927" t="s">
        <v>63</v>
      </c>
      <c r="D4927" t="s">
        <v>4052</v>
      </c>
      <c r="E4927" t="s">
        <v>4053</v>
      </c>
      <c r="F4927" t="s">
        <v>4054</v>
      </c>
      <c r="G4927">
        <v>3.4</v>
      </c>
      <c r="H4927" s="2">
        <v>1350.54</v>
      </c>
      <c r="I4927" s="2">
        <v>45.92</v>
      </c>
    </row>
    <row r="4928" spans="1:9" x14ac:dyDescent="0.25">
      <c r="A4928" t="s">
        <v>2706</v>
      </c>
      <c r="B4928" t="s">
        <v>2707</v>
      </c>
      <c r="C4928" t="s">
        <v>63</v>
      </c>
      <c r="D4928" t="s">
        <v>4062</v>
      </c>
      <c r="E4928" t="s">
        <v>6719</v>
      </c>
      <c r="F4928" t="s">
        <v>63</v>
      </c>
      <c r="G4928">
        <v>1</v>
      </c>
      <c r="H4928" s="2">
        <v>12197</v>
      </c>
      <c r="I4928" s="2">
        <v>12197</v>
      </c>
    </row>
    <row r="4929" spans="1:9" x14ac:dyDescent="0.25">
      <c r="A4929" t="s">
        <v>2706</v>
      </c>
      <c r="B4929" t="s">
        <v>2707</v>
      </c>
      <c r="C4929" t="s">
        <v>63</v>
      </c>
      <c r="D4929" t="s">
        <v>4062</v>
      </c>
      <c r="E4929" t="s">
        <v>4659</v>
      </c>
      <c r="F4929" t="s">
        <v>4377</v>
      </c>
      <c r="G4929">
        <v>0</v>
      </c>
      <c r="H4929" s="2">
        <v>31500</v>
      </c>
      <c r="I4929" s="2">
        <v>126</v>
      </c>
    </row>
    <row r="4930" spans="1:9" x14ac:dyDescent="0.25">
      <c r="A4930" t="s">
        <v>2706</v>
      </c>
      <c r="B4930" t="s">
        <v>2707</v>
      </c>
      <c r="C4930" t="s">
        <v>63</v>
      </c>
      <c r="D4930" t="s">
        <v>4062</v>
      </c>
      <c r="E4930" t="s">
        <v>4376</v>
      </c>
      <c r="F4930" t="s">
        <v>4377</v>
      </c>
      <c r="G4930">
        <v>0</v>
      </c>
      <c r="H4930" s="2">
        <v>72237.67</v>
      </c>
      <c r="I4930" s="2">
        <v>288.95</v>
      </c>
    </row>
    <row r="4931" spans="1:9" x14ac:dyDescent="0.25">
      <c r="A4931" t="s">
        <v>2706</v>
      </c>
      <c r="B4931" t="s">
        <v>2707</v>
      </c>
      <c r="C4931" t="s">
        <v>63</v>
      </c>
      <c r="D4931" t="s">
        <v>4049</v>
      </c>
      <c r="E4931" t="s">
        <v>4241</v>
      </c>
      <c r="F4931" t="s">
        <v>4051</v>
      </c>
      <c r="G4931">
        <v>0.05</v>
      </c>
      <c r="H4931" s="2">
        <v>9941.22</v>
      </c>
      <c r="I4931" s="2">
        <v>497.06</v>
      </c>
    </row>
    <row r="4932" spans="1:9" x14ac:dyDescent="0.25">
      <c r="A4932" t="s">
        <v>2706</v>
      </c>
      <c r="B4932" t="s">
        <v>2707</v>
      </c>
      <c r="C4932" t="s">
        <v>63</v>
      </c>
      <c r="D4932" t="s">
        <v>4049</v>
      </c>
      <c r="E4932" t="s">
        <v>4242</v>
      </c>
      <c r="F4932" t="s">
        <v>4051</v>
      </c>
      <c r="G4932">
        <v>0.05</v>
      </c>
      <c r="H4932" s="2">
        <v>17069.53</v>
      </c>
      <c r="I4932" s="2">
        <v>853.48</v>
      </c>
    </row>
    <row r="4933" spans="1:9" x14ac:dyDescent="0.25">
      <c r="A4933" t="s">
        <v>2706</v>
      </c>
      <c r="B4933" t="s">
        <v>2707</v>
      </c>
      <c r="C4933" t="s">
        <v>63</v>
      </c>
      <c r="D4933" t="s">
        <v>4052</v>
      </c>
      <c r="E4933" t="s">
        <v>4053</v>
      </c>
      <c r="F4933" t="s">
        <v>4054</v>
      </c>
      <c r="G4933">
        <v>3.4</v>
      </c>
      <c r="H4933" s="2">
        <v>1350.54</v>
      </c>
      <c r="I4933" s="2">
        <v>45.92</v>
      </c>
    </row>
    <row r="4934" spans="1:9" x14ac:dyDescent="0.25">
      <c r="A4934" t="s">
        <v>2709</v>
      </c>
      <c r="B4934" t="s">
        <v>2710</v>
      </c>
      <c r="C4934" t="s">
        <v>63</v>
      </c>
      <c r="D4934" t="s">
        <v>4062</v>
      </c>
      <c r="E4934" t="s">
        <v>6722</v>
      </c>
      <c r="F4934" t="s">
        <v>63</v>
      </c>
      <c r="G4934">
        <v>1</v>
      </c>
      <c r="H4934" s="2">
        <v>104205</v>
      </c>
      <c r="I4934" s="2">
        <v>104205</v>
      </c>
    </row>
    <row r="4935" spans="1:9" x14ac:dyDescent="0.25">
      <c r="A4935" t="s">
        <v>2709</v>
      </c>
      <c r="B4935" t="s">
        <v>2710</v>
      </c>
      <c r="C4935" t="s">
        <v>63</v>
      </c>
      <c r="D4935" t="s">
        <v>4062</v>
      </c>
      <c r="E4935" t="s">
        <v>4659</v>
      </c>
      <c r="F4935" t="s">
        <v>4377</v>
      </c>
      <c r="G4935">
        <v>0.04</v>
      </c>
      <c r="H4935" s="2">
        <v>31500</v>
      </c>
      <c r="I4935" s="2">
        <v>1260</v>
      </c>
    </row>
    <row r="4936" spans="1:9" x14ac:dyDescent="0.25">
      <c r="A4936" t="s">
        <v>2709</v>
      </c>
      <c r="B4936" t="s">
        <v>2710</v>
      </c>
      <c r="C4936" t="s">
        <v>63</v>
      </c>
      <c r="D4936" t="s">
        <v>4062</v>
      </c>
      <c r="E4936" t="s">
        <v>4376</v>
      </c>
      <c r="F4936" t="s">
        <v>4377</v>
      </c>
      <c r="G4936">
        <v>0.04</v>
      </c>
      <c r="H4936" s="2">
        <v>72237.67</v>
      </c>
      <c r="I4936" s="2">
        <v>2889.51</v>
      </c>
    </row>
    <row r="4937" spans="1:9" x14ac:dyDescent="0.25">
      <c r="A4937" t="s">
        <v>2709</v>
      </c>
      <c r="B4937" t="s">
        <v>2710</v>
      </c>
      <c r="C4937" t="s">
        <v>63</v>
      </c>
      <c r="D4937" t="s">
        <v>4049</v>
      </c>
      <c r="E4937" t="s">
        <v>4241</v>
      </c>
      <c r="F4937" t="s">
        <v>4051</v>
      </c>
      <c r="G4937">
        <v>0.16</v>
      </c>
      <c r="H4937" s="2">
        <v>9941.22</v>
      </c>
      <c r="I4937" s="2">
        <v>1590.6</v>
      </c>
    </row>
    <row r="4938" spans="1:9" x14ac:dyDescent="0.25">
      <c r="A4938" t="s">
        <v>2709</v>
      </c>
      <c r="B4938" t="s">
        <v>2710</v>
      </c>
      <c r="C4938" t="s">
        <v>63</v>
      </c>
      <c r="D4938" t="s">
        <v>4049</v>
      </c>
      <c r="E4938" t="s">
        <v>4242</v>
      </c>
      <c r="F4938" t="s">
        <v>4051</v>
      </c>
      <c r="G4938">
        <v>0.16</v>
      </c>
      <c r="H4938" s="2">
        <v>17069.53</v>
      </c>
      <c r="I4938" s="2">
        <v>2731.12</v>
      </c>
    </row>
    <row r="4939" spans="1:9" x14ac:dyDescent="0.25">
      <c r="A4939" t="s">
        <v>2709</v>
      </c>
      <c r="B4939" t="s">
        <v>2710</v>
      </c>
      <c r="C4939" t="s">
        <v>63</v>
      </c>
      <c r="D4939" t="s">
        <v>4052</v>
      </c>
      <c r="E4939" t="s">
        <v>4053</v>
      </c>
      <c r="F4939" t="s">
        <v>4054</v>
      </c>
      <c r="G4939">
        <v>3.4</v>
      </c>
      <c r="H4939" s="2">
        <v>4321.72</v>
      </c>
      <c r="I4939" s="2">
        <v>146.94</v>
      </c>
    </row>
    <row r="4940" spans="1:9" x14ac:dyDescent="0.25">
      <c r="A4940" t="s">
        <v>2712</v>
      </c>
      <c r="B4940" t="s">
        <v>2713</v>
      </c>
      <c r="C4940" t="s">
        <v>63</v>
      </c>
      <c r="D4940" t="s">
        <v>4062</v>
      </c>
      <c r="E4940" t="s">
        <v>6725</v>
      </c>
      <c r="F4940" t="s">
        <v>63</v>
      </c>
      <c r="G4940">
        <v>1</v>
      </c>
      <c r="H4940" s="2">
        <v>180125</v>
      </c>
      <c r="I4940" s="2">
        <v>180125</v>
      </c>
    </row>
    <row r="4941" spans="1:9" x14ac:dyDescent="0.25">
      <c r="A4941" t="s">
        <v>2712</v>
      </c>
      <c r="B4941" t="s">
        <v>2713</v>
      </c>
      <c r="C4941" t="s">
        <v>63</v>
      </c>
      <c r="D4941" t="s">
        <v>4062</v>
      </c>
      <c r="E4941" t="s">
        <v>4659</v>
      </c>
      <c r="F4941" t="s">
        <v>4377</v>
      </c>
      <c r="G4941">
        <v>0</v>
      </c>
      <c r="H4941" s="2">
        <v>31500</v>
      </c>
      <c r="I4941" s="2">
        <v>126</v>
      </c>
    </row>
    <row r="4942" spans="1:9" x14ac:dyDescent="0.25">
      <c r="A4942" t="s">
        <v>2712</v>
      </c>
      <c r="B4942" t="s">
        <v>2713</v>
      </c>
      <c r="C4942" t="s">
        <v>63</v>
      </c>
      <c r="D4942" t="s">
        <v>4062</v>
      </c>
      <c r="E4942" t="s">
        <v>4376</v>
      </c>
      <c r="F4942" t="s">
        <v>4377</v>
      </c>
      <c r="G4942">
        <v>0</v>
      </c>
      <c r="H4942" s="2">
        <v>72237.67</v>
      </c>
      <c r="I4942" s="2">
        <v>288.95</v>
      </c>
    </row>
    <row r="4943" spans="1:9" x14ac:dyDescent="0.25">
      <c r="A4943" t="s">
        <v>2712</v>
      </c>
      <c r="B4943" t="s">
        <v>2713</v>
      </c>
      <c r="C4943" t="s">
        <v>63</v>
      </c>
      <c r="D4943" t="s">
        <v>4049</v>
      </c>
      <c r="E4943" t="s">
        <v>4241</v>
      </c>
      <c r="F4943" t="s">
        <v>4051</v>
      </c>
      <c r="G4943">
        <v>0.05</v>
      </c>
      <c r="H4943" s="2">
        <v>9941.22</v>
      </c>
      <c r="I4943" s="2">
        <v>497.06</v>
      </c>
    </row>
    <row r="4944" spans="1:9" x14ac:dyDescent="0.25">
      <c r="A4944" t="s">
        <v>2712</v>
      </c>
      <c r="B4944" t="s">
        <v>2713</v>
      </c>
      <c r="C4944" t="s">
        <v>63</v>
      </c>
      <c r="D4944" t="s">
        <v>4049</v>
      </c>
      <c r="E4944" t="s">
        <v>4242</v>
      </c>
      <c r="F4944" t="s">
        <v>4051</v>
      </c>
      <c r="G4944">
        <v>0.05</v>
      </c>
      <c r="H4944" s="2">
        <v>17069.53</v>
      </c>
      <c r="I4944" s="2">
        <v>853.48</v>
      </c>
    </row>
    <row r="4945" spans="1:9" x14ac:dyDescent="0.25">
      <c r="A4945" t="s">
        <v>2712</v>
      </c>
      <c r="B4945" t="s">
        <v>2713</v>
      </c>
      <c r="C4945" t="s">
        <v>63</v>
      </c>
      <c r="D4945" t="s">
        <v>4052</v>
      </c>
      <c r="E4945" t="s">
        <v>4053</v>
      </c>
      <c r="F4945" t="s">
        <v>4054</v>
      </c>
      <c r="G4945">
        <v>3.4</v>
      </c>
      <c r="H4945" s="2">
        <v>1350.54</v>
      </c>
      <c r="I4945" s="2">
        <v>45.92</v>
      </c>
    </row>
    <row r="4946" spans="1:9" x14ac:dyDescent="0.25">
      <c r="A4946" t="s">
        <v>2715</v>
      </c>
      <c r="B4946" t="s">
        <v>2716</v>
      </c>
      <c r="C4946" t="s">
        <v>63</v>
      </c>
      <c r="D4946" t="s">
        <v>4062</v>
      </c>
      <c r="E4946" t="s">
        <v>6728</v>
      </c>
      <c r="F4946" t="s">
        <v>63</v>
      </c>
      <c r="G4946">
        <v>1</v>
      </c>
      <c r="H4946" s="2">
        <v>803524</v>
      </c>
      <c r="I4946" s="2">
        <v>803524</v>
      </c>
    </row>
    <row r="4947" spans="1:9" x14ac:dyDescent="0.25">
      <c r="A4947" t="s">
        <v>2715</v>
      </c>
      <c r="B4947" t="s">
        <v>2716</v>
      </c>
      <c r="C4947" t="s">
        <v>63</v>
      </c>
      <c r="D4947" t="s">
        <v>4062</v>
      </c>
      <c r="E4947" t="s">
        <v>6166</v>
      </c>
      <c r="F4947" t="s">
        <v>63</v>
      </c>
      <c r="G4947">
        <v>0.8</v>
      </c>
      <c r="H4947" s="2">
        <v>19750</v>
      </c>
      <c r="I4947" s="2">
        <v>15800</v>
      </c>
    </row>
    <row r="4948" spans="1:9" x14ac:dyDescent="0.25">
      <c r="A4948" t="s">
        <v>2715</v>
      </c>
      <c r="B4948" t="s">
        <v>2716</v>
      </c>
      <c r="C4948" t="s">
        <v>63</v>
      </c>
      <c r="D4948" t="s">
        <v>4049</v>
      </c>
      <c r="E4948" t="s">
        <v>4241</v>
      </c>
      <c r="F4948" t="s">
        <v>4051</v>
      </c>
      <c r="G4948">
        <v>1</v>
      </c>
      <c r="H4948" s="2">
        <v>9941.22</v>
      </c>
      <c r="I4948" s="2">
        <v>9941.22</v>
      </c>
    </row>
    <row r="4949" spans="1:9" x14ac:dyDescent="0.25">
      <c r="A4949" t="s">
        <v>2715</v>
      </c>
      <c r="B4949" t="s">
        <v>2716</v>
      </c>
      <c r="C4949" t="s">
        <v>63</v>
      </c>
      <c r="D4949" t="s">
        <v>4049</v>
      </c>
      <c r="E4949" t="s">
        <v>4242</v>
      </c>
      <c r="F4949" t="s">
        <v>4051</v>
      </c>
      <c r="G4949">
        <v>0.5</v>
      </c>
      <c r="H4949" s="2">
        <v>17069.53</v>
      </c>
      <c r="I4949" s="2">
        <v>8534.76</v>
      </c>
    </row>
    <row r="4950" spans="1:9" x14ac:dyDescent="0.25">
      <c r="A4950" t="s">
        <v>2715</v>
      </c>
      <c r="B4950" t="s">
        <v>2716</v>
      </c>
      <c r="C4950" t="s">
        <v>63</v>
      </c>
      <c r="D4950" t="s">
        <v>4052</v>
      </c>
      <c r="E4950" t="s">
        <v>4053</v>
      </c>
      <c r="F4950" t="s">
        <v>4054</v>
      </c>
      <c r="G4950">
        <v>10</v>
      </c>
      <c r="H4950" s="2">
        <v>18475.98</v>
      </c>
      <c r="I4950" s="2">
        <v>1847.6</v>
      </c>
    </row>
    <row r="4951" spans="1:9" x14ac:dyDescent="0.25">
      <c r="A4951" t="s">
        <v>2718</v>
      </c>
      <c r="B4951" t="s">
        <v>2719</v>
      </c>
      <c r="C4951" t="s">
        <v>63</v>
      </c>
      <c r="D4951" t="s">
        <v>4062</v>
      </c>
      <c r="E4951" t="s">
        <v>6731</v>
      </c>
      <c r="F4951" t="s">
        <v>63</v>
      </c>
      <c r="G4951">
        <v>1</v>
      </c>
      <c r="H4951" s="2">
        <v>822875</v>
      </c>
      <c r="I4951" s="2">
        <v>822875</v>
      </c>
    </row>
    <row r="4952" spans="1:9" x14ac:dyDescent="0.25">
      <c r="A4952" t="s">
        <v>2718</v>
      </c>
      <c r="B4952" t="s">
        <v>2719</v>
      </c>
      <c r="C4952" t="s">
        <v>63</v>
      </c>
      <c r="D4952" t="s">
        <v>4062</v>
      </c>
      <c r="E4952" t="s">
        <v>6166</v>
      </c>
      <c r="F4952" t="s">
        <v>63</v>
      </c>
      <c r="G4952">
        <v>0.8</v>
      </c>
      <c r="H4952" s="2">
        <v>19750</v>
      </c>
      <c r="I4952" s="2">
        <v>15800</v>
      </c>
    </row>
    <row r="4953" spans="1:9" x14ac:dyDescent="0.25">
      <c r="A4953" t="s">
        <v>2718</v>
      </c>
      <c r="B4953" t="s">
        <v>2719</v>
      </c>
      <c r="C4953" t="s">
        <v>63</v>
      </c>
      <c r="D4953" t="s">
        <v>4049</v>
      </c>
      <c r="E4953" t="s">
        <v>4241</v>
      </c>
      <c r="F4953" t="s">
        <v>4051</v>
      </c>
      <c r="G4953">
        <v>1</v>
      </c>
      <c r="H4953" s="2">
        <v>9941.22</v>
      </c>
      <c r="I4953" s="2">
        <v>9941.22</v>
      </c>
    </row>
    <row r="4954" spans="1:9" x14ac:dyDescent="0.25">
      <c r="A4954" t="s">
        <v>2718</v>
      </c>
      <c r="B4954" t="s">
        <v>2719</v>
      </c>
      <c r="C4954" t="s">
        <v>63</v>
      </c>
      <c r="D4954" t="s">
        <v>4049</v>
      </c>
      <c r="E4954" t="s">
        <v>4242</v>
      </c>
      <c r="F4954" t="s">
        <v>4051</v>
      </c>
      <c r="G4954">
        <v>0.5</v>
      </c>
      <c r="H4954" s="2">
        <v>17069.53</v>
      </c>
      <c r="I4954" s="2">
        <v>8534.76</v>
      </c>
    </row>
    <row r="4955" spans="1:9" x14ac:dyDescent="0.25">
      <c r="A4955" t="s">
        <v>2718</v>
      </c>
      <c r="B4955" t="s">
        <v>2719</v>
      </c>
      <c r="C4955" t="s">
        <v>63</v>
      </c>
      <c r="D4955" t="s">
        <v>4052</v>
      </c>
      <c r="E4955" t="s">
        <v>4053</v>
      </c>
      <c r="F4955" t="s">
        <v>4054</v>
      </c>
      <c r="G4955">
        <v>10</v>
      </c>
      <c r="H4955" s="2">
        <v>18475.98</v>
      </c>
      <c r="I4955" s="2">
        <v>1847.6</v>
      </c>
    </row>
    <row r="4956" spans="1:9" x14ac:dyDescent="0.25">
      <c r="A4956" t="s">
        <v>2721</v>
      </c>
      <c r="B4956" t="s">
        <v>2722</v>
      </c>
      <c r="C4956" t="s">
        <v>63</v>
      </c>
      <c r="D4956" t="s">
        <v>4062</v>
      </c>
      <c r="E4956" t="s">
        <v>6734</v>
      </c>
      <c r="F4956" t="s">
        <v>63</v>
      </c>
      <c r="G4956">
        <v>1</v>
      </c>
      <c r="H4956" s="2">
        <v>1103527</v>
      </c>
      <c r="I4956" s="2">
        <v>1103527</v>
      </c>
    </row>
    <row r="4957" spans="1:9" x14ac:dyDescent="0.25">
      <c r="A4957" t="s">
        <v>2721</v>
      </c>
      <c r="B4957" t="s">
        <v>2722</v>
      </c>
      <c r="C4957" t="s">
        <v>63</v>
      </c>
      <c r="D4957" t="s">
        <v>4062</v>
      </c>
      <c r="E4957" t="s">
        <v>6166</v>
      </c>
      <c r="F4957" t="s">
        <v>63</v>
      </c>
      <c r="G4957">
        <v>0.8</v>
      </c>
      <c r="H4957" s="2">
        <v>19750</v>
      </c>
      <c r="I4957" s="2">
        <v>15800</v>
      </c>
    </row>
    <row r="4958" spans="1:9" x14ac:dyDescent="0.25">
      <c r="A4958" t="s">
        <v>2721</v>
      </c>
      <c r="B4958" t="s">
        <v>2722</v>
      </c>
      <c r="C4958" t="s">
        <v>63</v>
      </c>
      <c r="D4958" t="s">
        <v>4049</v>
      </c>
      <c r="E4958" t="s">
        <v>4241</v>
      </c>
      <c r="F4958" t="s">
        <v>4051</v>
      </c>
      <c r="G4958">
        <v>3</v>
      </c>
      <c r="H4958" s="2">
        <v>9941.22</v>
      </c>
      <c r="I4958" s="2">
        <v>29823.66</v>
      </c>
    </row>
    <row r="4959" spans="1:9" x14ac:dyDescent="0.25">
      <c r="A4959" t="s">
        <v>2721</v>
      </c>
      <c r="B4959" t="s">
        <v>2722</v>
      </c>
      <c r="C4959" t="s">
        <v>63</v>
      </c>
      <c r="D4959" t="s">
        <v>4049</v>
      </c>
      <c r="E4959" t="s">
        <v>4242</v>
      </c>
      <c r="F4959" t="s">
        <v>4051</v>
      </c>
      <c r="G4959">
        <v>1.5</v>
      </c>
      <c r="H4959" s="2">
        <v>17069.53</v>
      </c>
      <c r="I4959" s="2">
        <v>25604.29</v>
      </c>
    </row>
    <row r="4960" spans="1:9" x14ac:dyDescent="0.25">
      <c r="A4960" t="s">
        <v>2721</v>
      </c>
      <c r="B4960" t="s">
        <v>2722</v>
      </c>
      <c r="C4960" t="s">
        <v>63</v>
      </c>
      <c r="D4960" t="s">
        <v>4052</v>
      </c>
      <c r="E4960" t="s">
        <v>4053</v>
      </c>
      <c r="F4960" t="s">
        <v>4054</v>
      </c>
      <c r="G4960">
        <v>10</v>
      </c>
      <c r="H4960" s="2">
        <v>55427.95</v>
      </c>
      <c r="I4960" s="2">
        <v>5542.8</v>
      </c>
    </row>
    <row r="4961" spans="1:9" x14ac:dyDescent="0.25">
      <c r="A4961" t="s">
        <v>2724</v>
      </c>
      <c r="B4961" t="s">
        <v>2725</v>
      </c>
      <c r="C4961" t="s">
        <v>63</v>
      </c>
      <c r="D4961" t="s">
        <v>4062</v>
      </c>
      <c r="E4961" t="s">
        <v>6737</v>
      </c>
      <c r="F4961" t="s">
        <v>63</v>
      </c>
      <c r="G4961">
        <v>1</v>
      </c>
      <c r="H4961" s="2">
        <v>1275548</v>
      </c>
      <c r="I4961" s="2">
        <v>1275548</v>
      </c>
    </row>
    <row r="4962" spans="1:9" x14ac:dyDescent="0.25">
      <c r="A4962" t="s">
        <v>2724</v>
      </c>
      <c r="B4962" t="s">
        <v>2725</v>
      </c>
      <c r="C4962" t="s">
        <v>63</v>
      </c>
      <c r="D4962" t="s">
        <v>4062</v>
      </c>
      <c r="E4962" t="s">
        <v>6166</v>
      </c>
      <c r="F4962" t="s">
        <v>63</v>
      </c>
      <c r="G4962">
        <v>0.8</v>
      </c>
      <c r="H4962" s="2">
        <v>19750</v>
      </c>
      <c r="I4962" s="2">
        <v>15800</v>
      </c>
    </row>
    <row r="4963" spans="1:9" x14ac:dyDescent="0.25">
      <c r="A4963" t="s">
        <v>2724</v>
      </c>
      <c r="B4963" t="s">
        <v>2725</v>
      </c>
      <c r="C4963" t="s">
        <v>63</v>
      </c>
      <c r="D4963" t="s">
        <v>4049</v>
      </c>
      <c r="E4963" t="s">
        <v>4241</v>
      </c>
      <c r="F4963" t="s">
        <v>4051</v>
      </c>
      <c r="G4963">
        <v>3</v>
      </c>
      <c r="H4963" s="2">
        <v>9941.22</v>
      </c>
      <c r="I4963" s="2">
        <v>29823.66</v>
      </c>
    </row>
    <row r="4964" spans="1:9" x14ac:dyDescent="0.25">
      <c r="A4964" t="s">
        <v>2724</v>
      </c>
      <c r="B4964" t="s">
        <v>2725</v>
      </c>
      <c r="C4964" t="s">
        <v>63</v>
      </c>
      <c r="D4964" t="s">
        <v>4049</v>
      </c>
      <c r="E4964" t="s">
        <v>4242</v>
      </c>
      <c r="F4964" t="s">
        <v>4051</v>
      </c>
      <c r="G4964">
        <v>1.5</v>
      </c>
      <c r="H4964" s="2">
        <v>17069.53</v>
      </c>
      <c r="I4964" s="2">
        <v>25604.29</v>
      </c>
    </row>
    <row r="4965" spans="1:9" x14ac:dyDescent="0.25">
      <c r="A4965" t="s">
        <v>2724</v>
      </c>
      <c r="B4965" t="s">
        <v>2725</v>
      </c>
      <c r="C4965" t="s">
        <v>63</v>
      </c>
      <c r="D4965" t="s">
        <v>4052</v>
      </c>
      <c r="E4965" t="s">
        <v>4053</v>
      </c>
      <c r="F4965" t="s">
        <v>4054</v>
      </c>
      <c r="G4965">
        <v>10</v>
      </c>
      <c r="H4965" s="2">
        <v>55427.95</v>
      </c>
      <c r="I4965" s="2">
        <v>5542.8</v>
      </c>
    </row>
    <row r="4966" spans="1:9" x14ac:dyDescent="0.25">
      <c r="A4966" t="s">
        <v>2727</v>
      </c>
      <c r="B4966" t="s">
        <v>2728</v>
      </c>
      <c r="C4966" t="s">
        <v>63</v>
      </c>
      <c r="D4966" t="s">
        <v>4062</v>
      </c>
      <c r="E4966" t="s">
        <v>6740</v>
      </c>
      <c r="F4966" t="s">
        <v>63</v>
      </c>
      <c r="G4966">
        <v>1</v>
      </c>
      <c r="H4966" s="2">
        <v>1427561</v>
      </c>
      <c r="I4966" s="2">
        <v>1427561</v>
      </c>
    </row>
    <row r="4967" spans="1:9" x14ac:dyDescent="0.25">
      <c r="A4967" t="s">
        <v>2727</v>
      </c>
      <c r="B4967" t="s">
        <v>2728</v>
      </c>
      <c r="C4967" t="s">
        <v>63</v>
      </c>
      <c r="D4967" t="s">
        <v>4062</v>
      </c>
      <c r="E4967" t="s">
        <v>6166</v>
      </c>
      <c r="F4967" t="s">
        <v>63</v>
      </c>
      <c r="G4967">
        <v>0.8</v>
      </c>
      <c r="H4967" s="2">
        <v>19750</v>
      </c>
      <c r="I4967" s="2">
        <v>15800</v>
      </c>
    </row>
    <row r="4968" spans="1:9" x14ac:dyDescent="0.25">
      <c r="A4968" t="s">
        <v>2727</v>
      </c>
      <c r="B4968" t="s">
        <v>2728</v>
      </c>
      <c r="C4968" t="s">
        <v>63</v>
      </c>
      <c r="D4968" t="s">
        <v>4049</v>
      </c>
      <c r="E4968" t="s">
        <v>4241</v>
      </c>
      <c r="F4968" t="s">
        <v>4051</v>
      </c>
      <c r="G4968">
        <v>3</v>
      </c>
      <c r="H4968" s="2">
        <v>9941.22</v>
      </c>
      <c r="I4968" s="2">
        <v>29823.66</v>
      </c>
    </row>
    <row r="4969" spans="1:9" x14ac:dyDescent="0.25">
      <c r="A4969" t="s">
        <v>2727</v>
      </c>
      <c r="B4969" t="s">
        <v>2728</v>
      </c>
      <c r="C4969" t="s">
        <v>63</v>
      </c>
      <c r="D4969" t="s">
        <v>4049</v>
      </c>
      <c r="E4969" t="s">
        <v>4242</v>
      </c>
      <c r="F4969" t="s">
        <v>4051</v>
      </c>
      <c r="G4969">
        <v>1.5</v>
      </c>
      <c r="H4969" s="2">
        <v>17069.53</v>
      </c>
      <c r="I4969" s="2">
        <v>25604.29</v>
      </c>
    </row>
    <row r="4970" spans="1:9" x14ac:dyDescent="0.25">
      <c r="A4970" t="s">
        <v>2727</v>
      </c>
      <c r="B4970" t="s">
        <v>2728</v>
      </c>
      <c r="C4970" t="s">
        <v>63</v>
      </c>
      <c r="D4970" t="s">
        <v>4052</v>
      </c>
      <c r="E4970" t="s">
        <v>4053</v>
      </c>
      <c r="F4970" t="s">
        <v>4054</v>
      </c>
      <c r="G4970">
        <v>10</v>
      </c>
      <c r="H4970" s="2">
        <v>55427.95</v>
      </c>
      <c r="I4970" s="2">
        <v>5542.8</v>
      </c>
    </row>
    <row r="4971" spans="1:9" x14ac:dyDescent="0.25">
      <c r="A4971" t="s">
        <v>2730</v>
      </c>
      <c r="B4971" t="s">
        <v>2731</v>
      </c>
      <c r="C4971" t="s">
        <v>63</v>
      </c>
      <c r="D4971" t="s">
        <v>4062</v>
      </c>
      <c r="E4971" t="s">
        <v>6743</v>
      </c>
      <c r="F4971" t="s">
        <v>63</v>
      </c>
      <c r="G4971">
        <v>1</v>
      </c>
      <c r="H4971" s="2">
        <v>1612746</v>
      </c>
      <c r="I4971" s="2">
        <v>1612746</v>
      </c>
    </row>
    <row r="4972" spans="1:9" x14ac:dyDescent="0.25">
      <c r="A4972" t="s">
        <v>2730</v>
      </c>
      <c r="B4972" t="s">
        <v>2731</v>
      </c>
      <c r="C4972" t="s">
        <v>63</v>
      </c>
      <c r="D4972" t="s">
        <v>4062</v>
      </c>
      <c r="E4972" t="s">
        <v>6166</v>
      </c>
      <c r="F4972" t="s">
        <v>63</v>
      </c>
      <c r="G4972">
        <v>0.8</v>
      </c>
      <c r="H4972" s="2">
        <v>19750</v>
      </c>
      <c r="I4972" s="2">
        <v>15800</v>
      </c>
    </row>
    <row r="4973" spans="1:9" x14ac:dyDescent="0.25">
      <c r="A4973" t="s">
        <v>2730</v>
      </c>
      <c r="B4973" t="s">
        <v>2731</v>
      </c>
      <c r="C4973" t="s">
        <v>63</v>
      </c>
      <c r="D4973" t="s">
        <v>4049</v>
      </c>
      <c r="E4973" t="s">
        <v>4241</v>
      </c>
      <c r="F4973" t="s">
        <v>4051</v>
      </c>
      <c r="G4973">
        <v>3</v>
      </c>
      <c r="H4973" s="2">
        <v>9941.22</v>
      </c>
      <c r="I4973" s="2">
        <v>29823.66</v>
      </c>
    </row>
    <row r="4974" spans="1:9" x14ac:dyDescent="0.25">
      <c r="A4974" t="s">
        <v>2730</v>
      </c>
      <c r="B4974" t="s">
        <v>2731</v>
      </c>
      <c r="C4974" t="s">
        <v>63</v>
      </c>
      <c r="D4974" t="s">
        <v>4049</v>
      </c>
      <c r="E4974" t="s">
        <v>4242</v>
      </c>
      <c r="F4974" t="s">
        <v>4051</v>
      </c>
      <c r="G4974">
        <v>1.5</v>
      </c>
      <c r="H4974" s="2">
        <v>17069.53</v>
      </c>
      <c r="I4974" s="2">
        <v>25604.29</v>
      </c>
    </row>
    <row r="4975" spans="1:9" x14ac:dyDescent="0.25">
      <c r="A4975" t="s">
        <v>2730</v>
      </c>
      <c r="B4975" t="s">
        <v>2731</v>
      </c>
      <c r="C4975" t="s">
        <v>63</v>
      </c>
      <c r="D4975" t="s">
        <v>4052</v>
      </c>
      <c r="E4975" t="s">
        <v>4053</v>
      </c>
      <c r="F4975" t="s">
        <v>4054</v>
      </c>
      <c r="G4975">
        <v>10</v>
      </c>
      <c r="H4975" s="2">
        <v>55427.95</v>
      </c>
      <c r="I4975" s="2">
        <v>5542.8</v>
      </c>
    </row>
    <row r="4976" spans="1:9" x14ac:dyDescent="0.25">
      <c r="A4976" t="s">
        <v>2733</v>
      </c>
      <c r="B4976" t="s">
        <v>2734</v>
      </c>
      <c r="C4976" t="s">
        <v>63</v>
      </c>
      <c r="D4976" t="s">
        <v>4062</v>
      </c>
      <c r="E4976" t="s">
        <v>6746</v>
      </c>
      <c r="F4976" t="s">
        <v>63</v>
      </c>
      <c r="G4976">
        <v>1</v>
      </c>
      <c r="H4976" s="2">
        <v>1764783</v>
      </c>
      <c r="I4976" s="2">
        <v>1764783</v>
      </c>
    </row>
    <row r="4977" spans="1:9" x14ac:dyDescent="0.25">
      <c r="A4977" t="s">
        <v>2733</v>
      </c>
      <c r="B4977" t="s">
        <v>2734</v>
      </c>
      <c r="C4977" t="s">
        <v>63</v>
      </c>
      <c r="D4977" t="s">
        <v>4062</v>
      </c>
      <c r="E4977" t="s">
        <v>6166</v>
      </c>
      <c r="F4977" t="s">
        <v>63</v>
      </c>
      <c r="G4977">
        <v>0.8</v>
      </c>
      <c r="H4977" s="2">
        <v>19750</v>
      </c>
      <c r="I4977" s="2">
        <v>15800</v>
      </c>
    </row>
    <row r="4978" spans="1:9" x14ac:dyDescent="0.25">
      <c r="A4978" t="s">
        <v>2733</v>
      </c>
      <c r="B4978" t="s">
        <v>2734</v>
      </c>
      <c r="C4978" t="s">
        <v>63</v>
      </c>
      <c r="D4978" t="s">
        <v>4049</v>
      </c>
      <c r="E4978" t="s">
        <v>4241</v>
      </c>
      <c r="F4978" t="s">
        <v>4051</v>
      </c>
      <c r="G4978">
        <v>3</v>
      </c>
      <c r="H4978" s="2">
        <v>9941.22</v>
      </c>
      <c r="I4978" s="2">
        <v>29823.66</v>
      </c>
    </row>
    <row r="4979" spans="1:9" x14ac:dyDescent="0.25">
      <c r="A4979" t="s">
        <v>2733</v>
      </c>
      <c r="B4979" t="s">
        <v>2734</v>
      </c>
      <c r="C4979" t="s">
        <v>63</v>
      </c>
      <c r="D4979" t="s">
        <v>4049</v>
      </c>
      <c r="E4979" t="s">
        <v>4242</v>
      </c>
      <c r="F4979" t="s">
        <v>4051</v>
      </c>
      <c r="G4979">
        <v>1.5</v>
      </c>
      <c r="H4979" s="2">
        <v>17069.53</v>
      </c>
      <c r="I4979" s="2">
        <v>25604.29</v>
      </c>
    </row>
    <row r="4980" spans="1:9" x14ac:dyDescent="0.25">
      <c r="A4980" t="s">
        <v>2733</v>
      </c>
      <c r="B4980" t="s">
        <v>2734</v>
      </c>
      <c r="C4980" t="s">
        <v>63</v>
      </c>
      <c r="D4980" t="s">
        <v>4052</v>
      </c>
      <c r="E4980" t="s">
        <v>4053</v>
      </c>
      <c r="F4980" t="s">
        <v>4054</v>
      </c>
      <c r="G4980">
        <v>10</v>
      </c>
      <c r="H4980" s="2">
        <v>55427.95</v>
      </c>
      <c r="I4980" s="2">
        <v>5542.8</v>
      </c>
    </row>
    <row r="4981" spans="1:9" x14ac:dyDescent="0.25">
      <c r="A4981" t="s">
        <v>2736</v>
      </c>
      <c r="B4981" t="s">
        <v>2737</v>
      </c>
      <c r="C4981" t="s">
        <v>63</v>
      </c>
      <c r="D4981" t="s">
        <v>4062</v>
      </c>
      <c r="E4981" t="s">
        <v>6749</v>
      </c>
      <c r="F4981" t="s">
        <v>63</v>
      </c>
      <c r="G4981">
        <v>1</v>
      </c>
      <c r="H4981" s="2">
        <v>2059274</v>
      </c>
      <c r="I4981" s="2">
        <v>2059274</v>
      </c>
    </row>
    <row r="4982" spans="1:9" x14ac:dyDescent="0.25">
      <c r="A4982" t="s">
        <v>2736</v>
      </c>
      <c r="B4982" t="s">
        <v>2737</v>
      </c>
      <c r="C4982" t="s">
        <v>63</v>
      </c>
      <c r="D4982" t="s">
        <v>4062</v>
      </c>
      <c r="E4982" t="s">
        <v>6166</v>
      </c>
      <c r="F4982" t="s">
        <v>63</v>
      </c>
      <c r="G4982">
        <v>0.8</v>
      </c>
      <c r="H4982" s="2">
        <v>19750</v>
      </c>
      <c r="I4982" s="2">
        <v>15800</v>
      </c>
    </row>
    <row r="4983" spans="1:9" x14ac:dyDescent="0.25">
      <c r="A4983" t="s">
        <v>2736</v>
      </c>
      <c r="B4983" t="s">
        <v>2737</v>
      </c>
      <c r="C4983" t="s">
        <v>63</v>
      </c>
      <c r="D4983" t="s">
        <v>4049</v>
      </c>
      <c r="E4983" t="s">
        <v>4241</v>
      </c>
      <c r="F4983" t="s">
        <v>4051</v>
      </c>
      <c r="G4983">
        <v>3</v>
      </c>
      <c r="H4983" s="2">
        <v>9941.22</v>
      </c>
      <c r="I4983" s="2">
        <v>29823.66</v>
      </c>
    </row>
    <row r="4984" spans="1:9" x14ac:dyDescent="0.25">
      <c r="A4984" t="s">
        <v>2736</v>
      </c>
      <c r="B4984" t="s">
        <v>2737</v>
      </c>
      <c r="C4984" t="s">
        <v>63</v>
      </c>
      <c r="D4984" t="s">
        <v>4049</v>
      </c>
      <c r="E4984" t="s">
        <v>4242</v>
      </c>
      <c r="F4984" t="s">
        <v>4051</v>
      </c>
      <c r="G4984">
        <v>1.5</v>
      </c>
      <c r="H4984" s="2">
        <v>17069.53</v>
      </c>
      <c r="I4984" s="2">
        <v>25604.29</v>
      </c>
    </row>
    <row r="4985" spans="1:9" x14ac:dyDescent="0.25">
      <c r="A4985" t="s">
        <v>2736</v>
      </c>
      <c r="B4985" t="s">
        <v>2737</v>
      </c>
      <c r="C4985" t="s">
        <v>63</v>
      </c>
      <c r="D4985" t="s">
        <v>4052</v>
      </c>
      <c r="E4985" t="s">
        <v>4053</v>
      </c>
      <c r="F4985" t="s">
        <v>4054</v>
      </c>
      <c r="G4985">
        <v>10</v>
      </c>
      <c r="H4985" s="2">
        <v>55427.95</v>
      </c>
      <c r="I4985" s="2">
        <v>5542.8</v>
      </c>
    </row>
    <row r="4986" spans="1:9" x14ac:dyDescent="0.25">
      <c r="A4986" t="s">
        <v>2739</v>
      </c>
      <c r="B4986" t="s">
        <v>2740</v>
      </c>
      <c r="C4986" t="s">
        <v>63</v>
      </c>
      <c r="D4986" t="s">
        <v>4062</v>
      </c>
      <c r="E4986" t="s">
        <v>6752</v>
      </c>
      <c r="F4986" t="s">
        <v>63</v>
      </c>
      <c r="G4986">
        <v>1</v>
      </c>
      <c r="H4986" s="2">
        <v>2439609</v>
      </c>
      <c r="I4986" s="2">
        <v>2439609</v>
      </c>
    </row>
    <row r="4987" spans="1:9" x14ac:dyDescent="0.25">
      <c r="A4987" t="s">
        <v>2739</v>
      </c>
      <c r="B4987" t="s">
        <v>2740</v>
      </c>
      <c r="C4987" t="s">
        <v>63</v>
      </c>
      <c r="D4987" t="s">
        <v>4062</v>
      </c>
      <c r="E4987" t="s">
        <v>6166</v>
      </c>
      <c r="F4987" t="s">
        <v>63</v>
      </c>
      <c r="G4987">
        <v>0.8</v>
      </c>
      <c r="H4987" s="2">
        <v>19750</v>
      </c>
      <c r="I4987" s="2">
        <v>15800</v>
      </c>
    </row>
    <row r="4988" spans="1:9" x14ac:dyDescent="0.25">
      <c r="A4988" t="s">
        <v>2739</v>
      </c>
      <c r="B4988" t="s">
        <v>2740</v>
      </c>
      <c r="C4988" t="s">
        <v>63</v>
      </c>
      <c r="D4988" t="s">
        <v>4049</v>
      </c>
      <c r="E4988" t="s">
        <v>4241</v>
      </c>
      <c r="F4988" t="s">
        <v>4051</v>
      </c>
      <c r="G4988">
        <v>3</v>
      </c>
      <c r="H4988" s="2">
        <v>9941.22</v>
      </c>
      <c r="I4988" s="2">
        <v>29823.66</v>
      </c>
    </row>
    <row r="4989" spans="1:9" x14ac:dyDescent="0.25">
      <c r="A4989" t="s">
        <v>2739</v>
      </c>
      <c r="B4989" t="s">
        <v>2740</v>
      </c>
      <c r="C4989" t="s">
        <v>63</v>
      </c>
      <c r="D4989" t="s">
        <v>4049</v>
      </c>
      <c r="E4989" t="s">
        <v>4242</v>
      </c>
      <c r="F4989" t="s">
        <v>4051</v>
      </c>
      <c r="G4989">
        <v>1.5</v>
      </c>
      <c r="H4989" s="2">
        <v>17069.53</v>
      </c>
      <c r="I4989" s="2">
        <v>25604.29</v>
      </c>
    </row>
    <row r="4990" spans="1:9" x14ac:dyDescent="0.25">
      <c r="A4990" t="s">
        <v>2739</v>
      </c>
      <c r="B4990" t="s">
        <v>2740</v>
      </c>
      <c r="C4990" t="s">
        <v>63</v>
      </c>
      <c r="D4990" t="s">
        <v>4052</v>
      </c>
      <c r="E4990" t="s">
        <v>4053</v>
      </c>
      <c r="F4990" t="s">
        <v>4054</v>
      </c>
      <c r="G4990">
        <v>10</v>
      </c>
      <c r="H4990" s="2">
        <v>55427.95</v>
      </c>
      <c r="I4990" s="2">
        <v>5542.8</v>
      </c>
    </row>
    <row r="4991" spans="1:9" x14ac:dyDescent="0.25">
      <c r="A4991" t="s">
        <v>2742</v>
      </c>
      <c r="B4991" t="s">
        <v>2743</v>
      </c>
      <c r="C4991" t="s">
        <v>63</v>
      </c>
      <c r="D4991" t="s">
        <v>4062</v>
      </c>
      <c r="E4991" t="s">
        <v>6755</v>
      </c>
      <c r="F4991" t="s">
        <v>63</v>
      </c>
      <c r="G4991">
        <v>1</v>
      </c>
      <c r="H4991" s="2">
        <v>2591642</v>
      </c>
      <c r="I4991" s="2">
        <v>2591642</v>
      </c>
    </row>
    <row r="4992" spans="1:9" x14ac:dyDescent="0.25">
      <c r="A4992" t="s">
        <v>2742</v>
      </c>
      <c r="B4992" t="s">
        <v>2743</v>
      </c>
      <c r="C4992" t="s">
        <v>63</v>
      </c>
      <c r="D4992" t="s">
        <v>4062</v>
      </c>
      <c r="E4992" t="s">
        <v>6166</v>
      </c>
      <c r="F4992" t="s">
        <v>63</v>
      </c>
      <c r="G4992">
        <v>0.8</v>
      </c>
      <c r="H4992" s="2">
        <v>19750</v>
      </c>
      <c r="I4992" s="2">
        <v>15800</v>
      </c>
    </row>
    <row r="4993" spans="1:9" x14ac:dyDescent="0.25">
      <c r="A4993" t="s">
        <v>2742</v>
      </c>
      <c r="B4993" t="s">
        <v>2743</v>
      </c>
      <c r="C4993" t="s">
        <v>63</v>
      </c>
      <c r="D4993" t="s">
        <v>4049</v>
      </c>
      <c r="E4993" t="s">
        <v>4241</v>
      </c>
      <c r="F4993" t="s">
        <v>4051</v>
      </c>
      <c r="G4993">
        <v>3</v>
      </c>
      <c r="H4993" s="2">
        <v>9941.22</v>
      </c>
      <c r="I4993" s="2">
        <v>29823.66</v>
      </c>
    </row>
    <row r="4994" spans="1:9" x14ac:dyDescent="0.25">
      <c r="A4994" t="s">
        <v>2742</v>
      </c>
      <c r="B4994" t="s">
        <v>2743</v>
      </c>
      <c r="C4994" t="s">
        <v>63</v>
      </c>
      <c r="D4994" t="s">
        <v>4049</v>
      </c>
      <c r="E4994" t="s">
        <v>4242</v>
      </c>
      <c r="F4994" t="s">
        <v>4051</v>
      </c>
      <c r="G4994">
        <v>1.5</v>
      </c>
      <c r="H4994" s="2">
        <v>17069.53</v>
      </c>
      <c r="I4994" s="2">
        <v>25604.29</v>
      </c>
    </row>
    <row r="4995" spans="1:9" x14ac:dyDescent="0.25">
      <c r="A4995" t="s">
        <v>2742</v>
      </c>
      <c r="B4995" t="s">
        <v>2743</v>
      </c>
      <c r="C4995" t="s">
        <v>63</v>
      </c>
      <c r="D4995" t="s">
        <v>4052</v>
      </c>
      <c r="E4995" t="s">
        <v>4053</v>
      </c>
      <c r="F4995" t="s">
        <v>4054</v>
      </c>
      <c r="G4995">
        <v>10</v>
      </c>
      <c r="H4995" s="2">
        <v>55427.95</v>
      </c>
      <c r="I4995" s="2">
        <v>5542.8</v>
      </c>
    </row>
    <row r="4996" spans="1:9" x14ac:dyDescent="0.25">
      <c r="A4996" t="s">
        <v>2745</v>
      </c>
      <c r="B4996" t="s">
        <v>2746</v>
      </c>
      <c r="C4996" t="s">
        <v>63</v>
      </c>
      <c r="D4996" t="s">
        <v>4062</v>
      </c>
      <c r="E4996" t="s">
        <v>6758</v>
      </c>
      <c r="F4996" t="s">
        <v>63</v>
      </c>
      <c r="G4996">
        <v>1</v>
      </c>
      <c r="H4996" s="2">
        <v>2943370</v>
      </c>
      <c r="I4996" s="2">
        <v>2943370</v>
      </c>
    </row>
    <row r="4997" spans="1:9" x14ac:dyDescent="0.25">
      <c r="A4997" t="s">
        <v>2745</v>
      </c>
      <c r="B4997" t="s">
        <v>2746</v>
      </c>
      <c r="C4997" t="s">
        <v>63</v>
      </c>
      <c r="D4997" t="s">
        <v>4062</v>
      </c>
      <c r="E4997" t="s">
        <v>6166</v>
      </c>
      <c r="F4997" t="s">
        <v>63</v>
      </c>
      <c r="G4997">
        <v>0.8</v>
      </c>
      <c r="H4997" s="2">
        <v>19750</v>
      </c>
      <c r="I4997" s="2">
        <v>15800</v>
      </c>
    </row>
    <row r="4998" spans="1:9" x14ac:dyDescent="0.25">
      <c r="A4998" t="s">
        <v>2745</v>
      </c>
      <c r="B4998" t="s">
        <v>2746</v>
      </c>
      <c r="C4998" t="s">
        <v>63</v>
      </c>
      <c r="D4998" t="s">
        <v>4049</v>
      </c>
      <c r="E4998" t="s">
        <v>4241</v>
      </c>
      <c r="F4998" t="s">
        <v>4051</v>
      </c>
      <c r="G4998">
        <v>3</v>
      </c>
      <c r="H4998" s="2">
        <v>9941.22</v>
      </c>
      <c r="I4998" s="2">
        <v>29823.66</v>
      </c>
    </row>
    <row r="4999" spans="1:9" x14ac:dyDescent="0.25">
      <c r="A4999" t="s">
        <v>2745</v>
      </c>
      <c r="B4999" t="s">
        <v>2746</v>
      </c>
      <c r="C4999" t="s">
        <v>63</v>
      </c>
      <c r="D4999" t="s">
        <v>4049</v>
      </c>
      <c r="E4999" t="s">
        <v>4242</v>
      </c>
      <c r="F4999" t="s">
        <v>4051</v>
      </c>
      <c r="G4999">
        <v>1.5</v>
      </c>
      <c r="H4999" s="2">
        <v>17069.53</v>
      </c>
      <c r="I4999" s="2">
        <v>25604.29</v>
      </c>
    </row>
    <row r="5000" spans="1:9" x14ac:dyDescent="0.25">
      <c r="A5000" t="s">
        <v>2745</v>
      </c>
      <c r="B5000" t="s">
        <v>2746</v>
      </c>
      <c r="C5000" t="s">
        <v>63</v>
      </c>
      <c r="D5000" t="s">
        <v>4052</v>
      </c>
      <c r="E5000" t="s">
        <v>4053</v>
      </c>
      <c r="F5000" t="s">
        <v>4054</v>
      </c>
      <c r="G5000">
        <v>10</v>
      </c>
      <c r="H5000" s="2">
        <v>55427.95</v>
      </c>
      <c r="I5000" s="2">
        <v>5542.8</v>
      </c>
    </row>
    <row r="5001" spans="1:9" x14ac:dyDescent="0.25">
      <c r="A5001" t="s">
        <v>2748</v>
      </c>
      <c r="B5001" t="s">
        <v>2749</v>
      </c>
      <c r="C5001" t="s">
        <v>63</v>
      </c>
      <c r="D5001" t="s">
        <v>4062</v>
      </c>
      <c r="E5001" t="s">
        <v>6761</v>
      </c>
      <c r="F5001" t="s">
        <v>63</v>
      </c>
      <c r="G5001">
        <v>1</v>
      </c>
      <c r="H5001" s="2">
        <v>3095391</v>
      </c>
      <c r="I5001" s="2">
        <v>3095391</v>
      </c>
    </row>
    <row r="5002" spans="1:9" x14ac:dyDescent="0.25">
      <c r="A5002" t="s">
        <v>2748</v>
      </c>
      <c r="B5002" t="s">
        <v>2749</v>
      </c>
      <c r="C5002" t="s">
        <v>63</v>
      </c>
      <c r="D5002" t="s">
        <v>4062</v>
      </c>
      <c r="E5002" t="s">
        <v>6166</v>
      </c>
      <c r="F5002" t="s">
        <v>63</v>
      </c>
      <c r="G5002">
        <v>0.8</v>
      </c>
      <c r="H5002" s="2">
        <v>19750</v>
      </c>
      <c r="I5002" s="2">
        <v>15800</v>
      </c>
    </row>
    <row r="5003" spans="1:9" x14ac:dyDescent="0.25">
      <c r="A5003" t="s">
        <v>2748</v>
      </c>
      <c r="B5003" t="s">
        <v>2749</v>
      </c>
      <c r="C5003" t="s">
        <v>63</v>
      </c>
      <c r="D5003" t="s">
        <v>4049</v>
      </c>
      <c r="E5003" t="s">
        <v>4241</v>
      </c>
      <c r="F5003" t="s">
        <v>4051</v>
      </c>
      <c r="G5003">
        <v>3</v>
      </c>
      <c r="H5003" s="2">
        <v>9941.22</v>
      </c>
      <c r="I5003" s="2">
        <v>29823.66</v>
      </c>
    </row>
    <row r="5004" spans="1:9" x14ac:dyDescent="0.25">
      <c r="A5004" t="s">
        <v>2748</v>
      </c>
      <c r="B5004" t="s">
        <v>2749</v>
      </c>
      <c r="C5004" t="s">
        <v>63</v>
      </c>
      <c r="D5004" t="s">
        <v>4049</v>
      </c>
      <c r="E5004" t="s">
        <v>4242</v>
      </c>
      <c r="F5004" t="s">
        <v>4051</v>
      </c>
      <c r="G5004">
        <v>1.5</v>
      </c>
      <c r="H5004" s="2">
        <v>17069.53</v>
      </c>
      <c r="I5004" s="2">
        <v>25604.29</v>
      </c>
    </row>
    <row r="5005" spans="1:9" x14ac:dyDescent="0.25">
      <c r="A5005" t="s">
        <v>2748</v>
      </c>
      <c r="B5005" t="s">
        <v>2749</v>
      </c>
      <c r="C5005" t="s">
        <v>63</v>
      </c>
      <c r="D5005" t="s">
        <v>4052</v>
      </c>
      <c r="E5005" t="s">
        <v>4053</v>
      </c>
      <c r="F5005" t="s">
        <v>4054</v>
      </c>
      <c r="G5005">
        <v>10</v>
      </c>
      <c r="H5005" s="2">
        <v>55427.95</v>
      </c>
      <c r="I5005" s="2">
        <v>5542.8</v>
      </c>
    </row>
    <row r="5006" spans="1:9" x14ac:dyDescent="0.25">
      <c r="A5006" t="s">
        <v>2751</v>
      </c>
      <c r="B5006" t="s">
        <v>2752</v>
      </c>
      <c r="C5006" t="s">
        <v>63</v>
      </c>
      <c r="D5006" t="s">
        <v>4062</v>
      </c>
      <c r="E5006" t="s">
        <v>6764</v>
      </c>
      <c r="F5006" t="s">
        <v>63</v>
      </c>
      <c r="G5006">
        <v>1</v>
      </c>
      <c r="H5006" s="2">
        <v>689524</v>
      </c>
      <c r="I5006" s="2">
        <v>689524</v>
      </c>
    </row>
    <row r="5007" spans="1:9" x14ac:dyDescent="0.25">
      <c r="A5007" t="s">
        <v>2751</v>
      </c>
      <c r="B5007" t="s">
        <v>2752</v>
      </c>
      <c r="C5007" t="s">
        <v>63</v>
      </c>
      <c r="D5007" t="s">
        <v>4062</v>
      </c>
      <c r="E5007" t="s">
        <v>6166</v>
      </c>
      <c r="F5007" t="s">
        <v>63</v>
      </c>
      <c r="G5007">
        <v>0.8</v>
      </c>
      <c r="H5007" s="2">
        <v>19750</v>
      </c>
      <c r="I5007" s="2">
        <v>15800</v>
      </c>
    </row>
    <row r="5008" spans="1:9" x14ac:dyDescent="0.25">
      <c r="A5008" t="s">
        <v>2751</v>
      </c>
      <c r="B5008" t="s">
        <v>2752</v>
      </c>
      <c r="C5008" t="s">
        <v>63</v>
      </c>
      <c r="D5008" t="s">
        <v>4049</v>
      </c>
      <c r="E5008" t="s">
        <v>4241</v>
      </c>
      <c r="F5008" t="s">
        <v>4051</v>
      </c>
      <c r="G5008">
        <v>3</v>
      </c>
      <c r="H5008" s="2">
        <v>9941.22</v>
      </c>
      <c r="I5008" s="2">
        <v>29823.66</v>
      </c>
    </row>
    <row r="5009" spans="1:9" x14ac:dyDescent="0.25">
      <c r="A5009" t="s">
        <v>2751</v>
      </c>
      <c r="B5009" t="s">
        <v>2752</v>
      </c>
      <c r="C5009" t="s">
        <v>63</v>
      </c>
      <c r="D5009" t="s">
        <v>4049</v>
      </c>
      <c r="E5009" t="s">
        <v>4242</v>
      </c>
      <c r="F5009" t="s">
        <v>4051</v>
      </c>
      <c r="G5009">
        <v>1.5</v>
      </c>
      <c r="H5009" s="2">
        <v>17069.53</v>
      </c>
      <c r="I5009" s="2">
        <v>25604.29</v>
      </c>
    </row>
    <row r="5010" spans="1:9" x14ac:dyDescent="0.25">
      <c r="A5010" t="s">
        <v>2751</v>
      </c>
      <c r="B5010" t="s">
        <v>2752</v>
      </c>
      <c r="C5010" t="s">
        <v>63</v>
      </c>
      <c r="D5010" t="s">
        <v>4052</v>
      </c>
      <c r="E5010" t="s">
        <v>4053</v>
      </c>
      <c r="F5010" t="s">
        <v>4054</v>
      </c>
      <c r="G5010">
        <v>10</v>
      </c>
      <c r="H5010" s="2">
        <v>55427.95</v>
      </c>
      <c r="I5010" s="2">
        <v>5542.8</v>
      </c>
    </row>
    <row r="5011" spans="1:9" x14ac:dyDescent="0.25">
      <c r="A5011" t="s">
        <v>2754</v>
      </c>
      <c r="B5011" t="s">
        <v>2755</v>
      </c>
      <c r="C5011" t="s">
        <v>63</v>
      </c>
      <c r="D5011" t="s">
        <v>4062</v>
      </c>
      <c r="E5011" t="s">
        <v>6767</v>
      </c>
      <c r="F5011" t="s">
        <v>63</v>
      </c>
      <c r="G5011">
        <v>1</v>
      </c>
      <c r="H5011" s="2">
        <v>928716</v>
      </c>
      <c r="I5011" s="2">
        <v>928716</v>
      </c>
    </row>
    <row r="5012" spans="1:9" x14ac:dyDescent="0.25">
      <c r="A5012" t="s">
        <v>2754</v>
      </c>
      <c r="B5012" t="s">
        <v>2755</v>
      </c>
      <c r="C5012" t="s">
        <v>63</v>
      </c>
      <c r="D5012" t="s">
        <v>4062</v>
      </c>
      <c r="E5012" t="s">
        <v>6166</v>
      </c>
      <c r="F5012" t="s">
        <v>63</v>
      </c>
      <c r="G5012">
        <v>0.8</v>
      </c>
      <c r="H5012" s="2">
        <v>19750</v>
      </c>
      <c r="I5012" s="2">
        <v>15800</v>
      </c>
    </row>
    <row r="5013" spans="1:9" x14ac:dyDescent="0.25">
      <c r="A5013" t="s">
        <v>2754</v>
      </c>
      <c r="B5013" t="s">
        <v>2755</v>
      </c>
      <c r="C5013" t="s">
        <v>63</v>
      </c>
      <c r="D5013" t="s">
        <v>4049</v>
      </c>
      <c r="E5013" t="s">
        <v>4241</v>
      </c>
      <c r="F5013" t="s">
        <v>4051</v>
      </c>
      <c r="G5013">
        <v>3</v>
      </c>
      <c r="H5013" s="2">
        <v>9941.22</v>
      </c>
      <c r="I5013" s="2">
        <v>29823.66</v>
      </c>
    </row>
    <row r="5014" spans="1:9" x14ac:dyDescent="0.25">
      <c r="A5014" t="s">
        <v>2754</v>
      </c>
      <c r="B5014" t="s">
        <v>2755</v>
      </c>
      <c r="C5014" t="s">
        <v>63</v>
      </c>
      <c r="D5014" t="s">
        <v>4049</v>
      </c>
      <c r="E5014" t="s">
        <v>4242</v>
      </c>
      <c r="F5014" t="s">
        <v>4051</v>
      </c>
      <c r="G5014">
        <v>1.5</v>
      </c>
      <c r="H5014" s="2">
        <v>17069.53</v>
      </c>
      <c r="I5014" s="2">
        <v>25604.29</v>
      </c>
    </row>
    <row r="5015" spans="1:9" x14ac:dyDescent="0.25">
      <c r="A5015" t="s">
        <v>2754</v>
      </c>
      <c r="B5015" t="s">
        <v>2755</v>
      </c>
      <c r="C5015" t="s">
        <v>63</v>
      </c>
      <c r="D5015" t="s">
        <v>4052</v>
      </c>
      <c r="E5015" t="s">
        <v>4053</v>
      </c>
      <c r="F5015" t="s">
        <v>4054</v>
      </c>
      <c r="G5015">
        <v>10</v>
      </c>
      <c r="H5015" s="2">
        <v>55427.95</v>
      </c>
      <c r="I5015" s="2">
        <v>5542.8</v>
      </c>
    </row>
    <row r="5016" spans="1:9" x14ac:dyDescent="0.25">
      <c r="A5016" t="s">
        <v>2757</v>
      </c>
      <c r="B5016" t="s">
        <v>2758</v>
      </c>
      <c r="C5016" t="s">
        <v>63</v>
      </c>
      <c r="D5016" t="s">
        <v>4062</v>
      </c>
      <c r="E5016" t="s">
        <v>6770</v>
      </c>
      <c r="F5016" t="s">
        <v>63</v>
      </c>
      <c r="G5016">
        <v>1</v>
      </c>
      <c r="H5016" s="2">
        <v>16161</v>
      </c>
      <c r="I5016" s="2">
        <v>16161</v>
      </c>
    </row>
    <row r="5017" spans="1:9" x14ac:dyDescent="0.25">
      <c r="A5017" t="s">
        <v>2757</v>
      </c>
      <c r="B5017" t="s">
        <v>2758</v>
      </c>
      <c r="C5017" t="s">
        <v>63</v>
      </c>
      <c r="D5017" t="s">
        <v>4062</v>
      </c>
      <c r="E5017" t="s">
        <v>4659</v>
      </c>
      <c r="F5017" t="s">
        <v>4377</v>
      </c>
      <c r="G5017">
        <v>0.03</v>
      </c>
      <c r="H5017" s="2">
        <v>31500</v>
      </c>
      <c r="I5017" s="2">
        <v>787.5</v>
      </c>
    </row>
    <row r="5018" spans="1:9" x14ac:dyDescent="0.25">
      <c r="A5018" t="s">
        <v>2757</v>
      </c>
      <c r="B5018" t="s">
        <v>2758</v>
      </c>
      <c r="C5018" t="s">
        <v>63</v>
      </c>
      <c r="D5018" t="s">
        <v>4062</v>
      </c>
      <c r="E5018" t="s">
        <v>4376</v>
      </c>
      <c r="F5018" t="s">
        <v>4377</v>
      </c>
      <c r="G5018">
        <v>0.03</v>
      </c>
      <c r="H5018" s="2">
        <v>72237.67</v>
      </c>
      <c r="I5018" s="2">
        <v>1805.94</v>
      </c>
    </row>
    <row r="5019" spans="1:9" x14ac:dyDescent="0.25">
      <c r="A5019" t="s">
        <v>2757</v>
      </c>
      <c r="B5019" t="s">
        <v>2758</v>
      </c>
      <c r="C5019" t="s">
        <v>63</v>
      </c>
      <c r="D5019" t="s">
        <v>4049</v>
      </c>
      <c r="E5019" t="s">
        <v>4241</v>
      </c>
      <c r="F5019" t="s">
        <v>4051</v>
      </c>
      <c r="G5019">
        <v>0.15</v>
      </c>
      <c r="H5019" s="2">
        <v>9941.22</v>
      </c>
      <c r="I5019" s="2">
        <v>1491.18</v>
      </c>
    </row>
    <row r="5020" spans="1:9" x14ac:dyDescent="0.25">
      <c r="A5020" t="s">
        <v>2757</v>
      </c>
      <c r="B5020" t="s">
        <v>2758</v>
      </c>
      <c r="C5020" t="s">
        <v>63</v>
      </c>
      <c r="D5020" t="s">
        <v>4049</v>
      </c>
      <c r="E5020" t="s">
        <v>4242</v>
      </c>
      <c r="F5020" t="s">
        <v>4051</v>
      </c>
      <c r="G5020">
        <v>0.15</v>
      </c>
      <c r="H5020" s="2">
        <v>17069.53</v>
      </c>
      <c r="I5020" s="2">
        <v>2560.43</v>
      </c>
    </row>
    <row r="5021" spans="1:9" x14ac:dyDescent="0.25">
      <c r="A5021" t="s">
        <v>2757</v>
      </c>
      <c r="B5021" t="s">
        <v>2758</v>
      </c>
      <c r="C5021" t="s">
        <v>63</v>
      </c>
      <c r="D5021" t="s">
        <v>4052</v>
      </c>
      <c r="E5021" t="s">
        <v>4053</v>
      </c>
      <c r="F5021" t="s">
        <v>4054</v>
      </c>
      <c r="G5021">
        <v>7</v>
      </c>
      <c r="H5021" s="2">
        <v>4051.61</v>
      </c>
      <c r="I5021" s="2">
        <v>283.61</v>
      </c>
    </row>
    <row r="5022" spans="1:9" x14ac:dyDescent="0.25">
      <c r="A5022" t="s">
        <v>2760</v>
      </c>
      <c r="B5022" t="s">
        <v>2761</v>
      </c>
      <c r="C5022" t="s">
        <v>63</v>
      </c>
      <c r="D5022" t="s">
        <v>4062</v>
      </c>
      <c r="E5022" t="s">
        <v>6773</v>
      </c>
      <c r="F5022" t="s">
        <v>63</v>
      </c>
      <c r="G5022">
        <v>1</v>
      </c>
      <c r="H5022" s="2">
        <v>887</v>
      </c>
      <c r="I5022" s="2">
        <v>887</v>
      </c>
    </row>
    <row r="5023" spans="1:9" x14ac:dyDescent="0.25">
      <c r="A5023" t="s">
        <v>2760</v>
      </c>
      <c r="B5023" t="s">
        <v>2761</v>
      </c>
      <c r="C5023" t="s">
        <v>63</v>
      </c>
      <c r="D5023" t="s">
        <v>4062</v>
      </c>
      <c r="E5023" t="s">
        <v>6774</v>
      </c>
      <c r="F5023" t="s">
        <v>63</v>
      </c>
      <c r="G5023">
        <v>1</v>
      </c>
      <c r="H5023" s="2">
        <v>371528.14</v>
      </c>
      <c r="I5023" s="2">
        <v>371528.14</v>
      </c>
    </row>
    <row r="5024" spans="1:9" x14ac:dyDescent="0.25">
      <c r="A5024" t="s">
        <v>2760</v>
      </c>
      <c r="B5024" t="s">
        <v>2761</v>
      </c>
      <c r="C5024" t="s">
        <v>63</v>
      </c>
      <c r="D5024" t="s">
        <v>4049</v>
      </c>
      <c r="E5024" t="s">
        <v>4241</v>
      </c>
      <c r="F5024" t="s">
        <v>4051</v>
      </c>
      <c r="G5024">
        <v>0.6</v>
      </c>
      <c r="H5024" s="2">
        <v>9941.22</v>
      </c>
      <c r="I5024" s="2">
        <v>5964.73</v>
      </c>
    </row>
    <row r="5025" spans="1:9" x14ac:dyDescent="0.25">
      <c r="A5025" t="s">
        <v>2760</v>
      </c>
      <c r="B5025" t="s">
        <v>2761</v>
      </c>
      <c r="C5025" t="s">
        <v>63</v>
      </c>
      <c r="D5025" t="s">
        <v>4049</v>
      </c>
      <c r="E5025" t="s">
        <v>4242</v>
      </c>
      <c r="F5025" t="s">
        <v>4051</v>
      </c>
      <c r="G5025">
        <v>0.6</v>
      </c>
      <c r="H5025" s="2">
        <v>17069.53</v>
      </c>
      <c r="I5025" s="2">
        <v>10241.72</v>
      </c>
    </row>
    <row r="5026" spans="1:9" x14ac:dyDescent="0.25">
      <c r="A5026" t="s">
        <v>2760</v>
      </c>
      <c r="B5026" t="s">
        <v>2761</v>
      </c>
      <c r="C5026" t="s">
        <v>63</v>
      </c>
      <c r="D5026" t="s">
        <v>4052</v>
      </c>
      <c r="E5026" t="s">
        <v>5729</v>
      </c>
      <c r="F5026" t="s">
        <v>287</v>
      </c>
      <c r="G5026">
        <v>0.6</v>
      </c>
      <c r="H5026" s="2">
        <v>3510.83</v>
      </c>
      <c r="I5026" s="2">
        <v>2106.5</v>
      </c>
    </row>
    <row r="5027" spans="1:9" x14ac:dyDescent="0.25">
      <c r="A5027" t="s">
        <v>2760</v>
      </c>
      <c r="B5027" t="s">
        <v>2761</v>
      </c>
      <c r="C5027" t="s">
        <v>63</v>
      </c>
      <c r="D5027" t="s">
        <v>4052</v>
      </c>
      <c r="E5027" t="s">
        <v>4053</v>
      </c>
      <c r="F5027" t="s">
        <v>4054</v>
      </c>
      <c r="G5027">
        <v>10</v>
      </c>
      <c r="H5027" s="2">
        <v>16206.45</v>
      </c>
      <c r="I5027" s="2">
        <v>1620.64</v>
      </c>
    </row>
    <row r="5028" spans="1:9" x14ac:dyDescent="0.25">
      <c r="A5028" t="s">
        <v>2763</v>
      </c>
      <c r="B5028" t="s">
        <v>406</v>
      </c>
      <c r="C5028" t="s">
        <v>42</v>
      </c>
      <c r="D5028" t="s">
        <v>4062</v>
      </c>
      <c r="E5028" t="s">
        <v>4352</v>
      </c>
      <c r="F5028" t="s">
        <v>42</v>
      </c>
      <c r="G5028">
        <v>1.03</v>
      </c>
      <c r="H5028" s="2">
        <v>31353</v>
      </c>
      <c r="I5028" s="2">
        <v>32293.59</v>
      </c>
    </row>
    <row r="5029" spans="1:9" x14ac:dyDescent="0.25">
      <c r="A5029" t="s">
        <v>2763</v>
      </c>
      <c r="B5029" t="s">
        <v>406</v>
      </c>
      <c r="C5029" t="s">
        <v>42</v>
      </c>
      <c r="D5029" t="s">
        <v>4062</v>
      </c>
      <c r="E5029" t="s">
        <v>4353</v>
      </c>
      <c r="F5029" t="s">
        <v>63</v>
      </c>
      <c r="G5029">
        <v>0.17</v>
      </c>
      <c r="H5029" s="2">
        <v>27711</v>
      </c>
      <c r="I5029" s="2">
        <v>4710.87</v>
      </c>
    </row>
    <row r="5030" spans="1:9" x14ac:dyDescent="0.25">
      <c r="A5030" t="s">
        <v>2763</v>
      </c>
      <c r="B5030" t="s">
        <v>406</v>
      </c>
      <c r="C5030" t="s">
        <v>42</v>
      </c>
      <c r="D5030" t="s">
        <v>4062</v>
      </c>
      <c r="E5030" t="s">
        <v>4659</v>
      </c>
      <c r="F5030" t="s">
        <v>4377</v>
      </c>
      <c r="G5030">
        <v>0.04</v>
      </c>
      <c r="H5030" s="2">
        <v>31500</v>
      </c>
      <c r="I5030" s="2">
        <v>1260</v>
      </c>
    </row>
    <row r="5031" spans="1:9" x14ac:dyDescent="0.25">
      <c r="A5031" t="s">
        <v>2763</v>
      </c>
      <c r="B5031" t="s">
        <v>406</v>
      </c>
      <c r="C5031" t="s">
        <v>42</v>
      </c>
      <c r="D5031" t="s">
        <v>4062</v>
      </c>
      <c r="E5031" t="s">
        <v>4376</v>
      </c>
      <c r="F5031" t="s">
        <v>4377</v>
      </c>
      <c r="G5031">
        <v>0.04</v>
      </c>
      <c r="H5031" s="2">
        <v>72237.67</v>
      </c>
      <c r="I5031" s="2">
        <v>2889.51</v>
      </c>
    </row>
    <row r="5032" spans="1:9" x14ac:dyDescent="0.25">
      <c r="A5032" t="s">
        <v>2763</v>
      </c>
      <c r="B5032" t="s">
        <v>406</v>
      </c>
      <c r="C5032" t="s">
        <v>42</v>
      </c>
      <c r="D5032" t="s">
        <v>4049</v>
      </c>
      <c r="E5032" t="s">
        <v>4176</v>
      </c>
      <c r="F5032" t="s">
        <v>4177</v>
      </c>
      <c r="G5032">
        <v>0.05</v>
      </c>
      <c r="H5032" s="2">
        <v>72300.17</v>
      </c>
      <c r="I5032" s="2">
        <v>3759.61</v>
      </c>
    </row>
    <row r="5033" spans="1:9" x14ac:dyDescent="0.25">
      <c r="A5033" t="s">
        <v>2763</v>
      </c>
      <c r="B5033" t="s">
        <v>406</v>
      </c>
      <c r="C5033" t="s">
        <v>42</v>
      </c>
      <c r="D5033" t="s">
        <v>4049</v>
      </c>
      <c r="E5033" t="s">
        <v>4223</v>
      </c>
      <c r="F5033" t="s">
        <v>4051</v>
      </c>
      <c r="G5033">
        <v>0.01</v>
      </c>
      <c r="H5033" s="2">
        <v>52807.59</v>
      </c>
      <c r="I5033" s="2">
        <v>528.08</v>
      </c>
    </row>
    <row r="5034" spans="1:9" x14ac:dyDescent="0.25">
      <c r="A5034" t="s">
        <v>2763</v>
      </c>
      <c r="B5034" t="s">
        <v>406</v>
      </c>
      <c r="C5034" t="s">
        <v>42</v>
      </c>
      <c r="D5034" t="s">
        <v>4049</v>
      </c>
      <c r="E5034" t="s">
        <v>4313</v>
      </c>
      <c r="F5034" t="s">
        <v>4177</v>
      </c>
      <c r="G5034">
        <v>0.05</v>
      </c>
      <c r="H5034" s="2">
        <v>124137.15</v>
      </c>
      <c r="I5034" s="2">
        <v>6455.13</v>
      </c>
    </row>
    <row r="5035" spans="1:9" x14ac:dyDescent="0.25">
      <c r="A5035" t="s">
        <v>2763</v>
      </c>
      <c r="B5035" t="s">
        <v>406</v>
      </c>
      <c r="C5035" t="s">
        <v>42</v>
      </c>
      <c r="D5035" t="s">
        <v>4052</v>
      </c>
      <c r="E5035" t="s">
        <v>4053</v>
      </c>
      <c r="F5035" t="s">
        <v>4054</v>
      </c>
      <c r="G5035">
        <v>7.1</v>
      </c>
      <c r="H5035" s="2">
        <v>10742.82</v>
      </c>
      <c r="I5035" s="2">
        <v>762.74</v>
      </c>
    </row>
    <row r="5036" spans="1:9" x14ac:dyDescent="0.25">
      <c r="A5036" t="s">
        <v>2765</v>
      </c>
      <c r="B5036" t="s">
        <v>2766</v>
      </c>
      <c r="C5036" t="s">
        <v>42</v>
      </c>
      <c r="D5036" t="s">
        <v>4062</v>
      </c>
      <c r="E5036" t="s">
        <v>6779</v>
      </c>
      <c r="F5036" t="s">
        <v>42</v>
      </c>
      <c r="G5036">
        <v>1.03</v>
      </c>
      <c r="H5036" s="2">
        <v>68773</v>
      </c>
      <c r="I5036" s="2">
        <v>70836.19</v>
      </c>
    </row>
    <row r="5037" spans="1:9" x14ac:dyDescent="0.25">
      <c r="A5037" t="s">
        <v>2765</v>
      </c>
      <c r="B5037" t="s">
        <v>2766</v>
      </c>
      <c r="C5037" t="s">
        <v>42</v>
      </c>
      <c r="D5037" t="s">
        <v>4062</v>
      </c>
      <c r="E5037" t="s">
        <v>6780</v>
      </c>
      <c r="F5037" t="s">
        <v>63</v>
      </c>
      <c r="G5037">
        <v>0.17</v>
      </c>
      <c r="H5037" s="2">
        <v>130218</v>
      </c>
      <c r="I5037" s="2">
        <v>22137.06</v>
      </c>
    </row>
    <row r="5038" spans="1:9" x14ac:dyDescent="0.25">
      <c r="A5038" t="s">
        <v>2765</v>
      </c>
      <c r="B5038" t="s">
        <v>2766</v>
      </c>
      <c r="C5038" t="s">
        <v>42</v>
      </c>
      <c r="D5038" t="s">
        <v>4062</v>
      </c>
      <c r="E5038" t="s">
        <v>4354</v>
      </c>
      <c r="F5038" t="s">
        <v>4171</v>
      </c>
      <c r="G5038">
        <v>1.5</v>
      </c>
      <c r="H5038" s="2">
        <v>1148</v>
      </c>
      <c r="I5038" s="2">
        <v>1722</v>
      </c>
    </row>
    <row r="5039" spans="1:9" x14ac:dyDescent="0.25">
      <c r="A5039" t="s">
        <v>2765</v>
      </c>
      <c r="B5039" t="s">
        <v>2766</v>
      </c>
      <c r="C5039" t="s">
        <v>42</v>
      </c>
      <c r="D5039" t="s">
        <v>4049</v>
      </c>
      <c r="E5039" t="s">
        <v>4176</v>
      </c>
      <c r="F5039" t="s">
        <v>4177</v>
      </c>
      <c r="G5039">
        <v>0.1</v>
      </c>
      <c r="H5039" s="2">
        <v>72300.17</v>
      </c>
      <c r="I5039" s="2">
        <v>7230.02</v>
      </c>
    </row>
    <row r="5040" spans="1:9" x14ac:dyDescent="0.25">
      <c r="A5040" t="s">
        <v>2765</v>
      </c>
      <c r="B5040" t="s">
        <v>2766</v>
      </c>
      <c r="C5040" t="s">
        <v>42</v>
      </c>
      <c r="D5040" t="s">
        <v>4049</v>
      </c>
      <c r="E5040" t="s">
        <v>4223</v>
      </c>
      <c r="F5040" t="s">
        <v>4051</v>
      </c>
      <c r="G5040">
        <v>0.02</v>
      </c>
      <c r="H5040" s="2">
        <v>52807.59</v>
      </c>
      <c r="I5040" s="2">
        <v>881.89</v>
      </c>
    </row>
    <row r="5041" spans="1:9" x14ac:dyDescent="0.25">
      <c r="A5041" t="s">
        <v>2765</v>
      </c>
      <c r="B5041" t="s">
        <v>2766</v>
      </c>
      <c r="C5041" t="s">
        <v>42</v>
      </c>
      <c r="D5041" t="s">
        <v>4049</v>
      </c>
      <c r="E5041" t="s">
        <v>4313</v>
      </c>
      <c r="F5041" t="s">
        <v>4177</v>
      </c>
      <c r="G5041">
        <v>0.1</v>
      </c>
      <c r="H5041" s="2">
        <v>124137.15</v>
      </c>
      <c r="I5041" s="2">
        <v>12413.72</v>
      </c>
    </row>
    <row r="5042" spans="1:9" x14ac:dyDescent="0.25">
      <c r="A5042" t="s">
        <v>2765</v>
      </c>
      <c r="B5042" t="s">
        <v>2766</v>
      </c>
      <c r="C5042" t="s">
        <v>42</v>
      </c>
      <c r="D5042" t="s">
        <v>4052</v>
      </c>
      <c r="E5042" t="s">
        <v>4053</v>
      </c>
      <c r="F5042" t="s">
        <v>4054</v>
      </c>
      <c r="G5042">
        <v>7.1</v>
      </c>
      <c r="H5042" s="2">
        <v>20525.63</v>
      </c>
      <c r="I5042" s="2">
        <v>1457.32</v>
      </c>
    </row>
    <row r="5043" spans="1:9" x14ac:dyDescent="0.25">
      <c r="A5043" t="s">
        <v>2768</v>
      </c>
      <c r="B5043" t="s">
        <v>2769</v>
      </c>
      <c r="C5043" t="s">
        <v>42</v>
      </c>
      <c r="D5043" t="s">
        <v>4062</v>
      </c>
      <c r="E5043" t="s">
        <v>6783</v>
      </c>
      <c r="F5043" t="s">
        <v>42</v>
      </c>
      <c r="G5043">
        <v>1.03</v>
      </c>
      <c r="H5043" s="2">
        <v>96813</v>
      </c>
      <c r="I5043" s="2">
        <v>99717.39</v>
      </c>
    </row>
    <row r="5044" spans="1:9" x14ac:dyDescent="0.25">
      <c r="A5044" t="s">
        <v>2768</v>
      </c>
      <c r="B5044" t="s">
        <v>2769</v>
      </c>
      <c r="C5044" t="s">
        <v>42</v>
      </c>
      <c r="D5044" t="s">
        <v>4062</v>
      </c>
      <c r="E5044" t="s">
        <v>6784</v>
      </c>
      <c r="F5044" t="s">
        <v>63</v>
      </c>
      <c r="G5044">
        <v>0.17</v>
      </c>
      <c r="H5044" s="2">
        <v>222778</v>
      </c>
      <c r="I5044" s="2">
        <v>37872.26</v>
      </c>
    </row>
    <row r="5045" spans="1:9" x14ac:dyDescent="0.25">
      <c r="A5045" t="s">
        <v>2768</v>
      </c>
      <c r="B5045" t="s">
        <v>2769</v>
      </c>
      <c r="C5045" t="s">
        <v>42</v>
      </c>
      <c r="D5045" t="s">
        <v>4062</v>
      </c>
      <c r="E5045" t="s">
        <v>4659</v>
      </c>
      <c r="F5045" t="s">
        <v>4377</v>
      </c>
      <c r="G5045">
        <v>0.06</v>
      </c>
      <c r="H5045" s="2">
        <v>31500</v>
      </c>
      <c r="I5045" s="2">
        <v>1890</v>
      </c>
    </row>
    <row r="5046" spans="1:9" x14ac:dyDescent="0.25">
      <c r="A5046" t="s">
        <v>2768</v>
      </c>
      <c r="B5046" t="s">
        <v>2769</v>
      </c>
      <c r="C5046" t="s">
        <v>42</v>
      </c>
      <c r="D5046" t="s">
        <v>4062</v>
      </c>
      <c r="E5046" t="s">
        <v>4376</v>
      </c>
      <c r="F5046" t="s">
        <v>4377</v>
      </c>
      <c r="G5046">
        <v>0.06</v>
      </c>
      <c r="H5046" s="2">
        <v>72237.67</v>
      </c>
      <c r="I5046" s="2">
        <v>4334.26</v>
      </c>
    </row>
    <row r="5047" spans="1:9" x14ac:dyDescent="0.25">
      <c r="A5047" t="s">
        <v>2768</v>
      </c>
      <c r="B5047" t="s">
        <v>2769</v>
      </c>
      <c r="C5047" t="s">
        <v>42</v>
      </c>
      <c r="D5047" t="s">
        <v>4049</v>
      </c>
      <c r="E5047" t="s">
        <v>4176</v>
      </c>
      <c r="F5047" t="s">
        <v>4177</v>
      </c>
      <c r="G5047">
        <v>0.11</v>
      </c>
      <c r="H5047" s="2">
        <v>72300.17</v>
      </c>
      <c r="I5047" s="2">
        <v>7953.02</v>
      </c>
    </row>
    <row r="5048" spans="1:9" x14ac:dyDescent="0.25">
      <c r="A5048" t="s">
        <v>2768</v>
      </c>
      <c r="B5048" t="s">
        <v>2769</v>
      </c>
      <c r="C5048" t="s">
        <v>42</v>
      </c>
      <c r="D5048" t="s">
        <v>4049</v>
      </c>
      <c r="E5048" t="s">
        <v>4223</v>
      </c>
      <c r="F5048" t="s">
        <v>4051</v>
      </c>
      <c r="G5048">
        <v>0.02</v>
      </c>
      <c r="H5048" s="2">
        <v>52807.59</v>
      </c>
      <c r="I5048" s="2">
        <v>881.89</v>
      </c>
    </row>
    <row r="5049" spans="1:9" x14ac:dyDescent="0.25">
      <c r="A5049" t="s">
        <v>2768</v>
      </c>
      <c r="B5049" t="s">
        <v>2769</v>
      </c>
      <c r="C5049" t="s">
        <v>42</v>
      </c>
      <c r="D5049" t="s">
        <v>4049</v>
      </c>
      <c r="E5049" t="s">
        <v>4313</v>
      </c>
      <c r="F5049" t="s">
        <v>4177</v>
      </c>
      <c r="G5049">
        <v>0.11</v>
      </c>
      <c r="H5049" s="2">
        <v>124137.15</v>
      </c>
      <c r="I5049" s="2">
        <v>13655.09</v>
      </c>
    </row>
    <row r="5050" spans="1:9" x14ac:dyDescent="0.25">
      <c r="A5050" t="s">
        <v>2768</v>
      </c>
      <c r="B5050" t="s">
        <v>2769</v>
      </c>
      <c r="C5050" t="s">
        <v>42</v>
      </c>
      <c r="D5050" t="s">
        <v>4052</v>
      </c>
      <c r="E5050" t="s">
        <v>4053</v>
      </c>
      <c r="F5050" t="s">
        <v>4054</v>
      </c>
      <c r="G5050">
        <v>7.1</v>
      </c>
      <c r="H5050" s="2">
        <v>22490</v>
      </c>
      <c r="I5050" s="2">
        <v>1596.79</v>
      </c>
    </row>
    <row r="5051" spans="1:9" x14ac:dyDescent="0.25">
      <c r="A5051" t="s">
        <v>2771</v>
      </c>
      <c r="B5051" t="s">
        <v>2772</v>
      </c>
      <c r="C5051" t="s">
        <v>42</v>
      </c>
      <c r="D5051" t="s">
        <v>4062</v>
      </c>
      <c r="E5051" t="s">
        <v>6787</v>
      </c>
      <c r="F5051" t="s">
        <v>42</v>
      </c>
      <c r="G5051">
        <v>1.03</v>
      </c>
      <c r="H5051" s="2">
        <v>118959</v>
      </c>
      <c r="I5051" s="2">
        <v>122527.77</v>
      </c>
    </row>
    <row r="5052" spans="1:9" x14ac:dyDescent="0.25">
      <c r="A5052" t="s">
        <v>2771</v>
      </c>
      <c r="B5052" t="s">
        <v>2772</v>
      </c>
      <c r="C5052" t="s">
        <v>42</v>
      </c>
      <c r="D5052" t="s">
        <v>4062</v>
      </c>
      <c r="E5052" t="s">
        <v>6788</v>
      </c>
      <c r="F5052" t="s">
        <v>63</v>
      </c>
      <c r="G5052">
        <v>0.17</v>
      </c>
      <c r="H5052" s="2">
        <v>292192</v>
      </c>
      <c r="I5052" s="2">
        <v>49672.64</v>
      </c>
    </row>
    <row r="5053" spans="1:9" x14ac:dyDescent="0.25">
      <c r="A5053" t="s">
        <v>2771</v>
      </c>
      <c r="B5053" t="s">
        <v>2772</v>
      </c>
      <c r="C5053" t="s">
        <v>42</v>
      </c>
      <c r="D5053" t="s">
        <v>4062</v>
      </c>
      <c r="E5053" t="s">
        <v>4354</v>
      </c>
      <c r="F5053" t="s">
        <v>4171</v>
      </c>
      <c r="G5053">
        <v>1.5</v>
      </c>
      <c r="H5053" s="2">
        <v>1148</v>
      </c>
      <c r="I5053" s="2">
        <v>1722</v>
      </c>
    </row>
    <row r="5054" spans="1:9" x14ac:dyDescent="0.25">
      <c r="A5054" t="s">
        <v>2771</v>
      </c>
      <c r="B5054" t="s">
        <v>2772</v>
      </c>
      <c r="C5054" t="s">
        <v>42</v>
      </c>
      <c r="D5054" t="s">
        <v>4049</v>
      </c>
      <c r="E5054" t="s">
        <v>4176</v>
      </c>
      <c r="F5054" t="s">
        <v>4177</v>
      </c>
      <c r="G5054">
        <v>0.11</v>
      </c>
      <c r="H5054" s="2">
        <v>72300.17</v>
      </c>
      <c r="I5054" s="2">
        <v>7953.02</v>
      </c>
    </row>
    <row r="5055" spans="1:9" x14ac:dyDescent="0.25">
      <c r="A5055" t="s">
        <v>2771</v>
      </c>
      <c r="B5055" t="s">
        <v>2772</v>
      </c>
      <c r="C5055" t="s">
        <v>42</v>
      </c>
      <c r="D5055" t="s">
        <v>4049</v>
      </c>
      <c r="E5055" t="s">
        <v>4223</v>
      </c>
      <c r="F5055" t="s">
        <v>4051</v>
      </c>
      <c r="G5055">
        <v>0.02</v>
      </c>
      <c r="H5055" s="2">
        <v>52807.59</v>
      </c>
      <c r="I5055" s="2">
        <v>881.89</v>
      </c>
    </row>
    <row r="5056" spans="1:9" x14ac:dyDescent="0.25">
      <c r="A5056" t="s">
        <v>2771</v>
      </c>
      <c r="B5056" t="s">
        <v>2772</v>
      </c>
      <c r="C5056" t="s">
        <v>42</v>
      </c>
      <c r="D5056" t="s">
        <v>4049</v>
      </c>
      <c r="E5056" t="s">
        <v>4313</v>
      </c>
      <c r="F5056" t="s">
        <v>4177</v>
      </c>
      <c r="G5056">
        <v>0.11</v>
      </c>
      <c r="H5056" s="2">
        <v>124137.15</v>
      </c>
      <c r="I5056" s="2">
        <v>13655.09</v>
      </c>
    </row>
    <row r="5057" spans="1:9" x14ac:dyDescent="0.25">
      <c r="A5057" t="s">
        <v>2771</v>
      </c>
      <c r="B5057" t="s">
        <v>2772</v>
      </c>
      <c r="C5057" t="s">
        <v>42</v>
      </c>
      <c r="D5057" t="s">
        <v>4052</v>
      </c>
      <c r="E5057" t="s">
        <v>4053</v>
      </c>
      <c r="F5057" t="s">
        <v>4054</v>
      </c>
      <c r="G5057">
        <v>7.1</v>
      </c>
      <c r="H5057" s="2">
        <v>22490</v>
      </c>
      <c r="I5057" s="2">
        <v>1596.79</v>
      </c>
    </row>
    <row r="5058" spans="1:9" x14ac:dyDescent="0.25">
      <c r="A5058" t="s">
        <v>2774</v>
      </c>
      <c r="B5058" t="s">
        <v>2775</v>
      </c>
      <c r="C5058" t="s">
        <v>42</v>
      </c>
      <c r="D5058" t="s">
        <v>4062</v>
      </c>
      <c r="E5058" t="s">
        <v>6791</v>
      </c>
      <c r="F5058" t="s">
        <v>42</v>
      </c>
      <c r="G5058">
        <v>1.03</v>
      </c>
      <c r="H5058" s="2">
        <v>163843.13</v>
      </c>
      <c r="I5058" s="2">
        <v>168758.42</v>
      </c>
    </row>
    <row r="5059" spans="1:9" x14ac:dyDescent="0.25">
      <c r="A5059" t="s">
        <v>2774</v>
      </c>
      <c r="B5059" t="s">
        <v>2775</v>
      </c>
      <c r="C5059" t="s">
        <v>42</v>
      </c>
      <c r="D5059" t="s">
        <v>4062</v>
      </c>
      <c r="E5059" t="s">
        <v>6792</v>
      </c>
      <c r="F5059" t="s">
        <v>63</v>
      </c>
      <c r="G5059">
        <v>0.17</v>
      </c>
      <c r="H5059" s="2">
        <v>339644</v>
      </c>
      <c r="I5059" s="2">
        <v>57739.48</v>
      </c>
    </row>
    <row r="5060" spans="1:9" x14ac:dyDescent="0.25">
      <c r="A5060" t="s">
        <v>2774</v>
      </c>
      <c r="B5060" t="s">
        <v>2775</v>
      </c>
      <c r="C5060" t="s">
        <v>42</v>
      </c>
      <c r="D5060" t="s">
        <v>4062</v>
      </c>
      <c r="E5060" t="s">
        <v>4354</v>
      </c>
      <c r="F5060" t="s">
        <v>4171</v>
      </c>
      <c r="G5060">
        <v>1.5</v>
      </c>
      <c r="H5060" s="2">
        <v>1148</v>
      </c>
      <c r="I5060" s="2">
        <v>1722</v>
      </c>
    </row>
    <row r="5061" spans="1:9" x14ac:dyDescent="0.25">
      <c r="A5061" t="s">
        <v>2774</v>
      </c>
      <c r="B5061" t="s">
        <v>2775</v>
      </c>
      <c r="C5061" t="s">
        <v>42</v>
      </c>
      <c r="D5061" t="s">
        <v>4049</v>
      </c>
      <c r="E5061" t="s">
        <v>4176</v>
      </c>
      <c r="F5061" t="s">
        <v>4177</v>
      </c>
      <c r="G5061">
        <v>0.13</v>
      </c>
      <c r="H5061" s="2">
        <v>72300.17</v>
      </c>
      <c r="I5061" s="2">
        <v>9399.02</v>
      </c>
    </row>
    <row r="5062" spans="1:9" x14ac:dyDescent="0.25">
      <c r="A5062" t="s">
        <v>2774</v>
      </c>
      <c r="B5062" t="s">
        <v>2775</v>
      </c>
      <c r="C5062" t="s">
        <v>42</v>
      </c>
      <c r="D5062" t="s">
        <v>4049</v>
      </c>
      <c r="E5062" t="s">
        <v>4223</v>
      </c>
      <c r="F5062" t="s">
        <v>4051</v>
      </c>
      <c r="G5062">
        <v>0.01</v>
      </c>
      <c r="H5062" s="2">
        <v>52807.59</v>
      </c>
      <c r="I5062" s="2">
        <v>528.08</v>
      </c>
    </row>
    <row r="5063" spans="1:9" x14ac:dyDescent="0.25">
      <c r="A5063" t="s">
        <v>2774</v>
      </c>
      <c r="B5063" t="s">
        <v>2775</v>
      </c>
      <c r="C5063" t="s">
        <v>42</v>
      </c>
      <c r="D5063" t="s">
        <v>4049</v>
      </c>
      <c r="E5063" t="s">
        <v>4313</v>
      </c>
      <c r="F5063" t="s">
        <v>4177</v>
      </c>
      <c r="G5063">
        <v>0.13</v>
      </c>
      <c r="H5063" s="2">
        <v>124137.15</v>
      </c>
      <c r="I5063" s="2">
        <v>16137.83</v>
      </c>
    </row>
    <row r="5064" spans="1:9" x14ac:dyDescent="0.25">
      <c r="A5064" t="s">
        <v>2774</v>
      </c>
      <c r="B5064" t="s">
        <v>2775</v>
      </c>
      <c r="C5064" t="s">
        <v>42</v>
      </c>
      <c r="D5064" t="s">
        <v>4052</v>
      </c>
      <c r="E5064" t="s">
        <v>4053</v>
      </c>
      <c r="F5064" t="s">
        <v>4054</v>
      </c>
      <c r="G5064">
        <v>7.1</v>
      </c>
      <c r="H5064" s="2">
        <v>26064.93</v>
      </c>
      <c r="I5064" s="2">
        <v>1850.61</v>
      </c>
    </row>
    <row r="5065" spans="1:9" x14ac:dyDescent="0.25">
      <c r="A5065" t="s">
        <v>2777</v>
      </c>
      <c r="B5065" t="s">
        <v>2778</v>
      </c>
      <c r="C5065" t="s">
        <v>42</v>
      </c>
      <c r="D5065" t="s">
        <v>4062</v>
      </c>
      <c r="E5065" t="s">
        <v>6795</v>
      </c>
      <c r="F5065" t="s">
        <v>42</v>
      </c>
      <c r="G5065">
        <v>1.05</v>
      </c>
      <c r="H5065" s="2">
        <v>214491.65</v>
      </c>
      <c r="I5065" s="2">
        <v>225216.23</v>
      </c>
    </row>
    <row r="5066" spans="1:9" x14ac:dyDescent="0.25">
      <c r="A5066" t="s">
        <v>2777</v>
      </c>
      <c r="B5066" t="s">
        <v>2778</v>
      </c>
      <c r="C5066" t="s">
        <v>42</v>
      </c>
      <c r="D5066" t="s">
        <v>4062</v>
      </c>
      <c r="E5066" t="s">
        <v>6796</v>
      </c>
      <c r="F5066" t="s">
        <v>63</v>
      </c>
      <c r="G5066">
        <v>0.17</v>
      </c>
      <c r="H5066" s="2">
        <v>357325</v>
      </c>
      <c r="I5066" s="2">
        <v>60745.25</v>
      </c>
    </row>
    <row r="5067" spans="1:9" x14ac:dyDescent="0.25">
      <c r="A5067" t="s">
        <v>2777</v>
      </c>
      <c r="B5067" t="s">
        <v>2778</v>
      </c>
      <c r="C5067" t="s">
        <v>42</v>
      </c>
      <c r="D5067" t="s">
        <v>4062</v>
      </c>
      <c r="E5067" t="s">
        <v>4354</v>
      </c>
      <c r="F5067" t="s">
        <v>4171</v>
      </c>
      <c r="G5067">
        <v>1.5</v>
      </c>
      <c r="H5067" s="2">
        <v>1148</v>
      </c>
      <c r="I5067" s="2">
        <v>1722</v>
      </c>
    </row>
    <row r="5068" spans="1:9" x14ac:dyDescent="0.25">
      <c r="A5068" t="s">
        <v>2777</v>
      </c>
      <c r="B5068" t="s">
        <v>2778</v>
      </c>
      <c r="C5068" t="s">
        <v>42</v>
      </c>
      <c r="D5068" t="s">
        <v>4049</v>
      </c>
      <c r="E5068" t="s">
        <v>4176</v>
      </c>
      <c r="F5068" t="s">
        <v>4177</v>
      </c>
      <c r="G5068">
        <v>0.13</v>
      </c>
      <c r="H5068" s="2">
        <v>72300.17</v>
      </c>
      <c r="I5068" s="2">
        <v>9399.02</v>
      </c>
    </row>
    <row r="5069" spans="1:9" x14ac:dyDescent="0.25">
      <c r="A5069" t="s">
        <v>2777</v>
      </c>
      <c r="B5069" t="s">
        <v>2778</v>
      </c>
      <c r="C5069" t="s">
        <v>42</v>
      </c>
      <c r="D5069" t="s">
        <v>4049</v>
      </c>
      <c r="E5069" t="s">
        <v>4223</v>
      </c>
      <c r="F5069" t="s">
        <v>4051</v>
      </c>
      <c r="G5069">
        <v>0.01</v>
      </c>
      <c r="H5069" s="2">
        <v>52807.59</v>
      </c>
      <c r="I5069" s="2">
        <v>528.08</v>
      </c>
    </row>
    <row r="5070" spans="1:9" x14ac:dyDescent="0.25">
      <c r="A5070" t="s">
        <v>2777</v>
      </c>
      <c r="B5070" t="s">
        <v>2778</v>
      </c>
      <c r="C5070" t="s">
        <v>42</v>
      </c>
      <c r="D5070" t="s">
        <v>4049</v>
      </c>
      <c r="E5070" t="s">
        <v>4313</v>
      </c>
      <c r="F5070" t="s">
        <v>4177</v>
      </c>
      <c r="G5070">
        <v>0.13</v>
      </c>
      <c r="H5070" s="2">
        <v>124137.15</v>
      </c>
      <c r="I5070" s="2">
        <v>16137.83</v>
      </c>
    </row>
    <row r="5071" spans="1:9" x14ac:dyDescent="0.25">
      <c r="A5071" t="s">
        <v>2777</v>
      </c>
      <c r="B5071" t="s">
        <v>2778</v>
      </c>
      <c r="C5071" t="s">
        <v>42</v>
      </c>
      <c r="D5071" t="s">
        <v>4052</v>
      </c>
      <c r="E5071" t="s">
        <v>4053</v>
      </c>
      <c r="F5071" t="s">
        <v>4054</v>
      </c>
      <c r="G5071">
        <v>7.1</v>
      </c>
      <c r="H5071" s="2">
        <v>26064.93</v>
      </c>
      <c r="I5071" s="2">
        <v>1850.61</v>
      </c>
    </row>
    <row r="5072" spans="1:9" x14ac:dyDescent="0.25">
      <c r="A5072" t="s">
        <v>2780</v>
      </c>
      <c r="B5072" t="s">
        <v>410</v>
      </c>
      <c r="C5072" t="s">
        <v>42</v>
      </c>
      <c r="D5072" t="s">
        <v>4062</v>
      </c>
      <c r="E5072" t="s">
        <v>4357</v>
      </c>
      <c r="F5072" t="s">
        <v>42</v>
      </c>
      <c r="G5072">
        <v>1.03</v>
      </c>
      <c r="H5072" s="2">
        <v>16806.55</v>
      </c>
      <c r="I5072" s="2">
        <v>17310.75</v>
      </c>
    </row>
    <row r="5073" spans="1:9" x14ac:dyDescent="0.25">
      <c r="A5073" t="s">
        <v>2780</v>
      </c>
      <c r="B5073" t="s">
        <v>410</v>
      </c>
      <c r="C5073" t="s">
        <v>42</v>
      </c>
      <c r="D5073" t="s">
        <v>4062</v>
      </c>
      <c r="E5073" t="s">
        <v>4358</v>
      </c>
      <c r="F5073" t="s">
        <v>4359</v>
      </c>
      <c r="G5073">
        <v>0.17</v>
      </c>
      <c r="H5073" s="2">
        <v>11434</v>
      </c>
      <c r="I5073" s="2">
        <v>1943.78</v>
      </c>
    </row>
    <row r="5074" spans="1:9" x14ac:dyDescent="0.25">
      <c r="A5074" t="s">
        <v>2780</v>
      </c>
      <c r="B5074" t="s">
        <v>410</v>
      </c>
      <c r="C5074" t="s">
        <v>42</v>
      </c>
      <c r="D5074" t="s">
        <v>4062</v>
      </c>
      <c r="E5074" t="s">
        <v>4354</v>
      </c>
      <c r="F5074" t="s">
        <v>4171</v>
      </c>
      <c r="G5074">
        <v>1.1</v>
      </c>
      <c r="H5074" s="2">
        <v>1148</v>
      </c>
      <c r="I5074" s="2">
        <v>1262.8</v>
      </c>
    </row>
    <row r="5075" spans="1:9" x14ac:dyDescent="0.25">
      <c r="A5075" t="s">
        <v>2780</v>
      </c>
      <c r="B5075" t="s">
        <v>410</v>
      </c>
      <c r="C5075" t="s">
        <v>42</v>
      </c>
      <c r="D5075" t="s">
        <v>4049</v>
      </c>
      <c r="E5075" t="s">
        <v>4176</v>
      </c>
      <c r="F5075" t="s">
        <v>4177</v>
      </c>
      <c r="G5075">
        <v>0.04</v>
      </c>
      <c r="H5075" s="2">
        <v>72300.17</v>
      </c>
      <c r="I5075" s="2">
        <v>2530.51</v>
      </c>
    </row>
    <row r="5076" spans="1:9" x14ac:dyDescent="0.25">
      <c r="A5076" t="s">
        <v>2780</v>
      </c>
      <c r="B5076" t="s">
        <v>410</v>
      </c>
      <c r="C5076" t="s">
        <v>42</v>
      </c>
      <c r="D5076" t="s">
        <v>4049</v>
      </c>
      <c r="E5076" t="s">
        <v>4223</v>
      </c>
      <c r="F5076" t="s">
        <v>4051</v>
      </c>
      <c r="G5076">
        <v>0.01</v>
      </c>
      <c r="H5076" s="2">
        <v>52807.59</v>
      </c>
      <c r="I5076" s="2">
        <v>528.08</v>
      </c>
    </row>
    <row r="5077" spans="1:9" x14ac:dyDescent="0.25">
      <c r="A5077" t="s">
        <v>2780</v>
      </c>
      <c r="B5077" t="s">
        <v>410</v>
      </c>
      <c r="C5077" t="s">
        <v>42</v>
      </c>
      <c r="D5077" t="s">
        <v>4049</v>
      </c>
      <c r="E5077" t="s">
        <v>4313</v>
      </c>
      <c r="F5077" t="s">
        <v>4177</v>
      </c>
      <c r="G5077">
        <v>0.04</v>
      </c>
      <c r="H5077" s="2">
        <v>124137.15</v>
      </c>
      <c r="I5077" s="2">
        <v>4344.8</v>
      </c>
    </row>
    <row r="5078" spans="1:9" x14ac:dyDescent="0.25">
      <c r="A5078" t="s">
        <v>2780</v>
      </c>
      <c r="B5078" t="s">
        <v>410</v>
      </c>
      <c r="C5078" t="s">
        <v>42</v>
      </c>
      <c r="D5078" t="s">
        <v>4052</v>
      </c>
      <c r="E5078" t="s">
        <v>4053</v>
      </c>
      <c r="F5078" t="s">
        <v>4054</v>
      </c>
      <c r="G5078">
        <v>7.1</v>
      </c>
      <c r="H5078" s="2">
        <v>7403.39</v>
      </c>
      <c r="I5078" s="2">
        <v>525.64</v>
      </c>
    </row>
    <row r="5079" spans="1:9" x14ac:dyDescent="0.25">
      <c r="A5079" t="s">
        <v>2782</v>
      </c>
      <c r="B5079" t="s">
        <v>2783</v>
      </c>
      <c r="C5079" t="s">
        <v>42</v>
      </c>
      <c r="D5079" t="s">
        <v>4062</v>
      </c>
      <c r="E5079" t="s">
        <v>6801</v>
      </c>
      <c r="F5079" t="s">
        <v>42</v>
      </c>
      <c r="G5079">
        <v>1.03</v>
      </c>
      <c r="H5079" s="2">
        <v>43377.33</v>
      </c>
      <c r="I5079" s="2">
        <v>44678.65</v>
      </c>
    </row>
    <row r="5080" spans="1:9" x14ac:dyDescent="0.25">
      <c r="A5080" t="s">
        <v>2782</v>
      </c>
      <c r="B5080" t="s">
        <v>2783</v>
      </c>
      <c r="C5080" t="s">
        <v>42</v>
      </c>
      <c r="D5080" t="s">
        <v>4062</v>
      </c>
      <c r="E5080" t="s">
        <v>6802</v>
      </c>
      <c r="F5080" t="s">
        <v>63</v>
      </c>
      <c r="G5080">
        <v>0.17</v>
      </c>
      <c r="H5080" s="2">
        <v>45805</v>
      </c>
      <c r="I5080" s="2">
        <v>7786.85</v>
      </c>
    </row>
    <row r="5081" spans="1:9" x14ac:dyDescent="0.25">
      <c r="A5081" t="s">
        <v>2782</v>
      </c>
      <c r="B5081" t="s">
        <v>2783</v>
      </c>
      <c r="C5081" t="s">
        <v>42</v>
      </c>
      <c r="D5081" t="s">
        <v>4062</v>
      </c>
      <c r="E5081" t="s">
        <v>4659</v>
      </c>
      <c r="F5081" t="s">
        <v>4377</v>
      </c>
      <c r="G5081">
        <v>0.07</v>
      </c>
      <c r="H5081" s="2">
        <v>31500</v>
      </c>
      <c r="I5081" s="2">
        <v>2047.5</v>
      </c>
    </row>
    <row r="5082" spans="1:9" x14ac:dyDescent="0.25">
      <c r="A5082" t="s">
        <v>2782</v>
      </c>
      <c r="B5082" t="s">
        <v>2783</v>
      </c>
      <c r="C5082" t="s">
        <v>42</v>
      </c>
      <c r="D5082" t="s">
        <v>4062</v>
      </c>
      <c r="E5082" t="s">
        <v>4376</v>
      </c>
      <c r="F5082" t="s">
        <v>4377</v>
      </c>
      <c r="G5082">
        <v>0.07</v>
      </c>
      <c r="H5082" s="2">
        <v>72237.67</v>
      </c>
      <c r="I5082" s="2">
        <v>4695.45</v>
      </c>
    </row>
    <row r="5083" spans="1:9" x14ac:dyDescent="0.25">
      <c r="A5083" t="s">
        <v>2782</v>
      </c>
      <c r="B5083" t="s">
        <v>2783</v>
      </c>
      <c r="C5083" t="s">
        <v>42</v>
      </c>
      <c r="D5083" t="s">
        <v>4049</v>
      </c>
      <c r="E5083" t="s">
        <v>4176</v>
      </c>
      <c r="F5083" t="s">
        <v>4177</v>
      </c>
      <c r="G5083">
        <v>0.05</v>
      </c>
      <c r="H5083" s="2">
        <v>72300.17</v>
      </c>
      <c r="I5083" s="2">
        <v>3759.61</v>
      </c>
    </row>
    <row r="5084" spans="1:9" x14ac:dyDescent="0.25">
      <c r="A5084" t="s">
        <v>2782</v>
      </c>
      <c r="B5084" t="s">
        <v>2783</v>
      </c>
      <c r="C5084" t="s">
        <v>42</v>
      </c>
      <c r="D5084" t="s">
        <v>4049</v>
      </c>
      <c r="E5084" t="s">
        <v>4223</v>
      </c>
      <c r="F5084" t="s">
        <v>4051</v>
      </c>
      <c r="G5084">
        <v>0.01</v>
      </c>
      <c r="H5084" s="2">
        <v>52807.59</v>
      </c>
      <c r="I5084" s="2">
        <v>528.08</v>
      </c>
    </row>
    <row r="5085" spans="1:9" x14ac:dyDescent="0.25">
      <c r="A5085" t="s">
        <v>2782</v>
      </c>
      <c r="B5085" t="s">
        <v>2783</v>
      </c>
      <c r="C5085" t="s">
        <v>42</v>
      </c>
      <c r="D5085" t="s">
        <v>4049</v>
      </c>
      <c r="E5085" t="s">
        <v>4313</v>
      </c>
      <c r="F5085" t="s">
        <v>4177</v>
      </c>
      <c r="G5085">
        <v>0.05</v>
      </c>
      <c r="H5085" s="2">
        <v>124137.15</v>
      </c>
      <c r="I5085" s="2">
        <v>6455.13</v>
      </c>
    </row>
    <row r="5086" spans="1:9" x14ac:dyDescent="0.25">
      <c r="A5086" t="s">
        <v>2782</v>
      </c>
      <c r="B5086" t="s">
        <v>2783</v>
      </c>
      <c r="C5086" t="s">
        <v>42</v>
      </c>
      <c r="D5086" t="s">
        <v>4052</v>
      </c>
      <c r="E5086" t="s">
        <v>4053</v>
      </c>
      <c r="F5086" t="s">
        <v>4054</v>
      </c>
      <c r="G5086">
        <v>7.1</v>
      </c>
      <c r="H5086" s="2">
        <v>10742.82</v>
      </c>
      <c r="I5086" s="2">
        <v>762.74</v>
      </c>
    </row>
    <row r="5087" spans="1:9" x14ac:dyDescent="0.25">
      <c r="A5087" t="s">
        <v>2785</v>
      </c>
      <c r="B5087" t="s">
        <v>2786</v>
      </c>
      <c r="C5087" t="s">
        <v>42</v>
      </c>
      <c r="D5087" t="s">
        <v>4062</v>
      </c>
      <c r="E5087" t="s">
        <v>6805</v>
      </c>
      <c r="F5087" t="s">
        <v>42</v>
      </c>
      <c r="G5087">
        <v>1</v>
      </c>
      <c r="H5087" s="2">
        <v>425817</v>
      </c>
      <c r="I5087" s="2">
        <v>425817</v>
      </c>
    </row>
    <row r="5088" spans="1:9" x14ac:dyDescent="0.25">
      <c r="A5088" t="s">
        <v>2785</v>
      </c>
      <c r="B5088" t="s">
        <v>2786</v>
      </c>
      <c r="C5088" t="s">
        <v>42</v>
      </c>
      <c r="D5088" t="s">
        <v>4062</v>
      </c>
      <c r="E5088" t="s">
        <v>6166</v>
      </c>
      <c r="F5088" t="s">
        <v>63</v>
      </c>
      <c r="G5088">
        <v>0.05</v>
      </c>
      <c r="H5088" s="2">
        <v>19750</v>
      </c>
      <c r="I5088" s="2">
        <v>987.5</v>
      </c>
    </row>
    <row r="5089" spans="1:9" x14ac:dyDescent="0.25">
      <c r="A5089" t="s">
        <v>2785</v>
      </c>
      <c r="B5089" t="s">
        <v>2786</v>
      </c>
      <c r="C5089" t="s">
        <v>42</v>
      </c>
      <c r="D5089" t="s">
        <v>4049</v>
      </c>
      <c r="E5089" t="s">
        <v>4050</v>
      </c>
      <c r="F5089" t="s">
        <v>4051</v>
      </c>
      <c r="G5089">
        <v>0.6</v>
      </c>
      <c r="H5089" s="2">
        <v>9037.33</v>
      </c>
      <c r="I5089" s="2">
        <v>5422.4</v>
      </c>
    </row>
    <row r="5090" spans="1:9" x14ac:dyDescent="0.25">
      <c r="A5090" t="s">
        <v>2785</v>
      </c>
      <c r="B5090" t="s">
        <v>2786</v>
      </c>
      <c r="C5090" t="s">
        <v>42</v>
      </c>
      <c r="D5090" t="s">
        <v>4049</v>
      </c>
      <c r="E5090" t="s">
        <v>4241</v>
      </c>
      <c r="F5090" t="s">
        <v>4051</v>
      </c>
      <c r="G5090">
        <v>0.6</v>
      </c>
      <c r="H5090" s="2">
        <v>9941.22</v>
      </c>
      <c r="I5090" s="2">
        <v>5964.73</v>
      </c>
    </row>
    <row r="5091" spans="1:9" x14ac:dyDescent="0.25">
      <c r="A5091" t="s">
        <v>2785</v>
      </c>
      <c r="B5091" t="s">
        <v>2786</v>
      </c>
      <c r="C5091" t="s">
        <v>42</v>
      </c>
      <c r="D5091" t="s">
        <v>4049</v>
      </c>
      <c r="E5091" t="s">
        <v>4242</v>
      </c>
      <c r="F5091" t="s">
        <v>4051</v>
      </c>
      <c r="G5091">
        <v>0.6</v>
      </c>
      <c r="H5091" s="2">
        <v>17069.53</v>
      </c>
      <c r="I5091" s="2">
        <v>10241.72</v>
      </c>
    </row>
    <row r="5092" spans="1:9" x14ac:dyDescent="0.25">
      <c r="A5092" t="s">
        <v>2785</v>
      </c>
      <c r="B5092" t="s">
        <v>2786</v>
      </c>
      <c r="C5092" t="s">
        <v>42</v>
      </c>
      <c r="D5092" t="s">
        <v>4052</v>
      </c>
      <c r="E5092" t="s">
        <v>4053</v>
      </c>
      <c r="F5092" t="s">
        <v>4054</v>
      </c>
      <c r="G5092">
        <v>7.1</v>
      </c>
      <c r="H5092" s="2">
        <v>21628.85</v>
      </c>
      <c r="I5092" s="2">
        <v>1535.65</v>
      </c>
    </row>
    <row r="5093" spans="1:9" x14ac:dyDescent="0.25">
      <c r="A5093" t="s">
        <v>2788</v>
      </c>
      <c r="B5093" t="s">
        <v>2789</v>
      </c>
      <c r="C5093" t="s">
        <v>42</v>
      </c>
      <c r="D5093" t="s">
        <v>4062</v>
      </c>
      <c r="E5093" t="s">
        <v>6808</v>
      </c>
      <c r="F5093" t="s">
        <v>42</v>
      </c>
      <c r="G5093">
        <v>1</v>
      </c>
      <c r="H5093" s="2">
        <v>1147752</v>
      </c>
      <c r="I5093" s="2">
        <v>1147752</v>
      </c>
    </row>
    <row r="5094" spans="1:9" x14ac:dyDescent="0.25">
      <c r="A5094" t="s">
        <v>2788</v>
      </c>
      <c r="B5094" t="s">
        <v>2789</v>
      </c>
      <c r="C5094" t="s">
        <v>42</v>
      </c>
      <c r="D5094" t="s">
        <v>4062</v>
      </c>
      <c r="E5094" t="s">
        <v>6166</v>
      </c>
      <c r="F5094" t="s">
        <v>63</v>
      </c>
      <c r="G5094">
        <v>0.05</v>
      </c>
      <c r="H5094" s="2">
        <v>19750</v>
      </c>
      <c r="I5094" s="2">
        <v>987.5</v>
      </c>
    </row>
    <row r="5095" spans="1:9" x14ac:dyDescent="0.25">
      <c r="A5095" t="s">
        <v>2788</v>
      </c>
      <c r="B5095" t="s">
        <v>2789</v>
      </c>
      <c r="C5095" t="s">
        <v>42</v>
      </c>
      <c r="D5095" t="s">
        <v>4049</v>
      </c>
      <c r="E5095" t="s">
        <v>4050</v>
      </c>
      <c r="F5095" t="s">
        <v>4051</v>
      </c>
      <c r="G5095">
        <v>0.6</v>
      </c>
      <c r="H5095" s="2">
        <v>9037.33</v>
      </c>
      <c r="I5095" s="2">
        <v>5422.4</v>
      </c>
    </row>
    <row r="5096" spans="1:9" x14ac:dyDescent="0.25">
      <c r="A5096" t="s">
        <v>2788</v>
      </c>
      <c r="B5096" t="s">
        <v>2789</v>
      </c>
      <c r="C5096" t="s">
        <v>42</v>
      </c>
      <c r="D5096" t="s">
        <v>4049</v>
      </c>
      <c r="E5096" t="s">
        <v>4241</v>
      </c>
      <c r="F5096" t="s">
        <v>4051</v>
      </c>
      <c r="G5096">
        <v>0.6</v>
      </c>
      <c r="H5096" s="2">
        <v>9941.22</v>
      </c>
      <c r="I5096" s="2">
        <v>5964.73</v>
      </c>
    </row>
    <row r="5097" spans="1:9" x14ac:dyDescent="0.25">
      <c r="A5097" t="s">
        <v>2788</v>
      </c>
      <c r="B5097" t="s">
        <v>2789</v>
      </c>
      <c r="C5097" t="s">
        <v>42</v>
      </c>
      <c r="D5097" t="s">
        <v>4049</v>
      </c>
      <c r="E5097" t="s">
        <v>4242</v>
      </c>
      <c r="F5097" t="s">
        <v>4051</v>
      </c>
      <c r="G5097">
        <v>0.6</v>
      </c>
      <c r="H5097" s="2">
        <v>17069.53</v>
      </c>
      <c r="I5097" s="2">
        <v>10241.72</v>
      </c>
    </row>
    <row r="5098" spans="1:9" x14ac:dyDescent="0.25">
      <c r="A5098" t="s">
        <v>2788</v>
      </c>
      <c r="B5098" t="s">
        <v>2789</v>
      </c>
      <c r="C5098" t="s">
        <v>42</v>
      </c>
      <c r="D5098" t="s">
        <v>4052</v>
      </c>
      <c r="E5098" t="s">
        <v>4053</v>
      </c>
      <c r="F5098" t="s">
        <v>4054</v>
      </c>
      <c r="G5098">
        <v>7.1</v>
      </c>
      <c r="H5098" s="2">
        <v>21628.85</v>
      </c>
      <c r="I5098" s="2">
        <v>1535.65</v>
      </c>
    </row>
    <row r="5099" spans="1:9" x14ac:dyDescent="0.25">
      <c r="A5099" t="s">
        <v>2791</v>
      </c>
      <c r="B5099" t="s">
        <v>2792</v>
      </c>
      <c r="C5099" t="s">
        <v>42</v>
      </c>
      <c r="D5099" t="s">
        <v>4062</v>
      </c>
      <c r="E5099" t="s">
        <v>6811</v>
      </c>
      <c r="F5099" t="s">
        <v>42</v>
      </c>
      <c r="G5099">
        <v>1</v>
      </c>
      <c r="H5099" s="2">
        <v>1807852</v>
      </c>
      <c r="I5099" s="2">
        <v>1807852</v>
      </c>
    </row>
    <row r="5100" spans="1:9" x14ac:dyDescent="0.25">
      <c r="A5100" t="s">
        <v>2791</v>
      </c>
      <c r="B5100" t="s">
        <v>2792</v>
      </c>
      <c r="C5100" t="s">
        <v>42</v>
      </c>
      <c r="D5100" t="s">
        <v>4062</v>
      </c>
      <c r="E5100" t="s">
        <v>6166</v>
      </c>
      <c r="F5100" t="s">
        <v>63</v>
      </c>
      <c r="G5100">
        <v>0.05</v>
      </c>
      <c r="H5100" s="2">
        <v>19750</v>
      </c>
      <c r="I5100" s="2">
        <v>987.5</v>
      </c>
    </row>
    <row r="5101" spans="1:9" x14ac:dyDescent="0.25">
      <c r="A5101" t="s">
        <v>2791</v>
      </c>
      <c r="B5101" t="s">
        <v>2792</v>
      </c>
      <c r="C5101" t="s">
        <v>42</v>
      </c>
      <c r="D5101" t="s">
        <v>4049</v>
      </c>
      <c r="E5101" t="s">
        <v>4050</v>
      </c>
      <c r="F5101" t="s">
        <v>4051</v>
      </c>
      <c r="G5101">
        <v>0.6</v>
      </c>
      <c r="H5101" s="2">
        <v>9037.33</v>
      </c>
      <c r="I5101" s="2">
        <v>5422.4</v>
      </c>
    </row>
    <row r="5102" spans="1:9" x14ac:dyDescent="0.25">
      <c r="A5102" t="s">
        <v>2791</v>
      </c>
      <c r="B5102" t="s">
        <v>2792</v>
      </c>
      <c r="C5102" t="s">
        <v>42</v>
      </c>
      <c r="D5102" t="s">
        <v>4049</v>
      </c>
      <c r="E5102" t="s">
        <v>4241</v>
      </c>
      <c r="F5102" t="s">
        <v>4051</v>
      </c>
      <c r="G5102">
        <v>0.6</v>
      </c>
      <c r="H5102" s="2">
        <v>9941.22</v>
      </c>
      <c r="I5102" s="2">
        <v>5964.73</v>
      </c>
    </row>
    <row r="5103" spans="1:9" x14ac:dyDescent="0.25">
      <c r="A5103" t="s">
        <v>2791</v>
      </c>
      <c r="B5103" t="s">
        <v>2792</v>
      </c>
      <c r="C5103" t="s">
        <v>42</v>
      </c>
      <c r="D5103" t="s">
        <v>4049</v>
      </c>
      <c r="E5103" t="s">
        <v>4242</v>
      </c>
      <c r="F5103" t="s">
        <v>4051</v>
      </c>
      <c r="G5103">
        <v>0.6</v>
      </c>
      <c r="H5103" s="2">
        <v>17069.53</v>
      </c>
      <c r="I5103" s="2">
        <v>10241.72</v>
      </c>
    </row>
    <row r="5104" spans="1:9" x14ac:dyDescent="0.25">
      <c r="A5104" t="s">
        <v>2791</v>
      </c>
      <c r="B5104" t="s">
        <v>2792</v>
      </c>
      <c r="C5104" t="s">
        <v>42</v>
      </c>
      <c r="D5104" t="s">
        <v>4052</v>
      </c>
      <c r="E5104" t="s">
        <v>4053</v>
      </c>
      <c r="F5104" t="s">
        <v>4054</v>
      </c>
      <c r="G5104">
        <v>7.1</v>
      </c>
      <c r="H5104" s="2">
        <v>21628.85</v>
      </c>
      <c r="I5104" s="2">
        <v>1535.65</v>
      </c>
    </row>
    <row r="5105" spans="1:9" x14ac:dyDescent="0.25">
      <c r="A5105" t="s">
        <v>2794</v>
      </c>
      <c r="B5105" t="s">
        <v>2795</v>
      </c>
      <c r="C5105" t="s">
        <v>42</v>
      </c>
      <c r="D5105" t="s">
        <v>4062</v>
      </c>
      <c r="E5105" t="s">
        <v>6814</v>
      </c>
      <c r="F5105" t="s">
        <v>63</v>
      </c>
      <c r="G5105">
        <v>0.17</v>
      </c>
      <c r="H5105" s="2">
        <v>11259</v>
      </c>
      <c r="I5105" s="2">
        <v>1914.03</v>
      </c>
    </row>
    <row r="5106" spans="1:9" x14ac:dyDescent="0.25">
      <c r="A5106" t="s">
        <v>2794</v>
      </c>
      <c r="B5106" t="s">
        <v>2795</v>
      </c>
      <c r="C5106" t="s">
        <v>42</v>
      </c>
      <c r="D5106" t="s">
        <v>4062</v>
      </c>
      <c r="E5106" t="s">
        <v>6815</v>
      </c>
      <c r="F5106" t="s">
        <v>42</v>
      </c>
      <c r="G5106">
        <v>1.03</v>
      </c>
      <c r="H5106" s="2">
        <v>24031.18</v>
      </c>
      <c r="I5106" s="2">
        <v>24752.12</v>
      </c>
    </row>
    <row r="5107" spans="1:9" x14ac:dyDescent="0.25">
      <c r="A5107" t="s">
        <v>2794</v>
      </c>
      <c r="B5107" t="s">
        <v>2795</v>
      </c>
      <c r="C5107" t="s">
        <v>42</v>
      </c>
      <c r="D5107" t="s">
        <v>4062</v>
      </c>
      <c r="E5107" t="s">
        <v>4659</v>
      </c>
      <c r="F5107" t="s">
        <v>4377</v>
      </c>
      <c r="G5107">
        <v>0.01</v>
      </c>
      <c r="H5107" s="2">
        <v>31500</v>
      </c>
      <c r="I5107" s="2">
        <v>196.88</v>
      </c>
    </row>
    <row r="5108" spans="1:9" x14ac:dyDescent="0.25">
      <c r="A5108" t="s">
        <v>2794</v>
      </c>
      <c r="B5108" t="s">
        <v>2795</v>
      </c>
      <c r="C5108" t="s">
        <v>42</v>
      </c>
      <c r="D5108" t="s">
        <v>4062</v>
      </c>
      <c r="E5108" t="s">
        <v>4376</v>
      </c>
      <c r="F5108" t="s">
        <v>4377</v>
      </c>
      <c r="G5108">
        <v>0.01</v>
      </c>
      <c r="H5108" s="2">
        <v>72237.67</v>
      </c>
      <c r="I5108" s="2">
        <v>451.49</v>
      </c>
    </row>
    <row r="5109" spans="1:9" x14ac:dyDescent="0.25">
      <c r="A5109" t="s">
        <v>2794</v>
      </c>
      <c r="B5109" t="s">
        <v>2795</v>
      </c>
      <c r="C5109" t="s">
        <v>42</v>
      </c>
      <c r="D5109" t="s">
        <v>4049</v>
      </c>
      <c r="E5109" t="s">
        <v>4176</v>
      </c>
      <c r="F5109" t="s">
        <v>4177</v>
      </c>
      <c r="G5109">
        <v>0.05</v>
      </c>
      <c r="H5109" s="2">
        <v>72300.17</v>
      </c>
      <c r="I5109" s="2">
        <v>3615.01</v>
      </c>
    </row>
    <row r="5110" spans="1:9" x14ac:dyDescent="0.25">
      <c r="A5110" t="s">
        <v>2794</v>
      </c>
      <c r="B5110" t="s">
        <v>2795</v>
      </c>
      <c r="C5110" t="s">
        <v>42</v>
      </c>
      <c r="D5110" t="s">
        <v>4049</v>
      </c>
      <c r="E5110" t="s">
        <v>4223</v>
      </c>
      <c r="F5110" t="s">
        <v>4051</v>
      </c>
      <c r="G5110">
        <v>0.02</v>
      </c>
      <c r="H5110" s="2">
        <v>52807.59</v>
      </c>
      <c r="I5110" s="2">
        <v>792.11</v>
      </c>
    </row>
    <row r="5111" spans="1:9" x14ac:dyDescent="0.25">
      <c r="A5111" t="s">
        <v>2794</v>
      </c>
      <c r="B5111" t="s">
        <v>2795</v>
      </c>
      <c r="C5111" t="s">
        <v>42</v>
      </c>
      <c r="D5111" t="s">
        <v>4049</v>
      </c>
      <c r="E5111" t="s">
        <v>4313</v>
      </c>
      <c r="F5111" t="s">
        <v>4177</v>
      </c>
      <c r="G5111">
        <v>0.05</v>
      </c>
      <c r="H5111" s="2">
        <v>124137.15</v>
      </c>
      <c r="I5111" s="2">
        <v>6206.86</v>
      </c>
    </row>
    <row r="5112" spans="1:9" x14ac:dyDescent="0.25">
      <c r="A5112" t="s">
        <v>2794</v>
      </c>
      <c r="B5112" t="s">
        <v>2795</v>
      </c>
      <c r="C5112" t="s">
        <v>42</v>
      </c>
      <c r="D5112" t="s">
        <v>4052</v>
      </c>
      <c r="E5112" t="s">
        <v>4053</v>
      </c>
      <c r="F5112" t="s">
        <v>4054</v>
      </c>
      <c r="G5112">
        <v>7.1</v>
      </c>
      <c r="H5112" s="2">
        <v>10613.98</v>
      </c>
      <c r="I5112" s="2">
        <v>753.59</v>
      </c>
    </row>
    <row r="5113" spans="1:9" x14ac:dyDescent="0.25">
      <c r="A5113" t="s">
        <v>2797</v>
      </c>
      <c r="B5113" t="s">
        <v>2798</v>
      </c>
      <c r="C5113" t="s">
        <v>42</v>
      </c>
      <c r="D5113" t="s">
        <v>4062</v>
      </c>
      <c r="E5113" t="s">
        <v>6818</v>
      </c>
      <c r="F5113" t="s">
        <v>63</v>
      </c>
      <c r="G5113">
        <v>0.17</v>
      </c>
      <c r="H5113" s="2">
        <v>31158.5</v>
      </c>
      <c r="I5113" s="2">
        <v>5296.95</v>
      </c>
    </row>
    <row r="5114" spans="1:9" x14ac:dyDescent="0.25">
      <c r="A5114" t="s">
        <v>2797</v>
      </c>
      <c r="B5114" t="s">
        <v>2798</v>
      </c>
      <c r="C5114" t="s">
        <v>42</v>
      </c>
      <c r="D5114" t="s">
        <v>4062</v>
      </c>
      <c r="E5114" t="s">
        <v>6819</v>
      </c>
      <c r="F5114" t="s">
        <v>42</v>
      </c>
      <c r="G5114">
        <v>1.03</v>
      </c>
      <c r="H5114" s="2">
        <v>49179</v>
      </c>
      <c r="I5114" s="2">
        <v>50654.37</v>
      </c>
    </row>
    <row r="5115" spans="1:9" x14ac:dyDescent="0.25">
      <c r="A5115" t="s">
        <v>2797</v>
      </c>
      <c r="B5115" t="s">
        <v>2798</v>
      </c>
      <c r="C5115" t="s">
        <v>42</v>
      </c>
      <c r="D5115" t="s">
        <v>4062</v>
      </c>
      <c r="E5115" t="s">
        <v>4354</v>
      </c>
      <c r="F5115" t="s">
        <v>4171</v>
      </c>
      <c r="G5115">
        <v>1</v>
      </c>
      <c r="H5115" s="2">
        <v>1148</v>
      </c>
      <c r="I5115" s="2">
        <v>1148</v>
      </c>
    </row>
    <row r="5116" spans="1:9" x14ac:dyDescent="0.25">
      <c r="A5116" t="s">
        <v>2797</v>
      </c>
      <c r="B5116" t="s">
        <v>2798</v>
      </c>
      <c r="C5116" t="s">
        <v>42</v>
      </c>
      <c r="D5116" t="s">
        <v>4049</v>
      </c>
      <c r="E5116" t="s">
        <v>4176</v>
      </c>
      <c r="F5116" t="s">
        <v>4177</v>
      </c>
      <c r="G5116">
        <v>0.05</v>
      </c>
      <c r="H5116" s="2">
        <v>72300.17</v>
      </c>
      <c r="I5116" s="2">
        <v>3615.01</v>
      </c>
    </row>
    <row r="5117" spans="1:9" x14ac:dyDescent="0.25">
      <c r="A5117" t="s">
        <v>2797</v>
      </c>
      <c r="B5117" t="s">
        <v>2798</v>
      </c>
      <c r="C5117" t="s">
        <v>42</v>
      </c>
      <c r="D5117" t="s">
        <v>4049</v>
      </c>
      <c r="E5117" t="s">
        <v>4223</v>
      </c>
      <c r="F5117" t="s">
        <v>4051</v>
      </c>
      <c r="G5117">
        <v>0.02</v>
      </c>
      <c r="H5117" s="2">
        <v>52807.59</v>
      </c>
      <c r="I5117" s="2">
        <v>792.11</v>
      </c>
    </row>
    <row r="5118" spans="1:9" x14ac:dyDescent="0.25">
      <c r="A5118" t="s">
        <v>2797</v>
      </c>
      <c r="B5118" t="s">
        <v>2798</v>
      </c>
      <c r="C5118" t="s">
        <v>42</v>
      </c>
      <c r="D5118" t="s">
        <v>4049</v>
      </c>
      <c r="E5118" t="s">
        <v>4313</v>
      </c>
      <c r="F5118" t="s">
        <v>4177</v>
      </c>
      <c r="G5118">
        <v>0.05</v>
      </c>
      <c r="H5118" s="2">
        <v>124137.15</v>
      </c>
      <c r="I5118" s="2">
        <v>6206.86</v>
      </c>
    </row>
    <row r="5119" spans="1:9" x14ac:dyDescent="0.25">
      <c r="A5119" t="s">
        <v>2797</v>
      </c>
      <c r="B5119" t="s">
        <v>2798</v>
      </c>
      <c r="C5119" t="s">
        <v>42</v>
      </c>
      <c r="D5119" t="s">
        <v>4052</v>
      </c>
      <c r="E5119" t="s">
        <v>4053</v>
      </c>
      <c r="F5119" t="s">
        <v>4054</v>
      </c>
      <c r="G5119">
        <v>7.1</v>
      </c>
      <c r="H5119" s="2">
        <v>10613.98</v>
      </c>
      <c r="I5119" s="2">
        <v>753.59</v>
      </c>
    </row>
    <row r="5120" spans="1:9" x14ac:dyDescent="0.25">
      <c r="A5120" t="s">
        <v>2800</v>
      </c>
      <c r="B5120" t="s">
        <v>2801</v>
      </c>
      <c r="C5120" t="s">
        <v>42</v>
      </c>
      <c r="D5120" t="s">
        <v>4062</v>
      </c>
      <c r="E5120" t="s">
        <v>6822</v>
      </c>
      <c r="F5120" t="s">
        <v>63</v>
      </c>
      <c r="G5120">
        <v>0.17</v>
      </c>
      <c r="H5120" s="2">
        <v>89694</v>
      </c>
      <c r="I5120" s="2">
        <v>15247.98</v>
      </c>
    </row>
    <row r="5121" spans="1:9" x14ac:dyDescent="0.25">
      <c r="A5121" t="s">
        <v>2800</v>
      </c>
      <c r="B5121" t="s">
        <v>2801</v>
      </c>
      <c r="C5121" t="s">
        <v>42</v>
      </c>
      <c r="D5121" t="s">
        <v>4062</v>
      </c>
      <c r="E5121" t="s">
        <v>6823</v>
      </c>
      <c r="F5121" t="s">
        <v>42</v>
      </c>
      <c r="G5121">
        <v>1.03</v>
      </c>
      <c r="H5121" s="2">
        <v>88472.9</v>
      </c>
      <c r="I5121" s="2">
        <v>91127.09</v>
      </c>
    </row>
    <row r="5122" spans="1:9" x14ac:dyDescent="0.25">
      <c r="A5122" t="s">
        <v>2800</v>
      </c>
      <c r="B5122" t="s">
        <v>2801</v>
      </c>
      <c r="C5122" t="s">
        <v>42</v>
      </c>
      <c r="D5122" t="s">
        <v>4062</v>
      </c>
      <c r="E5122" t="s">
        <v>4354</v>
      </c>
      <c r="F5122" t="s">
        <v>4171</v>
      </c>
      <c r="G5122">
        <v>1</v>
      </c>
      <c r="H5122" s="2">
        <v>1148</v>
      </c>
      <c r="I5122" s="2">
        <v>1148</v>
      </c>
    </row>
    <row r="5123" spans="1:9" x14ac:dyDescent="0.25">
      <c r="A5123" t="s">
        <v>2800</v>
      </c>
      <c r="B5123" t="s">
        <v>2801</v>
      </c>
      <c r="C5123" t="s">
        <v>42</v>
      </c>
      <c r="D5123" t="s">
        <v>4049</v>
      </c>
      <c r="E5123" t="s">
        <v>4176</v>
      </c>
      <c r="F5123" t="s">
        <v>4177</v>
      </c>
      <c r="G5123">
        <v>0.05</v>
      </c>
      <c r="H5123" s="2">
        <v>72300.17</v>
      </c>
      <c r="I5123" s="2">
        <v>3615.01</v>
      </c>
    </row>
    <row r="5124" spans="1:9" x14ac:dyDescent="0.25">
      <c r="A5124" t="s">
        <v>2800</v>
      </c>
      <c r="B5124" t="s">
        <v>2801</v>
      </c>
      <c r="C5124" t="s">
        <v>42</v>
      </c>
      <c r="D5124" t="s">
        <v>4049</v>
      </c>
      <c r="E5124" t="s">
        <v>4223</v>
      </c>
      <c r="F5124" t="s">
        <v>4051</v>
      </c>
      <c r="G5124">
        <v>0.01</v>
      </c>
      <c r="H5124" s="2">
        <v>52807.59</v>
      </c>
      <c r="I5124" s="2">
        <v>660.09</v>
      </c>
    </row>
    <row r="5125" spans="1:9" x14ac:dyDescent="0.25">
      <c r="A5125" t="s">
        <v>2800</v>
      </c>
      <c r="B5125" t="s">
        <v>2801</v>
      </c>
      <c r="C5125" t="s">
        <v>42</v>
      </c>
      <c r="D5125" t="s">
        <v>4049</v>
      </c>
      <c r="E5125" t="s">
        <v>4313</v>
      </c>
      <c r="F5125" t="s">
        <v>4177</v>
      </c>
      <c r="G5125">
        <v>0.03</v>
      </c>
      <c r="H5125" s="2">
        <v>124137.15</v>
      </c>
      <c r="I5125" s="2">
        <v>3103.43</v>
      </c>
    </row>
    <row r="5126" spans="1:9" x14ac:dyDescent="0.25">
      <c r="A5126" t="s">
        <v>2800</v>
      </c>
      <c r="B5126" t="s">
        <v>2801</v>
      </c>
      <c r="C5126" t="s">
        <v>42</v>
      </c>
      <c r="D5126" t="s">
        <v>4052</v>
      </c>
      <c r="E5126" t="s">
        <v>4053</v>
      </c>
      <c r="F5126" t="s">
        <v>4054</v>
      </c>
      <c r="G5126">
        <v>7.1</v>
      </c>
      <c r="H5126" s="2">
        <v>7378.53</v>
      </c>
      <c r="I5126" s="2">
        <v>523.88</v>
      </c>
    </row>
    <row r="5127" spans="1:9" x14ac:dyDescent="0.25">
      <c r="A5127" t="s">
        <v>2803</v>
      </c>
      <c r="B5127" t="s">
        <v>2804</v>
      </c>
      <c r="C5127" t="s">
        <v>63</v>
      </c>
      <c r="D5127" t="s">
        <v>4062</v>
      </c>
      <c r="E5127" t="s">
        <v>6826</v>
      </c>
      <c r="F5127" t="s">
        <v>63</v>
      </c>
      <c r="G5127">
        <v>1</v>
      </c>
      <c r="H5127" s="2">
        <v>21316</v>
      </c>
      <c r="I5127" s="2">
        <v>21316</v>
      </c>
    </row>
    <row r="5128" spans="1:9" x14ac:dyDescent="0.25">
      <c r="A5128" t="s">
        <v>2803</v>
      </c>
      <c r="B5128" t="s">
        <v>2804</v>
      </c>
      <c r="C5128" t="s">
        <v>63</v>
      </c>
      <c r="D5128" t="s">
        <v>4062</v>
      </c>
      <c r="E5128" t="s">
        <v>4659</v>
      </c>
      <c r="F5128" t="s">
        <v>4377</v>
      </c>
      <c r="G5128">
        <v>0.03</v>
      </c>
      <c r="H5128" s="2">
        <v>31500</v>
      </c>
      <c r="I5128" s="2">
        <v>787.5</v>
      </c>
    </row>
    <row r="5129" spans="1:9" x14ac:dyDescent="0.25">
      <c r="A5129" t="s">
        <v>2803</v>
      </c>
      <c r="B5129" t="s">
        <v>2804</v>
      </c>
      <c r="C5129" t="s">
        <v>63</v>
      </c>
      <c r="D5129" t="s">
        <v>4062</v>
      </c>
      <c r="E5129" t="s">
        <v>4376</v>
      </c>
      <c r="F5129" t="s">
        <v>4377</v>
      </c>
      <c r="G5129">
        <v>0.03</v>
      </c>
      <c r="H5129" s="2">
        <v>72237.67</v>
      </c>
      <c r="I5129" s="2">
        <v>1805.94</v>
      </c>
    </row>
    <row r="5130" spans="1:9" x14ac:dyDescent="0.25">
      <c r="A5130" t="s">
        <v>2803</v>
      </c>
      <c r="B5130" t="s">
        <v>2804</v>
      </c>
      <c r="C5130" t="s">
        <v>63</v>
      </c>
      <c r="D5130" t="s">
        <v>4049</v>
      </c>
      <c r="E5130" t="s">
        <v>4241</v>
      </c>
      <c r="F5130" t="s">
        <v>4051</v>
      </c>
      <c r="G5130">
        <v>0.02</v>
      </c>
      <c r="H5130" s="2">
        <v>9941.22</v>
      </c>
      <c r="I5130" s="2">
        <v>198.82</v>
      </c>
    </row>
    <row r="5131" spans="1:9" x14ac:dyDescent="0.25">
      <c r="A5131" t="s">
        <v>2803</v>
      </c>
      <c r="B5131" t="s">
        <v>2804</v>
      </c>
      <c r="C5131" t="s">
        <v>63</v>
      </c>
      <c r="D5131" t="s">
        <v>4049</v>
      </c>
      <c r="E5131" t="s">
        <v>4242</v>
      </c>
      <c r="F5131" t="s">
        <v>4051</v>
      </c>
      <c r="G5131">
        <v>0.02</v>
      </c>
      <c r="H5131" s="2">
        <v>17069.53</v>
      </c>
      <c r="I5131" s="2">
        <v>341.39</v>
      </c>
    </row>
    <row r="5132" spans="1:9" x14ac:dyDescent="0.25">
      <c r="A5132" t="s">
        <v>2803</v>
      </c>
      <c r="B5132" t="s">
        <v>2804</v>
      </c>
      <c r="C5132" t="s">
        <v>63</v>
      </c>
      <c r="D5132" t="s">
        <v>4052</v>
      </c>
      <c r="E5132" t="s">
        <v>4053</v>
      </c>
      <c r="F5132" t="s">
        <v>4054</v>
      </c>
      <c r="G5132">
        <v>3.4</v>
      </c>
      <c r="H5132" s="2">
        <v>540.21</v>
      </c>
      <c r="I5132" s="2">
        <v>18.37</v>
      </c>
    </row>
    <row r="5133" spans="1:9" x14ac:dyDescent="0.25">
      <c r="A5133" t="s">
        <v>2806</v>
      </c>
      <c r="B5133" t="s">
        <v>2807</v>
      </c>
      <c r="C5133" t="s">
        <v>63</v>
      </c>
      <c r="D5133" t="s">
        <v>4062</v>
      </c>
      <c r="E5133" t="s">
        <v>6829</v>
      </c>
      <c r="F5133" t="s">
        <v>63</v>
      </c>
      <c r="G5133">
        <v>1</v>
      </c>
      <c r="H5133" s="2">
        <v>7012</v>
      </c>
      <c r="I5133" s="2">
        <v>7012</v>
      </c>
    </row>
    <row r="5134" spans="1:9" x14ac:dyDescent="0.25">
      <c r="A5134" t="s">
        <v>2806</v>
      </c>
      <c r="B5134" t="s">
        <v>2807</v>
      </c>
      <c r="C5134" t="s">
        <v>63</v>
      </c>
      <c r="D5134" t="s">
        <v>4062</v>
      </c>
      <c r="E5134" t="s">
        <v>4659</v>
      </c>
      <c r="F5134" t="s">
        <v>4377</v>
      </c>
      <c r="G5134">
        <v>0</v>
      </c>
      <c r="H5134" s="2">
        <v>31500</v>
      </c>
      <c r="I5134" s="2">
        <v>126</v>
      </c>
    </row>
    <row r="5135" spans="1:9" x14ac:dyDescent="0.25">
      <c r="A5135" t="s">
        <v>2806</v>
      </c>
      <c r="B5135" t="s">
        <v>2807</v>
      </c>
      <c r="C5135" t="s">
        <v>63</v>
      </c>
      <c r="D5135" t="s">
        <v>4062</v>
      </c>
      <c r="E5135" t="s">
        <v>4376</v>
      </c>
      <c r="F5135" t="s">
        <v>4377</v>
      </c>
      <c r="G5135">
        <v>0</v>
      </c>
      <c r="H5135" s="2">
        <v>72237.67</v>
      </c>
      <c r="I5135" s="2">
        <v>288.95</v>
      </c>
    </row>
    <row r="5136" spans="1:9" x14ac:dyDescent="0.25">
      <c r="A5136" t="s">
        <v>2806</v>
      </c>
      <c r="B5136" t="s">
        <v>2807</v>
      </c>
      <c r="C5136" t="s">
        <v>63</v>
      </c>
      <c r="D5136" t="s">
        <v>4049</v>
      </c>
      <c r="E5136" t="s">
        <v>4241</v>
      </c>
      <c r="F5136" t="s">
        <v>4051</v>
      </c>
      <c r="G5136">
        <v>0.05</v>
      </c>
      <c r="H5136" s="2">
        <v>9941.22</v>
      </c>
      <c r="I5136" s="2">
        <v>497.06</v>
      </c>
    </row>
    <row r="5137" spans="1:9" x14ac:dyDescent="0.25">
      <c r="A5137" t="s">
        <v>2806</v>
      </c>
      <c r="B5137" t="s">
        <v>2807</v>
      </c>
      <c r="C5137" t="s">
        <v>63</v>
      </c>
      <c r="D5137" t="s">
        <v>4049</v>
      </c>
      <c r="E5137" t="s">
        <v>4242</v>
      </c>
      <c r="F5137" t="s">
        <v>4051</v>
      </c>
      <c r="G5137">
        <v>0.05</v>
      </c>
      <c r="H5137" s="2">
        <v>17069.53</v>
      </c>
      <c r="I5137" s="2">
        <v>853.48</v>
      </c>
    </row>
    <row r="5138" spans="1:9" x14ac:dyDescent="0.25">
      <c r="A5138" t="s">
        <v>2806</v>
      </c>
      <c r="B5138" t="s">
        <v>2807</v>
      </c>
      <c r="C5138" t="s">
        <v>63</v>
      </c>
      <c r="D5138" t="s">
        <v>4052</v>
      </c>
      <c r="E5138" t="s">
        <v>4053</v>
      </c>
      <c r="F5138" t="s">
        <v>4054</v>
      </c>
      <c r="G5138">
        <v>3.4</v>
      </c>
      <c r="H5138" s="2">
        <v>1350.54</v>
      </c>
      <c r="I5138" s="2">
        <v>45.92</v>
      </c>
    </row>
    <row r="5139" spans="1:9" x14ac:dyDescent="0.25">
      <c r="A5139" t="s">
        <v>2809</v>
      </c>
      <c r="B5139" t="s">
        <v>2810</v>
      </c>
      <c r="C5139" t="s">
        <v>63</v>
      </c>
      <c r="D5139" t="s">
        <v>4062</v>
      </c>
      <c r="E5139" t="s">
        <v>6832</v>
      </c>
      <c r="F5139" t="s">
        <v>63</v>
      </c>
      <c r="G5139">
        <v>1</v>
      </c>
      <c r="H5139" s="2">
        <v>14405</v>
      </c>
      <c r="I5139" s="2">
        <v>14405</v>
      </c>
    </row>
    <row r="5140" spans="1:9" x14ac:dyDescent="0.25">
      <c r="A5140" t="s">
        <v>2809</v>
      </c>
      <c r="B5140" t="s">
        <v>2810</v>
      </c>
      <c r="C5140" t="s">
        <v>63</v>
      </c>
      <c r="D5140" t="s">
        <v>4062</v>
      </c>
      <c r="E5140" t="s">
        <v>4659</v>
      </c>
      <c r="F5140" t="s">
        <v>4377</v>
      </c>
      <c r="G5140">
        <v>0.01</v>
      </c>
      <c r="H5140" s="2">
        <v>31500</v>
      </c>
      <c r="I5140" s="2">
        <v>393.75</v>
      </c>
    </row>
    <row r="5141" spans="1:9" x14ac:dyDescent="0.25">
      <c r="A5141" t="s">
        <v>2809</v>
      </c>
      <c r="B5141" t="s">
        <v>2810</v>
      </c>
      <c r="C5141" t="s">
        <v>63</v>
      </c>
      <c r="D5141" t="s">
        <v>4062</v>
      </c>
      <c r="E5141" t="s">
        <v>4376</v>
      </c>
      <c r="F5141" t="s">
        <v>4377</v>
      </c>
      <c r="G5141">
        <v>0.01</v>
      </c>
      <c r="H5141" s="2">
        <v>72237.67</v>
      </c>
      <c r="I5141" s="2">
        <v>902.97</v>
      </c>
    </row>
    <row r="5142" spans="1:9" x14ac:dyDescent="0.25">
      <c r="A5142" t="s">
        <v>2809</v>
      </c>
      <c r="B5142" t="s">
        <v>2810</v>
      </c>
      <c r="C5142" t="s">
        <v>63</v>
      </c>
      <c r="D5142" t="s">
        <v>4049</v>
      </c>
      <c r="E5142" t="s">
        <v>4241</v>
      </c>
      <c r="F5142" t="s">
        <v>4051</v>
      </c>
      <c r="G5142">
        <v>0.04</v>
      </c>
      <c r="H5142" s="2">
        <v>9941.22</v>
      </c>
      <c r="I5142" s="2">
        <v>397.65</v>
      </c>
    </row>
    <row r="5143" spans="1:9" x14ac:dyDescent="0.25">
      <c r="A5143" t="s">
        <v>2809</v>
      </c>
      <c r="B5143" t="s">
        <v>2810</v>
      </c>
      <c r="C5143" t="s">
        <v>63</v>
      </c>
      <c r="D5143" t="s">
        <v>4049</v>
      </c>
      <c r="E5143" t="s">
        <v>4242</v>
      </c>
      <c r="F5143" t="s">
        <v>4051</v>
      </c>
      <c r="G5143">
        <v>0.04</v>
      </c>
      <c r="H5143" s="2">
        <v>17069.53</v>
      </c>
      <c r="I5143" s="2">
        <v>682.78</v>
      </c>
    </row>
    <row r="5144" spans="1:9" x14ac:dyDescent="0.25">
      <c r="A5144" t="s">
        <v>2809</v>
      </c>
      <c r="B5144" t="s">
        <v>2810</v>
      </c>
      <c r="C5144" t="s">
        <v>63</v>
      </c>
      <c r="D5144" t="s">
        <v>4052</v>
      </c>
      <c r="E5144" t="s">
        <v>4053</v>
      </c>
      <c r="F5144" t="s">
        <v>4054</v>
      </c>
      <c r="G5144">
        <v>3.4</v>
      </c>
      <c r="H5144" s="2">
        <v>1080.43</v>
      </c>
      <c r="I5144" s="2">
        <v>36.73</v>
      </c>
    </row>
    <row r="5145" spans="1:9" x14ac:dyDescent="0.25">
      <c r="A5145" t="s">
        <v>2812</v>
      </c>
      <c r="B5145" t="s">
        <v>2813</v>
      </c>
      <c r="C5145" t="s">
        <v>63</v>
      </c>
      <c r="D5145" t="s">
        <v>4062</v>
      </c>
      <c r="E5145" t="s">
        <v>6835</v>
      </c>
      <c r="F5145" t="s">
        <v>63</v>
      </c>
      <c r="G5145">
        <v>1</v>
      </c>
      <c r="H5145" s="2">
        <v>24832</v>
      </c>
      <c r="I5145" s="2">
        <v>24832</v>
      </c>
    </row>
    <row r="5146" spans="1:9" x14ac:dyDescent="0.25">
      <c r="A5146" t="s">
        <v>2812</v>
      </c>
      <c r="B5146" t="s">
        <v>2813</v>
      </c>
      <c r="C5146" t="s">
        <v>63</v>
      </c>
      <c r="D5146" t="s">
        <v>4062</v>
      </c>
      <c r="E5146" t="s">
        <v>4659</v>
      </c>
      <c r="F5146" t="s">
        <v>4377</v>
      </c>
      <c r="G5146">
        <v>0.02</v>
      </c>
      <c r="H5146" s="2">
        <v>31500</v>
      </c>
      <c r="I5146" s="2">
        <v>598.5</v>
      </c>
    </row>
    <row r="5147" spans="1:9" x14ac:dyDescent="0.25">
      <c r="A5147" t="s">
        <v>2812</v>
      </c>
      <c r="B5147" t="s">
        <v>2813</v>
      </c>
      <c r="C5147" t="s">
        <v>63</v>
      </c>
      <c r="D5147" t="s">
        <v>4062</v>
      </c>
      <c r="E5147" t="s">
        <v>4376</v>
      </c>
      <c r="F5147" t="s">
        <v>4377</v>
      </c>
      <c r="G5147">
        <v>0.02</v>
      </c>
      <c r="H5147" s="2">
        <v>72237.67</v>
      </c>
      <c r="I5147" s="2">
        <v>1372.52</v>
      </c>
    </row>
    <row r="5148" spans="1:9" x14ac:dyDescent="0.25">
      <c r="A5148" t="s">
        <v>2812</v>
      </c>
      <c r="B5148" t="s">
        <v>2813</v>
      </c>
      <c r="C5148" t="s">
        <v>63</v>
      </c>
      <c r="D5148" t="s">
        <v>4049</v>
      </c>
      <c r="E5148" t="s">
        <v>4241</v>
      </c>
      <c r="F5148" t="s">
        <v>4051</v>
      </c>
      <c r="G5148">
        <v>0.04</v>
      </c>
      <c r="H5148" s="2">
        <v>9941.22</v>
      </c>
      <c r="I5148" s="2">
        <v>397.65</v>
      </c>
    </row>
    <row r="5149" spans="1:9" x14ac:dyDescent="0.25">
      <c r="A5149" t="s">
        <v>2812</v>
      </c>
      <c r="B5149" t="s">
        <v>2813</v>
      </c>
      <c r="C5149" t="s">
        <v>63</v>
      </c>
      <c r="D5149" t="s">
        <v>4049</v>
      </c>
      <c r="E5149" t="s">
        <v>4242</v>
      </c>
      <c r="F5149" t="s">
        <v>4051</v>
      </c>
      <c r="G5149">
        <v>0.04</v>
      </c>
      <c r="H5149" s="2">
        <v>17069.53</v>
      </c>
      <c r="I5149" s="2">
        <v>682.78</v>
      </c>
    </row>
    <row r="5150" spans="1:9" x14ac:dyDescent="0.25">
      <c r="A5150" t="s">
        <v>2812</v>
      </c>
      <c r="B5150" t="s">
        <v>2813</v>
      </c>
      <c r="C5150" t="s">
        <v>63</v>
      </c>
      <c r="D5150" t="s">
        <v>4052</v>
      </c>
      <c r="E5150" t="s">
        <v>4053</v>
      </c>
      <c r="F5150" t="s">
        <v>4054</v>
      </c>
      <c r="G5150">
        <v>3.4</v>
      </c>
      <c r="H5150" s="2">
        <v>1080.43</v>
      </c>
      <c r="I5150" s="2">
        <v>36.73</v>
      </c>
    </row>
    <row r="5151" spans="1:9" x14ac:dyDescent="0.25">
      <c r="A5151" t="s">
        <v>2815</v>
      </c>
      <c r="B5151" t="s">
        <v>2816</v>
      </c>
      <c r="C5151" t="s">
        <v>63</v>
      </c>
      <c r="D5151" t="s">
        <v>4062</v>
      </c>
      <c r="E5151" t="s">
        <v>6838</v>
      </c>
      <c r="F5151" t="s">
        <v>63</v>
      </c>
      <c r="G5151">
        <v>1</v>
      </c>
      <c r="H5151" s="2">
        <v>118598</v>
      </c>
      <c r="I5151" s="2">
        <v>118598</v>
      </c>
    </row>
    <row r="5152" spans="1:9" x14ac:dyDescent="0.25">
      <c r="A5152" t="s">
        <v>2815</v>
      </c>
      <c r="B5152" t="s">
        <v>2816</v>
      </c>
      <c r="C5152" t="s">
        <v>63</v>
      </c>
      <c r="D5152" t="s">
        <v>4062</v>
      </c>
      <c r="E5152" t="s">
        <v>4659</v>
      </c>
      <c r="F5152" t="s">
        <v>4377</v>
      </c>
      <c r="G5152">
        <v>0.12</v>
      </c>
      <c r="H5152" s="2">
        <v>31500</v>
      </c>
      <c r="I5152" s="2">
        <v>3780</v>
      </c>
    </row>
    <row r="5153" spans="1:9" x14ac:dyDescent="0.25">
      <c r="A5153" t="s">
        <v>2815</v>
      </c>
      <c r="B5153" t="s">
        <v>2816</v>
      </c>
      <c r="C5153" t="s">
        <v>63</v>
      </c>
      <c r="D5153" t="s">
        <v>4062</v>
      </c>
      <c r="E5153" t="s">
        <v>4376</v>
      </c>
      <c r="F5153" t="s">
        <v>4377</v>
      </c>
      <c r="G5153">
        <v>0.12</v>
      </c>
      <c r="H5153" s="2">
        <v>72237.67</v>
      </c>
      <c r="I5153" s="2">
        <v>8668.52</v>
      </c>
    </row>
    <row r="5154" spans="1:9" x14ac:dyDescent="0.25">
      <c r="A5154" t="s">
        <v>2815</v>
      </c>
      <c r="B5154" t="s">
        <v>2816</v>
      </c>
      <c r="C5154" t="s">
        <v>63</v>
      </c>
      <c r="D5154" t="s">
        <v>4049</v>
      </c>
      <c r="E5154" t="s">
        <v>4241</v>
      </c>
      <c r="F5154" t="s">
        <v>4051</v>
      </c>
      <c r="G5154">
        <v>0.04</v>
      </c>
      <c r="H5154" s="2">
        <v>9941.22</v>
      </c>
      <c r="I5154" s="2">
        <v>397.65</v>
      </c>
    </row>
    <row r="5155" spans="1:9" x14ac:dyDescent="0.25">
      <c r="A5155" t="s">
        <v>2815</v>
      </c>
      <c r="B5155" t="s">
        <v>2816</v>
      </c>
      <c r="C5155" t="s">
        <v>63</v>
      </c>
      <c r="D5155" t="s">
        <v>4049</v>
      </c>
      <c r="E5155" t="s">
        <v>4242</v>
      </c>
      <c r="F5155" t="s">
        <v>4051</v>
      </c>
      <c r="G5155">
        <v>0.04</v>
      </c>
      <c r="H5155" s="2">
        <v>17069.53</v>
      </c>
      <c r="I5155" s="2">
        <v>682.78</v>
      </c>
    </row>
    <row r="5156" spans="1:9" x14ac:dyDescent="0.25">
      <c r="A5156" t="s">
        <v>2815</v>
      </c>
      <c r="B5156" t="s">
        <v>2816</v>
      </c>
      <c r="C5156" t="s">
        <v>63</v>
      </c>
      <c r="D5156" t="s">
        <v>4052</v>
      </c>
      <c r="E5156" t="s">
        <v>4053</v>
      </c>
      <c r="F5156" t="s">
        <v>4054</v>
      </c>
      <c r="G5156">
        <v>3.4</v>
      </c>
      <c r="H5156" s="2">
        <v>1080.43</v>
      </c>
      <c r="I5156" s="2">
        <v>36.73</v>
      </c>
    </row>
    <row r="5157" spans="1:9" x14ac:dyDescent="0.25">
      <c r="A5157" t="s">
        <v>2818</v>
      </c>
      <c r="B5157" t="s">
        <v>2819</v>
      </c>
      <c r="C5157" t="s">
        <v>63</v>
      </c>
      <c r="D5157" t="s">
        <v>4062</v>
      </c>
      <c r="E5157" t="s">
        <v>4383</v>
      </c>
      <c r="F5157" t="s">
        <v>63</v>
      </c>
      <c r="G5157">
        <v>1</v>
      </c>
      <c r="H5157" s="2">
        <v>2412</v>
      </c>
      <c r="I5157" s="2">
        <v>2412</v>
      </c>
    </row>
    <row r="5158" spans="1:9" x14ac:dyDescent="0.25">
      <c r="A5158" t="s">
        <v>2818</v>
      </c>
      <c r="B5158" t="s">
        <v>2819</v>
      </c>
      <c r="C5158" t="s">
        <v>63</v>
      </c>
      <c r="D5158" t="s">
        <v>4062</v>
      </c>
      <c r="E5158" t="s">
        <v>4659</v>
      </c>
      <c r="F5158" t="s">
        <v>4377</v>
      </c>
      <c r="G5158">
        <v>0.01</v>
      </c>
      <c r="H5158" s="2">
        <v>31500</v>
      </c>
      <c r="I5158" s="2">
        <v>409.5</v>
      </c>
    </row>
    <row r="5159" spans="1:9" x14ac:dyDescent="0.25">
      <c r="A5159" t="s">
        <v>2818</v>
      </c>
      <c r="B5159" t="s">
        <v>2819</v>
      </c>
      <c r="C5159" t="s">
        <v>63</v>
      </c>
      <c r="D5159" t="s">
        <v>4062</v>
      </c>
      <c r="E5159" t="s">
        <v>4376</v>
      </c>
      <c r="F5159" t="s">
        <v>4377</v>
      </c>
      <c r="G5159">
        <v>0.01</v>
      </c>
      <c r="H5159" s="2">
        <v>72237.67</v>
      </c>
      <c r="I5159" s="2">
        <v>939.09</v>
      </c>
    </row>
    <row r="5160" spans="1:9" x14ac:dyDescent="0.25">
      <c r="A5160" t="s">
        <v>2818</v>
      </c>
      <c r="B5160" t="s">
        <v>2819</v>
      </c>
      <c r="C5160" t="s">
        <v>63</v>
      </c>
      <c r="D5160" t="s">
        <v>4049</v>
      </c>
      <c r="E5160" t="s">
        <v>4241</v>
      </c>
      <c r="F5160" t="s">
        <v>4051</v>
      </c>
      <c r="G5160">
        <v>0.02</v>
      </c>
      <c r="H5160" s="2">
        <v>9941.22</v>
      </c>
      <c r="I5160" s="2">
        <v>198.82</v>
      </c>
    </row>
    <row r="5161" spans="1:9" x14ac:dyDescent="0.25">
      <c r="A5161" t="s">
        <v>2818</v>
      </c>
      <c r="B5161" t="s">
        <v>2819</v>
      </c>
      <c r="C5161" t="s">
        <v>63</v>
      </c>
      <c r="D5161" t="s">
        <v>4049</v>
      </c>
      <c r="E5161" t="s">
        <v>4242</v>
      </c>
      <c r="F5161" t="s">
        <v>4051</v>
      </c>
      <c r="G5161">
        <v>0.02</v>
      </c>
      <c r="H5161" s="2">
        <v>17069.53</v>
      </c>
      <c r="I5161" s="2">
        <v>341.39</v>
      </c>
    </row>
    <row r="5162" spans="1:9" x14ac:dyDescent="0.25">
      <c r="A5162" t="s">
        <v>2818</v>
      </c>
      <c r="B5162" t="s">
        <v>2819</v>
      </c>
      <c r="C5162" t="s">
        <v>63</v>
      </c>
      <c r="D5162" t="s">
        <v>4052</v>
      </c>
      <c r="E5162" t="s">
        <v>4053</v>
      </c>
      <c r="F5162" t="s">
        <v>4054</v>
      </c>
      <c r="G5162">
        <v>3.4</v>
      </c>
      <c r="H5162" s="2">
        <v>540.21</v>
      </c>
      <c r="I5162" s="2">
        <v>18.37</v>
      </c>
    </row>
    <row r="5163" spans="1:9" x14ac:dyDescent="0.25">
      <c r="A5163" t="s">
        <v>2821</v>
      </c>
      <c r="B5163" t="s">
        <v>2822</v>
      </c>
      <c r="C5163" t="s">
        <v>63</v>
      </c>
      <c r="D5163" t="s">
        <v>4062</v>
      </c>
      <c r="E5163" t="s">
        <v>6843</v>
      </c>
      <c r="F5163" t="s">
        <v>63</v>
      </c>
      <c r="G5163">
        <v>1</v>
      </c>
      <c r="H5163" s="2">
        <v>3560</v>
      </c>
      <c r="I5163" s="2">
        <v>3560</v>
      </c>
    </row>
    <row r="5164" spans="1:9" x14ac:dyDescent="0.25">
      <c r="A5164" t="s">
        <v>2821</v>
      </c>
      <c r="B5164" t="s">
        <v>2822</v>
      </c>
      <c r="C5164" t="s">
        <v>63</v>
      </c>
      <c r="D5164" t="s">
        <v>4062</v>
      </c>
      <c r="E5164" t="s">
        <v>4659</v>
      </c>
      <c r="F5164" t="s">
        <v>4377</v>
      </c>
      <c r="G5164">
        <v>0.02</v>
      </c>
      <c r="H5164" s="2">
        <v>31500</v>
      </c>
      <c r="I5164" s="2">
        <v>504</v>
      </c>
    </row>
    <row r="5165" spans="1:9" x14ac:dyDescent="0.25">
      <c r="A5165" t="s">
        <v>2821</v>
      </c>
      <c r="B5165" t="s">
        <v>2822</v>
      </c>
      <c r="C5165" t="s">
        <v>63</v>
      </c>
      <c r="D5165" t="s">
        <v>4062</v>
      </c>
      <c r="E5165" t="s">
        <v>4376</v>
      </c>
      <c r="F5165" t="s">
        <v>4377</v>
      </c>
      <c r="G5165">
        <v>0.02</v>
      </c>
      <c r="H5165" s="2">
        <v>72237.67</v>
      </c>
      <c r="I5165" s="2">
        <v>1155.8</v>
      </c>
    </row>
    <row r="5166" spans="1:9" x14ac:dyDescent="0.25">
      <c r="A5166" t="s">
        <v>2821</v>
      </c>
      <c r="B5166" t="s">
        <v>2822</v>
      </c>
      <c r="C5166" t="s">
        <v>63</v>
      </c>
      <c r="D5166" t="s">
        <v>4049</v>
      </c>
      <c r="E5166" t="s">
        <v>4241</v>
      </c>
      <c r="F5166" t="s">
        <v>4051</v>
      </c>
      <c r="G5166">
        <v>0.02</v>
      </c>
      <c r="H5166" s="2">
        <v>9941.22</v>
      </c>
      <c r="I5166" s="2">
        <v>198.82</v>
      </c>
    </row>
    <row r="5167" spans="1:9" x14ac:dyDescent="0.25">
      <c r="A5167" t="s">
        <v>2821</v>
      </c>
      <c r="B5167" t="s">
        <v>2822</v>
      </c>
      <c r="C5167" t="s">
        <v>63</v>
      </c>
      <c r="D5167" t="s">
        <v>4049</v>
      </c>
      <c r="E5167" t="s">
        <v>4242</v>
      </c>
      <c r="F5167" t="s">
        <v>4051</v>
      </c>
      <c r="G5167">
        <v>0.02</v>
      </c>
      <c r="H5167" s="2">
        <v>17069.53</v>
      </c>
      <c r="I5167" s="2">
        <v>341.39</v>
      </c>
    </row>
    <row r="5168" spans="1:9" x14ac:dyDescent="0.25">
      <c r="A5168" t="s">
        <v>2821</v>
      </c>
      <c r="B5168" t="s">
        <v>2822</v>
      </c>
      <c r="C5168" t="s">
        <v>63</v>
      </c>
      <c r="D5168" t="s">
        <v>4052</v>
      </c>
      <c r="E5168" t="s">
        <v>4053</v>
      </c>
      <c r="F5168" t="s">
        <v>4054</v>
      </c>
      <c r="G5168">
        <v>3.4</v>
      </c>
      <c r="H5168" s="2">
        <v>540.21</v>
      </c>
      <c r="I5168" s="2">
        <v>18.37</v>
      </c>
    </row>
    <row r="5169" spans="1:9" x14ac:dyDescent="0.25">
      <c r="A5169" t="s">
        <v>2824</v>
      </c>
      <c r="B5169" t="s">
        <v>2825</v>
      </c>
      <c r="C5169" t="s">
        <v>63</v>
      </c>
      <c r="D5169" t="s">
        <v>4062</v>
      </c>
      <c r="E5169" t="s">
        <v>4387</v>
      </c>
      <c r="F5169" t="s">
        <v>63</v>
      </c>
      <c r="G5169">
        <v>1</v>
      </c>
      <c r="H5169" s="2">
        <v>7107</v>
      </c>
      <c r="I5169" s="2">
        <v>7107</v>
      </c>
    </row>
    <row r="5170" spans="1:9" x14ac:dyDescent="0.25">
      <c r="A5170" t="s">
        <v>2824</v>
      </c>
      <c r="B5170" t="s">
        <v>2825</v>
      </c>
      <c r="C5170" t="s">
        <v>63</v>
      </c>
      <c r="D5170" t="s">
        <v>4062</v>
      </c>
      <c r="E5170" t="s">
        <v>4659</v>
      </c>
      <c r="F5170" t="s">
        <v>4377</v>
      </c>
      <c r="G5170">
        <v>0.02</v>
      </c>
      <c r="H5170" s="2">
        <v>31500</v>
      </c>
      <c r="I5170" s="2">
        <v>567</v>
      </c>
    </row>
    <row r="5171" spans="1:9" x14ac:dyDescent="0.25">
      <c r="A5171" t="s">
        <v>2824</v>
      </c>
      <c r="B5171" t="s">
        <v>2825</v>
      </c>
      <c r="C5171" t="s">
        <v>63</v>
      </c>
      <c r="D5171" t="s">
        <v>4062</v>
      </c>
      <c r="E5171" t="s">
        <v>4376</v>
      </c>
      <c r="F5171" t="s">
        <v>4377</v>
      </c>
      <c r="G5171">
        <v>0.02</v>
      </c>
      <c r="H5171" s="2">
        <v>72237.67</v>
      </c>
      <c r="I5171" s="2">
        <v>1300.28</v>
      </c>
    </row>
    <row r="5172" spans="1:9" x14ac:dyDescent="0.25">
      <c r="A5172" t="s">
        <v>2824</v>
      </c>
      <c r="B5172" t="s">
        <v>2825</v>
      </c>
      <c r="C5172" t="s">
        <v>63</v>
      </c>
      <c r="D5172" t="s">
        <v>4049</v>
      </c>
      <c r="E5172" t="s">
        <v>4241</v>
      </c>
      <c r="F5172" t="s">
        <v>4051</v>
      </c>
      <c r="G5172">
        <v>0.02</v>
      </c>
      <c r="H5172" s="2">
        <v>9941.22</v>
      </c>
      <c r="I5172" s="2">
        <v>198.82</v>
      </c>
    </row>
    <row r="5173" spans="1:9" x14ac:dyDescent="0.25">
      <c r="A5173" t="s">
        <v>2824</v>
      </c>
      <c r="B5173" t="s">
        <v>2825</v>
      </c>
      <c r="C5173" t="s">
        <v>63</v>
      </c>
      <c r="D5173" t="s">
        <v>4049</v>
      </c>
      <c r="E5173" t="s">
        <v>4242</v>
      </c>
      <c r="F5173" t="s">
        <v>4051</v>
      </c>
      <c r="G5173">
        <v>0.02</v>
      </c>
      <c r="H5173" s="2">
        <v>17069.53</v>
      </c>
      <c r="I5173" s="2">
        <v>341.39</v>
      </c>
    </row>
    <row r="5174" spans="1:9" x14ac:dyDescent="0.25">
      <c r="A5174" t="s">
        <v>2824</v>
      </c>
      <c r="B5174" t="s">
        <v>2825</v>
      </c>
      <c r="C5174" t="s">
        <v>63</v>
      </c>
      <c r="D5174" t="s">
        <v>4052</v>
      </c>
      <c r="E5174" t="s">
        <v>4053</v>
      </c>
      <c r="F5174" t="s">
        <v>4054</v>
      </c>
      <c r="G5174">
        <v>3.4</v>
      </c>
      <c r="H5174" s="2">
        <v>540.21</v>
      </c>
      <c r="I5174" s="2">
        <v>18.37</v>
      </c>
    </row>
    <row r="5175" spans="1:9" x14ac:dyDescent="0.25">
      <c r="A5175" t="s">
        <v>2827</v>
      </c>
      <c r="B5175" t="s">
        <v>2828</v>
      </c>
      <c r="C5175" t="s">
        <v>63</v>
      </c>
      <c r="D5175" t="s">
        <v>4062</v>
      </c>
      <c r="E5175" t="s">
        <v>6848</v>
      </c>
      <c r="F5175" t="s">
        <v>63</v>
      </c>
      <c r="G5175">
        <v>1</v>
      </c>
      <c r="H5175" s="2">
        <v>31160</v>
      </c>
      <c r="I5175" s="2">
        <v>31160</v>
      </c>
    </row>
    <row r="5176" spans="1:9" x14ac:dyDescent="0.25">
      <c r="A5176" t="s">
        <v>2827</v>
      </c>
      <c r="B5176" t="s">
        <v>2828</v>
      </c>
      <c r="C5176" t="s">
        <v>63</v>
      </c>
      <c r="D5176" t="s">
        <v>4062</v>
      </c>
      <c r="E5176" t="s">
        <v>4659</v>
      </c>
      <c r="F5176" t="s">
        <v>4377</v>
      </c>
      <c r="G5176">
        <v>0.04</v>
      </c>
      <c r="H5176" s="2">
        <v>31500</v>
      </c>
      <c r="I5176" s="2">
        <v>1260</v>
      </c>
    </row>
    <row r="5177" spans="1:9" x14ac:dyDescent="0.25">
      <c r="A5177" t="s">
        <v>2827</v>
      </c>
      <c r="B5177" t="s">
        <v>2828</v>
      </c>
      <c r="C5177" t="s">
        <v>63</v>
      </c>
      <c r="D5177" t="s">
        <v>4062</v>
      </c>
      <c r="E5177" t="s">
        <v>4376</v>
      </c>
      <c r="F5177" t="s">
        <v>4377</v>
      </c>
      <c r="G5177">
        <v>0.04</v>
      </c>
      <c r="H5177" s="2">
        <v>72237.67</v>
      </c>
      <c r="I5177" s="2">
        <v>2889.51</v>
      </c>
    </row>
    <row r="5178" spans="1:9" x14ac:dyDescent="0.25">
      <c r="A5178" t="s">
        <v>2827</v>
      </c>
      <c r="B5178" t="s">
        <v>2828</v>
      </c>
      <c r="C5178" t="s">
        <v>63</v>
      </c>
      <c r="D5178" t="s">
        <v>4049</v>
      </c>
      <c r="E5178" t="s">
        <v>4241</v>
      </c>
      <c r="F5178" t="s">
        <v>4051</v>
      </c>
      <c r="G5178">
        <v>0.02</v>
      </c>
      <c r="H5178" s="2">
        <v>9941.22</v>
      </c>
      <c r="I5178" s="2">
        <v>198.82</v>
      </c>
    </row>
    <row r="5179" spans="1:9" x14ac:dyDescent="0.25">
      <c r="A5179" t="s">
        <v>2827</v>
      </c>
      <c r="B5179" t="s">
        <v>2828</v>
      </c>
      <c r="C5179" t="s">
        <v>63</v>
      </c>
      <c r="D5179" t="s">
        <v>4049</v>
      </c>
      <c r="E5179" t="s">
        <v>4242</v>
      </c>
      <c r="F5179" t="s">
        <v>4051</v>
      </c>
      <c r="G5179">
        <v>0.02</v>
      </c>
      <c r="H5179" s="2">
        <v>17069.53</v>
      </c>
      <c r="I5179" s="2">
        <v>341.39</v>
      </c>
    </row>
    <row r="5180" spans="1:9" x14ac:dyDescent="0.25">
      <c r="A5180" t="s">
        <v>2827</v>
      </c>
      <c r="B5180" t="s">
        <v>2828</v>
      </c>
      <c r="C5180" t="s">
        <v>63</v>
      </c>
      <c r="D5180" t="s">
        <v>4052</v>
      </c>
      <c r="E5180" t="s">
        <v>4053</v>
      </c>
      <c r="F5180" t="s">
        <v>4054</v>
      </c>
      <c r="G5180">
        <v>3.4</v>
      </c>
      <c r="H5180" s="2">
        <v>540.21</v>
      </c>
      <c r="I5180" s="2">
        <v>18.37</v>
      </c>
    </row>
    <row r="5181" spans="1:9" x14ac:dyDescent="0.25">
      <c r="A5181" t="s">
        <v>2830</v>
      </c>
      <c r="B5181" t="s">
        <v>2831</v>
      </c>
      <c r="C5181" t="s">
        <v>63</v>
      </c>
      <c r="D5181" t="s">
        <v>4062</v>
      </c>
      <c r="E5181" t="s">
        <v>6851</v>
      </c>
      <c r="F5181" t="s">
        <v>63</v>
      </c>
      <c r="G5181">
        <v>1</v>
      </c>
      <c r="H5181" s="2">
        <v>97451</v>
      </c>
      <c r="I5181" s="2">
        <v>97451</v>
      </c>
    </row>
    <row r="5182" spans="1:9" x14ac:dyDescent="0.25">
      <c r="A5182" t="s">
        <v>2830</v>
      </c>
      <c r="B5182" t="s">
        <v>2831</v>
      </c>
      <c r="C5182" t="s">
        <v>63</v>
      </c>
      <c r="D5182" t="s">
        <v>4062</v>
      </c>
      <c r="E5182" t="s">
        <v>4659</v>
      </c>
      <c r="F5182" t="s">
        <v>4377</v>
      </c>
      <c r="G5182">
        <v>0</v>
      </c>
      <c r="H5182" s="2">
        <v>31500</v>
      </c>
      <c r="I5182" s="2">
        <v>126</v>
      </c>
    </row>
    <row r="5183" spans="1:9" x14ac:dyDescent="0.25">
      <c r="A5183" t="s">
        <v>2830</v>
      </c>
      <c r="B5183" t="s">
        <v>2831</v>
      </c>
      <c r="C5183" t="s">
        <v>63</v>
      </c>
      <c r="D5183" t="s">
        <v>4062</v>
      </c>
      <c r="E5183" t="s">
        <v>4376</v>
      </c>
      <c r="F5183" t="s">
        <v>4377</v>
      </c>
      <c r="G5183">
        <v>0</v>
      </c>
      <c r="H5183" s="2">
        <v>72237.67</v>
      </c>
      <c r="I5183" s="2">
        <v>288.95</v>
      </c>
    </row>
    <row r="5184" spans="1:9" x14ac:dyDescent="0.25">
      <c r="A5184" t="s">
        <v>2830</v>
      </c>
      <c r="B5184" t="s">
        <v>2831</v>
      </c>
      <c r="C5184" t="s">
        <v>63</v>
      </c>
      <c r="D5184" t="s">
        <v>4049</v>
      </c>
      <c r="E5184" t="s">
        <v>4241</v>
      </c>
      <c r="F5184" t="s">
        <v>4051</v>
      </c>
      <c r="G5184">
        <v>0.02</v>
      </c>
      <c r="H5184" s="2">
        <v>9941.22</v>
      </c>
      <c r="I5184" s="2">
        <v>198.82</v>
      </c>
    </row>
    <row r="5185" spans="1:9" x14ac:dyDescent="0.25">
      <c r="A5185" t="s">
        <v>2830</v>
      </c>
      <c r="B5185" t="s">
        <v>2831</v>
      </c>
      <c r="C5185" t="s">
        <v>63</v>
      </c>
      <c r="D5185" t="s">
        <v>4049</v>
      </c>
      <c r="E5185" t="s">
        <v>4242</v>
      </c>
      <c r="F5185" t="s">
        <v>4051</v>
      </c>
      <c r="G5185">
        <v>0.02</v>
      </c>
      <c r="H5185" s="2">
        <v>17069.53</v>
      </c>
      <c r="I5185" s="2">
        <v>341.39</v>
      </c>
    </row>
    <row r="5186" spans="1:9" x14ac:dyDescent="0.25">
      <c r="A5186" t="s">
        <v>2830</v>
      </c>
      <c r="B5186" t="s">
        <v>2831</v>
      </c>
      <c r="C5186" t="s">
        <v>63</v>
      </c>
      <c r="D5186" t="s">
        <v>4052</v>
      </c>
      <c r="E5186" t="s">
        <v>4053</v>
      </c>
      <c r="F5186" t="s">
        <v>4054</v>
      </c>
      <c r="G5186">
        <v>3.4</v>
      </c>
      <c r="H5186" s="2">
        <v>540.21</v>
      </c>
      <c r="I5186" s="2">
        <v>18.37</v>
      </c>
    </row>
    <row r="5187" spans="1:9" x14ac:dyDescent="0.25">
      <c r="A5187" t="s">
        <v>2833</v>
      </c>
      <c r="B5187" t="s">
        <v>2835</v>
      </c>
      <c r="C5187" t="s">
        <v>63</v>
      </c>
      <c r="D5187" t="s">
        <v>4062</v>
      </c>
      <c r="E5187" t="s">
        <v>3975</v>
      </c>
      <c r="F5187" t="s">
        <v>34</v>
      </c>
      <c r="G5187">
        <v>0.05</v>
      </c>
      <c r="H5187" s="2">
        <v>586929.15</v>
      </c>
      <c r="I5187" s="2">
        <v>29346.46</v>
      </c>
    </row>
    <row r="5188" spans="1:9" x14ac:dyDescent="0.25">
      <c r="A5188" t="s">
        <v>2833</v>
      </c>
      <c r="B5188" t="s">
        <v>2835</v>
      </c>
      <c r="C5188" t="s">
        <v>63</v>
      </c>
      <c r="D5188" t="s">
        <v>4062</v>
      </c>
      <c r="E5188" t="s">
        <v>6801</v>
      </c>
      <c r="F5188" t="s">
        <v>42</v>
      </c>
      <c r="G5188">
        <v>2</v>
      </c>
      <c r="H5188" s="2">
        <v>43377.33</v>
      </c>
      <c r="I5188" s="2">
        <v>86754.66</v>
      </c>
    </row>
    <row r="5189" spans="1:9" x14ac:dyDescent="0.25">
      <c r="A5189" t="s">
        <v>2833</v>
      </c>
      <c r="B5189" t="s">
        <v>2835</v>
      </c>
      <c r="C5189" t="s">
        <v>63</v>
      </c>
      <c r="D5189" t="s">
        <v>4062</v>
      </c>
      <c r="E5189" t="s">
        <v>6856</v>
      </c>
      <c r="F5189" t="s">
        <v>63</v>
      </c>
      <c r="G5189">
        <v>1</v>
      </c>
      <c r="H5189" s="2">
        <v>141628</v>
      </c>
      <c r="I5189" s="2">
        <v>141628</v>
      </c>
    </row>
    <row r="5190" spans="1:9" x14ac:dyDescent="0.25">
      <c r="A5190" t="s">
        <v>2833</v>
      </c>
      <c r="B5190" t="s">
        <v>2835</v>
      </c>
      <c r="C5190" t="s">
        <v>63</v>
      </c>
      <c r="D5190" t="s">
        <v>4062</v>
      </c>
      <c r="E5190" t="s">
        <v>6857</v>
      </c>
      <c r="F5190" t="s">
        <v>63</v>
      </c>
      <c r="G5190">
        <v>1</v>
      </c>
      <c r="H5190" s="2">
        <v>377996</v>
      </c>
      <c r="I5190" s="2">
        <v>377996</v>
      </c>
    </row>
    <row r="5191" spans="1:9" x14ac:dyDescent="0.25">
      <c r="A5191" t="s">
        <v>2833</v>
      </c>
      <c r="B5191" t="s">
        <v>2835</v>
      </c>
      <c r="C5191" t="s">
        <v>63</v>
      </c>
      <c r="D5191" t="s">
        <v>4062</v>
      </c>
      <c r="E5191" t="s">
        <v>4001</v>
      </c>
      <c r="F5191" t="s">
        <v>34</v>
      </c>
      <c r="G5191">
        <v>0.3</v>
      </c>
      <c r="H5191" s="2">
        <v>450245.66</v>
      </c>
      <c r="I5191" s="2">
        <v>135073.7</v>
      </c>
    </row>
    <row r="5192" spans="1:9" x14ac:dyDescent="0.25">
      <c r="A5192" t="s">
        <v>2833</v>
      </c>
      <c r="B5192" t="s">
        <v>2835</v>
      </c>
      <c r="C5192" t="s">
        <v>63</v>
      </c>
      <c r="D5192" t="s">
        <v>4062</v>
      </c>
      <c r="E5192" t="s">
        <v>4659</v>
      </c>
      <c r="F5192" t="s">
        <v>4377</v>
      </c>
      <c r="G5192">
        <v>1.5</v>
      </c>
      <c r="H5192" s="2">
        <v>31500</v>
      </c>
      <c r="I5192" s="2">
        <v>47250</v>
      </c>
    </row>
    <row r="5193" spans="1:9" x14ac:dyDescent="0.25">
      <c r="A5193" t="s">
        <v>2833</v>
      </c>
      <c r="B5193" t="s">
        <v>2835</v>
      </c>
      <c r="C5193" t="s">
        <v>63</v>
      </c>
      <c r="D5193" t="s">
        <v>4062</v>
      </c>
      <c r="E5193" t="s">
        <v>4376</v>
      </c>
      <c r="F5193" t="s">
        <v>4377</v>
      </c>
      <c r="G5193">
        <v>1</v>
      </c>
      <c r="H5193" s="2">
        <v>72237.67</v>
      </c>
      <c r="I5193" s="2">
        <v>72237.67</v>
      </c>
    </row>
    <row r="5194" spans="1:9" x14ac:dyDescent="0.25">
      <c r="A5194" t="s">
        <v>2833</v>
      </c>
      <c r="B5194" t="s">
        <v>2835</v>
      </c>
      <c r="C5194" t="s">
        <v>63</v>
      </c>
      <c r="D5194" t="s">
        <v>4049</v>
      </c>
      <c r="E5194" t="s">
        <v>4176</v>
      </c>
      <c r="F5194" t="s">
        <v>4177</v>
      </c>
      <c r="G5194">
        <v>0.75</v>
      </c>
      <c r="H5194" s="2">
        <v>72300.17</v>
      </c>
      <c r="I5194" s="2">
        <v>54225.13</v>
      </c>
    </row>
    <row r="5195" spans="1:9" x14ac:dyDescent="0.25">
      <c r="A5195" t="s">
        <v>2833</v>
      </c>
      <c r="B5195" t="s">
        <v>2835</v>
      </c>
      <c r="C5195" t="s">
        <v>63</v>
      </c>
      <c r="D5195" t="s">
        <v>4049</v>
      </c>
      <c r="E5195" t="s">
        <v>4313</v>
      </c>
      <c r="F5195" t="s">
        <v>4177</v>
      </c>
      <c r="G5195">
        <v>0.7</v>
      </c>
      <c r="H5195" s="2">
        <v>124137.15</v>
      </c>
      <c r="I5195" s="2">
        <v>86896</v>
      </c>
    </row>
    <row r="5196" spans="1:9" x14ac:dyDescent="0.25">
      <c r="A5196" t="s">
        <v>2833</v>
      </c>
      <c r="B5196" t="s">
        <v>2835</v>
      </c>
      <c r="C5196" t="s">
        <v>63</v>
      </c>
      <c r="D5196" t="s">
        <v>4052</v>
      </c>
      <c r="E5196" t="s">
        <v>4053</v>
      </c>
      <c r="F5196" t="s">
        <v>4054</v>
      </c>
      <c r="G5196">
        <v>6.7</v>
      </c>
      <c r="H5196" s="2">
        <v>141121.13</v>
      </c>
      <c r="I5196" s="2">
        <v>9455.12</v>
      </c>
    </row>
    <row r="5197" spans="1:9" x14ac:dyDescent="0.25">
      <c r="A5197" t="s">
        <v>2837</v>
      </c>
      <c r="B5197" t="s">
        <v>2838</v>
      </c>
      <c r="C5197" t="s">
        <v>63</v>
      </c>
      <c r="D5197" t="s">
        <v>4062</v>
      </c>
      <c r="E5197" t="s">
        <v>3975</v>
      </c>
      <c r="F5197" t="s">
        <v>34</v>
      </c>
      <c r="G5197">
        <v>0.04</v>
      </c>
      <c r="H5197" s="2">
        <v>586929.15</v>
      </c>
      <c r="I5197" s="2">
        <v>23477.17</v>
      </c>
    </row>
    <row r="5198" spans="1:9" x14ac:dyDescent="0.25">
      <c r="A5198" t="s">
        <v>2837</v>
      </c>
      <c r="B5198" t="s">
        <v>2838</v>
      </c>
      <c r="C5198" t="s">
        <v>63</v>
      </c>
      <c r="D5198" t="s">
        <v>4062</v>
      </c>
      <c r="E5198" t="s">
        <v>6801</v>
      </c>
      <c r="F5198" t="s">
        <v>42</v>
      </c>
      <c r="G5198">
        <v>2</v>
      </c>
      <c r="H5198" s="2">
        <v>43377.33</v>
      </c>
      <c r="I5198" s="2">
        <v>86754.66</v>
      </c>
    </row>
    <row r="5199" spans="1:9" x14ac:dyDescent="0.25">
      <c r="A5199" t="s">
        <v>2837</v>
      </c>
      <c r="B5199" t="s">
        <v>2838</v>
      </c>
      <c r="C5199" t="s">
        <v>63</v>
      </c>
      <c r="D5199" t="s">
        <v>4062</v>
      </c>
      <c r="E5199" t="s">
        <v>6856</v>
      </c>
      <c r="F5199" t="s">
        <v>63</v>
      </c>
      <c r="G5199">
        <v>1</v>
      </c>
      <c r="H5199" s="2">
        <v>141628</v>
      </c>
      <c r="I5199" s="2">
        <v>141628</v>
      </c>
    </row>
    <row r="5200" spans="1:9" x14ac:dyDescent="0.25">
      <c r="A5200" t="s">
        <v>2837</v>
      </c>
      <c r="B5200" t="s">
        <v>2838</v>
      </c>
      <c r="C5200" t="s">
        <v>63</v>
      </c>
      <c r="D5200" t="s">
        <v>4062</v>
      </c>
      <c r="E5200" t="s">
        <v>6860</v>
      </c>
      <c r="F5200" t="s">
        <v>63</v>
      </c>
      <c r="G5200">
        <v>1</v>
      </c>
      <c r="H5200" s="2">
        <v>652157</v>
      </c>
      <c r="I5200" s="2">
        <v>652157</v>
      </c>
    </row>
    <row r="5201" spans="1:9" x14ac:dyDescent="0.25">
      <c r="A5201" t="s">
        <v>2837</v>
      </c>
      <c r="B5201" t="s">
        <v>2838</v>
      </c>
      <c r="C5201" t="s">
        <v>63</v>
      </c>
      <c r="D5201" t="s">
        <v>4062</v>
      </c>
      <c r="E5201" t="s">
        <v>4001</v>
      </c>
      <c r="F5201" t="s">
        <v>34</v>
      </c>
      <c r="G5201">
        <v>0.2</v>
      </c>
      <c r="H5201" s="2">
        <v>450245.66</v>
      </c>
      <c r="I5201" s="2">
        <v>90049.13</v>
      </c>
    </row>
    <row r="5202" spans="1:9" x14ac:dyDescent="0.25">
      <c r="A5202" t="s">
        <v>2837</v>
      </c>
      <c r="B5202" t="s">
        <v>2838</v>
      </c>
      <c r="C5202" t="s">
        <v>63</v>
      </c>
      <c r="D5202" t="s">
        <v>4062</v>
      </c>
      <c r="E5202" t="s">
        <v>4659</v>
      </c>
      <c r="F5202" t="s">
        <v>4377</v>
      </c>
      <c r="G5202">
        <v>1.5</v>
      </c>
      <c r="H5202" s="2">
        <v>31500</v>
      </c>
      <c r="I5202" s="2">
        <v>47250</v>
      </c>
    </row>
    <row r="5203" spans="1:9" x14ac:dyDescent="0.25">
      <c r="A5203" t="s">
        <v>2837</v>
      </c>
      <c r="B5203" t="s">
        <v>2838</v>
      </c>
      <c r="C5203" t="s">
        <v>63</v>
      </c>
      <c r="D5203" t="s">
        <v>4062</v>
      </c>
      <c r="E5203" t="s">
        <v>4376</v>
      </c>
      <c r="F5203" t="s">
        <v>4377</v>
      </c>
      <c r="G5203">
        <v>1</v>
      </c>
      <c r="H5203" s="2">
        <v>72237.67</v>
      </c>
      <c r="I5203" s="2">
        <v>72237.67</v>
      </c>
    </row>
    <row r="5204" spans="1:9" x14ac:dyDescent="0.25">
      <c r="A5204" t="s">
        <v>2837</v>
      </c>
      <c r="B5204" t="s">
        <v>2838</v>
      </c>
      <c r="C5204" t="s">
        <v>63</v>
      </c>
      <c r="D5204" t="s">
        <v>4049</v>
      </c>
      <c r="E5204" t="s">
        <v>4176</v>
      </c>
      <c r="F5204" t="s">
        <v>4177</v>
      </c>
      <c r="G5204">
        <v>1</v>
      </c>
      <c r="H5204" s="2">
        <v>72300.17</v>
      </c>
      <c r="I5204" s="2">
        <v>72300.17</v>
      </c>
    </row>
    <row r="5205" spans="1:9" x14ac:dyDescent="0.25">
      <c r="A5205" t="s">
        <v>2837</v>
      </c>
      <c r="B5205" t="s">
        <v>2838</v>
      </c>
      <c r="C5205" t="s">
        <v>63</v>
      </c>
      <c r="D5205" t="s">
        <v>4049</v>
      </c>
      <c r="E5205" t="s">
        <v>4313</v>
      </c>
      <c r="F5205" t="s">
        <v>4177</v>
      </c>
      <c r="G5205">
        <v>1</v>
      </c>
      <c r="H5205" s="2">
        <v>124137.15</v>
      </c>
      <c r="I5205" s="2">
        <v>124137.15</v>
      </c>
    </row>
    <row r="5206" spans="1:9" x14ac:dyDescent="0.25">
      <c r="A5206" t="s">
        <v>2837</v>
      </c>
      <c r="B5206" t="s">
        <v>2838</v>
      </c>
      <c r="C5206" t="s">
        <v>63</v>
      </c>
      <c r="D5206" t="s">
        <v>4052</v>
      </c>
      <c r="E5206" t="s">
        <v>4053</v>
      </c>
      <c r="F5206" t="s">
        <v>4054</v>
      </c>
      <c r="G5206">
        <v>6.7</v>
      </c>
      <c r="H5206" s="2">
        <v>196437.32</v>
      </c>
      <c r="I5206" s="2">
        <v>13161.3</v>
      </c>
    </row>
    <row r="5207" spans="1:9" x14ac:dyDescent="0.25">
      <c r="A5207" t="s">
        <v>2840</v>
      </c>
      <c r="B5207" t="s">
        <v>2841</v>
      </c>
      <c r="C5207" t="s">
        <v>42</v>
      </c>
      <c r="D5207" t="s">
        <v>4062</v>
      </c>
      <c r="E5207" t="s">
        <v>6863</v>
      </c>
      <c r="F5207" t="s">
        <v>42</v>
      </c>
      <c r="G5207">
        <v>1.05</v>
      </c>
      <c r="H5207" s="2">
        <v>38080</v>
      </c>
      <c r="I5207" s="2">
        <v>39984</v>
      </c>
    </row>
    <row r="5208" spans="1:9" x14ac:dyDescent="0.25">
      <c r="A5208" t="s">
        <v>2840</v>
      </c>
      <c r="B5208" t="s">
        <v>2841</v>
      </c>
      <c r="C5208" t="s">
        <v>42</v>
      </c>
      <c r="D5208" t="s">
        <v>4062</v>
      </c>
      <c r="E5208" t="s">
        <v>6864</v>
      </c>
      <c r="F5208" t="s">
        <v>21</v>
      </c>
      <c r="G5208">
        <v>0.85</v>
      </c>
      <c r="H5208" s="2">
        <v>4887.21</v>
      </c>
      <c r="I5208" s="2">
        <v>4154.13</v>
      </c>
    </row>
    <row r="5209" spans="1:9" x14ac:dyDescent="0.25">
      <c r="A5209" t="s">
        <v>2840</v>
      </c>
      <c r="B5209" t="s">
        <v>2841</v>
      </c>
      <c r="C5209" t="s">
        <v>42</v>
      </c>
      <c r="D5209" t="s">
        <v>4062</v>
      </c>
      <c r="E5209" t="s">
        <v>4369</v>
      </c>
      <c r="F5209" t="s">
        <v>34</v>
      </c>
      <c r="G5209">
        <v>0.18</v>
      </c>
      <c r="H5209" s="2">
        <v>89250</v>
      </c>
      <c r="I5209" s="2">
        <v>16065</v>
      </c>
    </row>
    <row r="5210" spans="1:9" x14ac:dyDescent="0.25">
      <c r="A5210" t="s">
        <v>2840</v>
      </c>
      <c r="B5210" t="s">
        <v>2841</v>
      </c>
      <c r="C5210" t="s">
        <v>42</v>
      </c>
      <c r="D5210" t="s">
        <v>4062</v>
      </c>
      <c r="E5210" t="s">
        <v>4354</v>
      </c>
      <c r="F5210" t="s">
        <v>4171</v>
      </c>
      <c r="G5210">
        <v>0.17</v>
      </c>
      <c r="H5210" s="2">
        <v>1148</v>
      </c>
      <c r="I5210" s="2">
        <v>191.37</v>
      </c>
    </row>
    <row r="5211" spans="1:9" x14ac:dyDescent="0.25">
      <c r="A5211" t="s">
        <v>2840</v>
      </c>
      <c r="B5211" t="s">
        <v>2841</v>
      </c>
      <c r="C5211" t="s">
        <v>42</v>
      </c>
      <c r="D5211" t="s">
        <v>4049</v>
      </c>
      <c r="E5211" t="s">
        <v>4176</v>
      </c>
      <c r="F5211" t="s">
        <v>4177</v>
      </c>
      <c r="G5211">
        <v>0.13</v>
      </c>
      <c r="H5211" s="2">
        <v>72300.17</v>
      </c>
      <c r="I5211" s="2">
        <v>9037.52</v>
      </c>
    </row>
    <row r="5212" spans="1:9" x14ac:dyDescent="0.25">
      <c r="A5212" t="s">
        <v>2840</v>
      </c>
      <c r="B5212" t="s">
        <v>2841</v>
      </c>
      <c r="C5212" t="s">
        <v>42</v>
      </c>
      <c r="D5212" t="s">
        <v>4049</v>
      </c>
      <c r="E5212" t="s">
        <v>4313</v>
      </c>
      <c r="F5212" t="s">
        <v>4177</v>
      </c>
      <c r="G5212">
        <v>0.13</v>
      </c>
      <c r="H5212" s="2">
        <v>124137.15</v>
      </c>
      <c r="I5212" s="2">
        <v>15517.14</v>
      </c>
    </row>
    <row r="5213" spans="1:9" x14ac:dyDescent="0.25">
      <c r="A5213" t="s">
        <v>2840</v>
      </c>
      <c r="B5213" t="s">
        <v>2841</v>
      </c>
      <c r="C5213" t="s">
        <v>42</v>
      </c>
      <c r="D5213" t="s">
        <v>4052</v>
      </c>
      <c r="E5213" t="s">
        <v>4053</v>
      </c>
      <c r="F5213" t="s">
        <v>4054</v>
      </c>
      <c r="G5213">
        <v>6.7</v>
      </c>
      <c r="H5213" s="2">
        <v>24554.66</v>
      </c>
      <c r="I5213" s="2">
        <v>1645.16</v>
      </c>
    </row>
    <row r="5214" spans="1:9" x14ac:dyDescent="0.25">
      <c r="A5214" t="s">
        <v>2843</v>
      </c>
      <c r="B5214" t="s">
        <v>2844</v>
      </c>
      <c r="C5214" t="s">
        <v>63</v>
      </c>
      <c r="D5214" t="s">
        <v>4062</v>
      </c>
      <c r="E5214" t="s">
        <v>4474</v>
      </c>
      <c r="F5214" t="s">
        <v>34</v>
      </c>
      <c r="G5214">
        <v>0.03</v>
      </c>
      <c r="H5214" s="2">
        <v>114500</v>
      </c>
      <c r="I5214" s="2">
        <v>3435</v>
      </c>
    </row>
    <row r="5215" spans="1:9" x14ac:dyDescent="0.25">
      <c r="A5215" t="s">
        <v>2843</v>
      </c>
      <c r="B5215" t="s">
        <v>2844</v>
      </c>
      <c r="C5215" t="s">
        <v>63</v>
      </c>
      <c r="D5215" t="s">
        <v>4062</v>
      </c>
      <c r="E5215" t="s">
        <v>4352</v>
      </c>
      <c r="F5215" t="s">
        <v>42</v>
      </c>
      <c r="G5215">
        <v>3</v>
      </c>
      <c r="H5215" s="2">
        <v>31353</v>
      </c>
      <c r="I5215" s="2">
        <v>94059</v>
      </c>
    </row>
    <row r="5216" spans="1:9" x14ac:dyDescent="0.25">
      <c r="A5216" t="s">
        <v>2843</v>
      </c>
      <c r="B5216" t="s">
        <v>2844</v>
      </c>
      <c r="C5216" t="s">
        <v>63</v>
      </c>
      <c r="D5216" t="s">
        <v>4062</v>
      </c>
      <c r="E5216" t="s">
        <v>4353</v>
      </c>
      <c r="F5216" t="s">
        <v>63</v>
      </c>
      <c r="G5216">
        <v>1</v>
      </c>
      <c r="H5216" s="2">
        <v>27711</v>
      </c>
      <c r="I5216" s="2">
        <v>27711</v>
      </c>
    </row>
    <row r="5217" spans="1:9" x14ac:dyDescent="0.25">
      <c r="A5217" t="s">
        <v>2843</v>
      </c>
      <c r="B5217" t="s">
        <v>2844</v>
      </c>
      <c r="C5217" t="s">
        <v>63</v>
      </c>
      <c r="D5217" t="s">
        <v>4062</v>
      </c>
      <c r="E5217" t="s">
        <v>6867</v>
      </c>
      <c r="F5217" t="s">
        <v>63</v>
      </c>
      <c r="G5217">
        <v>1</v>
      </c>
      <c r="H5217" s="2">
        <v>110759</v>
      </c>
      <c r="I5217" s="2">
        <v>110759</v>
      </c>
    </row>
    <row r="5218" spans="1:9" x14ac:dyDescent="0.25">
      <c r="A5218" t="s">
        <v>2843</v>
      </c>
      <c r="B5218" t="s">
        <v>2844</v>
      </c>
      <c r="C5218" t="s">
        <v>63</v>
      </c>
      <c r="D5218" t="s">
        <v>4062</v>
      </c>
      <c r="E5218" t="s">
        <v>6166</v>
      </c>
      <c r="F5218" t="s">
        <v>63</v>
      </c>
      <c r="G5218">
        <v>0.2</v>
      </c>
      <c r="H5218" s="2">
        <v>19750</v>
      </c>
      <c r="I5218" s="2">
        <v>3950</v>
      </c>
    </row>
    <row r="5219" spans="1:9" x14ac:dyDescent="0.25">
      <c r="A5219" t="s">
        <v>2843</v>
      </c>
      <c r="B5219" t="s">
        <v>2844</v>
      </c>
      <c r="C5219" t="s">
        <v>63</v>
      </c>
      <c r="D5219" t="s">
        <v>4049</v>
      </c>
      <c r="E5219" t="s">
        <v>4176</v>
      </c>
      <c r="F5219" t="s">
        <v>4177</v>
      </c>
      <c r="G5219">
        <v>0.57</v>
      </c>
      <c r="H5219" s="2">
        <v>72300.17</v>
      </c>
      <c r="I5219" s="2">
        <v>41211.1</v>
      </c>
    </row>
    <row r="5220" spans="1:9" x14ac:dyDescent="0.25">
      <c r="A5220" t="s">
        <v>2843</v>
      </c>
      <c r="B5220" t="s">
        <v>2844</v>
      </c>
      <c r="C5220" t="s">
        <v>63</v>
      </c>
      <c r="D5220" t="s">
        <v>4049</v>
      </c>
      <c r="E5220" t="s">
        <v>4313</v>
      </c>
      <c r="F5220" t="s">
        <v>4177</v>
      </c>
      <c r="G5220">
        <v>0.57</v>
      </c>
      <c r="H5220" s="2">
        <v>124137.15</v>
      </c>
      <c r="I5220" s="2">
        <v>70758.18</v>
      </c>
    </row>
    <row r="5221" spans="1:9" x14ac:dyDescent="0.25">
      <c r="A5221" t="s">
        <v>2843</v>
      </c>
      <c r="B5221" t="s">
        <v>2844</v>
      </c>
      <c r="C5221" t="s">
        <v>63</v>
      </c>
      <c r="D5221" t="s">
        <v>4052</v>
      </c>
      <c r="E5221" t="s">
        <v>4053</v>
      </c>
      <c r="F5221" t="s">
        <v>4054</v>
      </c>
      <c r="G5221">
        <v>7</v>
      </c>
      <c r="H5221" s="2">
        <v>111969.28</v>
      </c>
      <c r="I5221" s="2">
        <v>7837.85</v>
      </c>
    </row>
    <row r="5222" spans="1:9" x14ac:dyDescent="0.25">
      <c r="A5222" t="s">
        <v>2846</v>
      </c>
      <c r="B5222" t="s">
        <v>2847</v>
      </c>
      <c r="C5222" t="s">
        <v>63</v>
      </c>
      <c r="D5222" t="s">
        <v>4062</v>
      </c>
      <c r="E5222" t="s">
        <v>6870</v>
      </c>
      <c r="F5222" t="s">
        <v>34</v>
      </c>
      <c r="G5222">
        <v>0.17</v>
      </c>
      <c r="H5222" s="2">
        <v>80523.33</v>
      </c>
      <c r="I5222" s="2">
        <v>13688.97</v>
      </c>
    </row>
    <row r="5223" spans="1:9" x14ac:dyDescent="0.25">
      <c r="A5223" t="s">
        <v>2846</v>
      </c>
      <c r="B5223" t="s">
        <v>2847</v>
      </c>
      <c r="C5223" t="s">
        <v>63</v>
      </c>
      <c r="D5223" t="s">
        <v>4062</v>
      </c>
      <c r="E5223" t="s">
        <v>6871</v>
      </c>
      <c r="F5223" t="s">
        <v>63</v>
      </c>
      <c r="G5223">
        <v>1</v>
      </c>
      <c r="H5223" s="2">
        <v>219000</v>
      </c>
      <c r="I5223" s="2">
        <v>219000</v>
      </c>
    </row>
    <row r="5224" spans="1:9" x14ac:dyDescent="0.25">
      <c r="A5224" t="s">
        <v>2846</v>
      </c>
      <c r="B5224" t="s">
        <v>2847</v>
      </c>
      <c r="C5224" t="s">
        <v>63</v>
      </c>
      <c r="D5224" t="s">
        <v>4062</v>
      </c>
      <c r="E5224" t="s">
        <v>4475</v>
      </c>
      <c r="F5224" t="s">
        <v>231</v>
      </c>
      <c r="G5224">
        <v>56</v>
      </c>
      <c r="H5224" s="2">
        <v>730</v>
      </c>
      <c r="I5224" s="2">
        <v>40880</v>
      </c>
    </row>
    <row r="5225" spans="1:9" x14ac:dyDescent="0.25">
      <c r="A5225" t="s">
        <v>2846</v>
      </c>
      <c r="B5225" t="s">
        <v>2847</v>
      </c>
      <c r="C5225" t="s">
        <v>63</v>
      </c>
      <c r="D5225" t="s">
        <v>4062</v>
      </c>
      <c r="E5225" t="s">
        <v>6872</v>
      </c>
      <c r="F5225" t="s">
        <v>4236</v>
      </c>
      <c r="G5225">
        <v>6</v>
      </c>
      <c r="H5225" s="2">
        <v>33592.56</v>
      </c>
      <c r="I5225" s="2">
        <v>201555.36</v>
      </c>
    </row>
    <row r="5226" spans="1:9" x14ac:dyDescent="0.25">
      <c r="A5226" t="s">
        <v>2850</v>
      </c>
      <c r="B5226" t="s">
        <v>2851</v>
      </c>
      <c r="C5226" t="s">
        <v>63</v>
      </c>
      <c r="D5226" t="s">
        <v>4049</v>
      </c>
      <c r="E5226" t="s">
        <v>4050</v>
      </c>
      <c r="F5226" t="s">
        <v>4051</v>
      </c>
      <c r="G5226">
        <v>4</v>
      </c>
      <c r="H5226" s="2">
        <v>9037.33</v>
      </c>
      <c r="I5226" s="2">
        <v>36149.32</v>
      </c>
    </row>
    <row r="5227" spans="1:9" x14ac:dyDescent="0.25">
      <c r="A5227" t="s">
        <v>2850</v>
      </c>
      <c r="B5227" t="s">
        <v>2851</v>
      </c>
      <c r="C5227" t="s">
        <v>63</v>
      </c>
      <c r="D5227" t="s">
        <v>4052</v>
      </c>
      <c r="E5227" t="s">
        <v>4092</v>
      </c>
      <c r="F5227" t="s">
        <v>287</v>
      </c>
      <c r="G5227">
        <v>2</v>
      </c>
      <c r="H5227" s="2">
        <v>97476</v>
      </c>
      <c r="I5227" s="2">
        <v>194952</v>
      </c>
    </row>
    <row r="5228" spans="1:9" x14ac:dyDescent="0.25">
      <c r="A5228" t="s">
        <v>2850</v>
      </c>
      <c r="B5228" t="s">
        <v>2851</v>
      </c>
      <c r="C5228" t="s">
        <v>63</v>
      </c>
      <c r="D5228" t="s">
        <v>4052</v>
      </c>
      <c r="E5228" t="s">
        <v>4053</v>
      </c>
      <c r="F5228" t="s">
        <v>4054</v>
      </c>
      <c r="G5228">
        <v>3</v>
      </c>
      <c r="H5228" s="2">
        <v>36149.32</v>
      </c>
      <c r="I5228" s="2">
        <v>1084.48</v>
      </c>
    </row>
    <row r="5229" spans="1:9" x14ac:dyDescent="0.25">
      <c r="A5229" t="s">
        <v>2854</v>
      </c>
      <c r="B5229" t="s">
        <v>2855</v>
      </c>
      <c r="C5229" t="s">
        <v>63</v>
      </c>
      <c r="D5229" t="s">
        <v>4049</v>
      </c>
      <c r="E5229" t="s">
        <v>4050</v>
      </c>
      <c r="F5229" t="s">
        <v>4051</v>
      </c>
      <c r="G5229">
        <v>0.4</v>
      </c>
      <c r="H5229" s="2">
        <v>9037.33</v>
      </c>
      <c r="I5229" s="2">
        <v>3614.93</v>
      </c>
    </row>
    <row r="5230" spans="1:9" x14ac:dyDescent="0.25">
      <c r="A5230" t="s">
        <v>2854</v>
      </c>
      <c r="B5230" t="s">
        <v>2855</v>
      </c>
      <c r="C5230" t="s">
        <v>63</v>
      </c>
      <c r="D5230" t="s">
        <v>4049</v>
      </c>
      <c r="E5230" t="s">
        <v>4073</v>
      </c>
      <c r="F5230" t="s">
        <v>4051</v>
      </c>
      <c r="G5230">
        <v>0.4</v>
      </c>
      <c r="H5230" s="2">
        <v>15517.89</v>
      </c>
      <c r="I5230" s="2">
        <v>6207.16</v>
      </c>
    </row>
    <row r="5231" spans="1:9" x14ac:dyDescent="0.25">
      <c r="A5231" t="s">
        <v>2854</v>
      </c>
      <c r="B5231" t="s">
        <v>2855</v>
      </c>
      <c r="C5231" t="s">
        <v>63</v>
      </c>
      <c r="D5231" t="s">
        <v>4052</v>
      </c>
      <c r="E5231" t="s">
        <v>4118</v>
      </c>
      <c r="F5231" t="s">
        <v>287</v>
      </c>
      <c r="G5231">
        <v>0.25</v>
      </c>
      <c r="H5231" s="2">
        <v>107433.33</v>
      </c>
      <c r="I5231" s="2">
        <v>26858.33</v>
      </c>
    </row>
    <row r="5232" spans="1:9" x14ac:dyDescent="0.25">
      <c r="A5232" t="s">
        <v>2854</v>
      </c>
      <c r="B5232" t="s">
        <v>2855</v>
      </c>
      <c r="C5232" t="s">
        <v>63</v>
      </c>
      <c r="D5232" t="s">
        <v>4052</v>
      </c>
      <c r="E5232" t="s">
        <v>4053</v>
      </c>
      <c r="F5232" t="s">
        <v>4054</v>
      </c>
      <c r="G5232">
        <v>3</v>
      </c>
      <c r="H5232" s="2">
        <v>9822.09</v>
      </c>
      <c r="I5232" s="2">
        <v>294.66</v>
      </c>
    </row>
    <row r="5233" spans="1:9" x14ac:dyDescent="0.25">
      <c r="A5233" t="s">
        <v>2857</v>
      </c>
      <c r="B5233" t="s">
        <v>2858</v>
      </c>
      <c r="C5233" t="s">
        <v>63</v>
      </c>
      <c r="D5233" t="s">
        <v>4062</v>
      </c>
      <c r="E5233" t="s">
        <v>5677</v>
      </c>
      <c r="F5233" t="s">
        <v>231</v>
      </c>
      <c r="G5233">
        <v>1.47</v>
      </c>
      <c r="H5233" s="2">
        <v>2507</v>
      </c>
      <c r="I5233" s="2">
        <v>3696.32</v>
      </c>
    </row>
    <row r="5234" spans="1:9" x14ac:dyDescent="0.25">
      <c r="A5234" t="s">
        <v>2857</v>
      </c>
      <c r="B5234" t="s">
        <v>2858</v>
      </c>
      <c r="C5234" t="s">
        <v>63</v>
      </c>
      <c r="D5234" t="s">
        <v>4062</v>
      </c>
      <c r="E5234" t="s">
        <v>6879</v>
      </c>
      <c r="F5234" t="s">
        <v>63</v>
      </c>
      <c r="G5234">
        <v>0</v>
      </c>
      <c r="H5234" s="2">
        <v>10100</v>
      </c>
      <c r="I5234" s="2">
        <v>20.2</v>
      </c>
    </row>
    <row r="5235" spans="1:9" x14ac:dyDescent="0.25">
      <c r="A5235" t="s">
        <v>2857</v>
      </c>
      <c r="B5235" t="s">
        <v>2858</v>
      </c>
      <c r="C5235" t="s">
        <v>63</v>
      </c>
      <c r="D5235" t="s">
        <v>4062</v>
      </c>
      <c r="E5235" t="s">
        <v>6880</v>
      </c>
      <c r="F5235" t="s">
        <v>63</v>
      </c>
      <c r="G5235">
        <v>0</v>
      </c>
      <c r="H5235" s="2">
        <v>145308.95</v>
      </c>
      <c r="I5235" s="2">
        <v>290.62</v>
      </c>
    </row>
    <row r="5236" spans="1:9" x14ac:dyDescent="0.25">
      <c r="A5236" t="s">
        <v>2857</v>
      </c>
      <c r="B5236" t="s">
        <v>2858</v>
      </c>
      <c r="C5236" t="s">
        <v>63</v>
      </c>
      <c r="D5236" t="s">
        <v>4062</v>
      </c>
      <c r="E5236" t="s">
        <v>6881</v>
      </c>
      <c r="F5236" t="s">
        <v>63</v>
      </c>
      <c r="G5236">
        <v>0.02</v>
      </c>
      <c r="H5236" s="2">
        <v>131982.52</v>
      </c>
      <c r="I5236" s="2">
        <v>1979.74</v>
      </c>
    </row>
    <row r="5237" spans="1:9" x14ac:dyDescent="0.25">
      <c r="A5237" t="s">
        <v>2857</v>
      </c>
      <c r="B5237" t="s">
        <v>2858</v>
      </c>
      <c r="C5237" t="s">
        <v>63</v>
      </c>
      <c r="D5237" t="s">
        <v>4049</v>
      </c>
      <c r="E5237" t="s">
        <v>4050</v>
      </c>
      <c r="F5237" t="s">
        <v>4051</v>
      </c>
      <c r="G5237">
        <v>0.02</v>
      </c>
      <c r="H5237" s="2">
        <v>9037.33</v>
      </c>
      <c r="I5237" s="2">
        <v>180.75</v>
      </c>
    </row>
    <row r="5238" spans="1:9" x14ac:dyDescent="0.25">
      <c r="A5238" t="s">
        <v>2857</v>
      </c>
      <c r="B5238" t="s">
        <v>2858</v>
      </c>
      <c r="C5238" t="s">
        <v>63</v>
      </c>
      <c r="D5238" t="s">
        <v>4049</v>
      </c>
      <c r="E5238" t="s">
        <v>4073</v>
      </c>
      <c r="F5238" t="s">
        <v>4051</v>
      </c>
      <c r="G5238">
        <v>0.02</v>
      </c>
      <c r="H5238" s="2">
        <v>15517.89</v>
      </c>
      <c r="I5238" s="2">
        <v>310.36</v>
      </c>
    </row>
    <row r="5239" spans="1:9" x14ac:dyDescent="0.25">
      <c r="A5239" t="s">
        <v>2857</v>
      </c>
      <c r="B5239" t="s">
        <v>2858</v>
      </c>
      <c r="C5239" t="s">
        <v>63</v>
      </c>
      <c r="D5239" t="s">
        <v>4052</v>
      </c>
      <c r="E5239" t="s">
        <v>5729</v>
      </c>
      <c r="F5239" t="s">
        <v>287</v>
      </c>
      <c r="G5239">
        <v>0.02</v>
      </c>
      <c r="H5239" s="2">
        <v>3510.83</v>
      </c>
      <c r="I5239" s="2">
        <v>70.22</v>
      </c>
    </row>
    <row r="5240" spans="1:9" x14ac:dyDescent="0.25">
      <c r="A5240" t="s">
        <v>2857</v>
      </c>
      <c r="B5240" t="s">
        <v>2858</v>
      </c>
      <c r="C5240" t="s">
        <v>63</v>
      </c>
      <c r="D5240" t="s">
        <v>4052</v>
      </c>
      <c r="E5240" t="s">
        <v>4053</v>
      </c>
      <c r="F5240" t="s">
        <v>4054</v>
      </c>
      <c r="G5240">
        <v>10</v>
      </c>
      <c r="H5240" s="2">
        <v>491.11</v>
      </c>
      <c r="I5240" s="2">
        <v>49.11</v>
      </c>
    </row>
    <row r="5241" spans="1:9" x14ac:dyDescent="0.25">
      <c r="A5241" t="s">
        <v>2860</v>
      </c>
      <c r="B5241" t="s">
        <v>2861</v>
      </c>
      <c r="C5241" t="s">
        <v>63</v>
      </c>
      <c r="D5241" t="s">
        <v>4062</v>
      </c>
      <c r="E5241" t="s">
        <v>6870</v>
      </c>
      <c r="F5241" t="s">
        <v>34</v>
      </c>
      <c r="G5241">
        <v>0.56</v>
      </c>
      <c r="H5241" s="2">
        <v>80523.33</v>
      </c>
      <c r="I5241" s="2">
        <v>45093.06</v>
      </c>
    </row>
    <row r="5242" spans="1:9" x14ac:dyDescent="0.25">
      <c r="A5242" t="s">
        <v>2860</v>
      </c>
      <c r="B5242" t="s">
        <v>2861</v>
      </c>
      <c r="C5242" t="s">
        <v>63</v>
      </c>
      <c r="D5242" t="s">
        <v>4062</v>
      </c>
      <c r="E5242" t="s">
        <v>6884</v>
      </c>
      <c r="F5242" t="s">
        <v>231</v>
      </c>
      <c r="G5242">
        <v>80.64</v>
      </c>
      <c r="H5242" s="2">
        <v>2876.96</v>
      </c>
      <c r="I5242" s="2">
        <v>231998.05</v>
      </c>
    </row>
    <row r="5243" spans="1:9" x14ac:dyDescent="0.25">
      <c r="A5243" t="s">
        <v>2860</v>
      </c>
      <c r="B5243" t="s">
        <v>2861</v>
      </c>
      <c r="C5243" t="s">
        <v>63</v>
      </c>
      <c r="D5243" t="s">
        <v>4062</v>
      </c>
      <c r="E5243" t="s">
        <v>4475</v>
      </c>
      <c r="F5243" t="s">
        <v>231</v>
      </c>
      <c r="G5243">
        <v>224</v>
      </c>
      <c r="H5243" s="2">
        <v>730</v>
      </c>
      <c r="I5243" s="2">
        <v>163520</v>
      </c>
    </row>
    <row r="5244" spans="1:9" x14ac:dyDescent="0.25">
      <c r="A5244" t="s">
        <v>2860</v>
      </c>
      <c r="B5244" t="s">
        <v>2861</v>
      </c>
      <c r="C5244" t="s">
        <v>63</v>
      </c>
      <c r="D5244" t="s">
        <v>4062</v>
      </c>
      <c r="E5244" t="s">
        <v>6885</v>
      </c>
      <c r="F5244" t="s">
        <v>34</v>
      </c>
      <c r="G5244">
        <v>0.56</v>
      </c>
      <c r="H5244" s="2">
        <v>92483.33</v>
      </c>
      <c r="I5244" s="2">
        <v>51790.66</v>
      </c>
    </row>
    <row r="5245" spans="1:9" x14ac:dyDescent="0.25">
      <c r="A5245" t="s">
        <v>2860</v>
      </c>
      <c r="B5245" t="s">
        <v>2861</v>
      </c>
      <c r="C5245" t="s">
        <v>63</v>
      </c>
      <c r="D5245" t="s">
        <v>4062</v>
      </c>
      <c r="E5245" t="s">
        <v>6872</v>
      </c>
      <c r="F5245" t="s">
        <v>4236</v>
      </c>
      <c r="G5245">
        <v>4</v>
      </c>
      <c r="H5245" s="2">
        <v>33592.56</v>
      </c>
      <c r="I5245" s="2">
        <v>134370.24</v>
      </c>
    </row>
    <row r="5246" spans="1:9" x14ac:dyDescent="0.25">
      <c r="A5246" t="s">
        <v>2863</v>
      </c>
      <c r="B5246" t="s">
        <v>2864</v>
      </c>
      <c r="C5246" t="s">
        <v>63</v>
      </c>
      <c r="D5246" t="s">
        <v>4062</v>
      </c>
      <c r="E5246" t="s">
        <v>6870</v>
      </c>
      <c r="F5246" t="s">
        <v>34</v>
      </c>
      <c r="G5246">
        <v>0.67</v>
      </c>
      <c r="H5246" s="2">
        <v>80523.33</v>
      </c>
      <c r="I5246" s="2">
        <v>53950.63</v>
      </c>
    </row>
    <row r="5247" spans="1:9" x14ac:dyDescent="0.25">
      <c r="A5247" t="s">
        <v>2863</v>
      </c>
      <c r="B5247" t="s">
        <v>2864</v>
      </c>
      <c r="C5247" t="s">
        <v>63</v>
      </c>
      <c r="D5247" t="s">
        <v>4062</v>
      </c>
      <c r="E5247" t="s">
        <v>6884</v>
      </c>
      <c r="F5247" t="s">
        <v>231</v>
      </c>
      <c r="G5247">
        <v>92.96</v>
      </c>
      <c r="H5247" s="2">
        <v>2876.96</v>
      </c>
      <c r="I5247" s="2">
        <v>267442.2</v>
      </c>
    </row>
    <row r="5248" spans="1:9" x14ac:dyDescent="0.25">
      <c r="A5248" t="s">
        <v>2863</v>
      </c>
      <c r="B5248" t="s">
        <v>2864</v>
      </c>
      <c r="C5248" t="s">
        <v>63</v>
      </c>
      <c r="D5248" t="s">
        <v>4062</v>
      </c>
      <c r="E5248" t="s">
        <v>4475</v>
      </c>
      <c r="F5248" t="s">
        <v>231</v>
      </c>
      <c r="G5248">
        <v>257.6</v>
      </c>
      <c r="H5248" s="2">
        <v>730</v>
      </c>
      <c r="I5248" s="2">
        <v>188048</v>
      </c>
    </row>
    <row r="5249" spans="1:9" x14ac:dyDescent="0.25">
      <c r="A5249" t="s">
        <v>2863</v>
      </c>
      <c r="B5249" t="s">
        <v>2864</v>
      </c>
      <c r="C5249" t="s">
        <v>63</v>
      </c>
      <c r="D5249" t="s">
        <v>4062</v>
      </c>
      <c r="E5249" t="s">
        <v>6885</v>
      </c>
      <c r="F5249" t="s">
        <v>34</v>
      </c>
      <c r="G5249">
        <v>0.67</v>
      </c>
      <c r="H5249" s="2">
        <v>92483.33</v>
      </c>
      <c r="I5249" s="2">
        <v>61963.83</v>
      </c>
    </row>
    <row r="5250" spans="1:9" x14ac:dyDescent="0.25">
      <c r="A5250" t="s">
        <v>2863</v>
      </c>
      <c r="B5250" t="s">
        <v>2864</v>
      </c>
      <c r="C5250" t="s">
        <v>63</v>
      </c>
      <c r="D5250" t="s">
        <v>4062</v>
      </c>
      <c r="E5250" t="s">
        <v>6872</v>
      </c>
      <c r="F5250" t="s">
        <v>4236</v>
      </c>
      <c r="G5250">
        <v>5</v>
      </c>
      <c r="H5250" s="2">
        <v>33592.56</v>
      </c>
      <c r="I5250" s="2">
        <v>167962.8</v>
      </c>
    </row>
    <row r="5251" spans="1:9" x14ac:dyDescent="0.25">
      <c r="A5251" t="s">
        <v>2866</v>
      </c>
      <c r="B5251" t="s">
        <v>2867</v>
      </c>
      <c r="C5251" t="s">
        <v>63</v>
      </c>
      <c r="D5251" t="s">
        <v>4062</v>
      </c>
      <c r="E5251" t="s">
        <v>6871</v>
      </c>
      <c r="F5251" t="s">
        <v>63</v>
      </c>
      <c r="G5251">
        <v>1</v>
      </c>
      <c r="H5251" s="2">
        <v>219000</v>
      </c>
      <c r="I5251" s="2">
        <v>219000</v>
      </c>
    </row>
    <row r="5252" spans="1:9" x14ac:dyDescent="0.25">
      <c r="A5252" t="s">
        <v>2866</v>
      </c>
      <c r="B5252" t="s">
        <v>2867</v>
      </c>
      <c r="C5252" t="s">
        <v>63</v>
      </c>
      <c r="D5252" t="s">
        <v>4062</v>
      </c>
      <c r="E5252" t="s">
        <v>6884</v>
      </c>
      <c r="F5252" t="s">
        <v>231</v>
      </c>
      <c r="G5252">
        <v>8</v>
      </c>
      <c r="H5252" s="2">
        <v>2876.96</v>
      </c>
      <c r="I5252" s="2">
        <v>23015.68</v>
      </c>
    </row>
    <row r="5253" spans="1:9" x14ac:dyDescent="0.25">
      <c r="A5253" t="s">
        <v>2866</v>
      </c>
      <c r="B5253" t="s">
        <v>2867</v>
      </c>
      <c r="C5253" t="s">
        <v>63</v>
      </c>
      <c r="D5253" t="s">
        <v>4062</v>
      </c>
      <c r="E5253" t="s">
        <v>680</v>
      </c>
      <c r="F5253" t="s">
        <v>21</v>
      </c>
      <c r="G5253">
        <v>3.8</v>
      </c>
      <c r="H5253" s="2">
        <v>23671.78</v>
      </c>
      <c r="I5253" s="2">
        <v>89952.76</v>
      </c>
    </row>
    <row r="5254" spans="1:9" x14ac:dyDescent="0.25">
      <c r="A5254" t="s">
        <v>2866</v>
      </c>
      <c r="B5254" t="s">
        <v>2867</v>
      </c>
      <c r="C5254" t="s">
        <v>63</v>
      </c>
      <c r="D5254" t="s">
        <v>4062</v>
      </c>
      <c r="E5254" t="s">
        <v>6890</v>
      </c>
      <c r="F5254" t="s">
        <v>21</v>
      </c>
      <c r="G5254">
        <v>5.7</v>
      </c>
      <c r="H5254" s="2">
        <v>104924.15</v>
      </c>
      <c r="I5254" s="2">
        <v>598067.66</v>
      </c>
    </row>
    <row r="5255" spans="1:9" x14ac:dyDescent="0.25">
      <c r="A5255" t="s">
        <v>2866</v>
      </c>
      <c r="B5255" t="s">
        <v>2867</v>
      </c>
      <c r="C5255" t="s">
        <v>63</v>
      </c>
      <c r="D5255" t="s">
        <v>4062</v>
      </c>
      <c r="E5255" t="s">
        <v>5818</v>
      </c>
      <c r="F5255" t="s">
        <v>4236</v>
      </c>
      <c r="G5255">
        <v>2.24</v>
      </c>
      <c r="H5255" s="2">
        <v>24555.22</v>
      </c>
      <c r="I5255" s="2">
        <v>55003.69</v>
      </c>
    </row>
    <row r="5256" spans="1:9" x14ac:dyDescent="0.25">
      <c r="A5256" t="s">
        <v>2869</v>
      </c>
      <c r="B5256" t="s">
        <v>2870</v>
      </c>
      <c r="C5256" t="s">
        <v>63</v>
      </c>
      <c r="D5256" t="s">
        <v>4062</v>
      </c>
      <c r="E5256" t="s">
        <v>6871</v>
      </c>
      <c r="F5256" t="s">
        <v>63</v>
      </c>
      <c r="G5256">
        <v>1</v>
      </c>
      <c r="H5256" s="2">
        <v>219000</v>
      </c>
      <c r="I5256" s="2">
        <v>219000</v>
      </c>
    </row>
    <row r="5257" spans="1:9" x14ac:dyDescent="0.25">
      <c r="A5257" t="s">
        <v>2869</v>
      </c>
      <c r="B5257" t="s">
        <v>2870</v>
      </c>
      <c r="C5257" t="s">
        <v>63</v>
      </c>
      <c r="D5257" t="s">
        <v>4062</v>
      </c>
      <c r="E5257" t="s">
        <v>6884</v>
      </c>
      <c r="F5257" t="s">
        <v>231</v>
      </c>
      <c r="G5257">
        <v>8</v>
      </c>
      <c r="H5257" s="2">
        <v>2876.96</v>
      </c>
      <c r="I5257" s="2">
        <v>23015.68</v>
      </c>
    </row>
    <row r="5258" spans="1:9" x14ac:dyDescent="0.25">
      <c r="A5258" t="s">
        <v>2869</v>
      </c>
      <c r="B5258" t="s">
        <v>2870</v>
      </c>
      <c r="C5258" t="s">
        <v>63</v>
      </c>
      <c r="D5258" t="s">
        <v>4062</v>
      </c>
      <c r="E5258" t="s">
        <v>680</v>
      </c>
      <c r="F5258" t="s">
        <v>21</v>
      </c>
      <c r="G5258">
        <v>3.8</v>
      </c>
      <c r="H5258" s="2">
        <v>23671.78</v>
      </c>
      <c r="I5258" s="2">
        <v>89952.76</v>
      </c>
    </row>
    <row r="5259" spans="1:9" x14ac:dyDescent="0.25">
      <c r="A5259" t="s">
        <v>2869</v>
      </c>
      <c r="B5259" t="s">
        <v>2870</v>
      </c>
      <c r="C5259" t="s">
        <v>63</v>
      </c>
      <c r="D5259" t="s">
        <v>4062</v>
      </c>
      <c r="E5259" t="s">
        <v>6890</v>
      </c>
      <c r="F5259" t="s">
        <v>21</v>
      </c>
      <c r="G5259">
        <v>5.7</v>
      </c>
      <c r="H5259" s="2">
        <v>104924.15</v>
      </c>
      <c r="I5259" s="2">
        <v>598067.66</v>
      </c>
    </row>
    <row r="5260" spans="1:9" x14ac:dyDescent="0.25">
      <c r="A5260" t="s">
        <v>2869</v>
      </c>
      <c r="B5260" t="s">
        <v>2870</v>
      </c>
      <c r="C5260" t="s">
        <v>63</v>
      </c>
      <c r="D5260" t="s">
        <v>4062</v>
      </c>
      <c r="E5260" t="s">
        <v>5818</v>
      </c>
      <c r="F5260" t="s">
        <v>4236</v>
      </c>
      <c r="G5260">
        <v>2.24</v>
      </c>
      <c r="H5260" s="2">
        <v>24555.22</v>
      </c>
      <c r="I5260" s="2">
        <v>55003.69</v>
      </c>
    </row>
    <row r="5261" spans="1:9" x14ac:dyDescent="0.25">
      <c r="A5261" t="s">
        <v>2871</v>
      </c>
      <c r="B5261" t="s">
        <v>2872</v>
      </c>
      <c r="C5261" t="s">
        <v>63</v>
      </c>
      <c r="D5261" t="s">
        <v>4062</v>
      </c>
      <c r="E5261" t="s">
        <v>6871</v>
      </c>
      <c r="F5261" t="s">
        <v>63</v>
      </c>
      <c r="G5261">
        <v>1</v>
      </c>
      <c r="H5261" s="2">
        <v>219000</v>
      </c>
      <c r="I5261" s="2">
        <v>219000</v>
      </c>
    </row>
    <row r="5262" spans="1:9" x14ac:dyDescent="0.25">
      <c r="A5262" t="s">
        <v>2871</v>
      </c>
      <c r="B5262" t="s">
        <v>2872</v>
      </c>
      <c r="C5262" t="s">
        <v>63</v>
      </c>
      <c r="D5262" t="s">
        <v>4062</v>
      </c>
      <c r="E5262" t="s">
        <v>6884</v>
      </c>
      <c r="F5262" t="s">
        <v>231</v>
      </c>
      <c r="G5262">
        <v>12</v>
      </c>
      <c r="H5262" s="2">
        <v>2876.96</v>
      </c>
      <c r="I5262" s="2">
        <v>34523.52</v>
      </c>
    </row>
    <row r="5263" spans="1:9" x14ac:dyDescent="0.25">
      <c r="A5263" t="s">
        <v>2871</v>
      </c>
      <c r="B5263" t="s">
        <v>2872</v>
      </c>
      <c r="C5263" t="s">
        <v>63</v>
      </c>
      <c r="D5263" t="s">
        <v>4062</v>
      </c>
      <c r="E5263" t="s">
        <v>4001</v>
      </c>
      <c r="F5263" t="s">
        <v>34</v>
      </c>
      <c r="G5263">
        <v>0.35</v>
      </c>
      <c r="H5263" s="2">
        <v>450245.66</v>
      </c>
      <c r="I5263" s="2">
        <v>157585.98</v>
      </c>
    </row>
    <row r="5264" spans="1:9" x14ac:dyDescent="0.25">
      <c r="A5264" t="s">
        <v>2871</v>
      </c>
      <c r="B5264" t="s">
        <v>2872</v>
      </c>
      <c r="C5264" t="s">
        <v>63</v>
      </c>
      <c r="D5264" t="s">
        <v>4062</v>
      </c>
      <c r="E5264" t="s">
        <v>4031</v>
      </c>
      <c r="F5264" t="s">
        <v>21</v>
      </c>
      <c r="G5264">
        <v>7.4</v>
      </c>
      <c r="H5264" s="2">
        <v>142134.84</v>
      </c>
      <c r="I5264" s="2">
        <v>1051797.82</v>
      </c>
    </row>
    <row r="5265" spans="1:9" x14ac:dyDescent="0.25">
      <c r="A5265" t="s">
        <v>2871</v>
      </c>
      <c r="B5265" t="s">
        <v>2872</v>
      </c>
      <c r="C5265" t="s">
        <v>63</v>
      </c>
      <c r="D5265" t="s">
        <v>4062</v>
      </c>
      <c r="E5265" t="s">
        <v>680</v>
      </c>
      <c r="F5265" t="s">
        <v>21</v>
      </c>
      <c r="G5265">
        <v>6.3</v>
      </c>
      <c r="H5265" s="2">
        <v>23671.78</v>
      </c>
      <c r="I5265" s="2">
        <v>149132.21</v>
      </c>
    </row>
    <row r="5266" spans="1:9" x14ac:dyDescent="0.25">
      <c r="A5266" t="s">
        <v>2871</v>
      </c>
      <c r="B5266" t="s">
        <v>2872</v>
      </c>
      <c r="C5266" t="s">
        <v>63</v>
      </c>
      <c r="D5266" t="s">
        <v>4062</v>
      </c>
      <c r="E5266" t="s">
        <v>5818</v>
      </c>
      <c r="F5266" t="s">
        <v>4236</v>
      </c>
      <c r="G5266">
        <v>5.6</v>
      </c>
      <c r="H5266" s="2">
        <v>24555.22</v>
      </c>
      <c r="I5266" s="2">
        <v>137509.23</v>
      </c>
    </row>
    <row r="5267" spans="1:9" x14ac:dyDescent="0.25">
      <c r="A5267" t="s">
        <v>2874</v>
      </c>
      <c r="B5267" t="s">
        <v>2875</v>
      </c>
      <c r="C5267" t="s">
        <v>63</v>
      </c>
      <c r="D5267" t="s">
        <v>4062</v>
      </c>
      <c r="E5267" t="s">
        <v>6871</v>
      </c>
      <c r="F5267" t="s">
        <v>63</v>
      </c>
      <c r="G5267">
        <v>1</v>
      </c>
      <c r="H5267" s="2">
        <v>219000</v>
      </c>
      <c r="I5267" s="2">
        <v>219000</v>
      </c>
    </row>
    <row r="5268" spans="1:9" x14ac:dyDescent="0.25">
      <c r="A5268" t="s">
        <v>2874</v>
      </c>
      <c r="B5268" t="s">
        <v>2875</v>
      </c>
      <c r="C5268" t="s">
        <v>63</v>
      </c>
      <c r="D5268" t="s">
        <v>4062</v>
      </c>
      <c r="E5268" t="s">
        <v>6884</v>
      </c>
      <c r="F5268" t="s">
        <v>231</v>
      </c>
      <c r="G5268">
        <v>12</v>
      </c>
      <c r="H5268" s="2">
        <v>2876.96</v>
      </c>
      <c r="I5268" s="2">
        <v>34523.52</v>
      </c>
    </row>
    <row r="5269" spans="1:9" x14ac:dyDescent="0.25">
      <c r="A5269" t="s">
        <v>2874</v>
      </c>
      <c r="B5269" t="s">
        <v>2875</v>
      </c>
      <c r="C5269" t="s">
        <v>63</v>
      </c>
      <c r="D5269" t="s">
        <v>4062</v>
      </c>
      <c r="E5269" t="s">
        <v>4001</v>
      </c>
      <c r="F5269" t="s">
        <v>34</v>
      </c>
      <c r="G5269">
        <v>0.35</v>
      </c>
      <c r="H5269" s="2">
        <v>450245.66</v>
      </c>
      <c r="I5269" s="2">
        <v>157585.98</v>
      </c>
    </row>
    <row r="5270" spans="1:9" x14ac:dyDescent="0.25">
      <c r="A5270" t="s">
        <v>2874</v>
      </c>
      <c r="B5270" t="s">
        <v>2875</v>
      </c>
      <c r="C5270" t="s">
        <v>63</v>
      </c>
      <c r="D5270" t="s">
        <v>4062</v>
      </c>
      <c r="E5270" t="s">
        <v>4031</v>
      </c>
      <c r="F5270" t="s">
        <v>21</v>
      </c>
      <c r="G5270">
        <v>7.4</v>
      </c>
      <c r="H5270" s="2">
        <v>142134.84</v>
      </c>
      <c r="I5270" s="2">
        <v>1051797.82</v>
      </c>
    </row>
    <row r="5271" spans="1:9" x14ac:dyDescent="0.25">
      <c r="A5271" t="s">
        <v>2874</v>
      </c>
      <c r="B5271" t="s">
        <v>2875</v>
      </c>
      <c r="C5271" t="s">
        <v>63</v>
      </c>
      <c r="D5271" t="s">
        <v>4062</v>
      </c>
      <c r="E5271" t="s">
        <v>680</v>
      </c>
      <c r="F5271" t="s">
        <v>21</v>
      </c>
      <c r="G5271">
        <v>6.3</v>
      </c>
      <c r="H5271" s="2">
        <v>23671.78</v>
      </c>
      <c r="I5271" s="2">
        <v>149132.21</v>
      </c>
    </row>
    <row r="5272" spans="1:9" x14ac:dyDescent="0.25">
      <c r="A5272" t="s">
        <v>2874</v>
      </c>
      <c r="B5272" t="s">
        <v>2875</v>
      </c>
      <c r="C5272" t="s">
        <v>63</v>
      </c>
      <c r="D5272" t="s">
        <v>4062</v>
      </c>
      <c r="E5272" t="s">
        <v>5818</v>
      </c>
      <c r="F5272" t="s">
        <v>4236</v>
      </c>
      <c r="G5272">
        <v>5.6</v>
      </c>
      <c r="H5272" s="2">
        <v>24555.22</v>
      </c>
      <c r="I5272" s="2">
        <v>137509.23</v>
      </c>
    </row>
    <row r="5273" spans="1:9" x14ac:dyDescent="0.25">
      <c r="A5273" t="s">
        <v>2876</v>
      </c>
      <c r="B5273" t="s">
        <v>2877</v>
      </c>
      <c r="C5273" t="s">
        <v>63</v>
      </c>
      <c r="D5273" t="s">
        <v>4062</v>
      </c>
      <c r="E5273" t="s">
        <v>6871</v>
      </c>
      <c r="F5273" t="s">
        <v>63</v>
      </c>
      <c r="G5273">
        <v>1</v>
      </c>
      <c r="H5273" s="2">
        <v>219000</v>
      </c>
      <c r="I5273" s="2">
        <v>219000</v>
      </c>
    </row>
    <row r="5274" spans="1:9" x14ac:dyDescent="0.25">
      <c r="A5274" t="s">
        <v>2876</v>
      </c>
      <c r="B5274" t="s">
        <v>2877</v>
      </c>
      <c r="C5274" t="s">
        <v>63</v>
      </c>
      <c r="D5274" t="s">
        <v>4062</v>
      </c>
      <c r="E5274" t="s">
        <v>6884</v>
      </c>
      <c r="F5274" t="s">
        <v>231</v>
      </c>
      <c r="G5274">
        <v>16</v>
      </c>
      <c r="H5274" s="2">
        <v>2876.96</v>
      </c>
      <c r="I5274" s="2">
        <v>46031.36</v>
      </c>
    </row>
    <row r="5275" spans="1:9" x14ac:dyDescent="0.25">
      <c r="A5275" t="s">
        <v>2876</v>
      </c>
      <c r="B5275" t="s">
        <v>2877</v>
      </c>
      <c r="C5275" t="s">
        <v>63</v>
      </c>
      <c r="D5275" t="s">
        <v>4062</v>
      </c>
      <c r="E5275" t="s">
        <v>4001</v>
      </c>
      <c r="F5275" t="s">
        <v>34</v>
      </c>
      <c r="G5275">
        <v>0.5</v>
      </c>
      <c r="H5275" s="2">
        <v>450245.66</v>
      </c>
      <c r="I5275" s="2">
        <v>225122.83</v>
      </c>
    </row>
    <row r="5276" spans="1:9" x14ac:dyDescent="0.25">
      <c r="A5276" t="s">
        <v>2876</v>
      </c>
      <c r="B5276" t="s">
        <v>2877</v>
      </c>
      <c r="C5276" t="s">
        <v>63</v>
      </c>
      <c r="D5276" t="s">
        <v>4062</v>
      </c>
      <c r="E5276" t="s">
        <v>4031</v>
      </c>
      <c r="F5276" t="s">
        <v>21</v>
      </c>
      <c r="G5276">
        <v>9.5</v>
      </c>
      <c r="H5276" s="2">
        <v>142134.84</v>
      </c>
      <c r="I5276" s="2">
        <v>1350280.98</v>
      </c>
    </row>
    <row r="5277" spans="1:9" x14ac:dyDescent="0.25">
      <c r="A5277" t="s">
        <v>2876</v>
      </c>
      <c r="B5277" t="s">
        <v>2877</v>
      </c>
      <c r="C5277" t="s">
        <v>63</v>
      </c>
      <c r="D5277" t="s">
        <v>4062</v>
      </c>
      <c r="E5277" t="s">
        <v>680</v>
      </c>
      <c r="F5277" t="s">
        <v>21</v>
      </c>
      <c r="G5277">
        <v>7.4</v>
      </c>
      <c r="H5277" s="2">
        <v>23671.78</v>
      </c>
      <c r="I5277" s="2">
        <v>175171.17</v>
      </c>
    </row>
    <row r="5278" spans="1:9" x14ac:dyDescent="0.25">
      <c r="A5278" t="s">
        <v>2876</v>
      </c>
      <c r="B5278" t="s">
        <v>2877</v>
      </c>
      <c r="C5278" t="s">
        <v>63</v>
      </c>
      <c r="D5278" t="s">
        <v>4062</v>
      </c>
      <c r="E5278" t="s">
        <v>5818</v>
      </c>
      <c r="F5278" t="s">
        <v>4236</v>
      </c>
      <c r="G5278">
        <v>7.83</v>
      </c>
      <c r="H5278" s="2">
        <v>24555.22</v>
      </c>
      <c r="I5278" s="2">
        <v>192267.37</v>
      </c>
    </row>
    <row r="5279" spans="1:9" x14ac:dyDescent="0.25">
      <c r="A5279" t="s">
        <v>2879</v>
      </c>
      <c r="B5279" t="s">
        <v>2880</v>
      </c>
      <c r="C5279" t="s">
        <v>63</v>
      </c>
      <c r="D5279" t="s">
        <v>4062</v>
      </c>
      <c r="E5279" t="s">
        <v>6871</v>
      </c>
      <c r="F5279" t="s">
        <v>63</v>
      </c>
      <c r="G5279">
        <v>1</v>
      </c>
      <c r="H5279" s="2">
        <v>219000</v>
      </c>
      <c r="I5279" s="2">
        <v>219000</v>
      </c>
    </row>
    <row r="5280" spans="1:9" x14ac:dyDescent="0.25">
      <c r="A5280" t="s">
        <v>2879</v>
      </c>
      <c r="B5280" t="s">
        <v>2880</v>
      </c>
      <c r="C5280" t="s">
        <v>63</v>
      </c>
      <c r="D5280" t="s">
        <v>4062</v>
      </c>
      <c r="E5280" t="s">
        <v>6884</v>
      </c>
      <c r="F5280" t="s">
        <v>231</v>
      </c>
      <c r="G5280">
        <v>20</v>
      </c>
      <c r="H5280" s="2">
        <v>2876.96</v>
      </c>
      <c r="I5280" s="2">
        <v>57539.2</v>
      </c>
    </row>
    <row r="5281" spans="1:9" x14ac:dyDescent="0.25">
      <c r="A5281" t="s">
        <v>2879</v>
      </c>
      <c r="B5281" t="s">
        <v>2880</v>
      </c>
      <c r="C5281" t="s">
        <v>63</v>
      </c>
      <c r="D5281" t="s">
        <v>4062</v>
      </c>
      <c r="E5281" t="s">
        <v>4001</v>
      </c>
      <c r="F5281" t="s">
        <v>34</v>
      </c>
      <c r="G5281">
        <v>0.6</v>
      </c>
      <c r="H5281" s="2">
        <v>450245.66</v>
      </c>
      <c r="I5281" s="2">
        <v>270147.4</v>
      </c>
    </row>
    <row r="5282" spans="1:9" x14ac:dyDescent="0.25">
      <c r="A5282" t="s">
        <v>2879</v>
      </c>
      <c r="B5282" t="s">
        <v>2880</v>
      </c>
      <c r="C5282" t="s">
        <v>63</v>
      </c>
      <c r="D5282" t="s">
        <v>4062</v>
      </c>
      <c r="E5282" t="s">
        <v>4031</v>
      </c>
      <c r="F5282" t="s">
        <v>21</v>
      </c>
      <c r="G5282">
        <v>16.9</v>
      </c>
      <c r="H5282" s="2">
        <v>142134.84</v>
      </c>
      <c r="I5282" s="2">
        <v>2402078.8</v>
      </c>
    </row>
    <row r="5283" spans="1:9" x14ac:dyDescent="0.25">
      <c r="A5283" t="s">
        <v>2879</v>
      </c>
      <c r="B5283" t="s">
        <v>2880</v>
      </c>
      <c r="C5283" t="s">
        <v>63</v>
      </c>
      <c r="D5283" t="s">
        <v>4062</v>
      </c>
      <c r="E5283" t="s">
        <v>680</v>
      </c>
      <c r="F5283" t="s">
        <v>21</v>
      </c>
      <c r="G5283">
        <v>9.4</v>
      </c>
      <c r="H5283" s="2">
        <v>23671.78</v>
      </c>
      <c r="I5283" s="2">
        <v>222514.73</v>
      </c>
    </row>
    <row r="5284" spans="1:9" x14ac:dyDescent="0.25">
      <c r="A5284" t="s">
        <v>2879</v>
      </c>
      <c r="B5284" t="s">
        <v>2880</v>
      </c>
      <c r="C5284" t="s">
        <v>63</v>
      </c>
      <c r="D5284" t="s">
        <v>4062</v>
      </c>
      <c r="E5284" t="s">
        <v>5818</v>
      </c>
      <c r="F5284" t="s">
        <v>4236</v>
      </c>
      <c r="G5284">
        <v>8.95</v>
      </c>
      <c r="H5284" s="2">
        <v>24555.22</v>
      </c>
      <c r="I5284" s="2">
        <v>219769.22</v>
      </c>
    </row>
    <row r="5285" spans="1:9" x14ac:dyDescent="0.25">
      <c r="A5285" t="s">
        <v>2882</v>
      </c>
      <c r="B5285" t="s">
        <v>2883</v>
      </c>
      <c r="C5285" t="s">
        <v>63</v>
      </c>
      <c r="D5285" t="s">
        <v>4062</v>
      </c>
      <c r="E5285" t="s">
        <v>4012</v>
      </c>
      <c r="F5285" t="s">
        <v>34</v>
      </c>
      <c r="G5285">
        <v>0.85</v>
      </c>
      <c r="H5285" s="2">
        <v>475506.98</v>
      </c>
      <c r="I5285" s="2">
        <v>404180.93</v>
      </c>
    </row>
    <row r="5286" spans="1:9" x14ac:dyDescent="0.25">
      <c r="A5286" t="s">
        <v>2882</v>
      </c>
      <c r="B5286" t="s">
        <v>2883</v>
      </c>
      <c r="C5286" t="s">
        <v>63</v>
      </c>
      <c r="D5286" t="s">
        <v>4062</v>
      </c>
      <c r="E5286" t="s">
        <v>4004</v>
      </c>
      <c r="F5286" t="s">
        <v>34</v>
      </c>
      <c r="G5286">
        <v>0.15</v>
      </c>
      <c r="H5286" s="2">
        <v>426702.51</v>
      </c>
      <c r="I5286" s="2">
        <v>64005.38</v>
      </c>
    </row>
    <row r="5287" spans="1:9" x14ac:dyDescent="0.25">
      <c r="A5287" t="s">
        <v>2882</v>
      </c>
      <c r="B5287" t="s">
        <v>2883</v>
      </c>
      <c r="C5287" t="s">
        <v>63</v>
      </c>
      <c r="D5287" t="s">
        <v>4062</v>
      </c>
      <c r="E5287" t="s">
        <v>4486</v>
      </c>
      <c r="F5287" t="s">
        <v>231</v>
      </c>
      <c r="G5287">
        <v>80.8</v>
      </c>
      <c r="H5287" s="2">
        <v>3049</v>
      </c>
      <c r="I5287" s="2">
        <v>246359.2</v>
      </c>
    </row>
    <row r="5288" spans="1:9" x14ac:dyDescent="0.25">
      <c r="A5288" t="s">
        <v>2882</v>
      </c>
      <c r="B5288" t="s">
        <v>2883</v>
      </c>
      <c r="C5288" t="s">
        <v>63</v>
      </c>
      <c r="D5288" t="s">
        <v>4062</v>
      </c>
      <c r="E5288" t="s">
        <v>5818</v>
      </c>
      <c r="F5288" t="s">
        <v>4236</v>
      </c>
      <c r="G5288">
        <v>4</v>
      </c>
      <c r="H5288" s="2">
        <v>24555.22</v>
      </c>
      <c r="I5288" s="2">
        <v>98220.88</v>
      </c>
    </row>
    <row r="5289" spans="1:9" x14ac:dyDescent="0.25">
      <c r="A5289" t="s">
        <v>2885</v>
      </c>
      <c r="B5289" t="s">
        <v>2886</v>
      </c>
      <c r="C5289" t="s">
        <v>42</v>
      </c>
      <c r="D5289" t="s">
        <v>4049</v>
      </c>
      <c r="E5289" t="s">
        <v>4050</v>
      </c>
      <c r="F5289" t="s">
        <v>4051</v>
      </c>
      <c r="G5289">
        <v>1.8</v>
      </c>
      <c r="H5289" s="2">
        <v>9037.33</v>
      </c>
      <c r="I5289" s="2">
        <v>16267.19</v>
      </c>
    </row>
    <row r="5290" spans="1:9" x14ac:dyDescent="0.25">
      <c r="A5290" t="s">
        <v>2885</v>
      </c>
      <c r="B5290" t="s">
        <v>2886</v>
      </c>
      <c r="C5290" t="s">
        <v>42</v>
      </c>
      <c r="D5290" t="s">
        <v>4052</v>
      </c>
      <c r="E5290" t="s">
        <v>4118</v>
      </c>
      <c r="F5290" t="s">
        <v>287</v>
      </c>
      <c r="G5290">
        <v>0.03</v>
      </c>
      <c r="H5290" s="2">
        <v>107433.33</v>
      </c>
      <c r="I5290" s="2">
        <v>3223</v>
      </c>
    </row>
    <row r="5291" spans="1:9" x14ac:dyDescent="0.25">
      <c r="A5291" t="s">
        <v>2885</v>
      </c>
      <c r="B5291" t="s">
        <v>2886</v>
      </c>
      <c r="C5291" t="s">
        <v>42</v>
      </c>
      <c r="D5291" t="s">
        <v>4052</v>
      </c>
      <c r="E5291" t="s">
        <v>4053</v>
      </c>
      <c r="F5291" t="s">
        <v>4054</v>
      </c>
      <c r="G5291">
        <v>3</v>
      </c>
      <c r="H5291" s="2">
        <v>16267.19</v>
      </c>
      <c r="I5291" s="2">
        <v>488.02</v>
      </c>
    </row>
    <row r="5292" spans="1:9" x14ac:dyDescent="0.25">
      <c r="A5292" t="s">
        <v>2888</v>
      </c>
      <c r="B5292" t="s">
        <v>2889</v>
      </c>
      <c r="C5292" t="s">
        <v>42</v>
      </c>
      <c r="D5292" t="s">
        <v>4049</v>
      </c>
      <c r="E5292" t="s">
        <v>4050</v>
      </c>
      <c r="F5292" t="s">
        <v>4051</v>
      </c>
      <c r="G5292">
        <v>1</v>
      </c>
      <c r="H5292" s="2">
        <v>9037.33</v>
      </c>
      <c r="I5292" s="2">
        <v>9037.33</v>
      </c>
    </row>
    <row r="5293" spans="1:9" x14ac:dyDescent="0.25">
      <c r="A5293" t="s">
        <v>2888</v>
      </c>
      <c r="B5293" t="s">
        <v>2889</v>
      </c>
      <c r="C5293" t="s">
        <v>42</v>
      </c>
      <c r="D5293" t="s">
        <v>4052</v>
      </c>
      <c r="E5293" t="s">
        <v>4053</v>
      </c>
      <c r="F5293" t="s">
        <v>4054</v>
      </c>
      <c r="G5293">
        <v>3</v>
      </c>
      <c r="H5293" s="2">
        <v>9037.33</v>
      </c>
      <c r="I5293" s="2">
        <v>271.12</v>
      </c>
    </row>
    <row r="5294" spans="1:9" x14ac:dyDescent="0.25">
      <c r="A5294" t="s">
        <v>2891</v>
      </c>
      <c r="B5294" t="s">
        <v>2892</v>
      </c>
      <c r="C5294" t="s">
        <v>42</v>
      </c>
      <c r="D5294" t="s">
        <v>4049</v>
      </c>
      <c r="E5294" t="s">
        <v>4050</v>
      </c>
      <c r="F5294" t="s">
        <v>4051</v>
      </c>
      <c r="G5294">
        <v>0.8</v>
      </c>
      <c r="H5294" s="2">
        <v>9037.33</v>
      </c>
      <c r="I5294" s="2">
        <v>7229.86</v>
      </c>
    </row>
    <row r="5295" spans="1:9" x14ac:dyDescent="0.25">
      <c r="A5295" t="s">
        <v>2891</v>
      </c>
      <c r="B5295" t="s">
        <v>2892</v>
      </c>
      <c r="C5295" t="s">
        <v>42</v>
      </c>
      <c r="D5295" t="s">
        <v>4052</v>
      </c>
      <c r="E5295" t="s">
        <v>4053</v>
      </c>
      <c r="F5295" t="s">
        <v>4054</v>
      </c>
      <c r="G5295">
        <v>3</v>
      </c>
      <c r="H5295" s="2">
        <v>7229.86</v>
      </c>
      <c r="I5295" s="2">
        <v>216.9</v>
      </c>
    </row>
    <row r="5296" spans="1:9" x14ac:dyDescent="0.25">
      <c r="A5296" t="s">
        <v>2894</v>
      </c>
      <c r="B5296" t="s">
        <v>2895</v>
      </c>
      <c r="C5296" t="s">
        <v>63</v>
      </c>
      <c r="D5296" t="s">
        <v>4062</v>
      </c>
      <c r="E5296" t="s">
        <v>3975</v>
      </c>
      <c r="F5296" t="s">
        <v>34</v>
      </c>
      <c r="G5296">
        <v>0.1</v>
      </c>
      <c r="H5296" s="2">
        <v>586929.15</v>
      </c>
      <c r="I5296" s="2">
        <v>58692.92</v>
      </c>
    </row>
    <row r="5297" spans="1:9" x14ac:dyDescent="0.25">
      <c r="A5297" t="s">
        <v>2894</v>
      </c>
      <c r="B5297" t="s">
        <v>2895</v>
      </c>
      <c r="C5297" t="s">
        <v>63</v>
      </c>
      <c r="D5297" t="s">
        <v>4062</v>
      </c>
      <c r="E5297" t="s">
        <v>4004</v>
      </c>
      <c r="F5297" t="s">
        <v>34</v>
      </c>
      <c r="G5297">
        <v>0.24</v>
      </c>
      <c r="H5297" s="2">
        <v>426702.51</v>
      </c>
      <c r="I5297" s="2">
        <v>102408.6</v>
      </c>
    </row>
    <row r="5298" spans="1:9" x14ac:dyDescent="0.25">
      <c r="A5298" t="s">
        <v>2894</v>
      </c>
      <c r="B5298" t="s">
        <v>2895</v>
      </c>
      <c r="C5298" t="s">
        <v>63</v>
      </c>
      <c r="D5298" t="s">
        <v>4062</v>
      </c>
      <c r="E5298" t="s">
        <v>4038</v>
      </c>
      <c r="F5298" t="s">
        <v>21</v>
      </c>
      <c r="G5298">
        <v>4.48</v>
      </c>
      <c r="H5298" s="2">
        <v>79038.99</v>
      </c>
      <c r="I5298" s="2">
        <v>354094.68</v>
      </c>
    </row>
    <row r="5299" spans="1:9" x14ac:dyDescent="0.25">
      <c r="A5299" t="s">
        <v>2894</v>
      </c>
      <c r="B5299" t="s">
        <v>2895</v>
      </c>
      <c r="C5299" t="s">
        <v>63</v>
      </c>
      <c r="D5299" t="s">
        <v>4062</v>
      </c>
      <c r="E5299" t="s">
        <v>6909</v>
      </c>
      <c r="F5299" t="s">
        <v>63</v>
      </c>
      <c r="G5299">
        <v>1</v>
      </c>
      <c r="H5299" s="2">
        <v>101444.41</v>
      </c>
      <c r="I5299" s="2">
        <v>101444.41</v>
      </c>
    </row>
    <row r="5300" spans="1:9" x14ac:dyDescent="0.25">
      <c r="A5300" t="s">
        <v>2894</v>
      </c>
      <c r="B5300" t="s">
        <v>2895</v>
      </c>
      <c r="C5300" t="s">
        <v>63</v>
      </c>
      <c r="D5300" t="s">
        <v>4062</v>
      </c>
      <c r="E5300" t="s">
        <v>6872</v>
      </c>
      <c r="F5300" t="s">
        <v>4236</v>
      </c>
      <c r="G5300">
        <v>6</v>
      </c>
      <c r="H5300" s="2">
        <v>33592.56</v>
      </c>
      <c r="I5300" s="2">
        <v>201555.36</v>
      </c>
    </row>
    <row r="5301" spans="1:9" x14ac:dyDescent="0.25">
      <c r="A5301" t="s">
        <v>2898</v>
      </c>
      <c r="B5301" t="s">
        <v>2899</v>
      </c>
      <c r="C5301" t="s">
        <v>63</v>
      </c>
      <c r="D5301" t="s">
        <v>4062</v>
      </c>
      <c r="E5301" t="s">
        <v>3975</v>
      </c>
      <c r="F5301" t="s">
        <v>34</v>
      </c>
      <c r="G5301">
        <v>0.17</v>
      </c>
      <c r="H5301" s="2">
        <v>586929.15</v>
      </c>
      <c r="I5301" s="2">
        <v>99777.96</v>
      </c>
    </row>
    <row r="5302" spans="1:9" x14ac:dyDescent="0.25">
      <c r="A5302" t="s">
        <v>2898</v>
      </c>
      <c r="B5302" t="s">
        <v>2899</v>
      </c>
      <c r="C5302" t="s">
        <v>63</v>
      </c>
      <c r="D5302" t="s">
        <v>4062</v>
      </c>
      <c r="E5302" t="s">
        <v>4004</v>
      </c>
      <c r="F5302" t="s">
        <v>34</v>
      </c>
      <c r="G5302">
        <v>0.65</v>
      </c>
      <c r="H5302" s="2">
        <v>426702.51</v>
      </c>
      <c r="I5302" s="2">
        <v>277356.63</v>
      </c>
    </row>
    <row r="5303" spans="1:9" x14ac:dyDescent="0.25">
      <c r="A5303" t="s">
        <v>2898</v>
      </c>
      <c r="B5303" t="s">
        <v>2899</v>
      </c>
      <c r="C5303" t="s">
        <v>63</v>
      </c>
      <c r="D5303" t="s">
        <v>4062</v>
      </c>
      <c r="E5303" t="s">
        <v>4038</v>
      </c>
      <c r="F5303" t="s">
        <v>21</v>
      </c>
      <c r="G5303">
        <v>7.35</v>
      </c>
      <c r="H5303" s="2">
        <v>79038.99</v>
      </c>
      <c r="I5303" s="2">
        <v>580936.58</v>
      </c>
    </row>
    <row r="5304" spans="1:9" x14ac:dyDescent="0.25">
      <c r="A5304" t="s">
        <v>2898</v>
      </c>
      <c r="B5304" t="s">
        <v>2899</v>
      </c>
      <c r="C5304" t="s">
        <v>63</v>
      </c>
      <c r="D5304" t="s">
        <v>4062</v>
      </c>
      <c r="E5304" t="s">
        <v>6909</v>
      </c>
      <c r="F5304" t="s">
        <v>63</v>
      </c>
      <c r="G5304">
        <v>1</v>
      </c>
      <c r="H5304" s="2">
        <v>101444.41</v>
      </c>
      <c r="I5304" s="2">
        <v>101444.41</v>
      </c>
    </row>
    <row r="5305" spans="1:9" x14ac:dyDescent="0.25">
      <c r="A5305" t="s">
        <v>2898</v>
      </c>
      <c r="B5305" t="s">
        <v>2899</v>
      </c>
      <c r="C5305" t="s">
        <v>63</v>
      </c>
      <c r="D5305" t="s">
        <v>4062</v>
      </c>
      <c r="E5305" t="s">
        <v>6872</v>
      </c>
      <c r="F5305" t="s">
        <v>4236</v>
      </c>
      <c r="G5305">
        <v>8</v>
      </c>
      <c r="H5305" s="2">
        <v>33592.56</v>
      </c>
      <c r="I5305" s="2">
        <v>268740.48</v>
      </c>
    </row>
    <row r="5306" spans="1:9" x14ac:dyDescent="0.25">
      <c r="A5306" t="s">
        <v>2901</v>
      </c>
      <c r="B5306" t="s">
        <v>2902</v>
      </c>
      <c r="C5306" t="s">
        <v>63</v>
      </c>
      <c r="D5306" t="s">
        <v>4062</v>
      </c>
      <c r="E5306" t="s">
        <v>4261</v>
      </c>
      <c r="F5306" t="s">
        <v>231</v>
      </c>
      <c r="G5306">
        <v>137.69</v>
      </c>
      <c r="H5306" s="2">
        <v>2982</v>
      </c>
      <c r="I5306" s="2">
        <v>410591.58</v>
      </c>
    </row>
    <row r="5307" spans="1:9" x14ac:dyDescent="0.25">
      <c r="A5307" t="s">
        <v>2901</v>
      </c>
      <c r="B5307" t="s">
        <v>2902</v>
      </c>
      <c r="C5307" t="s">
        <v>63</v>
      </c>
      <c r="D5307" t="s">
        <v>4062</v>
      </c>
      <c r="E5307" t="s">
        <v>4012</v>
      </c>
      <c r="F5307" t="s">
        <v>34</v>
      </c>
      <c r="G5307">
        <v>1.95</v>
      </c>
      <c r="H5307" s="2">
        <v>475506.98</v>
      </c>
      <c r="I5307" s="2">
        <v>927238.61</v>
      </c>
    </row>
    <row r="5308" spans="1:9" x14ac:dyDescent="0.25">
      <c r="A5308" t="s">
        <v>2901</v>
      </c>
      <c r="B5308" t="s">
        <v>2902</v>
      </c>
      <c r="C5308" t="s">
        <v>63</v>
      </c>
      <c r="D5308" t="s">
        <v>4062</v>
      </c>
      <c r="E5308" t="s">
        <v>4400</v>
      </c>
      <c r="F5308" t="s">
        <v>42</v>
      </c>
      <c r="G5308">
        <v>2.7</v>
      </c>
      <c r="H5308" s="2">
        <v>5286.26</v>
      </c>
      <c r="I5308" s="2">
        <v>14272.9</v>
      </c>
    </row>
    <row r="5309" spans="1:9" x14ac:dyDescent="0.25">
      <c r="A5309" t="s">
        <v>2901</v>
      </c>
      <c r="B5309" t="s">
        <v>2902</v>
      </c>
      <c r="C5309" t="s">
        <v>63</v>
      </c>
      <c r="D5309" t="s">
        <v>4062</v>
      </c>
      <c r="E5309" t="s">
        <v>4070</v>
      </c>
      <c r="F5309" t="s">
        <v>42</v>
      </c>
      <c r="G5309">
        <v>5.94</v>
      </c>
      <c r="H5309" s="2">
        <v>7381.08</v>
      </c>
      <c r="I5309" s="2">
        <v>43843.62</v>
      </c>
    </row>
    <row r="5310" spans="1:9" x14ac:dyDescent="0.25">
      <c r="A5310" t="s">
        <v>2901</v>
      </c>
      <c r="B5310" t="s">
        <v>2902</v>
      </c>
      <c r="C5310" t="s">
        <v>63</v>
      </c>
      <c r="D5310" t="s">
        <v>4062</v>
      </c>
      <c r="E5310" t="s">
        <v>4071</v>
      </c>
      <c r="F5310" t="s">
        <v>42</v>
      </c>
      <c r="G5310">
        <v>3.5</v>
      </c>
      <c r="H5310" s="2">
        <v>2555</v>
      </c>
      <c r="I5310" s="2">
        <v>8942.5</v>
      </c>
    </row>
    <row r="5311" spans="1:9" x14ac:dyDescent="0.25">
      <c r="A5311" t="s">
        <v>2901</v>
      </c>
      <c r="B5311" t="s">
        <v>2902</v>
      </c>
      <c r="C5311" t="s">
        <v>63</v>
      </c>
      <c r="D5311" t="s">
        <v>4062</v>
      </c>
      <c r="E5311" t="s">
        <v>4065</v>
      </c>
      <c r="F5311" t="s">
        <v>4066</v>
      </c>
      <c r="G5311">
        <v>2.9</v>
      </c>
      <c r="H5311" s="2">
        <v>3433</v>
      </c>
      <c r="I5311" s="2">
        <v>9955.7</v>
      </c>
    </row>
    <row r="5312" spans="1:9" x14ac:dyDescent="0.25">
      <c r="A5312" t="s">
        <v>2901</v>
      </c>
      <c r="B5312" t="s">
        <v>2902</v>
      </c>
      <c r="C5312" t="s">
        <v>63</v>
      </c>
      <c r="D5312" t="s">
        <v>4062</v>
      </c>
      <c r="E5312" t="s">
        <v>6909</v>
      </c>
      <c r="F5312" t="s">
        <v>63</v>
      </c>
      <c r="G5312">
        <v>1</v>
      </c>
      <c r="H5312" s="2">
        <v>101444.41</v>
      </c>
      <c r="I5312" s="2">
        <v>101444.41</v>
      </c>
    </row>
    <row r="5313" spans="1:9" x14ac:dyDescent="0.25">
      <c r="A5313" t="s">
        <v>2901</v>
      </c>
      <c r="B5313" t="s">
        <v>2902</v>
      </c>
      <c r="C5313" t="s">
        <v>63</v>
      </c>
      <c r="D5313" t="s">
        <v>4049</v>
      </c>
      <c r="E5313" t="s">
        <v>4050</v>
      </c>
      <c r="F5313" t="s">
        <v>4051</v>
      </c>
      <c r="G5313">
        <v>36</v>
      </c>
      <c r="H5313" s="2">
        <v>9037.33</v>
      </c>
      <c r="I5313" s="2">
        <v>325343.88</v>
      </c>
    </row>
    <row r="5314" spans="1:9" x14ac:dyDescent="0.25">
      <c r="A5314" t="s">
        <v>2901</v>
      </c>
      <c r="B5314" t="s">
        <v>2902</v>
      </c>
      <c r="C5314" t="s">
        <v>63</v>
      </c>
      <c r="D5314" t="s">
        <v>4049</v>
      </c>
      <c r="E5314" t="s">
        <v>4073</v>
      </c>
      <c r="F5314" t="s">
        <v>4051</v>
      </c>
      <c r="G5314">
        <v>12</v>
      </c>
      <c r="H5314" s="2">
        <v>15517.89</v>
      </c>
      <c r="I5314" s="2">
        <v>186214.68</v>
      </c>
    </row>
    <row r="5315" spans="1:9" x14ac:dyDescent="0.25">
      <c r="A5315" t="s">
        <v>2901</v>
      </c>
      <c r="B5315" t="s">
        <v>2902</v>
      </c>
      <c r="C5315" t="s">
        <v>63</v>
      </c>
      <c r="D5315" t="s">
        <v>4052</v>
      </c>
      <c r="E5315" t="s">
        <v>4414</v>
      </c>
      <c r="F5315" t="s">
        <v>4106</v>
      </c>
      <c r="G5315">
        <v>19.16</v>
      </c>
      <c r="H5315" s="2">
        <v>5691.28</v>
      </c>
      <c r="I5315" s="2">
        <v>109044.92</v>
      </c>
    </row>
    <row r="5316" spans="1:9" x14ac:dyDescent="0.25">
      <c r="A5316" t="s">
        <v>2905</v>
      </c>
      <c r="B5316" t="s">
        <v>2906</v>
      </c>
      <c r="C5316" t="s">
        <v>63</v>
      </c>
      <c r="D5316" t="s">
        <v>4062</v>
      </c>
      <c r="E5316" t="s">
        <v>4261</v>
      </c>
      <c r="F5316" t="s">
        <v>231</v>
      </c>
      <c r="G5316">
        <v>175.23</v>
      </c>
      <c r="H5316" s="2">
        <v>2982</v>
      </c>
      <c r="I5316" s="2">
        <v>522535.86</v>
      </c>
    </row>
    <row r="5317" spans="1:9" x14ac:dyDescent="0.25">
      <c r="A5317" t="s">
        <v>2905</v>
      </c>
      <c r="B5317" t="s">
        <v>2906</v>
      </c>
      <c r="C5317" t="s">
        <v>63</v>
      </c>
      <c r="D5317" t="s">
        <v>4062</v>
      </c>
      <c r="E5317" t="s">
        <v>4012</v>
      </c>
      <c r="F5317" t="s">
        <v>34</v>
      </c>
      <c r="G5317">
        <v>2.72</v>
      </c>
      <c r="H5317" s="2">
        <v>475506.98</v>
      </c>
      <c r="I5317" s="2">
        <v>1293378.99</v>
      </c>
    </row>
    <row r="5318" spans="1:9" x14ac:dyDescent="0.25">
      <c r="A5318" t="s">
        <v>2905</v>
      </c>
      <c r="B5318" t="s">
        <v>2906</v>
      </c>
      <c r="C5318" t="s">
        <v>63</v>
      </c>
      <c r="D5318" t="s">
        <v>4062</v>
      </c>
      <c r="E5318" t="s">
        <v>4400</v>
      </c>
      <c r="F5318" t="s">
        <v>42</v>
      </c>
      <c r="G5318">
        <v>2.72</v>
      </c>
      <c r="H5318" s="2">
        <v>5286.26</v>
      </c>
      <c r="I5318" s="2">
        <v>14378.63</v>
      </c>
    </row>
    <row r="5319" spans="1:9" x14ac:dyDescent="0.25">
      <c r="A5319" t="s">
        <v>2905</v>
      </c>
      <c r="B5319" t="s">
        <v>2906</v>
      </c>
      <c r="C5319" t="s">
        <v>63</v>
      </c>
      <c r="D5319" t="s">
        <v>4062</v>
      </c>
      <c r="E5319" t="s">
        <v>4070</v>
      </c>
      <c r="F5319" t="s">
        <v>42</v>
      </c>
      <c r="G5319">
        <v>6</v>
      </c>
      <c r="H5319" s="2">
        <v>7381.08</v>
      </c>
      <c r="I5319" s="2">
        <v>44286.48</v>
      </c>
    </row>
    <row r="5320" spans="1:9" x14ac:dyDescent="0.25">
      <c r="A5320" t="s">
        <v>2905</v>
      </c>
      <c r="B5320" t="s">
        <v>2906</v>
      </c>
      <c r="C5320" t="s">
        <v>63</v>
      </c>
      <c r="D5320" t="s">
        <v>4062</v>
      </c>
      <c r="E5320" t="s">
        <v>4071</v>
      </c>
      <c r="F5320" t="s">
        <v>42</v>
      </c>
      <c r="G5320">
        <v>3.54</v>
      </c>
      <c r="H5320" s="2">
        <v>2555</v>
      </c>
      <c r="I5320" s="2">
        <v>9044.7</v>
      </c>
    </row>
    <row r="5321" spans="1:9" x14ac:dyDescent="0.25">
      <c r="A5321" t="s">
        <v>2905</v>
      </c>
      <c r="B5321" t="s">
        <v>2906</v>
      </c>
      <c r="C5321" t="s">
        <v>63</v>
      </c>
      <c r="D5321" t="s">
        <v>4062</v>
      </c>
      <c r="E5321" t="s">
        <v>4065</v>
      </c>
      <c r="F5321" t="s">
        <v>4066</v>
      </c>
      <c r="G5321">
        <v>2.93</v>
      </c>
      <c r="H5321" s="2">
        <v>3433</v>
      </c>
      <c r="I5321" s="2">
        <v>10058.69</v>
      </c>
    </row>
    <row r="5322" spans="1:9" x14ac:dyDescent="0.25">
      <c r="A5322" t="s">
        <v>2905</v>
      </c>
      <c r="B5322" t="s">
        <v>2906</v>
      </c>
      <c r="C5322" t="s">
        <v>63</v>
      </c>
      <c r="D5322" t="s">
        <v>4062</v>
      </c>
      <c r="E5322" t="s">
        <v>6909</v>
      </c>
      <c r="F5322" t="s">
        <v>63</v>
      </c>
      <c r="G5322">
        <v>1</v>
      </c>
      <c r="H5322" s="2">
        <v>101444.41</v>
      </c>
      <c r="I5322" s="2">
        <v>101444.41</v>
      </c>
    </row>
    <row r="5323" spans="1:9" x14ac:dyDescent="0.25">
      <c r="A5323" t="s">
        <v>2905</v>
      </c>
      <c r="B5323" t="s">
        <v>2906</v>
      </c>
      <c r="C5323" t="s">
        <v>63</v>
      </c>
      <c r="D5323" t="s">
        <v>4049</v>
      </c>
      <c r="E5323" t="s">
        <v>4050</v>
      </c>
      <c r="F5323" t="s">
        <v>4051</v>
      </c>
      <c r="G5323">
        <v>19.6</v>
      </c>
      <c r="H5323" s="2">
        <v>9037.33</v>
      </c>
      <c r="I5323" s="2">
        <v>177131.67</v>
      </c>
    </row>
    <row r="5324" spans="1:9" x14ac:dyDescent="0.25">
      <c r="A5324" t="s">
        <v>2905</v>
      </c>
      <c r="B5324" t="s">
        <v>2906</v>
      </c>
      <c r="C5324" t="s">
        <v>63</v>
      </c>
      <c r="D5324" t="s">
        <v>4049</v>
      </c>
      <c r="E5324" t="s">
        <v>4073</v>
      </c>
      <c r="F5324" t="s">
        <v>4051</v>
      </c>
      <c r="G5324">
        <v>9.8</v>
      </c>
      <c r="H5324" s="2">
        <v>15517.89</v>
      </c>
      <c r="I5324" s="2">
        <v>152075.32</v>
      </c>
    </row>
    <row r="5325" spans="1:9" x14ac:dyDescent="0.25">
      <c r="A5325" t="s">
        <v>2905</v>
      </c>
      <c r="B5325" t="s">
        <v>2906</v>
      </c>
      <c r="C5325" t="s">
        <v>63</v>
      </c>
      <c r="D5325" t="s">
        <v>4052</v>
      </c>
      <c r="E5325" t="s">
        <v>4414</v>
      </c>
      <c r="F5325" t="s">
        <v>4106</v>
      </c>
      <c r="G5325">
        <v>19.34</v>
      </c>
      <c r="H5325" s="2">
        <v>5691.28</v>
      </c>
      <c r="I5325" s="2">
        <v>110069.36</v>
      </c>
    </row>
    <row r="5326" spans="1:9" x14ac:dyDescent="0.25">
      <c r="A5326" t="s">
        <v>2908</v>
      </c>
      <c r="B5326" t="s">
        <v>2909</v>
      </c>
      <c r="C5326" t="s">
        <v>63</v>
      </c>
      <c r="D5326" t="s">
        <v>4062</v>
      </c>
      <c r="E5326" t="s">
        <v>4261</v>
      </c>
      <c r="F5326" t="s">
        <v>231</v>
      </c>
      <c r="G5326">
        <v>266</v>
      </c>
      <c r="H5326" s="2">
        <v>2982</v>
      </c>
      <c r="I5326" s="2">
        <v>793212</v>
      </c>
    </row>
    <row r="5327" spans="1:9" x14ac:dyDescent="0.25">
      <c r="A5327" t="s">
        <v>2908</v>
      </c>
      <c r="B5327" t="s">
        <v>2909</v>
      </c>
      <c r="C5327" t="s">
        <v>63</v>
      </c>
      <c r="D5327" t="s">
        <v>4062</v>
      </c>
      <c r="E5327" t="s">
        <v>4012</v>
      </c>
      <c r="F5327" t="s">
        <v>34</v>
      </c>
      <c r="G5327">
        <v>3.36</v>
      </c>
      <c r="H5327" s="2">
        <v>475506.98</v>
      </c>
      <c r="I5327" s="2">
        <v>1597703.45</v>
      </c>
    </row>
    <row r="5328" spans="1:9" x14ac:dyDescent="0.25">
      <c r="A5328" t="s">
        <v>2908</v>
      </c>
      <c r="B5328" t="s">
        <v>2909</v>
      </c>
      <c r="C5328" t="s">
        <v>63</v>
      </c>
      <c r="D5328" t="s">
        <v>4062</v>
      </c>
      <c r="E5328" t="s">
        <v>4400</v>
      </c>
      <c r="F5328" t="s">
        <v>42</v>
      </c>
      <c r="G5328">
        <v>2.72</v>
      </c>
      <c r="H5328" s="2">
        <v>5286.26</v>
      </c>
      <c r="I5328" s="2">
        <v>14378.63</v>
      </c>
    </row>
    <row r="5329" spans="1:9" x14ac:dyDescent="0.25">
      <c r="A5329" t="s">
        <v>2908</v>
      </c>
      <c r="B5329" t="s">
        <v>2909</v>
      </c>
      <c r="C5329" t="s">
        <v>63</v>
      </c>
      <c r="D5329" t="s">
        <v>4062</v>
      </c>
      <c r="E5329" t="s">
        <v>4070</v>
      </c>
      <c r="F5329" t="s">
        <v>42</v>
      </c>
      <c r="G5329">
        <v>6</v>
      </c>
      <c r="H5329" s="2">
        <v>7381.08</v>
      </c>
      <c r="I5329" s="2">
        <v>44286.48</v>
      </c>
    </row>
    <row r="5330" spans="1:9" x14ac:dyDescent="0.25">
      <c r="A5330" t="s">
        <v>2908</v>
      </c>
      <c r="B5330" t="s">
        <v>2909</v>
      </c>
      <c r="C5330" t="s">
        <v>63</v>
      </c>
      <c r="D5330" t="s">
        <v>4062</v>
      </c>
      <c r="E5330" t="s">
        <v>4071</v>
      </c>
      <c r="F5330" t="s">
        <v>42</v>
      </c>
      <c r="G5330">
        <v>3.54</v>
      </c>
      <c r="H5330" s="2">
        <v>2555</v>
      </c>
      <c r="I5330" s="2">
        <v>9044.7</v>
      </c>
    </row>
    <row r="5331" spans="1:9" x14ac:dyDescent="0.25">
      <c r="A5331" t="s">
        <v>2908</v>
      </c>
      <c r="B5331" t="s">
        <v>2909</v>
      </c>
      <c r="C5331" t="s">
        <v>63</v>
      </c>
      <c r="D5331" t="s">
        <v>4062</v>
      </c>
      <c r="E5331" t="s">
        <v>4065</v>
      </c>
      <c r="F5331" t="s">
        <v>4066</v>
      </c>
      <c r="G5331">
        <v>2.93</v>
      </c>
      <c r="H5331" s="2">
        <v>3433</v>
      </c>
      <c r="I5331" s="2">
        <v>10058.69</v>
      </c>
    </row>
    <row r="5332" spans="1:9" x14ac:dyDescent="0.25">
      <c r="A5332" t="s">
        <v>2908</v>
      </c>
      <c r="B5332" t="s">
        <v>2909</v>
      </c>
      <c r="C5332" t="s">
        <v>63</v>
      </c>
      <c r="D5332" t="s">
        <v>4062</v>
      </c>
      <c r="E5332" t="s">
        <v>6909</v>
      </c>
      <c r="F5332" t="s">
        <v>63</v>
      </c>
      <c r="G5332">
        <v>1</v>
      </c>
      <c r="H5332" s="2">
        <v>101444.41</v>
      </c>
      <c r="I5332" s="2">
        <v>101444.41</v>
      </c>
    </row>
    <row r="5333" spans="1:9" x14ac:dyDescent="0.25">
      <c r="A5333" t="s">
        <v>2908</v>
      </c>
      <c r="B5333" t="s">
        <v>2909</v>
      </c>
      <c r="C5333" t="s">
        <v>63</v>
      </c>
      <c r="D5333" t="s">
        <v>4049</v>
      </c>
      <c r="E5333" t="s">
        <v>4050</v>
      </c>
      <c r="F5333" t="s">
        <v>4051</v>
      </c>
      <c r="G5333">
        <v>24.6</v>
      </c>
      <c r="H5333" s="2">
        <v>9037.33</v>
      </c>
      <c r="I5333" s="2">
        <v>222318.32</v>
      </c>
    </row>
    <row r="5334" spans="1:9" x14ac:dyDescent="0.25">
      <c r="A5334" t="s">
        <v>2908</v>
      </c>
      <c r="B5334" t="s">
        <v>2909</v>
      </c>
      <c r="C5334" t="s">
        <v>63</v>
      </c>
      <c r="D5334" t="s">
        <v>4049</v>
      </c>
      <c r="E5334" t="s">
        <v>4073</v>
      </c>
      <c r="F5334" t="s">
        <v>4051</v>
      </c>
      <c r="G5334">
        <v>12.3</v>
      </c>
      <c r="H5334" s="2">
        <v>15517.89</v>
      </c>
      <c r="I5334" s="2">
        <v>190870.05</v>
      </c>
    </row>
    <row r="5335" spans="1:9" x14ac:dyDescent="0.25">
      <c r="A5335" t="s">
        <v>2908</v>
      </c>
      <c r="B5335" t="s">
        <v>2909</v>
      </c>
      <c r="C5335" t="s">
        <v>63</v>
      </c>
      <c r="D5335" t="s">
        <v>4052</v>
      </c>
      <c r="E5335" t="s">
        <v>4414</v>
      </c>
      <c r="F5335" t="s">
        <v>4106</v>
      </c>
      <c r="G5335">
        <v>19.34</v>
      </c>
      <c r="H5335" s="2">
        <v>5691.28</v>
      </c>
      <c r="I5335" s="2">
        <v>110069.36</v>
      </c>
    </row>
    <row r="5336" spans="1:9" x14ac:dyDescent="0.25">
      <c r="A5336" t="s">
        <v>2911</v>
      </c>
      <c r="B5336" t="s">
        <v>2912</v>
      </c>
      <c r="C5336" t="s">
        <v>63</v>
      </c>
      <c r="D5336" t="s">
        <v>4062</v>
      </c>
      <c r="E5336" t="s">
        <v>4012</v>
      </c>
      <c r="F5336" t="s">
        <v>34</v>
      </c>
      <c r="G5336">
        <v>1.45</v>
      </c>
      <c r="H5336" s="2">
        <v>475506.98</v>
      </c>
      <c r="I5336" s="2">
        <v>689485.12</v>
      </c>
    </row>
    <row r="5337" spans="1:9" x14ac:dyDescent="0.25">
      <c r="A5337" t="s">
        <v>2911</v>
      </c>
      <c r="B5337" t="s">
        <v>2912</v>
      </c>
      <c r="C5337" t="s">
        <v>63</v>
      </c>
      <c r="D5337" t="s">
        <v>4062</v>
      </c>
      <c r="E5337" t="s">
        <v>6920</v>
      </c>
      <c r="F5337" t="s">
        <v>231</v>
      </c>
      <c r="G5337">
        <v>33.9</v>
      </c>
      <c r="H5337" s="2">
        <v>2900</v>
      </c>
      <c r="I5337" s="2">
        <v>98310</v>
      </c>
    </row>
    <row r="5338" spans="1:9" x14ac:dyDescent="0.25">
      <c r="A5338" t="s">
        <v>2911</v>
      </c>
      <c r="B5338" t="s">
        <v>2912</v>
      </c>
      <c r="C5338" t="s">
        <v>63</v>
      </c>
      <c r="D5338" t="s">
        <v>4062</v>
      </c>
      <c r="E5338" t="s">
        <v>6921</v>
      </c>
      <c r="F5338" t="s">
        <v>231</v>
      </c>
      <c r="G5338">
        <v>13</v>
      </c>
      <c r="H5338" s="2">
        <v>2750</v>
      </c>
      <c r="I5338" s="2">
        <v>35750</v>
      </c>
    </row>
    <row r="5339" spans="1:9" x14ac:dyDescent="0.25">
      <c r="A5339" t="s">
        <v>2911</v>
      </c>
      <c r="B5339" t="s">
        <v>2912</v>
      </c>
      <c r="C5339" t="s">
        <v>63</v>
      </c>
      <c r="D5339" t="s">
        <v>4062</v>
      </c>
      <c r="E5339" t="s">
        <v>6922</v>
      </c>
      <c r="F5339" t="s">
        <v>231</v>
      </c>
      <c r="G5339">
        <v>61</v>
      </c>
      <c r="H5339" s="2">
        <v>2831</v>
      </c>
      <c r="I5339" s="2">
        <v>172691</v>
      </c>
    </row>
    <row r="5340" spans="1:9" x14ac:dyDescent="0.25">
      <c r="A5340" t="s">
        <v>2911</v>
      </c>
      <c r="B5340" t="s">
        <v>2912</v>
      </c>
      <c r="C5340" t="s">
        <v>63</v>
      </c>
      <c r="D5340" t="s">
        <v>4062</v>
      </c>
      <c r="E5340" t="s">
        <v>4004</v>
      </c>
      <c r="F5340" t="s">
        <v>34</v>
      </c>
      <c r="G5340">
        <v>0.07</v>
      </c>
      <c r="H5340" s="2">
        <v>426702.51</v>
      </c>
      <c r="I5340" s="2">
        <v>29869.18</v>
      </c>
    </row>
    <row r="5341" spans="1:9" x14ac:dyDescent="0.25">
      <c r="A5341" t="s">
        <v>2911</v>
      </c>
      <c r="B5341" t="s">
        <v>2912</v>
      </c>
      <c r="C5341" t="s">
        <v>63</v>
      </c>
      <c r="D5341" t="s">
        <v>4062</v>
      </c>
      <c r="E5341" t="s">
        <v>6923</v>
      </c>
      <c r="F5341" t="s">
        <v>63</v>
      </c>
      <c r="G5341">
        <v>2</v>
      </c>
      <c r="H5341" s="2">
        <v>139216.67</v>
      </c>
      <c r="I5341" s="2">
        <v>278433.34</v>
      </c>
    </row>
    <row r="5342" spans="1:9" x14ac:dyDescent="0.25">
      <c r="A5342" t="s">
        <v>2911</v>
      </c>
      <c r="B5342" t="s">
        <v>2912</v>
      </c>
      <c r="C5342" t="s">
        <v>63</v>
      </c>
      <c r="D5342" t="s">
        <v>4049</v>
      </c>
      <c r="E5342" t="s">
        <v>4050</v>
      </c>
      <c r="F5342" t="s">
        <v>4051</v>
      </c>
      <c r="G5342">
        <v>2.5</v>
      </c>
      <c r="H5342" s="2">
        <v>9037.33</v>
      </c>
      <c r="I5342" s="2">
        <v>22593.33</v>
      </c>
    </row>
    <row r="5343" spans="1:9" x14ac:dyDescent="0.25">
      <c r="A5343" t="s">
        <v>2911</v>
      </c>
      <c r="B5343" t="s">
        <v>2912</v>
      </c>
      <c r="C5343" t="s">
        <v>63</v>
      </c>
      <c r="D5343" t="s">
        <v>4049</v>
      </c>
      <c r="E5343" t="s">
        <v>4073</v>
      </c>
      <c r="F5343" t="s">
        <v>4051</v>
      </c>
      <c r="G5343">
        <v>2.5</v>
      </c>
      <c r="H5343" s="2">
        <v>15517.89</v>
      </c>
      <c r="I5343" s="2">
        <v>38794.72</v>
      </c>
    </row>
    <row r="5344" spans="1:9" x14ac:dyDescent="0.25">
      <c r="A5344" t="s">
        <v>2911</v>
      </c>
      <c r="B5344" t="s">
        <v>2912</v>
      </c>
      <c r="C5344" t="s">
        <v>63</v>
      </c>
      <c r="D5344" t="s">
        <v>4052</v>
      </c>
      <c r="E5344" t="s">
        <v>6924</v>
      </c>
      <c r="F5344" t="s">
        <v>247</v>
      </c>
      <c r="G5344">
        <v>2.43</v>
      </c>
      <c r="H5344" s="2">
        <v>1017</v>
      </c>
      <c r="I5344" s="2">
        <v>2471.31</v>
      </c>
    </row>
    <row r="5345" spans="1:9" x14ac:dyDescent="0.25">
      <c r="A5345" t="s">
        <v>2911</v>
      </c>
      <c r="B5345" t="s">
        <v>2912</v>
      </c>
      <c r="C5345" t="s">
        <v>63</v>
      </c>
      <c r="D5345" t="s">
        <v>4052</v>
      </c>
      <c r="E5345" t="s">
        <v>4053</v>
      </c>
      <c r="F5345" t="s">
        <v>4054</v>
      </c>
      <c r="G5345">
        <v>0.7</v>
      </c>
      <c r="H5345" s="2">
        <v>61388.05</v>
      </c>
      <c r="I5345" s="2">
        <v>429.72</v>
      </c>
    </row>
    <row r="5346" spans="1:9" x14ac:dyDescent="0.25">
      <c r="A5346" t="s">
        <v>2914</v>
      </c>
      <c r="B5346" t="s">
        <v>2915</v>
      </c>
      <c r="C5346" t="s">
        <v>63</v>
      </c>
      <c r="D5346" t="s">
        <v>4062</v>
      </c>
      <c r="E5346" t="s">
        <v>4012</v>
      </c>
      <c r="F5346" t="s">
        <v>34</v>
      </c>
      <c r="G5346">
        <v>1.03</v>
      </c>
      <c r="H5346" s="2">
        <v>475506.98</v>
      </c>
      <c r="I5346" s="2">
        <v>489772.19</v>
      </c>
    </row>
    <row r="5347" spans="1:9" x14ac:dyDescent="0.25">
      <c r="A5347" t="s">
        <v>2914</v>
      </c>
      <c r="B5347" t="s">
        <v>2915</v>
      </c>
      <c r="C5347" t="s">
        <v>63</v>
      </c>
      <c r="D5347" t="s">
        <v>4062</v>
      </c>
      <c r="E5347" t="s">
        <v>6920</v>
      </c>
      <c r="F5347" t="s">
        <v>231</v>
      </c>
      <c r="G5347">
        <v>32.5</v>
      </c>
      <c r="H5347" s="2">
        <v>2900</v>
      </c>
      <c r="I5347" s="2">
        <v>94250</v>
      </c>
    </row>
    <row r="5348" spans="1:9" x14ac:dyDescent="0.25">
      <c r="A5348" t="s">
        <v>2914</v>
      </c>
      <c r="B5348" t="s">
        <v>2915</v>
      </c>
      <c r="C5348" t="s">
        <v>63</v>
      </c>
      <c r="D5348" t="s">
        <v>4062</v>
      </c>
      <c r="E5348" t="s">
        <v>6921</v>
      </c>
      <c r="F5348" t="s">
        <v>231</v>
      </c>
      <c r="G5348">
        <v>37</v>
      </c>
      <c r="H5348" s="2">
        <v>2750</v>
      </c>
      <c r="I5348" s="2">
        <v>101750</v>
      </c>
    </row>
    <row r="5349" spans="1:9" x14ac:dyDescent="0.25">
      <c r="A5349" t="s">
        <v>2914</v>
      </c>
      <c r="B5349" t="s">
        <v>2915</v>
      </c>
      <c r="C5349" t="s">
        <v>63</v>
      </c>
      <c r="D5349" t="s">
        <v>4062</v>
      </c>
      <c r="E5349" t="s">
        <v>6922</v>
      </c>
      <c r="F5349" t="s">
        <v>231</v>
      </c>
      <c r="G5349">
        <v>3.5</v>
      </c>
      <c r="H5349" s="2">
        <v>2831</v>
      </c>
      <c r="I5349" s="2">
        <v>9908.5</v>
      </c>
    </row>
    <row r="5350" spans="1:9" x14ac:dyDescent="0.25">
      <c r="A5350" t="s">
        <v>2914</v>
      </c>
      <c r="B5350" t="s">
        <v>2915</v>
      </c>
      <c r="C5350" t="s">
        <v>63</v>
      </c>
      <c r="D5350" t="s">
        <v>4062</v>
      </c>
      <c r="E5350" t="s">
        <v>4004</v>
      </c>
      <c r="F5350" t="s">
        <v>34</v>
      </c>
      <c r="G5350">
        <v>0.07</v>
      </c>
      <c r="H5350" s="2">
        <v>426702.51</v>
      </c>
      <c r="I5350" s="2">
        <v>29869.18</v>
      </c>
    </row>
    <row r="5351" spans="1:9" x14ac:dyDescent="0.25">
      <c r="A5351" t="s">
        <v>2914</v>
      </c>
      <c r="B5351" t="s">
        <v>2915</v>
      </c>
      <c r="C5351" t="s">
        <v>63</v>
      </c>
      <c r="D5351" t="s">
        <v>4062</v>
      </c>
      <c r="E5351" t="s">
        <v>6923</v>
      </c>
      <c r="F5351" t="s">
        <v>63</v>
      </c>
      <c r="G5351">
        <v>2</v>
      </c>
      <c r="H5351" s="2">
        <v>139216.67</v>
      </c>
      <c r="I5351" s="2">
        <v>278433.34</v>
      </c>
    </row>
    <row r="5352" spans="1:9" x14ac:dyDescent="0.25">
      <c r="A5352" t="s">
        <v>2914</v>
      </c>
      <c r="B5352" t="s">
        <v>2915</v>
      </c>
      <c r="C5352" t="s">
        <v>63</v>
      </c>
      <c r="D5352" t="s">
        <v>4049</v>
      </c>
      <c r="E5352" t="s">
        <v>4050</v>
      </c>
      <c r="F5352" t="s">
        <v>4051</v>
      </c>
      <c r="G5352">
        <v>2.5</v>
      </c>
      <c r="H5352" s="2">
        <v>9037.33</v>
      </c>
      <c r="I5352" s="2">
        <v>22593.33</v>
      </c>
    </row>
    <row r="5353" spans="1:9" x14ac:dyDescent="0.25">
      <c r="A5353" t="s">
        <v>2914</v>
      </c>
      <c r="B5353" t="s">
        <v>2915</v>
      </c>
      <c r="C5353" t="s">
        <v>63</v>
      </c>
      <c r="D5353" t="s">
        <v>4049</v>
      </c>
      <c r="E5353" t="s">
        <v>4073</v>
      </c>
      <c r="F5353" t="s">
        <v>4051</v>
      </c>
      <c r="G5353">
        <v>2.5</v>
      </c>
      <c r="H5353" s="2">
        <v>15517.89</v>
      </c>
      <c r="I5353" s="2">
        <v>38794.72</v>
      </c>
    </row>
    <row r="5354" spans="1:9" x14ac:dyDescent="0.25">
      <c r="A5354" t="s">
        <v>2914</v>
      </c>
      <c r="B5354" t="s">
        <v>2915</v>
      </c>
      <c r="C5354" t="s">
        <v>63</v>
      </c>
      <c r="D5354" t="s">
        <v>4052</v>
      </c>
      <c r="E5354" t="s">
        <v>6924</v>
      </c>
      <c r="F5354" t="s">
        <v>247</v>
      </c>
      <c r="G5354">
        <v>2.43</v>
      </c>
      <c r="H5354" s="2">
        <v>1017</v>
      </c>
      <c r="I5354" s="2">
        <v>2471.31</v>
      </c>
    </row>
    <row r="5355" spans="1:9" x14ac:dyDescent="0.25">
      <c r="A5355" t="s">
        <v>2914</v>
      </c>
      <c r="B5355" t="s">
        <v>2915</v>
      </c>
      <c r="C5355" t="s">
        <v>63</v>
      </c>
      <c r="D5355" t="s">
        <v>4052</v>
      </c>
      <c r="E5355" t="s">
        <v>4053</v>
      </c>
      <c r="F5355" t="s">
        <v>4054</v>
      </c>
      <c r="G5355">
        <v>0.7</v>
      </c>
      <c r="H5355" s="2">
        <v>61388.05</v>
      </c>
      <c r="I5355" s="2">
        <v>429.72</v>
      </c>
    </row>
    <row r="5356" spans="1:9" x14ac:dyDescent="0.25">
      <c r="A5356" t="s">
        <v>2917</v>
      </c>
      <c r="B5356" t="s">
        <v>2918</v>
      </c>
      <c r="C5356" t="s">
        <v>63</v>
      </c>
      <c r="D5356" t="s">
        <v>4062</v>
      </c>
      <c r="E5356" t="s">
        <v>6929</v>
      </c>
      <c r="F5356" t="s">
        <v>63</v>
      </c>
      <c r="G5356">
        <v>1</v>
      </c>
      <c r="H5356" s="2">
        <v>1022750</v>
      </c>
      <c r="I5356" s="2">
        <v>1022750</v>
      </c>
    </row>
    <row r="5357" spans="1:9" x14ac:dyDescent="0.25">
      <c r="A5357" t="s">
        <v>2917</v>
      </c>
      <c r="B5357" t="s">
        <v>2918</v>
      </c>
      <c r="C5357" t="s">
        <v>63</v>
      </c>
      <c r="D5357" t="s">
        <v>4062</v>
      </c>
      <c r="E5357" t="s">
        <v>6863</v>
      </c>
      <c r="F5357" t="s">
        <v>42</v>
      </c>
      <c r="G5357">
        <v>2</v>
      </c>
      <c r="H5357" s="2">
        <v>38080</v>
      </c>
      <c r="I5357" s="2">
        <v>76160</v>
      </c>
    </row>
    <row r="5358" spans="1:9" x14ac:dyDescent="0.25">
      <c r="A5358" t="s">
        <v>2917</v>
      </c>
      <c r="B5358" t="s">
        <v>2918</v>
      </c>
      <c r="C5358" t="s">
        <v>63</v>
      </c>
      <c r="D5358" t="s">
        <v>4062</v>
      </c>
      <c r="E5358" t="s">
        <v>4658</v>
      </c>
      <c r="F5358" t="s">
        <v>63</v>
      </c>
      <c r="G5358">
        <v>1</v>
      </c>
      <c r="H5358" s="2">
        <v>13724.66</v>
      </c>
      <c r="I5358" s="2">
        <v>13724.66</v>
      </c>
    </row>
    <row r="5359" spans="1:9" x14ac:dyDescent="0.25">
      <c r="A5359" t="s">
        <v>2917</v>
      </c>
      <c r="B5359" t="s">
        <v>2918</v>
      </c>
      <c r="C5359" t="s">
        <v>63</v>
      </c>
      <c r="D5359" t="s">
        <v>4062</v>
      </c>
      <c r="E5359" t="s">
        <v>6930</v>
      </c>
      <c r="F5359" t="s">
        <v>63</v>
      </c>
      <c r="G5359">
        <v>1</v>
      </c>
      <c r="H5359" s="2">
        <v>847214</v>
      </c>
      <c r="I5359" s="2">
        <v>847214</v>
      </c>
    </row>
    <row r="5360" spans="1:9" x14ac:dyDescent="0.25">
      <c r="A5360" t="s">
        <v>2917</v>
      </c>
      <c r="B5360" t="s">
        <v>2918</v>
      </c>
      <c r="C5360" t="s">
        <v>63</v>
      </c>
      <c r="D5360" t="s">
        <v>4062</v>
      </c>
      <c r="E5360" t="s">
        <v>4369</v>
      </c>
      <c r="F5360" t="s">
        <v>34</v>
      </c>
      <c r="G5360">
        <v>0.3</v>
      </c>
      <c r="H5360" s="2">
        <v>89250</v>
      </c>
      <c r="I5360" s="2">
        <v>26775</v>
      </c>
    </row>
    <row r="5361" spans="1:9" x14ac:dyDescent="0.25">
      <c r="A5361" t="s">
        <v>2917</v>
      </c>
      <c r="B5361" t="s">
        <v>2918</v>
      </c>
      <c r="C5361" t="s">
        <v>63</v>
      </c>
      <c r="D5361" t="s">
        <v>4062</v>
      </c>
      <c r="E5361" t="s">
        <v>4354</v>
      </c>
      <c r="F5361" t="s">
        <v>4171</v>
      </c>
      <c r="G5361">
        <v>0.5</v>
      </c>
      <c r="H5361" s="2">
        <v>1148</v>
      </c>
      <c r="I5361" s="2">
        <v>574</v>
      </c>
    </row>
    <row r="5362" spans="1:9" x14ac:dyDescent="0.25">
      <c r="A5362" t="s">
        <v>2917</v>
      </c>
      <c r="B5362" t="s">
        <v>2918</v>
      </c>
      <c r="C5362" t="s">
        <v>63</v>
      </c>
      <c r="D5362" t="s">
        <v>4062</v>
      </c>
      <c r="E5362" t="s">
        <v>6931</v>
      </c>
      <c r="F5362" t="s">
        <v>63</v>
      </c>
      <c r="G5362">
        <v>1</v>
      </c>
      <c r="H5362" s="2">
        <v>1100000</v>
      </c>
      <c r="I5362" s="2">
        <v>1100000</v>
      </c>
    </row>
    <row r="5363" spans="1:9" x14ac:dyDescent="0.25">
      <c r="A5363" t="s">
        <v>2917</v>
      </c>
      <c r="B5363" t="s">
        <v>2918</v>
      </c>
      <c r="C5363" t="s">
        <v>63</v>
      </c>
      <c r="D5363" t="s">
        <v>4049</v>
      </c>
      <c r="E5363" t="s">
        <v>4176</v>
      </c>
      <c r="F5363" t="s">
        <v>4177</v>
      </c>
      <c r="G5363">
        <v>1</v>
      </c>
      <c r="H5363" s="2">
        <v>72300.17</v>
      </c>
      <c r="I5363" s="2">
        <v>72300.17</v>
      </c>
    </row>
    <row r="5364" spans="1:9" x14ac:dyDescent="0.25">
      <c r="A5364" t="s">
        <v>2917</v>
      </c>
      <c r="B5364" t="s">
        <v>2918</v>
      </c>
      <c r="C5364" t="s">
        <v>63</v>
      </c>
      <c r="D5364" t="s">
        <v>4049</v>
      </c>
      <c r="E5364" t="s">
        <v>4313</v>
      </c>
      <c r="F5364" t="s">
        <v>4177</v>
      </c>
      <c r="G5364">
        <v>0.5</v>
      </c>
      <c r="H5364" s="2">
        <v>124137.15</v>
      </c>
      <c r="I5364" s="2">
        <v>62068.57</v>
      </c>
    </row>
    <row r="5365" spans="1:9" x14ac:dyDescent="0.25">
      <c r="A5365" t="s">
        <v>2917</v>
      </c>
      <c r="B5365" t="s">
        <v>2918</v>
      </c>
      <c r="C5365" t="s">
        <v>63</v>
      </c>
      <c r="D5365" t="s">
        <v>4052</v>
      </c>
      <c r="E5365" t="s">
        <v>4053</v>
      </c>
      <c r="F5365" t="s">
        <v>4054</v>
      </c>
      <c r="G5365">
        <v>6.7</v>
      </c>
      <c r="H5365" s="2">
        <v>134368.74</v>
      </c>
      <c r="I5365" s="2">
        <v>9002.71</v>
      </c>
    </row>
    <row r="5366" spans="1:9" x14ac:dyDescent="0.25">
      <c r="A5366" t="s">
        <v>2920</v>
      </c>
      <c r="B5366" t="s">
        <v>2922</v>
      </c>
      <c r="C5366" t="s">
        <v>34</v>
      </c>
      <c r="D5366" t="s">
        <v>4062</v>
      </c>
      <c r="E5366" t="s">
        <v>4020</v>
      </c>
      <c r="F5366" t="s">
        <v>34</v>
      </c>
      <c r="G5366">
        <v>1.05</v>
      </c>
      <c r="H5366" s="2">
        <v>525086</v>
      </c>
      <c r="I5366" s="2">
        <v>551340.3</v>
      </c>
    </row>
    <row r="5367" spans="1:9" x14ac:dyDescent="0.25">
      <c r="A5367" t="s">
        <v>2920</v>
      </c>
      <c r="B5367" t="s">
        <v>2922</v>
      </c>
      <c r="C5367" t="s">
        <v>34</v>
      </c>
      <c r="D5367" t="s">
        <v>4062</v>
      </c>
      <c r="E5367" t="s">
        <v>4400</v>
      </c>
      <c r="F5367" t="s">
        <v>42</v>
      </c>
      <c r="G5367">
        <v>2.93</v>
      </c>
      <c r="H5367" s="2">
        <v>5286.26</v>
      </c>
      <c r="I5367" s="2">
        <v>15488.74</v>
      </c>
    </row>
    <row r="5368" spans="1:9" x14ac:dyDescent="0.25">
      <c r="A5368" t="s">
        <v>2920</v>
      </c>
      <c r="B5368" t="s">
        <v>2922</v>
      </c>
      <c r="C5368" t="s">
        <v>34</v>
      </c>
      <c r="D5368" t="s">
        <v>4062</v>
      </c>
      <c r="E5368" t="s">
        <v>4070</v>
      </c>
      <c r="F5368" t="s">
        <v>42</v>
      </c>
      <c r="G5368">
        <v>6.46</v>
      </c>
      <c r="H5368" s="2">
        <v>7381.08</v>
      </c>
      <c r="I5368" s="2">
        <v>47681.78</v>
      </c>
    </row>
    <row r="5369" spans="1:9" x14ac:dyDescent="0.25">
      <c r="A5369" t="s">
        <v>2920</v>
      </c>
      <c r="B5369" t="s">
        <v>2922</v>
      </c>
      <c r="C5369" t="s">
        <v>34</v>
      </c>
      <c r="D5369" t="s">
        <v>4062</v>
      </c>
      <c r="E5369" t="s">
        <v>4071</v>
      </c>
      <c r="F5369" t="s">
        <v>42</v>
      </c>
      <c r="G5369">
        <v>3.81</v>
      </c>
      <c r="H5369" s="2">
        <v>2555</v>
      </c>
      <c r="I5369" s="2">
        <v>9734.55</v>
      </c>
    </row>
    <row r="5370" spans="1:9" x14ac:dyDescent="0.25">
      <c r="A5370" t="s">
        <v>2920</v>
      </c>
      <c r="B5370" t="s">
        <v>2922</v>
      </c>
      <c r="C5370" t="s">
        <v>34</v>
      </c>
      <c r="D5370" t="s">
        <v>4062</v>
      </c>
      <c r="E5370" t="s">
        <v>4065</v>
      </c>
      <c r="F5370" t="s">
        <v>4066</v>
      </c>
      <c r="G5370">
        <v>3.16</v>
      </c>
      <c r="H5370" s="2">
        <v>3433</v>
      </c>
      <c r="I5370" s="2">
        <v>10848.28</v>
      </c>
    </row>
    <row r="5371" spans="1:9" x14ac:dyDescent="0.25">
      <c r="A5371" t="s">
        <v>2920</v>
      </c>
      <c r="B5371" t="s">
        <v>2922</v>
      </c>
      <c r="C5371" t="s">
        <v>34</v>
      </c>
      <c r="D5371" t="s">
        <v>4049</v>
      </c>
      <c r="E5371" t="s">
        <v>4176</v>
      </c>
      <c r="F5371" t="s">
        <v>4177</v>
      </c>
      <c r="G5371">
        <v>1.5</v>
      </c>
      <c r="H5371" s="2">
        <v>72300.17</v>
      </c>
      <c r="I5371" s="2">
        <v>108450.26</v>
      </c>
    </row>
    <row r="5372" spans="1:9" x14ac:dyDescent="0.25">
      <c r="A5372" t="s">
        <v>2920</v>
      </c>
      <c r="B5372" t="s">
        <v>2922</v>
      </c>
      <c r="C5372" t="s">
        <v>34</v>
      </c>
      <c r="D5372" t="s">
        <v>4049</v>
      </c>
      <c r="E5372" t="s">
        <v>4313</v>
      </c>
      <c r="F5372" t="s">
        <v>4177</v>
      </c>
      <c r="G5372">
        <v>0.3</v>
      </c>
      <c r="H5372" s="2">
        <v>124137.15</v>
      </c>
      <c r="I5372" s="2">
        <v>37241.14</v>
      </c>
    </row>
    <row r="5373" spans="1:9" x14ac:dyDescent="0.25">
      <c r="A5373" t="s">
        <v>2920</v>
      </c>
      <c r="B5373" t="s">
        <v>2922</v>
      </c>
      <c r="C5373" t="s">
        <v>34</v>
      </c>
      <c r="D5373" t="s">
        <v>4052</v>
      </c>
      <c r="E5373" t="s">
        <v>4414</v>
      </c>
      <c r="F5373" t="s">
        <v>4106</v>
      </c>
      <c r="G5373">
        <v>4</v>
      </c>
      <c r="H5373" s="2">
        <v>5691.28</v>
      </c>
      <c r="I5373" s="2">
        <v>22765.12</v>
      </c>
    </row>
    <row r="5374" spans="1:9" x14ac:dyDescent="0.25">
      <c r="A5374" t="s">
        <v>2920</v>
      </c>
      <c r="B5374" t="s">
        <v>2922</v>
      </c>
      <c r="C5374" t="s">
        <v>34</v>
      </c>
      <c r="D5374" t="s">
        <v>4052</v>
      </c>
      <c r="E5374" t="s">
        <v>4286</v>
      </c>
      <c r="F5374" t="s">
        <v>287</v>
      </c>
      <c r="G5374">
        <v>2.22</v>
      </c>
      <c r="H5374" s="2">
        <v>9375</v>
      </c>
      <c r="I5374" s="2">
        <v>20812.5</v>
      </c>
    </row>
    <row r="5375" spans="1:9" x14ac:dyDescent="0.25">
      <c r="A5375" t="s">
        <v>2920</v>
      </c>
      <c r="B5375" t="s">
        <v>2922</v>
      </c>
      <c r="C5375" t="s">
        <v>34</v>
      </c>
      <c r="D5375" t="s">
        <v>4052</v>
      </c>
      <c r="E5375" t="s">
        <v>4053</v>
      </c>
      <c r="F5375" t="s">
        <v>4054</v>
      </c>
      <c r="G5375">
        <v>3.4</v>
      </c>
      <c r="H5375" s="2">
        <v>145691.4</v>
      </c>
      <c r="I5375" s="2">
        <v>4953.51</v>
      </c>
    </row>
    <row r="5376" spans="1:9" x14ac:dyDescent="0.25">
      <c r="A5376" t="s">
        <v>2925</v>
      </c>
      <c r="B5376" t="s">
        <v>2926</v>
      </c>
      <c r="C5376" t="s">
        <v>34</v>
      </c>
      <c r="D5376" t="s">
        <v>4062</v>
      </c>
      <c r="E5376" t="s">
        <v>4020</v>
      </c>
      <c r="F5376" t="s">
        <v>34</v>
      </c>
      <c r="G5376">
        <v>1.05</v>
      </c>
      <c r="H5376" s="2">
        <v>525086</v>
      </c>
      <c r="I5376" s="2">
        <v>551340.3</v>
      </c>
    </row>
    <row r="5377" spans="1:9" x14ac:dyDescent="0.25">
      <c r="A5377" t="s">
        <v>2925</v>
      </c>
      <c r="B5377" t="s">
        <v>2926</v>
      </c>
      <c r="C5377" t="s">
        <v>34</v>
      </c>
      <c r="D5377" t="s">
        <v>4062</v>
      </c>
      <c r="E5377" t="s">
        <v>4400</v>
      </c>
      <c r="F5377" t="s">
        <v>42</v>
      </c>
      <c r="G5377">
        <v>1.87</v>
      </c>
      <c r="H5377" s="2">
        <v>5286.26</v>
      </c>
      <c r="I5377" s="2">
        <v>9885.31</v>
      </c>
    </row>
    <row r="5378" spans="1:9" x14ac:dyDescent="0.25">
      <c r="A5378" t="s">
        <v>2925</v>
      </c>
      <c r="B5378" t="s">
        <v>2926</v>
      </c>
      <c r="C5378" t="s">
        <v>34</v>
      </c>
      <c r="D5378" t="s">
        <v>4062</v>
      </c>
      <c r="E5378" t="s">
        <v>4070</v>
      </c>
      <c r="F5378" t="s">
        <v>42</v>
      </c>
      <c r="G5378">
        <v>4.11</v>
      </c>
      <c r="H5378" s="2">
        <v>7381.08</v>
      </c>
      <c r="I5378" s="2">
        <v>30336.24</v>
      </c>
    </row>
    <row r="5379" spans="1:9" x14ac:dyDescent="0.25">
      <c r="A5379" t="s">
        <v>2925</v>
      </c>
      <c r="B5379" t="s">
        <v>2926</v>
      </c>
      <c r="C5379" t="s">
        <v>34</v>
      </c>
      <c r="D5379" t="s">
        <v>4062</v>
      </c>
      <c r="E5379" t="s">
        <v>4071</v>
      </c>
      <c r="F5379" t="s">
        <v>42</v>
      </c>
      <c r="G5379">
        <v>2.43</v>
      </c>
      <c r="H5379" s="2">
        <v>2555</v>
      </c>
      <c r="I5379" s="2">
        <v>6208.65</v>
      </c>
    </row>
    <row r="5380" spans="1:9" x14ac:dyDescent="0.25">
      <c r="A5380" t="s">
        <v>2925</v>
      </c>
      <c r="B5380" t="s">
        <v>2926</v>
      </c>
      <c r="C5380" t="s">
        <v>34</v>
      </c>
      <c r="D5380" t="s">
        <v>4062</v>
      </c>
      <c r="E5380" t="s">
        <v>4065</v>
      </c>
      <c r="F5380" t="s">
        <v>4066</v>
      </c>
      <c r="G5380">
        <v>3.16</v>
      </c>
      <c r="H5380" s="2">
        <v>3433</v>
      </c>
      <c r="I5380" s="2">
        <v>10848.28</v>
      </c>
    </row>
    <row r="5381" spans="1:9" x14ac:dyDescent="0.25">
      <c r="A5381" t="s">
        <v>2925</v>
      </c>
      <c r="B5381" t="s">
        <v>2926</v>
      </c>
      <c r="C5381" t="s">
        <v>34</v>
      </c>
      <c r="D5381" t="s">
        <v>4049</v>
      </c>
      <c r="E5381" t="s">
        <v>4176</v>
      </c>
      <c r="F5381" t="s">
        <v>4177</v>
      </c>
      <c r="G5381">
        <v>1.5</v>
      </c>
      <c r="H5381" s="2">
        <v>72300.17</v>
      </c>
      <c r="I5381" s="2">
        <v>108450.26</v>
      </c>
    </row>
    <row r="5382" spans="1:9" x14ac:dyDescent="0.25">
      <c r="A5382" t="s">
        <v>2925</v>
      </c>
      <c r="B5382" t="s">
        <v>2926</v>
      </c>
      <c r="C5382" t="s">
        <v>34</v>
      </c>
      <c r="D5382" t="s">
        <v>4049</v>
      </c>
      <c r="E5382" t="s">
        <v>4313</v>
      </c>
      <c r="F5382" t="s">
        <v>4177</v>
      </c>
      <c r="G5382">
        <v>0.3</v>
      </c>
      <c r="H5382" s="2">
        <v>124137.15</v>
      </c>
      <c r="I5382" s="2">
        <v>37241.14</v>
      </c>
    </row>
    <row r="5383" spans="1:9" x14ac:dyDescent="0.25">
      <c r="A5383" t="s">
        <v>2925</v>
      </c>
      <c r="B5383" t="s">
        <v>2926</v>
      </c>
      <c r="C5383" t="s">
        <v>34</v>
      </c>
      <c r="D5383" t="s">
        <v>4052</v>
      </c>
      <c r="E5383" t="s">
        <v>4414</v>
      </c>
      <c r="F5383" t="s">
        <v>4106</v>
      </c>
      <c r="G5383">
        <v>3</v>
      </c>
      <c r="H5383" s="2">
        <v>5691.28</v>
      </c>
      <c r="I5383" s="2">
        <v>17073.84</v>
      </c>
    </row>
    <row r="5384" spans="1:9" x14ac:dyDescent="0.25">
      <c r="A5384" t="s">
        <v>2925</v>
      </c>
      <c r="B5384" t="s">
        <v>2926</v>
      </c>
      <c r="C5384" t="s">
        <v>34</v>
      </c>
      <c r="D5384" t="s">
        <v>4052</v>
      </c>
      <c r="E5384" t="s">
        <v>4286</v>
      </c>
      <c r="F5384" t="s">
        <v>287</v>
      </c>
      <c r="G5384">
        <v>1.67</v>
      </c>
      <c r="H5384" s="2">
        <v>9375</v>
      </c>
      <c r="I5384" s="2">
        <v>15656.25</v>
      </c>
    </row>
    <row r="5385" spans="1:9" x14ac:dyDescent="0.25">
      <c r="A5385" t="s">
        <v>2925</v>
      </c>
      <c r="B5385" t="s">
        <v>2926</v>
      </c>
      <c r="C5385" t="s">
        <v>34</v>
      </c>
      <c r="D5385" t="s">
        <v>4052</v>
      </c>
      <c r="E5385" t="s">
        <v>4053</v>
      </c>
      <c r="F5385" t="s">
        <v>4054</v>
      </c>
      <c r="G5385">
        <v>3.4</v>
      </c>
      <c r="H5385" s="2">
        <v>145691.4</v>
      </c>
      <c r="I5385" s="2">
        <v>4953.51</v>
      </c>
    </row>
    <row r="5386" spans="1:9" x14ac:dyDescent="0.25">
      <c r="A5386" t="s">
        <v>2928</v>
      </c>
      <c r="B5386" t="s">
        <v>2929</v>
      </c>
      <c r="C5386" t="s">
        <v>34</v>
      </c>
      <c r="D5386" t="s">
        <v>4062</v>
      </c>
      <c r="E5386" t="s">
        <v>4020</v>
      </c>
      <c r="F5386" t="s">
        <v>34</v>
      </c>
      <c r="G5386">
        <v>1.05</v>
      </c>
      <c r="H5386" s="2">
        <v>525086</v>
      </c>
      <c r="I5386" s="2">
        <v>551340.3</v>
      </c>
    </row>
    <row r="5387" spans="1:9" x14ac:dyDescent="0.25">
      <c r="A5387" t="s">
        <v>2928</v>
      </c>
      <c r="B5387" t="s">
        <v>2929</v>
      </c>
      <c r="C5387" t="s">
        <v>34</v>
      </c>
      <c r="D5387" t="s">
        <v>4049</v>
      </c>
      <c r="E5387" t="s">
        <v>4176</v>
      </c>
      <c r="F5387" t="s">
        <v>4177</v>
      </c>
      <c r="G5387">
        <v>1</v>
      </c>
      <c r="H5387" s="2">
        <v>72300.17</v>
      </c>
      <c r="I5387" s="2">
        <v>72300.17</v>
      </c>
    </row>
    <row r="5388" spans="1:9" x14ac:dyDescent="0.25">
      <c r="A5388" t="s">
        <v>2928</v>
      </c>
      <c r="B5388" t="s">
        <v>2929</v>
      </c>
      <c r="C5388" t="s">
        <v>34</v>
      </c>
      <c r="D5388" t="s">
        <v>4049</v>
      </c>
      <c r="E5388" t="s">
        <v>4313</v>
      </c>
      <c r="F5388" t="s">
        <v>4177</v>
      </c>
      <c r="G5388">
        <v>0.3</v>
      </c>
      <c r="H5388" s="2">
        <v>124137.15</v>
      </c>
      <c r="I5388" s="2">
        <v>37241.14</v>
      </c>
    </row>
    <row r="5389" spans="1:9" x14ac:dyDescent="0.25">
      <c r="A5389" t="s">
        <v>2928</v>
      </c>
      <c r="B5389" t="s">
        <v>2929</v>
      </c>
      <c r="C5389" t="s">
        <v>34</v>
      </c>
      <c r="D5389" t="s">
        <v>4052</v>
      </c>
      <c r="E5389" t="s">
        <v>4414</v>
      </c>
      <c r="F5389" t="s">
        <v>4106</v>
      </c>
      <c r="G5389">
        <v>2</v>
      </c>
      <c r="H5389" s="2">
        <v>5691.28</v>
      </c>
      <c r="I5389" s="2">
        <v>11382.56</v>
      </c>
    </row>
    <row r="5390" spans="1:9" x14ac:dyDescent="0.25">
      <c r="A5390" t="s">
        <v>2928</v>
      </c>
      <c r="B5390" t="s">
        <v>2929</v>
      </c>
      <c r="C5390" t="s">
        <v>34</v>
      </c>
      <c r="D5390" t="s">
        <v>4052</v>
      </c>
      <c r="E5390" t="s">
        <v>4286</v>
      </c>
      <c r="F5390" t="s">
        <v>287</v>
      </c>
      <c r="G5390">
        <v>2.22</v>
      </c>
      <c r="H5390" s="2">
        <v>9375</v>
      </c>
      <c r="I5390" s="2">
        <v>20831.25</v>
      </c>
    </row>
    <row r="5391" spans="1:9" x14ac:dyDescent="0.25">
      <c r="A5391" t="s">
        <v>2928</v>
      </c>
      <c r="B5391" t="s">
        <v>2929</v>
      </c>
      <c r="C5391" t="s">
        <v>34</v>
      </c>
      <c r="D5391" t="s">
        <v>4052</v>
      </c>
      <c r="E5391" t="s">
        <v>4053</v>
      </c>
      <c r="F5391" t="s">
        <v>4054</v>
      </c>
      <c r="G5391">
        <v>3.4</v>
      </c>
      <c r="H5391" s="2">
        <v>109541.31</v>
      </c>
      <c r="I5391" s="2">
        <v>3724.4</v>
      </c>
    </row>
    <row r="5392" spans="1:9" x14ac:dyDescent="0.25">
      <c r="A5392" t="s">
        <v>2931</v>
      </c>
      <c r="B5392" t="s">
        <v>2932</v>
      </c>
      <c r="C5392" t="s">
        <v>34</v>
      </c>
      <c r="D5392" t="s">
        <v>4062</v>
      </c>
      <c r="E5392" t="s">
        <v>4023</v>
      </c>
      <c r="F5392" t="s">
        <v>34</v>
      </c>
      <c r="G5392">
        <v>1.05</v>
      </c>
      <c r="H5392" s="2">
        <v>598074.17</v>
      </c>
      <c r="I5392" s="2">
        <v>627977.88</v>
      </c>
    </row>
    <row r="5393" spans="1:9" x14ac:dyDescent="0.25">
      <c r="A5393" t="s">
        <v>2931</v>
      </c>
      <c r="B5393" t="s">
        <v>2932</v>
      </c>
      <c r="C5393" t="s">
        <v>34</v>
      </c>
      <c r="D5393" t="s">
        <v>4062</v>
      </c>
      <c r="E5393" t="s">
        <v>4400</v>
      </c>
      <c r="F5393" t="s">
        <v>42</v>
      </c>
      <c r="G5393">
        <v>2.93</v>
      </c>
      <c r="H5393" s="2">
        <v>5286.26</v>
      </c>
      <c r="I5393" s="2">
        <v>15488.74</v>
      </c>
    </row>
    <row r="5394" spans="1:9" x14ac:dyDescent="0.25">
      <c r="A5394" t="s">
        <v>2931</v>
      </c>
      <c r="B5394" t="s">
        <v>2932</v>
      </c>
      <c r="C5394" t="s">
        <v>34</v>
      </c>
      <c r="D5394" t="s">
        <v>4062</v>
      </c>
      <c r="E5394" t="s">
        <v>4070</v>
      </c>
      <c r="F5394" t="s">
        <v>42</v>
      </c>
      <c r="G5394">
        <v>6.46</v>
      </c>
      <c r="H5394" s="2">
        <v>7381.08</v>
      </c>
      <c r="I5394" s="2">
        <v>47681.78</v>
      </c>
    </row>
    <row r="5395" spans="1:9" x14ac:dyDescent="0.25">
      <c r="A5395" t="s">
        <v>2931</v>
      </c>
      <c r="B5395" t="s">
        <v>2932</v>
      </c>
      <c r="C5395" t="s">
        <v>34</v>
      </c>
      <c r="D5395" t="s">
        <v>4062</v>
      </c>
      <c r="E5395" t="s">
        <v>4071</v>
      </c>
      <c r="F5395" t="s">
        <v>42</v>
      </c>
      <c r="G5395">
        <v>3.81</v>
      </c>
      <c r="H5395" s="2">
        <v>2555</v>
      </c>
      <c r="I5395" s="2">
        <v>9734.55</v>
      </c>
    </row>
    <row r="5396" spans="1:9" x14ac:dyDescent="0.25">
      <c r="A5396" t="s">
        <v>2931</v>
      </c>
      <c r="B5396" t="s">
        <v>2932</v>
      </c>
      <c r="C5396" t="s">
        <v>34</v>
      </c>
      <c r="D5396" t="s">
        <v>4062</v>
      </c>
      <c r="E5396" t="s">
        <v>4065</v>
      </c>
      <c r="F5396" t="s">
        <v>4066</v>
      </c>
      <c r="G5396">
        <v>3.16</v>
      </c>
      <c r="H5396" s="2">
        <v>3433</v>
      </c>
      <c r="I5396" s="2">
        <v>10848.28</v>
      </c>
    </row>
    <row r="5397" spans="1:9" x14ac:dyDescent="0.25">
      <c r="A5397" t="s">
        <v>2931</v>
      </c>
      <c r="B5397" t="s">
        <v>2932</v>
      </c>
      <c r="C5397" t="s">
        <v>34</v>
      </c>
      <c r="D5397" t="s">
        <v>4049</v>
      </c>
      <c r="E5397" t="s">
        <v>4176</v>
      </c>
      <c r="F5397" t="s">
        <v>4177</v>
      </c>
      <c r="G5397">
        <v>1.5</v>
      </c>
      <c r="H5397" s="2">
        <v>72300.17</v>
      </c>
      <c r="I5397" s="2">
        <v>108450.26</v>
      </c>
    </row>
    <row r="5398" spans="1:9" x14ac:dyDescent="0.25">
      <c r="A5398" t="s">
        <v>2931</v>
      </c>
      <c r="B5398" t="s">
        <v>2932</v>
      </c>
      <c r="C5398" t="s">
        <v>34</v>
      </c>
      <c r="D5398" t="s">
        <v>4049</v>
      </c>
      <c r="E5398" t="s">
        <v>4313</v>
      </c>
      <c r="F5398" t="s">
        <v>4177</v>
      </c>
      <c r="G5398">
        <v>0.3</v>
      </c>
      <c r="H5398" s="2">
        <v>124137.15</v>
      </c>
      <c r="I5398" s="2">
        <v>37241.14</v>
      </c>
    </row>
    <row r="5399" spans="1:9" x14ac:dyDescent="0.25">
      <c r="A5399" t="s">
        <v>2931</v>
      </c>
      <c r="B5399" t="s">
        <v>2932</v>
      </c>
      <c r="C5399" t="s">
        <v>34</v>
      </c>
      <c r="D5399" t="s">
        <v>4052</v>
      </c>
      <c r="E5399" t="s">
        <v>4414</v>
      </c>
      <c r="F5399" t="s">
        <v>4106</v>
      </c>
      <c r="G5399">
        <v>4</v>
      </c>
      <c r="H5399" s="2">
        <v>5691.28</v>
      </c>
      <c r="I5399" s="2">
        <v>22765.12</v>
      </c>
    </row>
    <row r="5400" spans="1:9" x14ac:dyDescent="0.25">
      <c r="A5400" t="s">
        <v>2931</v>
      </c>
      <c r="B5400" t="s">
        <v>2932</v>
      </c>
      <c r="C5400" t="s">
        <v>34</v>
      </c>
      <c r="D5400" t="s">
        <v>4052</v>
      </c>
      <c r="E5400" t="s">
        <v>4286</v>
      </c>
      <c r="F5400" t="s">
        <v>287</v>
      </c>
      <c r="G5400">
        <v>2.22</v>
      </c>
      <c r="H5400" s="2">
        <v>9375</v>
      </c>
      <c r="I5400" s="2">
        <v>20831.25</v>
      </c>
    </row>
    <row r="5401" spans="1:9" x14ac:dyDescent="0.25">
      <c r="A5401" t="s">
        <v>2931</v>
      </c>
      <c r="B5401" t="s">
        <v>2932</v>
      </c>
      <c r="C5401" t="s">
        <v>34</v>
      </c>
      <c r="D5401" t="s">
        <v>4052</v>
      </c>
      <c r="E5401" t="s">
        <v>4053</v>
      </c>
      <c r="F5401" t="s">
        <v>4054</v>
      </c>
      <c r="G5401">
        <v>3.4</v>
      </c>
      <c r="H5401" s="2">
        <v>145691.4</v>
      </c>
      <c r="I5401" s="2">
        <v>4953.51</v>
      </c>
    </row>
    <row r="5402" spans="1:9" x14ac:dyDescent="0.25">
      <c r="A5402" t="s">
        <v>2934</v>
      </c>
      <c r="B5402" t="s">
        <v>2935</v>
      </c>
      <c r="C5402" t="s">
        <v>34</v>
      </c>
      <c r="D5402" t="s">
        <v>4062</v>
      </c>
      <c r="E5402" t="s">
        <v>4023</v>
      </c>
      <c r="F5402" t="s">
        <v>34</v>
      </c>
      <c r="G5402">
        <v>1.05</v>
      </c>
      <c r="H5402" s="2">
        <v>598074.17</v>
      </c>
      <c r="I5402" s="2">
        <v>627977.88</v>
      </c>
    </row>
    <row r="5403" spans="1:9" x14ac:dyDescent="0.25">
      <c r="A5403" t="s">
        <v>2934</v>
      </c>
      <c r="B5403" t="s">
        <v>2935</v>
      </c>
      <c r="C5403" t="s">
        <v>34</v>
      </c>
      <c r="D5403" t="s">
        <v>4062</v>
      </c>
      <c r="E5403" t="s">
        <v>4400</v>
      </c>
      <c r="F5403" t="s">
        <v>42</v>
      </c>
      <c r="G5403">
        <v>1.87</v>
      </c>
      <c r="H5403" s="2">
        <v>5286.26</v>
      </c>
      <c r="I5403" s="2">
        <v>9885.31</v>
      </c>
    </row>
    <row r="5404" spans="1:9" x14ac:dyDescent="0.25">
      <c r="A5404" t="s">
        <v>2934</v>
      </c>
      <c r="B5404" t="s">
        <v>2935</v>
      </c>
      <c r="C5404" t="s">
        <v>34</v>
      </c>
      <c r="D5404" t="s">
        <v>4062</v>
      </c>
      <c r="E5404" t="s">
        <v>4070</v>
      </c>
      <c r="F5404" t="s">
        <v>42</v>
      </c>
      <c r="G5404">
        <v>4.11</v>
      </c>
      <c r="H5404" s="2">
        <v>7381.08</v>
      </c>
      <c r="I5404" s="2">
        <v>30336.24</v>
      </c>
    </row>
    <row r="5405" spans="1:9" x14ac:dyDescent="0.25">
      <c r="A5405" t="s">
        <v>2934</v>
      </c>
      <c r="B5405" t="s">
        <v>2935</v>
      </c>
      <c r="C5405" t="s">
        <v>34</v>
      </c>
      <c r="D5405" t="s">
        <v>4062</v>
      </c>
      <c r="E5405" t="s">
        <v>4071</v>
      </c>
      <c r="F5405" t="s">
        <v>42</v>
      </c>
      <c r="G5405">
        <v>2.43</v>
      </c>
      <c r="H5405" s="2">
        <v>2555</v>
      </c>
      <c r="I5405" s="2">
        <v>6208.65</v>
      </c>
    </row>
    <row r="5406" spans="1:9" x14ac:dyDescent="0.25">
      <c r="A5406" t="s">
        <v>2934</v>
      </c>
      <c r="B5406" t="s">
        <v>2935</v>
      </c>
      <c r="C5406" t="s">
        <v>34</v>
      </c>
      <c r="D5406" t="s">
        <v>4062</v>
      </c>
      <c r="E5406" t="s">
        <v>4065</v>
      </c>
      <c r="F5406" t="s">
        <v>4066</v>
      </c>
      <c r="G5406">
        <v>3.16</v>
      </c>
      <c r="H5406" s="2">
        <v>3433</v>
      </c>
      <c r="I5406" s="2">
        <v>10848.28</v>
      </c>
    </row>
    <row r="5407" spans="1:9" x14ac:dyDescent="0.25">
      <c r="A5407" t="s">
        <v>2934</v>
      </c>
      <c r="B5407" t="s">
        <v>2935</v>
      </c>
      <c r="C5407" t="s">
        <v>34</v>
      </c>
      <c r="D5407" t="s">
        <v>4049</v>
      </c>
      <c r="E5407" t="s">
        <v>4176</v>
      </c>
      <c r="F5407" t="s">
        <v>4177</v>
      </c>
      <c r="G5407">
        <v>1.5</v>
      </c>
      <c r="H5407" s="2">
        <v>72300.17</v>
      </c>
      <c r="I5407" s="2">
        <v>108450.26</v>
      </c>
    </row>
    <row r="5408" spans="1:9" x14ac:dyDescent="0.25">
      <c r="A5408" t="s">
        <v>2934</v>
      </c>
      <c r="B5408" t="s">
        <v>2935</v>
      </c>
      <c r="C5408" t="s">
        <v>34</v>
      </c>
      <c r="D5408" t="s">
        <v>4049</v>
      </c>
      <c r="E5408" t="s">
        <v>4313</v>
      </c>
      <c r="F5408" t="s">
        <v>4177</v>
      </c>
      <c r="G5408">
        <v>0.3</v>
      </c>
      <c r="H5408" s="2">
        <v>124137.15</v>
      </c>
      <c r="I5408" s="2">
        <v>37241.14</v>
      </c>
    </row>
    <row r="5409" spans="1:9" x14ac:dyDescent="0.25">
      <c r="A5409" t="s">
        <v>2934</v>
      </c>
      <c r="B5409" t="s">
        <v>2935</v>
      </c>
      <c r="C5409" t="s">
        <v>34</v>
      </c>
      <c r="D5409" t="s">
        <v>4052</v>
      </c>
      <c r="E5409" t="s">
        <v>4414</v>
      </c>
      <c r="F5409" t="s">
        <v>4106</v>
      </c>
      <c r="G5409">
        <v>3</v>
      </c>
      <c r="H5409" s="2">
        <v>5691.28</v>
      </c>
      <c r="I5409" s="2">
        <v>17073.84</v>
      </c>
    </row>
    <row r="5410" spans="1:9" x14ac:dyDescent="0.25">
      <c r="A5410" t="s">
        <v>2934</v>
      </c>
      <c r="B5410" t="s">
        <v>2935</v>
      </c>
      <c r="C5410" t="s">
        <v>34</v>
      </c>
      <c r="D5410" t="s">
        <v>4052</v>
      </c>
      <c r="E5410" t="s">
        <v>4286</v>
      </c>
      <c r="F5410" t="s">
        <v>287</v>
      </c>
      <c r="G5410">
        <v>1.67</v>
      </c>
      <c r="H5410" s="2">
        <v>9375</v>
      </c>
      <c r="I5410" s="2">
        <v>15656.25</v>
      </c>
    </row>
    <row r="5411" spans="1:9" x14ac:dyDescent="0.25">
      <c r="A5411" t="s">
        <v>2934</v>
      </c>
      <c r="B5411" t="s">
        <v>2935</v>
      </c>
      <c r="C5411" t="s">
        <v>34</v>
      </c>
      <c r="D5411" t="s">
        <v>4052</v>
      </c>
      <c r="E5411" t="s">
        <v>4053</v>
      </c>
      <c r="F5411" t="s">
        <v>4054</v>
      </c>
      <c r="G5411">
        <v>3.4</v>
      </c>
      <c r="H5411" s="2">
        <v>145691.4</v>
      </c>
      <c r="I5411" s="2">
        <v>4953.51</v>
      </c>
    </row>
    <row r="5412" spans="1:9" x14ac:dyDescent="0.25">
      <c r="A5412" t="s">
        <v>2937</v>
      </c>
      <c r="B5412" t="s">
        <v>2938</v>
      </c>
      <c r="C5412" t="s">
        <v>34</v>
      </c>
      <c r="D5412" t="s">
        <v>4062</v>
      </c>
      <c r="E5412" t="s">
        <v>4023</v>
      </c>
      <c r="F5412" t="s">
        <v>34</v>
      </c>
      <c r="G5412">
        <v>1.05</v>
      </c>
      <c r="H5412" s="2">
        <v>598074.17</v>
      </c>
      <c r="I5412" s="2">
        <v>627977.88</v>
      </c>
    </row>
    <row r="5413" spans="1:9" x14ac:dyDescent="0.25">
      <c r="A5413" t="s">
        <v>2937</v>
      </c>
      <c r="B5413" t="s">
        <v>2938</v>
      </c>
      <c r="C5413" t="s">
        <v>34</v>
      </c>
      <c r="D5413" t="s">
        <v>4049</v>
      </c>
      <c r="E5413" t="s">
        <v>4176</v>
      </c>
      <c r="F5413" t="s">
        <v>4177</v>
      </c>
      <c r="G5413">
        <v>1</v>
      </c>
      <c r="H5413" s="2">
        <v>72300.17</v>
      </c>
      <c r="I5413" s="2">
        <v>72300.17</v>
      </c>
    </row>
    <row r="5414" spans="1:9" x14ac:dyDescent="0.25">
      <c r="A5414" t="s">
        <v>2937</v>
      </c>
      <c r="B5414" t="s">
        <v>2938</v>
      </c>
      <c r="C5414" t="s">
        <v>34</v>
      </c>
      <c r="D5414" t="s">
        <v>4049</v>
      </c>
      <c r="E5414" t="s">
        <v>4313</v>
      </c>
      <c r="F5414" t="s">
        <v>4177</v>
      </c>
      <c r="G5414">
        <v>0.3</v>
      </c>
      <c r="H5414" s="2">
        <v>124137.15</v>
      </c>
      <c r="I5414" s="2">
        <v>37241.14</v>
      </c>
    </row>
    <row r="5415" spans="1:9" x14ac:dyDescent="0.25">
      <c r="A5415" t="s">
        <v>2937</v>
      </c>
      <c r="B5415" t="s">
        <v>2938</v>
      </c>
      <c r="C5415" t="s">
        <v>34</v>
      </c>
      <c r="D5415" t="s">
        <v>4052</v>
      </c>
      <c r="E5415" t="s">
        <v>4414</v>
      </c>
      <c r="F5415" t="s">
        <v>4106</v>
      </c>
      <c r="G5415">
        <v>2</v>
      </c>
      <c r="H5415" s="2">
        <v>5691.28</v>
      </c>
      <c r="I5415" s="2">
        <v>11382.56</v>
      </c>
    </row>
    <row r="5416" spans="1:9" x14ac:dyDescent="0.25">
      <c r="A5416" t="s">
        <v>2937</v>
      </c>
      <c r="B5416" t="s">
        <v>2938</v>
      </c>
      <c r="C5416" t="s">
        <v>34</v>
      </c>
      <c r="D5416" t="s">
        <v>4052</v>
      </c>
      <c r="E5416" t="s">
        <v>4286</v>
      </c>
      <c r="F5416" t="s">
        <v>287</v>
      </c>
      <c r="G5416">
        <v>2.22</v>
      </c>
      <c r="H5416" s="2">
        <v>9375</v>
      </c>
      <c r="I5416" s="2">
        <v>20831.25</v>
      </c>
    </row>
    <row r="5417" spans="1:9" x14ac:dyDescent="0.25">
      <c r="A5417" t="s">
        <v>2937</v>
      </c>
      <c r="B5417" t="s">
        <v>2938</v>
      </c>
      <c r="C5417" t="s">
        <v>34</v>
      </c>
      <c r="D5417" t="s">
        <v>4052</v>
      </c>
      <c r="E5417" t="s">
        <v>4053</v>
      </c>
      <c r="F5417" t="s">
        <v>4054</v>
      </c>
      <c r="G5417">
        <v>3.4</v>
      </c>
      <c r="H5417" s="2">
        <v>109541.31</v>
      </c>
      <c r="I5417" s="2">
        <v>3724.4</v>
      </c>
    </row>
    <row r="5418" spans="1:9" x14ac:dyDescent="0.25">
      <c r="A5418" t="s">
        <v>2940</v>
      </c>
      <c r="B5418" t="s">
        <v>2941</v>
      </c>
      <c r="C5418" t="s">
        <v>34</v>
      </c>
      <c r="D5418" t="s">
        <v>4062</v>
      </c>
      <c r="E5418" t="s">
        <v>6947</v>
      </c>
      <c r="F5418" t="s">
        <v>63</v>
      </c>
      <c r="G5418">
        <v>0.15</v>
      </c>
      <c r="H5418" s="2">
        <v>185957</v>
      </c>
      <c r="I5418" s="2">
        <v>27893.55</v>
      </c>
    </row>
    <row r="5419" spans="1:9" x14ac:dyDescent="0.25">
      <c r="A5419" t="s">
        <v>2940</v>
      </c>
      <c r="B5419" t="s">
        <v>2941</v>
      </c>
      <c r="C5419" t="s">
        <v>34</v>
      </c>
      <c r="D5419" t="s">
        <v>4049</v>
      </c>
      <c r="E5419" t="s">
        <v>4176</v>
      </c>
      <c r="F5419" t="s">
        <v>4177</v>
      </c>
      <c r="G5419">
        <v>0.4</v>
      </c>
      <c r="H5419" s="2">
        <v>72300.17</v>
      </c>
      <c r="I5419" s="2">
        <v>28920.07</v>
      </c>
    </row>
    <row r="5420" spans="1:9" x14ac:dyDescent="0.25">
      <c r="A5420" t="s">
        <v>2940</v>
      </c>
      <c r="B5420" t="s">
        <v>2941</v>
      </c>
      <c r="C5420" t="s">
        <v>34</v>
      </c>
      <c r="D5420" t="s">
        <v>4049</v>
      </c>
      <c r="E5420" t="s">
        <v>4313</v>
      </c>
      <c r="F5420" t="s">
        <v>4177</v>
      </c>
      <c r="G5420">
        <v>0.4</v>
      </c>
      <c r="H5420" s="2">
        <v>124137.15</v>
      </c>
      <c r="I5420" s="2">
        <v>49654.86</v>
      </c>
    </row>
    <row r="5421" spans="1:9" x14ac:dyDescent="0.25">
      <c r="A5421" t="s">
        <v>2940</v>
      </c>
      <c r="B5421" t="s">
        <v>2941</v>
      </c>
      <c r="C5421" t="s">
        <v>34</v>
      </c>
      <c r="D5421" t="s">
        <v>4049</v>
      </c>
      <c r="E5421" t="s">
        <v>6948</v>
      </c>
      <c r="F5421" t="s">
        <v>4177</v>
      </c>
      <c r="G5421">
        <v>0.4</v>
      </c>
      <c r="H5421" s="2">
        <v>124137.15</v>
      </c>
      <c r="I5421" s="2">
        <v>49654.86</v>
      </c>
    </row>
    <row r="5422" spans="1:9" x14ac:dyDescent="0.25">
      <c r="A5422" t="s">
        <v>2940</v>
      </c>
      <c r="B5422" t="s">
        <v>2941</v>
      </c>
      <c r="C5422" t="s">
        <v>34</v>
      </c>
      <c r="D5422" t="s">
        <v>4052</v>
      </c>
      <c r="E5422" t="s">
        <v>4123</v>
      </c>
      <c r="F5422" t="s">
        <v>287</v>
      </c>
      <c r="G5422">
        <v>0.67</v>
      </c>
      <c r="H5422" s="2">
        <v>62400</v>
      </c>
      <c r="I5422" s="2">
        <v>41620.8</v>
      </c>
    </row>
    <row r="5423" spans="1:9" x14ac:dyDescent="0.25">
      <c r="A5423" t="s">
        <v>2940</v>
      </c>
      <c r="B5423" t="s">
        <v>2941</v>
      </c>
      <c r="C5423" t="s">
        <v>34</v>
      </c>
      <c r="D5423" t="s">
        <v>4052</v>
      </c>
      <c r="E5423" t="s">
        <v>6949</v>
      </c>
      <c r="F5423" t="s">
        <v>287</v>
      </c>
      <c r="G5423">
        <v>1</v>
      </c>
      <c r="H5423" s="2">
        <v>7872</v>
      </c>
      <c r="I5423" s="2">
        <v>7872</v>
      </c>
    </row>
    <row r="5424" spans="1:9" x14ac:dyDescent="0.25">
      <c r="A5424" t="s">
        <v>2940</v>
      </c>
      <c r="B5424" t="s">
        <v>2941</v>
      </c>
      <c r="C5424" t="s">
        <v>34</v>
      </c>
      <c r="D5424" t="s">
        <v>4052</v>
      </c>
      <c r="E5424" t="s">
        <v>6950</v>
      </c>
      <c r="F5424" t="s">
        <v>287</v>
      </c>
      <c r="G5424">
        <v>0.67</v>
      </c>
      <c r="H5424" s="2">
        <v>6822.07</v>
      </c>
      <c r="I5424" s="2">
        <v>4550.32</v>
      </c>
    </row>
    <row r="5425" spans="1:9" x14ac:dyDescent="0.25">
      <c r="A5425" t="s">
        <v>2940</v>
      </c>
      <c r="B5425" t="s">
        <v>2941</v>
      </c>
      <c r="C5425" t="s">
        <v>34</v>
      </c>
      <c r="D5425" t="s">
        <v>4052</v>
      </c>
      <c r="E5425" t="s">
        <v>4053</v>
      </c>
      <c r="F5425" t="s">
        <v>4054</v>
      </c>
      <c r="G5425">
        <v>6.7</v>
      </c>
      <c r="H5425" s="2">
        <v>128229.79</v>
      </c>
      <c r="I5425" s="2">
        <v>8591.4</v>
      </c>
    </row>
    <row r="5426" spans="1:9" x14ac:dyDescent="0.25">
      <c r="A5426" t="s">
        <v>2944</v>
      </c>
      <c r="B5426" t="s">
        <v>2945</v>
      </c>
      <c r="C5426" t="s">
        <v>34</v>
      </c>
      <c r="D5426" t="s">
        <v>4062</v>
      </c>
      <c r="E5426" t="s">
        <v>6947</v>
      </c>
      <c r="F5426" t="s">
        <v>63</v>
      </c>
      <c r="G5426">
        <v>0.25</v>
      </c>
      <c r="H5426" s="2">
        <v>185957</v>
      </c>
      <c r="I5426" s="2">
        <v>46489.25</v>
      </c>
    </row>
    <row r="5427" spans="1:9" x14ac:dyDescent="0.25">
      <c r="A5427" t="s">
        <v>2944</v>
      </c>
      <c r="B5427" t="s">
        <v>2945</v>
      </c>
      <c r="C5427" t="s">
        <v>34</v>
      </c>
      <c r="D5427" t="s">
        <v>4049</v>
      </c>
      <c r="E5427" t="s">
        <v>4176</v>
      </c>
      <c r="F5427" t="s">
        <v>4177</v>
      </c>
      <c r="G5427">
        <v>0.4</v>
      </c>
      <c r="H5427" s="2">
        <v>72300.17</v>
      </c>
      <c r="I5427" s="2">
        <v>28920.07</v>
      </c>
    </row>
    <row r="5428" spans="1:9" x14ac:dyDescent="0.25">
      <c r="A5428" t="s">
        <v>2944</v>
      </c>
      <c r="B5428" t="s">
        <v>2945</v>
      </c>
      <c r="C5428" t="s">
        <v>34</v>
      </c>
      <c r="D5428" t="s">
        <v>4049</v>
      </c>
      <c r="E5428" t="s">
        <v>4313</v>
      </c>
      <c r="F5428" t="s">
        <v>4177</v>
      </c>
      <c r="G5428">
        <v>0.4</v>
      </c>
      <c r="H5428" s="2">
        <v>124137.15</v>
      </c>
      <c r="I5428" s="2">
        <v>49654.86</v>
      </c>
    </row>
    <row r="5429" spans="1:9" x14ac:dyDescent="0.25">
      <c r="A5429" t="s">
        <v>2944</v>
      </c>
      <c r="B5429" t="s">
        <v>2945</v>
      </c>
      <c r="C5429" t="s">
        <v>34</v>
      </c>
      <c r="D5429" t="s">
        <v>4049</v>
      </c>
      <c r="E5429" t="s">
        <v>6948</v>
      </c>
      <c r="F5429" t="s">
        <v>4177</v>
      </c>
      <c r="G5429">
        <v>0.4</v>
      </c>
      <c r="H5429" s="2">
        <v>124137.15</v>
      </c>
      <c r="I5429" s="2">
        <v>49654.86</v>
      </c>
    </row>
    <row r="5430" spans="1:9" x14ac:dyDescent="0.25">
      <c r="A5430" t="s">
        <v>2944</v>
      </c>
      <c r="B5430" t="s">
        <v>2945</v>
      </c>
      <c r="C5430" t="s">
        <v>34</v>
      </c>
      <c r="D5430" t="s">
        <v>4052</v>
      </c>
      <c r="E5430" t="s">
        <v>4123</v>
      </c>
      <c r="F5430" t="s">
        <v>287</v>
      </c>
      <c r="G5430">
        <v>0.67</v>
      </c>
      <c r="H5430" s="2">
        <v>62400</v>
      </c>
      <c r="I5430" s="2">
        <v>41620.8</v>
      </c>
    </row>
    <row r="5431" spans="1:9" x14ac:dyDescent="0.25">
      <c r="A5431" t="s">
        <v>2944</v>
      </c>
      <c r="B5431" t="s">
        <v>2945</v>
      </c>
      <c r="C5431" t="s">
        <v>34</v>
      </c>
      <c r="D5431" t="s">
        <v>4052</v>
      </c>
      <c r="E5431" t="s">
        <v>6949</v>
      </c>
      <c r="F5431" t="s">
        <v>287</v>
      </c>
      <c r="G5431">
        <v>1</v>
      </c>
      <c r="H5431" s="2">
        <v>7872</v>
      </c>
      <c r="I5431" s="2">
        <v>7872</v>
      </c>
    </row>
    <row r="5432" spans="1:9" x14ac:dyDescent="0.25">
      <c r="A5432" t="s">
        <v>2944</v>
      </c>
      <c r="B5432" t="s">
        <v>2945</v>
      </c>
      <c r="C5432" t="s">
        <v>34</v>
      </c>
      <c r="D5432" t="s">
        <v>4052</v>
      </c>
      <c r="E5432" t="s">
        <v>6950</v>
      </c>
      <c r="F5432" t="s">
        <v>287</v>
      </c>
      <c r="G5432">
        <v>0.07</v>
      </c>
      <c r="H5432" s="2">
        <v>6822.07</v>
      </c>
      <c r="I5432" s="2">
        <v>455.03</v>
      </c>
    </row>
    <row r="5433" spans="1:9" x14ac:dyDescent="0.25">
      <c r="A5433" t="s">
        <v>2944</v>
      </c>
      <c r="B5433" t="s">
        <v>2945</v>
      </c>
      <c r="C5433" t="s">
        <v>34</v>
      </c>
      <c r="D5433" t="s">
        <v>4052</v>
      </c>
      <c r="E5433" t="s">
        <v>4053</v>
      </c>
      <c r="F5433" t="s">
        <v>4054</v>
      </c>
      <c r="G5433">
        <v>6.7</v>
      </c>
      <c r="H5433" s="2">
        <v>128229.79</v>
      </c>
      <c r="I5433" s="2">
        <v>8591.4</v>
      </c>
    </row>
    <row r="5434" spans="1:9" x14ac:dyDescent="0.25">
      <c r="A5434" t="s">
        <v>2947</v>
      </c>
      <c r="B5434" t="s">
        <v>2948</v>
      </c>
      <c r="C5434" t="s">
        <v>21</v>
      </c>
      <c r="D5434" t="s">
        <v>4062</v>
      </c>
      <c r="E5434" t="s">
        <v>4012</v>
      </c>
      <c r="F5434" t="s">
        <v>34</v>
      </c>
      <c r="G5434">
        <v>0.15</v>
      </c>
      <c r="H5434" s="2">
        <v>475506.98</v>
      </c>
      <c r="I5434" s="2">
        <v>71326.05</v>
      </c>
    </row>
    <row r="5435" spans="1:9" x14ac:dyDescent="0.25">
      <c r="A5435" t="s">
        <v>2947</v>
      </c>
      <c r="B5435" t="s">
        <v>2948</v>
      </c>
      <c r="C5435" t="s">
        <v>21</v>
      </c>
      <c r="D5435" t="s">
        <v>4062</v>
      </c>
      <c r="E5435" t="s">
        <v>6955</v>
      </c>
      <c r="F5435" t="s">
        <v>4377</v>
      </c>
      <c r="G5435">
        <v>3</v>
      </c>
      <c r="H5435" s="2">
        <v>5178.75</v>
      </c>
      <c r="I5435" s="2">
        <v>15536.25</v>
      </c>
    </row>
    <row r="5436" spans="1:9" x14ac:dyDescent="0.25">
      <c r="A5436" t="s">
        <v>2947</v>
      </c>
      <c r="B5436" t="s">
        <v>2948</v>
      </c>
      <c r="C5436" t="s">
        <v>21</v>
      </c>
      <c r="D5436" t="s">
        <v>4049</v>
      </c>
      <c r="E5436" t="s">
        <v>4286</v>
      </c>
      <c r="F5436" t="s">
        <v>287</v>
      </c>
      <c r="G5436">
        <v>0.15</v>
      </c>
      <c r="H5436" s="2">
        <v>9375</v>
      </c>
      <c r="I5436" s="2">
        <v>1406.25</v>
      </c>
    </row>
    <row r="5437" spans="1:9" x14ac:dyDescent="0.25">
      <c r="A5437" t="s">
        <v>2947</v>
      </c>
      <c r="B5437" t="s">
        <v>2948</v>
      </c>
      <c r="C5437" t="s">
        <v>21</v>
      </c>
      <c r="D5437" t="s">
        <v>4049</v>
      </c>
      <c r="E5437" t="s">
        <v>4176</v>
      </c>
      <c r="F5437" t="s">
        <v>4177</v>
      </c>
      <c r="G5437">
        <v>1</v>
      </c>
      <c r="H5437" s="2">
        <v>72300.17</v>
      </c>
      <c r="I5437" s="2">
        <v>72300.17</v>
      </c>
    </row>
    <row r="5438" spans="1:9" x14ac:dyDescent="0.25">
      <c r="A5438" t="s">
        <v>2947</v>
      </c>
      <c r="B5438" t="s">
        <v>2948</v>
      </c>
      <c r="C5438" t="s">
        <v>21</v>
      </c>
      <c r="D5438" t="s">
        <v>4049</v>
      </c>
      <c r="E5438" t="s">
        <v>4313</v>
      </c>
      <c r="F5438" t="s">
        <v>4177</v>
      </c>
      <c r="G5438">
        <v>0.25</v>
      </c>
      <c r="H5438" s="2">
        <v>124137.15</v>
      </c>
      <c r="I5438" s="2">
        <v>31034.29</v>
      </c>
    </row>
    <row r="5439" spans="1:9" x14ac:dyDescent="0.25">
      <c r="A5439" t="s">
        <v>2947</v>
      </c>
      <c r="B5439" t="s">
        <v>2948</v>
      </c>
      <c r="C5439" t="s">
        <v>21</v>
      </c>
      <c r="D5439" t="s">
        <v>4052</v>
      </c>
      <c r="E5439" t="s">
        <v>4053</v>
      </c>
      <c r="F5439" t="s">
        <v>4054</v>
      </c>
      <c r="G5439">
        <v>1.6</v>
      </c>
      <c r="H5439" s="2">
        <v>103334.46</v>
      </c>
      <c r="I5439" s="2">
        <v>1653.35</v>
      </c>
    </row>
    <row r="5440" spans="1:9" x14ac:dyDescent="0.25">
      <c r="A5440" t="s">
        <v>2951</v>
      </c>
      <c r="B5440" t="s">
        <v>2952</v>
      </c>
      <c r="C5440" t="s">
        <v>2953</v>
      </c>
      <c r="D5440" t="s">
        <v>4049</v>
      </c>
      <c r="E5440" t="s">
        <v>4176</v>
      </c>
      <c r="F5440" t="s">
        <v>4177</v>
      </c>
      <c r="G5440">
        <v>0.45</v>
      </c>
      <c r="H5440" s="2">
        <v>72300.17</v>
      </c>
      <c r="I5440" s="2">
        <v>32535.08</v>
      </c>
    </row>
    <row r="5441" spans="1:9" x14ac:dyDescent="0.25">
      <c r="A5441" t="s">
        <v>2951</v>
      </c>
      <c r="B5441" t="s">
        <v>2952</v>
      </c>
      <c r="C5441" t="s">
        <v>2953</v>
      </c>
      <c r="D5441" t="s">
        <v>4052</v>
      </c>
      <c r="E5441" t="s">
        <v>4053</v>
      </c>
      <c r="F5441" t="s">
        <v>4054</v>
      </c>
      <c r="G5441">
        <v>5</v>
      </c>
      <c r="H5441" s="2">
        <v>32535.08</v>
      </c>
      <c r="I5441" s="2">
        <v>1626.75</v>
      </c>
    </row>
    <row r="5442" spans="1:9" x14ac:dyDescent="0.25">
      <c r="A5442" t="s">
        <v>2951</v>
      </c>
      <c r="B5442" t="s">
        <v>2952</v>
      </c>
      <c r="C5442" t="s">
        <v>2953</v>
      </c>
      <c r="D5442" t="s">
        <v>4058</v>
      </c>
      <c r="E5442" t="s">
        <v>6958</v>
      </c>
      <c r="F5442" t="s">
        <v>6959</v>
      </c>
      <c r="G5442">
        <v>1</v>
      </c>
      <c r="H5442" s="2">
        <v>53439.54</v>
      </c>
      <c r="I5442" s="2">
        <v>53439.54</v>
      </c>
    </row>
    <row r="5443" spans="1:9" x14ac:dyDescent="0.25">
      <c r="A5443" t="s">
        <v>2956</v>
      </c>
      <c r="B5443" t="s">
        <v>2958</v>
      </c>
      <c r="C5443" t="s">
        <v>63</v>
      </c>
      <c r="D5443" t="s">
        <v>4062</v>
      </c>
      <c r="E5443" t="s">
        <v>6963</v>
      </c>
      <c r="F5443" t="s">
        <v>63</v>
      </c>
      <c r="G5443">
        <v>1</v>
      </c>
      <c r="H5443" s="2">
        <v>353086</v>
      </c>
      <c r="I5443" s="2">
        <v>353086</v>
      </c>
    </row>
    <row r="5444" spans="1:9" x14ac:dyDescent="0.25">
      <c r="A5444" t="s">
        <v>2956</v>
      </c>
      <c r="B5444" t="s">
        <v>2958</v>
      </c>
      <c r="C5444" t="s">
        <v>63</v>
      </c>
      <c r="D5444" t="s">
        <v>4049</v>
      </c>
      <c r="E5444" t="s">
        <v>4241</v>
      </c>
      <c r="F5444" t="s">
        <v>4051</v>
      </c>
      <c r="G5444">
        <v>3</v>
      </c>
      <c r="H5444" s="2">
        <v>9941.22</v>
      </c>
      <c r="I5444" s="2">
        <v>29823.66</v>
      </c>
    </row>
    <row r="5445" spans="1:9" x14ac:dyDescent="0.25">
      <c r="A5445" t="s">
        <v>2956</v>
      </c>
      <c r="B5445" t="s">
        <v>2958</v>
      </c>
      <c r="C5445" t="s">
        <v>63</v>
      </c>
      <c r="D5445" t="s">
        <v>4049</v>
      </c>
      <c r="E5445" t="s">
        <v>4242</v>
      </c>
      <c r="F5445" t="s">
        <v>4051</v>
      </c>
      <c r="G5445">
        <v>3</v>
      </c>
      <c r="H5445" s="2">
        <v>17069.53</v>
      </c>
      <c r="I5445" s="2">
        <v>51208.59</v>
      </c>
    </row>
    <row r="5446" spans="1:9" x14ac:dyDescent="0.25">
      <c r="A5446" t="s">
        <v>2956</v>
      </c>
      <c r="B5446" t="s">
        <v>2958</v>
      </c>
      <c r="C5446" t="s">
        <v>63</v>
      </c>
      <c r="D5446" t="s">
        <v>4052</v>
      </c>
      <c r="E5446" t="s">
        <v>4053</v>
      </c>
      <c r="F5446" t="s">
        <v>4054</v>
      </c>
      <c r="G5446">
        <v>6.6</v>
      </c>
      <c r="H5446" s="2">
        <v>81032.25</v>
      </c>
      <c r="I5446" s="2">
        <v>5348.13</v>
      </c>
    </row>
    <row r="5447" spans="1:9" x14ac:dyDescent="0.25">
      <c r="A5447" t="s">
        <v>2960</v>
      </c>
      <c r="B5447" t="s">
        <v>2961</v>
      </c>
      <c r="C5447" t="s">
        <v>63</v>
      </c>
      <c r="D5447" t="s">
        <v>4062</v>
      </c>
      <c r="E5447" t="s">
        <v>6966</v>
      </c>
      <c r="F5447" t="s">
        <v>63</v>
      </c>
      <c r="G5447">
        <v>1</v>
      </c>
      <c r="H5447" s="2">
        <v>509685</v>
      </c>
      <c r="I5447" s="2">
        <v>509685</v>
      </c>
    </row>
    <row r="5448" spans="1:9" x14ac:dyDescent="0.25">
      <c r="A5448" t="s">
        <v>2960</v>
      </c>
      <c r="B5448" t="s">
        <v>2961</v>
      </c>
      <c r="C5448" t="s">
        <v>63</v>
      </c>
      <c r="D5448" t="s">
        <v>4049</v>
      </c>
      <c r="E5448" t="s">
        <v>4241</v>
      </c>
      <c r="F5448" t="s">
        <v>4051</v>
      </c>
      <c r="G5448">
        <v>3</v>
      </c>
      <c r="H5448" s="2">
        <v>9941.22</v>
      </c>
      <c r="I5448" s="2">
        <v>29823.66</v>
      </c>
    </row>
    <row r="5449" spans="1:9" x14ac:dyDescent="0.25">
      <c r="A5449" t="s">
        <v>2960</v>
      </c>
      <c r="B5449" t="s">
        <v>2961</v>
      </c>
      <c r="C5449" t="s">
        <v>63</v>
      </c>
      <c r="D5449" t="s">
        <v>4049</v>
      </c>
      <c r="E5449" t="s">
        <v>4242</v>
      </c>
      <c r="F5449" t="s">
        <v>4051</v>
      </c>
      <c r="G5449">
        <v>3</v>
      </c>
      <c r="H5449" s="2">
        <v>17069.53</v>
      </c>
      <c r="I5449" s="2">
        <v>51208.59</v>
      </c>
    </row>
    <row r="5450" spans="1:9" x14ac:dyDescent="0.25">
      <c r="A5450" t="s">
        <v>2960</v>
      </c>
      <c r="B5450" t="s">
        <v>2961</v>
      </c>
      <c r="C5450" t="s">
        <v>63</v>
      </c>
      <c r="D5450" t="s">
        <v>4052</v>
      </c>
      <c r="E5450" t="s">
        <v>4053</v>
      </c>
      <c r="F5450" t="s">
        <v>4054</v>
      </c>
      <c r="G5450">
        <v>6.6</v>
      </c>
      <c r="H5450" s="2">
        <v>81032.25</v>
      </c>
      <c r="I5450" s="2">
        <v>5348.13</v>
      </c>
    </row>
    <row r="5451" spans="1:9" x14ac:dyDescent="0.25">
      <c r="A5451" t="s">
        <v>2963</v>
      </c>
      <c r="B5451" t="s">
        <v>2964</v>
      </c>
      <c r="C5451" t="s">
        <v>63</v>
      </c>
      <c r="D5451" t="s">
        <v>4062</v>
      </c>
      <c r="E5451" t="s">
        <v>6969</v>
      </c>
      <c r="F5451" t="s">
        <v>63</v>
      </c>
      <c r="G5451">
        <v>1</v>
      </c>
      <c r="H5451" s="2">
        <v>1230760</v>
      </c>
      <c r="I5451" s="2">
        <v>1230760</v>
      </c>
    </row>
    <row r="5452" spans="1:9" x14ac:dyDescent="0.25">
      <c r="A5452" t="s">
        <v>2963</v>
      </c>
      <c r="B5452" t="s">
        <v>2964</v>
      </c>
      <c r="C5452" t="s">
        <v>63</v>
      </c>
      <c r="D5452" t="s">
        <v>4049</v>
      </c>
      <c r="E5452" t="s">
        <v>4241</v>
      </c>
      <c r="F5452" t="s">
        <v>4051</v>
      </c>
      <c r="G5452">
        <v>3</v>
      </c>
      <c r="H5452" s="2">
        <v>9941.22</v>
      </c>
      <c r="I5452" s="2">
        <v>29823.66</v>
      </c>
    </row>
    <row r="5453" spans="1:9" x14ac:dyDescent="0.25">
      <c r="A5453" t="s">
        <v>2963</v>
      </c>
      <c r="B5453" t="s">
        <v>2964</v>
      </c>
      <c r="C5453" t="s">
        <v>63</v>
      </c>
      <c r="D5453" t="s">
        <v>4049</v>
      </c>
      <c r="E5453" t="s">
        <v>4242</v>
      </c>
      <c r="F5453" t="s">
        <v>4051</v>
      </c>
      <c r="G5453">
        <v>3</v>
      </c>
      <c r="H5453" s="2">
        <v>17069.53</v>
      </c>
      <c r="I5453" s="2">
        <v>51208.59</v>
      </c>
    </row>
    <row r="5454" spans="1:9" x14ac:dyDescent="0.25">
      <c r="A5454" t="s">
        <v>2963</v>
      </c>
      <c r="B5454" t="s">
        <v>2964</v>
      </c>
      <c r="C5454" t="s">
        <v>63</v>
      </c>
      <c r="D5454" t="s">
        <v>4052</v>
      </c>
      <c r="E5454" t="s">
        <v>4053</v>
      </c>
      <c r="F5454" t="s">
        <v>4054</v>
      </c>
      <c r="G5454">
        <v>6.6</v>
      </c>
      <c r="H5454" s="2">
        <v>81032.25</v>
      </c>
      <c r="I5454" s="2">
        <v>5348.13</v>
      </c>
    </row>
    <row r="5455" spans="1:9" x14ac:dyDescent="0.25">
      <c r="A5455" t="s">
        <v>2966</v>
      </c>
      <c r="B5455" t="s">
        <v>2967</v>
      </c>
      <c r="C5455" t="s">
        <v>63</v>
      </c>
      <c r="D5455" t="s">
        <v>4062</v>
      </c>
      <c r="E5455" t="s">
        <v>6972</v>
      </c>
      <c r="F5455" t="s">
        <v>63</v>
      </c>
      <c r="G5455">
        <v>1</v>
      </c>
      <c r="H5455" s="2">
        <v>405162</v>
      </c>
      <c r="I5455" s="2">
        <v>405162</v>
      </c>
    </row>
    <row r="5456" spans="1:9" x14ac:dyDescent="0.25">
      <c r="A5456" t="s">
        <v>2966</v>
      </c>
      <c r="B5456" t="s">
        <v>2967</v>
      </c>
      <c r="C5456" t="s">
        <v>63</v>
      </c>
      <c r="D5456" t="s">
        <v>4062</v>
      </c>
      <c r="E5456" t="s">
        <v>4659</v>
      </c>
      <c r="F5456" t="s">
        <v>4377</v>
      </c>
      <c r="G5456">
        <v>0</v>
      </c>
      <c r="H5456" s="2">
        <v>31500</v>
      </c>
      <c r="I5456" s="2">
        <v>55.13</v>
      </c>
    </row>
    <row r="5457" spans="1:9" x14ac:dyDescent="0.25">
      <c r="A5457" t="s">
        <v>2966</v>
      </c>
      <c r="B5457" t="s">
        <v>2967</v>
      </c>
      <c r="C5457" t="s">
        <v>63</v>
      </c>
      <c r="D5457" t="s">
        <v>4062</v>
      </c>
      <c r="E5457" t="s">
        <v>4376</v>
      </c>
      <c r="F5457" t="s">
        <v>4377</v>
      </c>
      <c r="G5457">
        <v>0</v>
      </c>
      <c r="H5457" s="2">
        <v>72237.67</v>
      </c>
      <c r="I5457" s="2">
        <v>126.42</v>
      </c>
    </row>
    <row r="5458" spans="1:9" x14ac:dyDescent="0.25">
      <c r="A5458" t="s">
        <v>2966</v>
      </c>
      <c r="B5458" t="s">
        <v>2967</v>
      </c>
      <c r="C5458" t="s">
        <v>63</v>
      </c>
      <c r="D5458" t="s">
        <v>4049</v>
      </c>
      <c r="E5458" t="s">
        <v>4176</v>
      </c>
      <c r="F5458" t="s">
        <v>4177</v>
      </c>
      <c r="G5458">
        <v>0.38</v>
      </c>
      <c r="H5458" s="2">
        <v>72300.17</v>
      </c>
      <c r="I5458" s="2">
        <v>27112.56</v>
      </c>
    </row>
    <row r="5459" spans="1:9" x14ac:dyDescent="0.25">
      <c r="A5459" t="s">
        <v>2966</v>
      </c>
      <c r="B5459" t="s">
        <v>2967</v>
      </c>
      <c r="C5459" t="s">
        <v>63</v>
      </c>
      <c r="D5459" t="s">
        <v>4049</v>
      </c>
      <c r="E5459" t="s">
        <v>4313</v>
      </c>
      <c r="F5459" t="s">
        <v>4177</v>
      </c>
      <c r="G5459">
        <v>0.38</v>
      </c>
      <c r="H5459" s="2">
        <v>124137.15</v>
      </c>
      <c r="I5459" s="2">
        <v>46551.43</v>
      </c>
    </row>
    <row r="5460" spans="1:9" x14ac:dyDescent="0.25">
      <c r="A5460" t="s">
        <v>2966</v>
      </c>
      <c r="B5460" t="s">
        <v>2967</v>
      </c>
      <c r="C5460" t="s">
        <v>63</v>
      </c>
      <c r="D5460" t="s">
        <v>4052</v>
      </c>
      <c r="E5460" t="s">
        <v>4053</v>
      </c>
      <c r="F5460" t="s">
        <v>4054</v>
      </c>
      <c r="G5460">
        <v>6.7</v>
      </c>
      <c r="H5460" s="2">
        <v>73663.99</v>
      </c>
      <c r="I5460" s="2">
        <v>4935.49</v>
      </c>
    </row>
    <row r="5461" spans="1:9" x14ac:dyDescent="0.25">
      <c r="A5461" t="s">
        <v>2969</v>
      </c>
      <c r="B5461" t="s">
        <v>2970</v>
      </c>
      <c r="C5461" t="s">
        <v>63</v>
      </c>
      <c r="D5461" t="s">
        <v>4062</v>
      </c>
      <c r="E5461" t="s">
        <v>6975</v>
      </c>
      <c r="F5461" t="s">
        <v>63</v>
      </c>
      <c r="G5461">
        <v>1</v>
      </c>
      <c r="H5461" s="2">
        <v>353074</v>
      </c>
      <c r="I5461" s="2">
        <v>353074</v>
      </c>
    </row>
    <row r="5462" spans="1:9" x14ac:dyDescent="0.25">
      <c r="A5462" t="s">
        <v>2969</v>
      </c>
      <c r="B5462" t="s">
        <v>2970</v>
      </c>
      <c r="C5462" t="s">
        <v>63</v>
      </c>
      <c r="D5462" t="s">
        <v>4062</v>
      </c>
      <c r="E5462" t="s">
        <v>4659</v>
      </c>
      <c r="F5462" t="s">
        <v>4377</v>
      </c>
      <c r="G5462">
        <v>0</v>
      </c>
      <c r="H5462" s="2">
        <v>31500</v>
      </c>
      <c r="I5462" s="2">
        <v>55.13</v>
      </c>
    </row>
    <row r="5463" spans="1:9" x14ac:dyDescent="0.25">
      <c r="A5463" t="s">
        <v>2969</v>
      </c>
      <c r="B5463" t="s">
        <v>2970</v>
      </c>
      <c r="C5463" t="s">
        <v>63</v>
      </c>
      <c r="D5463" t="s">
        <v>4062</v>
      </c>
      <c r="E5463" t="s">
        <v>4376</v>
      </c>
      <c r="F5463" t="s">
        <v>4377</v>
      </c>
      <c r="G5463">
        <v>0</v>
      </c>
      <c r="H5463" s="2">
        <v>72237.67</v>
      </c>
      <c r="I5463" s="2">
        <v>126.42</v>
      </c>
    </row>
    <row r="5464" spans="1:9" x14ac:dyDescent="0.25">
      <c r="A5464" t="s">
        <v>2969</v>
      </c>
      <c r="B5464" t="s">
        <v>2970</v>
      </c>
      <c r="C5464" t="s">
        <v>63</v>
      </c>
      <c r="D5464" t="s">
        <v>4062</v>
      </c>
      <c r="E5464" t="s">
        <v>6976</v>
      </c>
      <c r="F5464" t="s">
        <v>63</v>
      </c>
      <c r="G5464">
        <v>1</v>
      </c>
      <c r="H5464" s="2">
        <v>593816</v>
      </c>
      <c r="I5464" s="2">
        <v>593816</v>
      </c>
    </row>
    <row r="5465" spans="1:9" x14ac:dyDescent="0.25">
      <c r="A5465" t="s">
        <v>2969</v>
      </c>
      <c r="B5465" t="s">
        <v>2970</v>
      </c>
      <c r="C5465" t="s">
        <v>63</v>
      </c>
      <c r="D5465" t="s">
        <v>4062</v>
      </c>
      <c r="E5465" t="s">
        <v>4659</v>
      </c>
      <c r="F5465" t="s">
        <v>4377</v>
      </c>
      <c r="G5465">
        <v>0</v>
      </c>
      <c r="H5465" s="2">
        <v>31500</v>
      </c>
      <c r="I5465" s="2">
        <v>137.81</v>
      </c>
    </row>
    <row r="5466" spans="1:9" x14ac:dyDescent="0.25">
      <c r="A5466" t="s">
        <v>2969</v>
      </c>
      <c r="B5466" t="s">
        <v>2970</v>
      </c>
      <c r="C5466" t="s">
        <v>63</v>
      </c>
      <c r="D5466" t="s">
        <v>4062</v>
      </c>
      <c r="E5466" t="s">
        <v>4376</v>
      </c>
      <c r="F5466" t="s">
        <v>4377</v>
      </c>
      <c r="G5466">
        <v>0</v>
      </c>
      <c r="H5466" s="2">
        <v>72237.67</v>
      </c>
      <c r="I5466" s="2">
        <v>316.04</v>
      </c>
    </row>
    <row r="5467" spans="1:9" x14ac:dyDescent="0.25">
      <c r="A5467" t="s">
        <v>2969</v>
      </c>
      <c r="B5467" t="s">
        <v>2970</v>
      </c>
      <c r="C5467" t="s">
        <v>63</v>
      </c>
      <c r="D5467" t="s">
        <v>4062</v>
      </c>
      <c r="E5467" t="s">
        <v>6977</v>
      </c>
      <c r="F5467" t="s">
        <v>63</v>
      </c>
      <c r="G5467">
        <v>1</v>
      </c>
      <c r="H5467" s="2">
        <v>512562</v>
      </c>
      <c r="I5467" s="2">
        <v>512562</v>
      </c>
    </row>
    <row r="5468" spans="1:9" x14ac:dyDescent="0.25">
      <c r="A5468" t="s">
        <v>2969</v>
      </c>
      <c r="B5468" t="s">
        <v>2970</v>
      </c>
      <c r="C5468" t="s">
        <v>63</v>
      </c>
      <c r="D5468" t="s">
        <v>4062</v>
      </c>
      <c r="E5468" t="s">
        <v>6978</v>
      </c>
      <c r="F5468" t="s">
        <v>63</v>
      </c>
      <c r="G5468">
        <v>1</v>
      </c>
      <c r="H5468" s="2">
        <v>716741</v>
      </c>
      <c r="I5468" s="2">
        <v>716741</v>
      </c>
    </row>
    <row r="5469" spans="1:9" x14ac:dyDescent="0.25">
      <c r="A5469" t="s">
        <v>2969</v>
      </c>
      <c r="B5469" t="s">
        <v>2970</v>
      </c>
      <c r="C5469" t="s">
        <v>63</v>
      </c>
      <c r="D5469" t="s">
        <v>4049</v>
      </c>
      <c r="E5469" t="s">
        <v>4176</v>
      </c>
      <c r="F5469" t="s">
        <v>4177</v>
      </c>
      <c r="G5469">
        <v>0.38</v>
      </c>
      <c r="H5469" s="2">
        <v>72300.17</v>
      </c>
      <c r="I5469" s="2">
        <v>27112.56</v>
      </c>
    </row>
    <row r="5470" spans="1:9" x14ac:dyDescent="0.25">
      <c r="A5470" t="s">
        <v>2969</v>
      </c>
      <c r="B5470" t="s">
        <v>2970</v>
      </c>
      <c r="C5470" t="s">
        <v>63</v>
      </c>
      <c r="D5470" t="s">
        <v>4049</v>
      </c>
      <c r="E5470" t="s">
        <v>4313</v>
      </c>
      <c r="F5470" t="s">
        <v>4177</v>
      </c>
      <c r="G5470">
        <v>0.38</v>
      </c>
      <c r="H5470" s="2">
        <v>124137.15</v>
      </c>
      <c r="I5470" s="2">
        <v>46551.43</v>
      </c>
    </row>
    <row r="5471" spans="1:9" x14ac:dyDescent="0.25">
      <c r="A5471" t="s">
        <v>2969</v>
      </c>
      <c r="B5471" t="s">
        <v>2970</v>
      </c>
      <c r="C5471" t="s">
        <v>63</v>
      </c>
      <c r="D5471" t="s">
        <v>4049</v>
      </c>
      <c r="E5471" t="s">
        <v>6979</v>
      </c>
      <c r="F5471" t="s">
        <v>63</v>
      </c>
      <c r="G5471">
        <v>1</v>
      </c>
      <c r="H5471" s="2">
        <v>1054340</v>
      </c>
      <c r="I5471" s="2">
        <v>1054340</v>
      </c>
    </row>
    <row r="5472" spans="1:9" x14ac:dyDescent="0.25">
      <c r="A5472" t="s">
        <v>2969</v>
      </c>
      <c r="B5472" t="s">
        <v>2970</v>
      </c>
      <c r="C5472" t="s">
        <v>63</v>
      </c>
      <c r="D5472" t="s">
        <v>4049</v>
      </c>
      <c r="E5472" t="s">
        <v>4659</v>
      </c>
      <c r="F5472" t="s">
        <v>4377</v>
      </c>
      <c r="G5472">
        <v>0.01</v>
      </c>
      <c r="H5472" s="2">
        <v>31500</v>
      </c>
      <c r="I5472" s="2">
        <v>206.72</v>
      </c>
    </row>
    <row r="5473" spans="1:9" x14ac:dyDescent="0.25">
      <c r="A5473" t="s">
        <v>2969</v>
      </c>
      <c r="B5473" t="s">
        <v>2970</v>
      </c>
      <c r="C5473" t="s">
        <v>63</v>
      </c>
      <c r="D5473" t="s">
        <v>4049</v>
      </c>
      <c r="E5473" t="s">
        <v>4376</v>
      </c>
      <c r="F5473" t="s">
        <v>4377</v>
      </c>
      <c r="G5473">
        <v>0.01</v>
      </c>
      <c r="H5473" s="2">
        <v>72237.67</v>
      </c>
      <c r="I5473" s="2">
        <v>474.06</v>
      </c>
    </row>
    <row r="5474" spans="1:9" x14ac:dyDescent="0.25">
      <c r="A5474" t="s">
        <v>2969</v>
      </c>
      <c r="B5474" t="s">
        <v>2970</v>
      </c>
      <c r="C5474" t="s">
        <v>63</v>
      </c>
      <c r="D5474" t="s">
        <v>4052</v>
      </c>
      <c r="E5474" t="s">
        <v>4053</v>
      </c>
      <c r="F5474" t="s">
        <v>4054</v>
      </c>
      <c r="G5474">
        <v>6.7</v>
      </c>
      <c r="H5474" s="2">
        <v>73663.99</v>
      </c>
      <c r="I5474" s="2">
        <v>4935.49</v>
      </c>
    </row>
    <row r="5475" spans="1:9" x14ac:dyDescent="0.25">
      <c r="A5475" t="s">
        <v>2973</v>
      </c>
      <c r="B5475" t="s">
        <v>2974</v>
      </c>
      <c r="C5475" t="s">
        <v>63</v>
      </c>
      <c r="D5475" t="s">
        <v>4062</v>
      </c>
      <c r="E5475" t="s">
        <v>6982</v>
      </c>
      <c r="F5475" t="s">
        <v>63</v>
      </c>
      <c r="G5475">
        <v>1</v>
      </c>
      <c r="H5475" s="2">
        <v>1396095</v>
      </c>
      <c r="I5475" s="2">
        <v>1396095</v>
      </c>
    </row>
    <row r="5476" spans="1:9" x14ac:dyDescent="0.25">
      <c r="A5476" t="s">
        <v>2973</v>
      </c>
      <c r="B5476" t="s">
        <v>2974</v>
      </c>
      <c r="C5476" t="s">
        <v>63</v>
      </c>
      <c r="D5476" t="s">
        <v>4062</v>
      </c>
      <c r="E5476" t="s">
        <v>4659</v>
      </c>
      <c r="F5476" t="s">
        <v>4377</v>
      </c>
      <c r="G5476">
        <v>0.01</v>
      </c>
      <c r="H5476" s="2">
        <v>31500</v>
      </c>
      <c r="I5476" s="2">
        <v>330.75</v>
      </c>
    </row>
    <row r="5477" spans="1:9" x14ac:dyDescent="0.25">
      <c r="A5477" t="s">
        <v>2973</v>
      </c>
      <c r="B5477" t="s">
        <v>2974</v>
      </c>
      <c r="C5477" t="s">
        <v>63</v>
      </c>
      <c r="D5477" t="s">
        <v>4062</v>
      </c>
      <c r="E5477" t="s">
        <v>4376</v>
      </c>
      <c r="F5477" t="s">
        <v>4377</v>
      </c>
      <c r="G5477">
        <v>0.01</v>
      </c>
      <c r="H5477" s="2">
        <v>72237.67</v>
      </c>
      <c r="I5477" s="2">
        <v>758.5</v>
      </c>
    </row>
    <row r="5478" spans="1:9" x14ac:dyDescent="0.25">
      <c r="A5478" t="s">
        <v>2973</v>
      </c>
      <c r="B5478" t="s">
        <v>2974</v>
      </c>
      <c r="C5478" t="s">
        <v>63</v>
      </c>
      <c r="D5478" t="s">
        <v>4049</v>
      </c>
      <c r="E5478" t="s">
        <v>4176</v>
      </c>
      <c r="F5478" t="s">
        <v>4177</v>
      </c>
      <c r="G5478">
        <v>0.38</v>
      </c>
      <c r="H5478" s="2">
        <v>72300.17</v>
      </c>
      <c r="I5478" s="2">
        <v>27112.56</v>
      </c>
    </row>
    <row r="5479" spans="1:9" x14ac:dyDescent="0.25">
      <c r="A5479" t="s">
        <v>2973</v>
      </c>
      <c r="B5479" t="s">
        <v>2974</v>
      </c>
      <c r="C5479" t="s">
        <v>63</v>
      </c>
      <c r="D5479" t="s">
        <v>4049</v>
      </c>
      <c r="E5479" t="s">
        <v>4313</v>
      </c>
      <c r="F5479" t="s">
        <v>4177</v>
      </c>
      <c r="G5479">
        <v>0.38</v>
      </c>
      <c r="H5479" s="2">
        <v>124137.15</v>
      </c>
      <c r="I5479" s="2">
        <v>46551.43</v>
      </c>
    </row>
    <row r="5480" spans="1:9" x14ac:dyDescent="0.25">
      <c r="A5480" t="s">
        <v>2973</v>
      </c>
      <c r="B5480" t="s">
        <v>2974</v>
      </c>
      <c r="C5480" t="s">
        <v>63</v>
      </c>
      <c r="D5480" t="s">
        <v>4052</v>
      </c>
      <c r="E5480" t="s">
        <v>4053</v>
      </c>
      <c r="F5480" t="s">
        <v>4054</v>
      </c>
      <c r="G5480">
        <v>6.7</v>
      </c>
      <c r="H5480" s="2">
        <v>73663.99</v>
      </c>
      <c r="I5480" s="2">
        <v>4935.49</v>
      </c>
    </row>
    <row r="5481" spans="1:9" x14ac:dyDescent="0.25">
      <c r="A5481" t="s">
        <v>2976</v>
      </c>
      <c r="B5481" t="s">
        <v>2977</v>
      </c>
      <c r="C5481" t="s">
        <v>63</v>
      </c>
      <c r="D5481" t="s">
        <v>4062</v>
      </c>
      <c r="E5481" t="s">
        <v>6985</v>
      </c>
      <c r="F5481" t="s">
        <v>63</v>
      </c>
      <c r="G5481">
        <v>1</v>
      </c>
      <c r="H5481" s="2">
        <v>1271270</v>
      </c>
      <c r="I5481" s="2">
        <v>1271270</v>
      </c>
    </row>
    <row r="5482" spans="1:9" x14ac:dyDescent="0.25">
      <c r="A5482" t="s">
        <v>2976</v>
      </c>
      <c r="B5482" t="s">
        <v>2977</v>
      </c>
      <c r="C5482" t="s">
        <v>63</v>
      </c>
      <c r="D5482" t="s">
        <v>4062</v>
      </c>
      <c r="E5482" t="s">
        <v>4659</v>
      </c>
      <c r="F5482" t="s">
        <v>4377</v>
      </c>
      <c r="G5482">
        <v>0.01</v>
      </c>
      <c r="H5482" s="2">
        <v>31500</v>
      </c>
      <c r="I5482" s="2">
        <v>330.75</v>
      </c>
    </row>
    <row r="5483" spans="1:9" x14ac:dyDescent="0.25">
      <c r="A5483" t="s">
        <v>2976</v>
      </c>
      <c r="B5483" t="s">
        <v>2977</v>
      </c>
      <c r="C5483" t="s">
        <v>63</v>
      </c>
      <c r="D5483" t="s">
        <v>4062</v>
      </c>
      <c r="E5483" t="s">
        <v>4376</v>
      </c>
      <c r="F5483" t="s">
        <v>4377</v>
      </c>
      <c r="G5483">
        <v>0.01</v>
      </c>
      <c r="H5483" s="2">
        <v>72237.67</v>
      </c>
      <c r="I5483" s="2">
        <v>758.5</v>
      </c>
    </row>
    <row r="5484" spans="1:9" x14ac:dyDescent="0.25">
      <c r="A5484" t="s">
        <v>2976</v>
      </c>
      <c r="B5484" t="s">
        <v>2977</v>
      </c>
      <c r="C5484" t="s">
        <v>63</v>
      </c>
      <c r="D5484" t="s">
        <v>4049</v>
      </c>
      <c r="E5484" t="s">
        <v>4176</v>
      </c>
      <c r="F5484" t="s">
        <v>4177</v>
      </c>
      <c r="G5484">
        <v>0.38</v>
      </c>
      <c r="H5484" s="2">
        <v>72300.17</v>
      </c>
      <c r="I5484" s="2">
        <v>27112.56</v>
      </c>
    </row>
    <row r="5485" spans="1:9" x14ac:dyDescent="0.25">
      <c r="A5485" t="s">
        <v>2976</v>
      </c>
      <c r="B5485" t="s">
        <v>2977</v>
      </c>
      <c r="C5485" t="s">
        <v>63</v>
      </c>
      <c r="D5485" t="s">
        <v>4049</v>
      </c>
      <c r="E5485" t="s">
        <v>4313</v>
      </c>
      <c r="F5485" t="s">
        <v>4177</v>
      </c>
      <c r="G5485">
        <v>0.38</v>
      </c>
      <c r="H5485" s="2">
        <v>124137.15</v>
      </c>
      <c r="I5485" s="2">
        <v>46551.43</v>
      </c>
    </row>
    <row r="5486" spans="1:9" x14ac:dyDescent="0.25">
      <c r="A5486" t="s">
        <v>2976</v>
      </c>
      <c r="B5486" t="s">
        <v>2977</v>
      </c>
      <c r="C5486" t="s">
        <v>63</v>
      </c>
      <c r="D5486" t="s">
        <v>4052</v>
      </c>
      <c r="E5486" t="s">
        <v>4053</v>
      </c>
      <c r="F5486" t="s">
        <v>4054</v>
      </c>
      <c r="G5486">
        <v>6.7</v>
      </c>
      <c r="H5486" s="2">
        <v>73663.99</v>
      </c>
      <c r="I5486" s="2">
        <v>4935.49</v>
      </c>
    </row>
    <row r="5487" spans="1:9" x14ac:dyDescent="0.25">
      <c r="A5487" t="s">
        <v>2979</v>
      </c>
      <c r="B5487" t="s">
        <v>2980</v>
      </c>
      <c r="C5487" t="s">
        <v>63</v>
      </c>
      <c r="D5487" t="s">
        <v>4062</v>
      </c>
      <c r="E5487" t="s">
        <v>6988</v>
      </c>
      <c r="F5487" t="s">
        <v>63</v>
      </c>
      <c r="G5487">
        <v>1</v>
      </c>
      <c r="H5487" s="2">
        <v>2035061</v>
      </c>
      <c r="I5487" s="2">
        <v>2035061</v>
      </c>
    </row>
    <row r="5488" spans="1:9" x14ac:dyDescent="0.25">
      <c r="A5488" t="s">
        <v>2979</v>
      </c>
      <c r="B5488" t="s">
        <v>2980</v>
      </c>
      <c r="C5488" t="s">
        <v>63</v>
      </c>
      <c r="D5488" t="s">
        <v>4062</v>
      </c>
      <c r="E5488" t="s">
        <v>4659</v>
      </c>
      <c r="F5488" t="s">
        <v>4377</v>
      </c>
      <c r="G5488">
        <v>0.01</v>
      </c>
      <c r="H5488" s="2">
        <v>31500</v>
      </c>
      <c r="I5488" s="2">
        <v>425.25</v>
      </c>
    </row>
    <row r="5489" spans="1:9" x14ac:dyDescent="0.25">
      <c r="A5489" t="s">
        <v>2979</v>
      </c>
      <c r="B5489" t="s">
        <v>2980</v>
      </c>
      <c r="C5489" t="s">
        <v>63</v>
      </c>
      <c r="D5489" t="s">
        <v>4062</v>
      </c>
      <c r="E5489" t="s">
        <v>4376</v>
      </c>
      <c r="F5489" t="s">
        <v>4377</v>
      </c>
      <c r="G5489">
        <v>0.01</v>
      </c>
      <c r="H5489" s="2">
        <v>72237.67</v>
      </c>
      <c r="I5489" s="2">
        <v>975.21</v>
      </c>
    </row>
    <row r="5490" spans="1:9" x14ac:dyDescent="0.25">
      <c r="A5490" t="s">
        <v>2979</v>
      </c>
      <c r="B5490" t="s">
        <v>2980</v>
      </c>
      <c r="C5490" t="s">
        <v>63</v>
      </c>
      <c r="D5490" t="s">
        <v>4049</v>
      </c>
      <c r="E5490" t="s">
        <v>4176</v>
      </c>
      <c r="F5490" t="s">
        <v>4177</v>
      </c>
      <c r="G5490">
        <v>0.38</v>
      </c>
      <c r="H5490" s="2">
        <v>72300.17</v>
      </c>
      <c r="I5490" s="2">
        <v>27112.56</v>
      </c>
    </row>
    <row r="5491" spans="1:9" x14ac:dyDescent="0.25">
      <c r="A5491" t="s">
        <v>2979</v>
      </c>
      <c r="B5491" t="s">
        <v>2980</v>
      </c>
      <c r="C5491" t="s">
        <v>63</v>
      </c>
      <c r="D5491" t="s">
        <v>4049</v>
      </c>
      <c r="E5491" t="s">
        <v>4313</v>
      </c>
      <c r="F5491" t="s">
        <v>4177</v>
      </c>
      <c r="G5491">
        <v>0.38</v>
      </c>
      <c r="H5491" s="2">
        <v>124137.15</v>
      </c>
      <c r="I5491" s="2">
        <v>46551.43</v>
      </c>
    </row>
    <row r="5492" spans="1:9" x14ac:dyDescent="0.25">
      <c r="A5492" t="s">
        <v>2979</v>
      </c>
      <c r="B5492" t="s">
        <v>2980</v>
      </c>
      <c r="C5492" t="s">
        <v>63</v>
      </c>
      <c r="D5492" t="s">
        <v>4052</v>
      </c>
      <c r="E5492" t="s">
        <v>4053</v>
      </c>
      <c r="F5492" t="s">
        <v>4054</v>
      </c>
      <c r="G5492">
        <v>6.7</v>
      </c>
      <c r="H5492" s="2">
        <v>73663.99</v>
      </c>
      <c r="I5492" s="2">
        <v>4935.49</v>
      </c>
    </row>
    <row r="5493" spans="1:9" x14ac:dyDescent="0.25">
      <c r="A5493" t="s">
        <v>2982</v>
      </c>
      <c r="B5493" t="s">
        <v>2983</v>
      </c>
      <c r="C5493" t="s">
        <v>63</v>
      </c>
      <c r="D5493" t="s">
        <v>4062</v>
      </c>
      <c r="E5493" t="s">
        <v>6991</v>
      </c>
      <c r="F5493" t="s">
        <v>63</v>
      </c>
      <c r="G5493">
        <v>1</v>
      </c>
      <c r="H5493" s="2">
        <v>1870200</v>
      </c>
      <c r="I5493" s="2">
        <v>1870200</v>
      </c>
    </row>
    <row r="5494" spans="1:9" x14ac:dyDescent="0.25">
      <c r="A5494" t="s">
        <v>2982</v>
      </c>
      <c r="B5494" t="s">
        <v>2983</v>
      </c>
      <c r="C5494" t="s">
        <v>63</v>
      </c>
      <c r="D5494" t="s">
        <v>4062</v>
      </c>
      <c r="E5494" t="s">
        <v>4659</v>
      </c>
      <c r="F5494" t="s">
        <v>4377</v>
      </c>
      <c r="G5494">
        <v>0.01</v>
      </c>
      <c r="H5494" s="2">
        <v>31500</v>
      </c>
      <c r="I5494" s="2">
        <v>425.25</v>
      </c>
    </row>
    <row r="5495" spans="1:9" x14ac:dyDescent="0.25">
      <c r="A5495" t="s">
        <v>2982</v>
      </c>
      <c r="B5495" t="s">
        <v>2983</v>
      </c>
      <c r="C5495" t="s">
        <v>63</v>
      </c>
      <c r="D5495" t="s">
        <v>4062</v>
      </c>
      <c r="E5495" t="s">
        <v>4376</v>
      </c>
      <c r="F5495" t="s">
        <v>4377</v>
      </c>
      <c r="G5495">
        <v>0.01</v>
      </c>
      <c r="H5495" s="2">
        <v>72237.67</v>
      </c>
      <c r="I5495" s="2">
        <v>975.21</v>
      </c>
    </row>
    <row r="5496" spans="1:9" x14ac:dyDescent="0.25">
      <c r="A5496" t="s">
        <v>2982</v>
      </c>
      <c r="B5496" t="s">
        <v>2983</v>
      </c>
      <c r="C5496" t="s">
        <v>63</v>
      </c>
      <c r="D5496" t="s">
        <v>4049</v>
      </c>
      <c r="E5496" t="s">
        <v>4176</v>
      </c>
      <c r="F5496" t="s">
        <v>4177</v>
      </c>
      <c r="G5496">
        <v>0.38</v>
      </c>
      <c r="H5496" s="2">
        <v>72300.17</v>
      </c>
      <c r="I5496" s="2">
        <v>27112.56</v>
      </c>
    </row>
    <row r="5497" spans="1:9" x14ac:dyDescent="0.25">
      <c r="A5497" t="s">
        <v>2982</v>
      </c>
      <c r="B5497" t="s">
        <v>2983</v>
      </c>
      <c r="C5497" t="s">
        <v>63</v>
      </c>
      <c r="D5497" t="s">
        <v>4049</v>
      </c>
      <c r="E5497" t="s">
        <v>4313</v>
      </c>
      <c r="F5497" t="s">
        <v>4177</v>
      </c>
      <c r="G5497">
        <v>0.38</v>
      </c>
      <c r="H5497" s="2">
        <v>124137.15</v>
      </c>
      <c r="I5497" s="2">
        <v>46551.43</v>
      </c>
    </row>
    <row r="5498" spans="1:9" x14ac:dyDescent="0.25">
      <c r="A5498" t="s">
        <v>2982</v>
      </c>
      <c r="B5498" t="s">
        <v>2983</v>
      </c>
      <c r="C5498" t="s">
        <v>63</v>
      </c>
      <c r="D5498" t="s">
        <v>4052</v>
      </c>
      <c r="E5498" t="s">
        <v>4053</v>
      </c>
      <c r="F5498" t="s">
        <v>4054</v>
      </c>
      <c r="G5498">
        <v>6.7</v>
      </c>
      <c r="H5498" s="2">
        <v>73663.99</v>
      </c>
      <c r="I5498" s="2">
        <v>4935.49</v>
      </c>
    </row>
    <row r="5499" spans="1:9" x14ac:dyDescent="0.25">
      <c r="A5499" t="s">
        <v>2985</v>
      </c>
      <c r="B5499" t="s">
        <v>2986</v>
      </c>
      <c r="C5499" t="s">
        <v>63</v>
      </c>
      <c r="D5499" t="s">
        <v>4062</v>
      </c>
      <c r="E5499" t="s">
        <v>6994</v>
      </c>
      <c r="F5499" t="s">
        <v>63</v>
      </c>
      <c r="G5499">
        <v>1</v>
      </c>
      <c r="H5499" s="2">
        <v>372922</v>
      </c>
      <c r="I5499" s="2">
        <v>372922</v>
      </c>
    </row>
    <row r="5500" spans="1:9" x14ac:dyDescent="0.25">
      <c r="A5500" t="s">
        <v>2985</v>
      </c>
      <c r="B5500" t="s">
        <v>2986</v>
      </c>
      <c r="C5500" t="s">
        <v>63</v>
      </c>
      <c r="D5500" t="s">
        <v>4062</v>
      </c>
      <c r="E5500" t="s">
        <v>4659</v>
      </c>
      <c r="F5500" t="s">
        <v>4377</v>
      </c>
      <c r="G5500">
        <v>0</v>
      </c>
      <c r="H5500" s="2">
        <v>31500</v>
      </c>
      <c r="I5500" s="2">
        <v>55.13</v>
      </c>
    </row>
    <row r="5501" spans="1:9" x14ac:dyDescent="0.25">
      <c r="A5501" t="s">
        <v>2985</v>
      </c>
      <c r="B5501" t="s">
        <v>2986</v>
      </c>
      <c r="C5501" t="s">
        <v>63</v>
      </c>
      <c r="D5501" t="s">
        <v>4062</v>
      </c>
      <c r="E5501" t="s">
        <v>4376</v>
      </c>
      <c r="F5501" t="s">
        <v>4377</v>
      </c>
      <c r="G5501">
        <v>0</v>
      </c>
      <c r="H5501" s="2">
        <v>72237.67</v>
      </c>
      <c r="I5501" s="2">
        <v>126.42</v>
      </c>
    </row>
    <row r="5502" spans="1:9" x14ac:dyDescent="0.25">
      <c r="A5502" t="s">
        <v>2985</v>
      </c>
      <c r="B5502" t="s">
        <v>2986</v>
      </c>
      <c r="C5502" t="s">
        <v>63</v>
      </c>
      <c r="D5502" t="s">
        <v>4049</v>
      </c>
      <c r="E5502" t="s">
        <v>4176</v>
      </c>
      <c r="F5502" t="s">
        <v>4177</v>
      </c>
      <c r="G5502">
        <v>0.85</v>
      </c>
      <c r="H5502" s="2">
        <v>72300.17</v>
      </c>
      <c r="I5502" s="2">
        <v>61455.14</v>
      </c>
    </row>
    <row r="5503" spans="1:9" x14ac:dyDescent="0.25">
      <c r="A5503" t="s">
        <v>2985</v>
      </c>
      <c r="B5503" t="s">
        <v>2986</v>
      </c>
      <c r="C5503" t="s">
        <v>63</v>
      </c>
      <c r="D5503" t="s">
        <v>4049</v>
      </c>
      <c r="E5503" t="s">
        <v>4313</v>
      </c>
      <c r="F5503" t="s">
        <v>4177</v>
      </c>
      <c r="G5503">
        <v>0.8</v>
      </c>
      <c r="H5503" s="2">
        <v>124137.15</v>
      </c>
      <c r="I5503" s="2">
        <v>99309.72</v>
      </c>
    </row>
    <row r="5504" spans="1:9" x14ac:dyDescent="0.25">
      <c r="A5504" t="s">
        <v>2985</v>
      </c>
      <c r="B5504" t="s">
        <v>2986</v>
      </c>
      <c r="C5504" t="s">
        <v>63</v>
      </c>
      <c r="D5504" t="s">
        <v>4052</v>
      </c>
      <c r="E5504" t="s">
        <v>4053</v>
      </c>
      <c r="F5504" t="s">
        <v>4054</v>
      </c>
      <c r="G5504">
        <v>6.6</v>
      </c>
      <c r="H5504" s="2">
        <v>160764.86</v>
      </c>
      <c r="I5504" s="2">
        <v>10610.48</v>
      </c>
    </row>
    <row r="5505" spans="1:9" x14ac:dyDescent="0.25">
      <c r="A5505" t="s">
        <v>2988</v>
      </c>
      <c r="B5505" t="s">
        <v>2989</v>
      </c>
      <c r="C5505" t="s">
        <v>63</v>
      </c>
      <c r="D5505" t="s">
        <v>4062</v>
      </c>
      <c r="E5505" t="s">
        <v>6997</v>
      </c>
      <c r="F5505" t="s">
        <v>63</v>
      </c>
      <c r="G5505">
        <v>1</v>
      </c>
      <c r="H5505" s="2">
        <v>621409.59</v>
      </c>
      <c r="I5505" s="2">
        <v>621409.59</v>
      </c>
    </row>
    <row r="5506" spans="1:9" x14ac:dyDescent="0.25">
      <c r="A5506" t="s">
        <v>2988</v>
      </c>
      <c r="B5506" t="s">
        <v>2989</v>
      </c>
      <c r="C5506" t="s">
        <v>63</v>
      </c>
      <c r="D5506" t="s">
        <v>4062</v>
      </c>
      <c r="E5506" t="s">
        <v>4659</v>
      </c>
      <c r="F5506" t="s">
        <v>4377</v>
      </c>
      <c r="G5506">
        <v>0</v>
      </c>
      <c r="H5506" s="2">
        <v>31500</v>
      </c>
      <c r="I5506" s="2">
        <v>137.81</v>
      </c>
    </row>
    <row r="5507" spans="1:9" x14ac:dyDescent="0.25">
      <c r="A5507" t="s">
        <v>2988</v>
      </c>
      <c r="B5507" t="s">
        <v>2989</v>
      </c>
      <c r="C5507" t="s">
        <v>63</v>
      </c>
      <c r="D5507" t="s">
        <v>4062</v>
      </c>
      <c r="E5507" t="s">
        <v>4376</v>
      </c>
      <c r="F5507" t="s">
        <v>4377</v>
      </c>
      <c r="G5507">
        <v>0</v>
      </c>
      <c r="H5507" s="2">
        <v>72237.67</v>
      </c>
      <c r="I5507" s="2">
        <v>316.04</v>
      </c>
    </row>
    <row r="5508" spans="1:9" x14ac:dyDescent="0.25">
      <c r="A5508" t="s">
        <v>2988</v>
      </c>
      <c r="B5508" t="s">
        <v>2989</v>
      </c>
      <c r="C5508" t="s">
        <v>63</v>
      </c>
      <c r="D5508" t="s">
        <v>4049</v>
      </c>
      <c r="E5508" t="s">
        <v>4176</v>
      </c>
      <c r="F5508" t="s">
        <v>4177</v>
      </c>
      <c r="G5508">
        <v>0.85</v>
      </c>
      <c r="H5508" s="2">
        <v>72300.17</v>
      </c>
      <c r="I5508" s="2">
        <v>61455.14</v>
      </c>
    </row>
    <row r="5509" spans="1:9" x14ac:dyDescent="0.25">
      <c r="A5509" t="s">
        <v>2988</v>
      </c>
      <c r="B5509" t="s">
        <v>2989</v>
      </c>
      <c r="C5509" t="s">
        <v>63</v>
      </c>
      <c r="D5509" t="s">
        <v>4049</v>
      </c>
      <c r="E5509" t="s">
        <v>4313</v>
      </c>
      <c r="F5509" t="s">
        <v>4177</v>
      </c>
      <c r="G5509">
        <v>0.8</v>
      </c>
      <c r="H5509" s="2">
        <v>124137.15</v>
      </c>
      <c r="I5509" s="2">
        <v>99309.72</v>
      </c>
    </row>
    <row r="5510" spans="1:9" x14ac:dyDescent="0.25">
      <c r="A5510" t="s">
        <v>2988</v>
      </c>
      <c r="B5510" t="s">
        <v>2989</v>
      </c>
      <c r="C5510" t="s">
        <v>63</v>
      </c>
      <c r="D5510" t="s">
        <v>4052</v>
      </c>
      <c r="E5510" t="s">
        <v>4053</v>
      </c>
      <c r="F5510" t="s">
        <v>4054</v>
      </c>
      <c r="G5510">
        <v>9.9</v>
      </c>
      <c r="H5510" s="2">
        <v>160764.86</v>
      </c>
      <c r="I5510" s="2">
        <v>15915.72</v>
      </c>
    </row>
    <row r="5511" spans="1:9" x14ac:dyDescent="0.25">
      <c r="A5511" t="s">
        <v>2991</v>
      </c>
      <c r="B5511" t="s">
        <v>2992</v>
      </c>
      <c r="C5511" t="s">
        <v>63</v>
      </c>
      <c r="D5511" t="s">
        <v>4062</v>
      </c>
      <c r="E5511" t="s">
        <v>7000</v>
      </c>
      <c r="F5511" t="s">
        <v>63</v>
      </c>
      <c r="G5511">
        <v>1</v>
      </c>
      <c r="H5511" s="2">
        <v>789609.92</v>
      </c>
      <c r="I5511" s="2">
        <v>789609.92</v>
      </c>
    </row>
    <row r="5512" spans="1:9" x14ac:dyDescent="0.25">
      <c r="A5512" t="s">
        <v>2991</v>
      </c>
      <c r="B5512" t="s">
        <v>2992</v>
      </c>
      <c r="C5512" t="s">
        <v>63</v>
      </c>
      <c r="D5512" t="s">
        <v>4062</v>
      </c>
      <c r="E5512" t="s">
        <v>4659</v>
      </c>
      <c r="F5512" t="s">
        <v>4377</v>
      </c>
      <c r="G5512">
        <v>0.01</v>
      </c>
      <c r="H5512" s="2">
        <v>31500</v>
      </c>
      <c r="I5512" s="2">
        <v>206.72</v>
      </c>
    </row>
    <row r="5513" spans="1:9" x14ac:dyDescent="0.25">
      <c r="A5513" t="s">
        <v>2991</v>
      </c>
      <c r="B5513" t="s">
        <v>2992</v>
      </c>
      <c r="C5513" t="s">
        <v>63</v>
      </c>
      <c r="D5513" t="s">
        <v>4062</v>
      </c>
      <c r="E5513" t="s">
        <v>4376</v>
      </c>
      <c r="F5513" t="s">
        <v>4377</v>
      </c>
      <c r="G5513">
        <v>0.01</v>
      </c>
      <c r="H5513" s="2">
        <v>72237.67</v>
      </c>
      <c r="I5513" s="2">
        <v>474.06</v>
      </c>
    </row>
    <row r="5514" spans="1:9" x14ac:dyDescent="0.25">
      <c r="A5514" t="s">
        <v>2991</v>
      </c>
      <c r="B5514" t="s">
        <v>2992</v>
      </c>
      <c r="C5514" t="s">
        <v>63</v>
      </c>
      <c r="D5514" t="s">
        <v>4049</v>
      </c>
      <c r="E5514" t="s">
        <v>4176</v>
      </c>
      <c r="F5514" t="s">
        <v>4177</v>
      </c>
      <c r="G5514">
        <v>0.85</v>
      </c>
      <c r="H5514" s="2">
        <v>72300.17</v>
      </c>
      <c r="I5514" s="2">
        <v>61455.14</v>
      </c>
    </row>
    <row r="5515" spans="1:9" x14ac:dyDescent="0.25">
      <c r="A5515" t="s">
        <v>2991</v>
      </c>
      <c r="B5515" t="s">
        <v>2992</v>
      </c>
      <c r="C5515" t="s">
        <v>63</v>
      </c>
      <c r="D5515" t="s">
        <v>4049</v>
      </c>
      <c r="E5515" t="s">
        <v>4313</v>
      </c>
      <c r="F5515" t="s">
        <v>4177</v>
      </c>
      <c r="G5515">
        <v>0.8</v>
      </c>
      <c r="H5515" s="2">
        <v>124137.15</v>
      </c>
      <c r="I5515" s="2">
        <v>99309.72</v>
      </c>
    </row>
    <row r="5516" spans="1:9" x14ac:dyDescent="0.25">
      <c r="A5516" t="s">
        <v>2991</v>
      </c>
      <c r="B5516" t="s">
        <v>2992</v>
      </c>
      <c r="C5516" t="s">
        <v>63</v>
      </c>
      <c r="D5516" t="s">
        <v>4052</v>
      </c>
      <c r="E5516" t="s">
        <v>4053</v>
      </c>
      <c r="F5516" t="s">
        <v>4054</v>
      </c>
      <c r="G5516">
        <v>9.9</v>
      </c>
      <c r="H5516" s="2">
        <v>160764.86</v>
      </c>
      <c r="I5516" s="2">
        <v>15915.72</v>
      </c>
    </row>
    <row r="5517" spans="1:9" x14ac:dyDescent="0.25">
      <c r="A5517" t="s">
        <v>2994</v>
      </c>
      <c r="B5517" t="s">
        <v>2995</v>
      </c>
      <c r="C5517" t="s">
        <v>63</v>
      </c>
      <c r="D5517" t="s">
        <v>4062</v>
      </c>
      <c r="E5517" t="s">
        <v>7003</v>
      </c>
      <c r="F5517" t="s">
        <v>63</v>
      </c>
      <c r="G5517">
        <v>1</v>
      </c>
      <c r="H5517" s="2">
        <v>1396094.59</v>
      </c>
      <c r="I5517" s="2">
        <v>1396094.59</v>
      </c>
    </row>
    <row r="5518" spans="1:9" x14ac:dyDescent="0.25">
      <c r="A5518" t="s">
        <v>2994</v>
      </c>
      <c r="B5518" t="s">
        <v>2995</v>
      </c>
      <c r="C5518" t="s">
        <v>63</v>
      </c>
      <c r="D5518" t="s">
        <v>4062</v>
      </c>
      <c r="E5518" t="s">
        <v>4659</v>
      </c>
      <c r="F5518" t="s">
        <v>4377</v>
      </c>
      <c r="G5518">
        <v>0.01</v>
      </c>
      <c r="H5518" s="2">
        <v>31500</v>
      </c>
      <c r="I5518" s="2">
        <v>330.75</v>
      </c>
    </row>
    <row r="5519" spans="1:9" x14ac:dyDescent="0.25">
      <c r="A5519" t="s">
        <v>2994</v>
      </c>
      <c r="B5519" t="s">
        <v>2995</v>
      </c>
      <c r="C5519" t="s">
        <v>63</v>
      </c>
      <c r="D5519" t="s">
        <v>4062</v>
      </c>
      <c r="E5519" t="s">
        <v>4376</v>
      </c>
      <c r="F5519" t="s">
        <v>4377</v>
      </c>
      <c r="G5519">
        <v>0.01</v>
      </c>
      <c r="H5519" s="2">
        <v>72237.67</v>
      </c>
      <c r="I5519" s="2">
        <v>758.5</v>
      </c>
    </row>
    <row r="5520" spans="1:9" x14ac:dyDescent="0.25">
      <c r="A5520" t="s">
        <v>2994</v>
      </c>
      <c r="B5520" t="s">
        <v>2995</v>
      </c>
      <c r="C5520" t="s">
        <v>63</v>
      </c>
      <c r="D5520" t="s">
        <v>4049</v>
      </c>
      <c r="E5520" t="s">
        <v>4176</v>
      </c>
      <c r="F5520" t="s">
        <v>4177</v>
      </c>
      <c r="G5520">
        <v>0.85</v>
      </c>
      <c r="H5520" s="2">
        <v>72300.17</v>
      </c>
      <c r="I5520" s="2">
        <v>61455.14</v>
      </c>
    </row>
    <row r="5521" spans="1:9" x14ac:dyDescent="0.25">
      <c r="A5521" t="s">
        <v>2994</v>
      </c>
      <c r="B5521" t="s">
        <v>2995</v>
      </c>
      <c r="C5521" t="s">
        <v>63</v>
      </c>
      <c r="D5521" t="s">
        <v>4049</v>
      </c>
      <c r="E5521" t="s">
        <v>4313</v>
      </c>
      <c r="F5521" t="s">
        <v>4177</v>
      </c>
      <c r="G5521">
        <v>0.8</v>
      </c>
      <c r="H5521" s="2">
        <v>124137.15</v>
      </c>
      <c r="I5521" s="2">
        <v>99309.72</v>
      </c>
    </row>
    <row r="5522" spans="1:9" x14ac:dyDescent="0.25">
      <c r="A5522" t="s">
        <v>2994</v>
      </c>
      <c r="B5522" t="s">
        <v>2995</v>
      </c>
      <c r="C5522" t="s">
        <v>63</v>
      </c>
      <c r="D5522" t="s">
        <v>4052</v>
      </c>
      <c r="E5522" t="s">
        <v>4053</v>
      </c>
      <c r="F5522" t="s">
        <v>4054</v>
      </c>
      <c r="G5522">
        <v>9.9</v>
      </c>
      <c r="H5522" s="2">
        <v>160764.86</v>
      </c>
      <c r="I5522" s="2">
        <v>15915.72</v>
      </c>
    </row>
    <row r="5523" spans="1:9" x14ac:dyDescent="0.25">
      <c r="A5523" t="s">
        <v>2997</v>
      </c>
      <c r="B5523" t="s">
        <v>2998</v>
      </c>
      <c r="C5523" t="s">
        <v>63</v>
      </c>
      <c r="D5523" t="s">
        <v>4062</v>
      </c>
      <c r="E5523" t="s">
        <v>7006</v>
      </c>
      <c r="F5523" t="s">
        <v>63</v>
      </c>
      <c r="G5523">
        <v>1</v>
      </c>
      <c r="H5523" s="2">
        <v>284629</v>
      </c>
      <c r="I5523" s="2">
        <v>284629</v>
      </c>
    </row>
    <row r="5524" spans="1:9" x14ac:dyDescent="0.25">
      <c r="A5524" t="s">
        <v>2997</v>
      </c>
      <c r="B5524" t="s">
        <v>2998</v>
      </c>
      <c r="C5524" t="s">
        <v>63</v>
      </c>
      <c r="D5524" t="s">
        <v>4049</v>
      </c>
      <c r="E5524" t="s">
        <v>4241</v>
      </c>
      <c r="F5524" t="s">
        <v>4051</v>
      </c>
      <c r="G5524">
        <v>0.4</v>
      </c>
      <c r="H5524" s="2">
        <v>9941.22</v>
      </c>
      <c r="I5524" s="2">
        <v>3976.49</v>
      </c>
    </row>
    <row r="5525" spans="1:9" x14ac:dyDescent="0.25">
      <c r="A5525" t="s">
        <v>2997</v>
      </c>
      <c r="B5525" t="s">
        <v>2998</v>
      </c>
      <c r="C5525" t="s">
        <v>63</v>
      </c>
      <c r="D5525" t="s">
        <v>4049</v>
      </c>
      <c r="E5525" t="s">
        <v>4242</v>
      </c>
      <c r="F5525" t="s">
        <v>4051</v>
      </c>
      <c r="G5525">
        <v>0.4</v>
      </c>
      <c r="H5525" s="2">
        <v>17069.53</v>
      </c>
      <c r="I5525" s="2">
        <v>6827.81</v>
      </c>
    </row>
    <row r="5526" spans="1:9" x14ac:dyDescent="0.25">
      <c r="A5526" t="s">
        <v>2997</v>
      </c>
      <c r="B5526" t="s">
        <v>2998</v>
      </c>
      <c r="C5526" t="s">
        <v>63</v>
      </c>
      <c r="D5526" t="s">
        <v>4052</v>
      </c>
      <c r="E5526" t="s">
        <v>4053</v>
      </c>
      <c r="F5526" t="s">
        <v>4054</v>
      </c>
      <c r="G5526">
        <v>6.6</v>
      </c>
      <c r="H5526" s="2">
        <v>10804.3</v>
      </c>
      <c r="I5526" s="2">
        <v>713.08</v>
      </c>
    </row>
    <row r="5527" spans="1:9" x14ac:dyDescent="0.25">
      <c r="A5527" t="s">
        <v>3000</v>
      </c>
      <c r="B5527" t="s">
        <v>3001</v>
      </c>
      <c r="C5527" t="s">
        <v>63</v>
      </c>
      <c r="D5527" t="s">
        <v>4062</v>
      </c>
      <c r="E5527" t="s">
        <v>7009</v>
      </c>
      <c r="F5527" t="s">
        <v>63</v>
      </c>
      <c r="G5527">
        <v>1</v>
      </c>
      <c r="H5527" s="2">
        <v>2595509</v>
      </c>
      <c r="I5527" s="2">
        <v>2595509</v>
      </c>
    </row>
    <row r="5528" spans="1:9" x14ac:dyDescent="0.25">
      <c r="A5528" t="s">
        <v>3000</v>
      </c>
      <c r="B5528" t="s">
        <v>3001</v>
      </c>
      <c r="C5528" t="s">
        <v>63</v>
      </c>
      <c r="D5528" t="s">
        <v>4049</v>
      </c>
      <c r="E5528" t="s">
        <v>4241</v>
      </c>
      <c r="F5528" t="s">
        <v>4051</v>
      </c>
      <c r="G5528">
        <v>1</v>
      </c>
      <c r="H5528" s="2">
        <v>9941.22</v>
      </c>
      <c r="I5528" s="2">
        <v>9941.22</v>
      </c>
    </row>
    <row r="5529" spans="1:9" x14ac:dyDescent="0.25">
      <c r="A5529" t="s">
        <v>3000</v>
      </c>
      <c r="B5529" t="s">
        <v>3001</v>
      </c>
      <c r="C5529" t="s">
        <v>63</v>
      </c>
      <c r="D5529" t="s">
        <v>4049</v>
      </c>
      <c r="E5529" t="s">
        <v>4242</v>
      </c>
      <c r="F5529" t="s">
        <v>4051</v>
      </c>
      <c r="G5529">
        <v>1</v>
      </c>
      <c r="H5529" s="2">
        <v>17069.53</v>
      </c>
      <c r="I5529" s="2">
        <v>17069.53</v>
      </c>
    </row>
    <row r="5530" spans="1:9" x14ac:dyDescent="0.25">
      <c r="A5530" t="s">
        <v>3000</v>
      </c>
      <c r="B5530" t="s">
        <v>3001</v>
      </c>
      <c r="C5530" t="s">
        <v>63</v>
      </c>
      <c r="D5530" t="s">
        <v>4052</v>
      </c>
      <c r="E5530" t="s">
        <v>4053</v>
      </c>
      <c r="F5530" t="s">
        <v>4054</v>
      </c>
      <c r="G5530">
        <v>6.6</v>
      </c>
      <c r="H5530" s="2">
        <v>27010.75</v>
      </c>
      <c r="I5530" s="2">
        <v>1782.71</v>
      </c>
    </row>
    <row r="5531" spans="1:9" x14ac:dyDescent="0.25">
      <c r="A5531" t="s">
        <v>3003</v>
      </c>
      <c r="B5531" t="s">
        <v>3004</v>
      </c>
      <c r="C5531" t="s">
        <v>63</v>
      </c>
      <c r="D5531" t="s">
        <v>4062</v>
      </c>
      <c r="E5531" t="s">
        <v>7012</v>
      </c>
      <c r="F5531" t="s">
        <v>63</v>
      </c>
      <c r="G5531">
        <v>1</v>
      </c>
      <c r="H5531" s="2">
        <v>3421012</v>
      </c>
      <c r="I5531" s="2">
        <v>3421012</v>
      </c>
    </row>
    <row r="5532" spans="1:9" x14ac:dyDescent="0.25">
      <c r="A5532" t="s">
        <v>3003</v>
      </c>
      <c r="B5532" t="s">
        <v>3004</v>
      </c>
      <c r="C5532" t="s">
        <v>63</v>
      </c>
      <c r="D5532" t="s">
        <v>4049</v>
      </c>
      <c r="E5532" t="s">
        <v>4241</v>
      </c>
      <c r="F5532" t="s">
        <v>4051</v>
      </c>
      <c r="G5532">
        <v>0.4</v>
      </c>
      <c r="H5532" s="2">
        <v>9941.22</v>
      </c>
      <c r="I5532" s="2">
        <v>3976.49</v>
      </c>
    </row>
    <row r="5533" spans="1:9" x14ac:dyDescent="0.25">
      <c r="A5533" t="s">
        <v>3003</v>
      </c>
      <c r="B5533" t="s">
        <v>3004</v>
      </c>
      <c r="C5533" t="s">
        <v>63</v>
      </c>
      <c r="D5533" t="s">
        <v>4049</v>
      </c>
      <c r="E5533" t="s">
        <v>4242</v>
      </c>
      <c r="F5533" t="s">
        <v>4051</v>
      </c>
      <c r="G5533">
        <v>0.4</v>
      </c>
      <c r="H5533" s="2">
        <v>17069.53</v>
      </c>
      <c r="I5533" s="2">
        <v>6827.81</v>
      </c>
    </row>
    <row r="5534" spans="1:9" x14ac:dyDescent="0.25">
      <c r="A5534" t="s">
        <v>3003</v>
      </c>
      <c r="B5534" t="s">
        <v>3004</v>
      </c>
      <c r="C5534" t="s">
        <v>63</v>
      </c>
      <c r="D5534" t="s">
        <v>4052</v>
      </c>
      <c r="E5534" t="s">
        <v>4053</v>
      </c>
      <c r="F5534" t="s">
        <v>4054</v>
      </c>
      <c r="G5534">
        <v>6.6</v>
      </c>
      <c r="H5534" s="2">
        <v>10804.3</v>
      </c>
      <c r="I5534" s="2">
        <v>713.08</v>
      </c>
    </row>
    <row r="5535" spans="1:9" x14ac:dyDescent="0.25">
      <c r="A5535" t="s">
        <v>3006</v>
      </c>
      <c r="B5535" t="s">
        <v>3007</v>
      </c>
      <c r="C5535" t="s">
        <v>63</v>
      </c>
      <c r="D5535" t="s">
        <v>4062</v>
      </c>
      <c r="E5535" t="s">
        <v>7015</v>
      </c>
      <c r="F5535" t="s">
        <v>63</v>
      </c>
      <c r="G5535">
        <v>1</v>
      </c>
      <c r="H5535" s="2">
        <v>5869556</v>
      </c>
      <c r="I5535" s="2">
        <v>5869556</v>
      </c>
    </row>
    <row r="5536" spans="1:9" x14ac:dyDescent="0.25">
      <c r="A5536" t="s">
        <v>3006</v>
      </c>
      <c r="B5536" t="s">
        <v>3007</v>
      </c>
      <c r="C5536" t="s">
        <v>63</v>
      </c>
      <c r="D5536" t="s">
        <v>4049</v>
      </c>
      <c r="E5536" t="s">
        <v>4241</v>
      </c>
      <c r="F5536" t="s">
        <v>4051</v>
      </c>
      <c r="G5536">
        <v>0.6</v>
      </c>
      <c r="H5536" s="2">
        <v>9941.22</v>
      </c>
      <c r="I5536" s="2">
        <v>5964.73</v>
      </c>
    </row>
    <row r="5537" spans="1:9" x14ac:dyDescent="0.25">
      <c r="A5537" t="s">
        <v>3006</v>
      </c>
      <c r="B5537" t="s">
        <v>3007</v>
      </c>
      <c r="C5537" t="s">
        <v>63</v>
      </c>
      <c r="D5537" t="s">
        <v>4049</v>
      </c>
      <c r="E5537" t="s">
        <v>4242</v>
      </c>
      <c r="F5537" t="s">
        <v>4051</v>
      </c>
      <c r="G5537">
        <v>0.6</v>
      </c>
      <c r="H5537" s="2">
        <v>17069.53</v>
      </c>
      <c r="I5537" s="2">
        <v>10241.72</v>
      </c>
    </row>
    <row r="5538" spans="1:9" x14ac:dyDescent="0.25">
      <c r="A5538" t="s">
        <v>3006</v>
      </c>
      <c r="B5538" t="s">
        <v>3007</v>
      </c>
      <c r="C5538" t="s">
        <v>63</v>
      </c>
      <c r="D5538" t="s">
        <v>4052</v>
      </c>
      <c r="E5538" t="s">
        <v>4053</v>
      </c>
      <c r="F5538" t="s">
        <v>4054</v>
      </c>
      <c r="G5538">
        <v>6.6</v>
      </c>
      <c r="H5538" s="2">
        <v>16206.45</v>
      </c>
      <c r="I5538" s="2">
        <v>1069.63</v>
      </c>
    </row>
    <row r="5539" spans="1:9" x14ac:dyDescent="0.25">
      <c r="A5539" t="s">
        <v>3009</v>
      </c>
      <c r="B5539" t="s">
        <v>3010</v>
      </c>
      <c r="C5539" t="s">
        <v>63</v>
      </c>
      <c r="D5539" t="s">
        <v>4062</v>
      </c>
      <c r="E5539" t="s">
        <v>7018</v>
      </c>
      <c r="F5539" t="s">
        <v>63</v>
      </c>
      <c r="G5539">
        <v>1</v>
      </c>
      <c r="H5539" s="2">
        <v>850371</v>
      </c>
      <c r="I5539" s="2">
        <v>850371</v>
      </c>
    </row>
    <row r="5540" spans="1:9" x14ac:dyDescent="0.25">
      <c r="A5540" t="s">
        <v>3009</v>
      </c>
      <c r="B5540" t="s">
        <v>3010</v>
      </c>
      <c r="C5540" t="s">
        <v>63</v>
      </c>
      <c r="D5540" t="s">
        <v>4049</v>
      </c>
      <c r="E5540" t="s">
        <v>4241</v>
      </c>
      <c r="F5540" t="s">
        <v>4051</v>
      </c>
      <c r="G5540">
        <v>1</v>
      </c>
      <c r="H5540" s="2">
        <v>9941.22</v>
      </c>
      <c r="I5540" s="2">
        <v>9941.22</v>
      </c>
    </row>
    <row r="5541" spans="1:9" x14ac:dyDescent="0.25">
      <c r="A5541" t="s">
        <v>3009</v>
      </c>
      <c r="B5541" t="s">
        <v>3010</v>
      </c>
      <c r="C5541" t="s">
        <v>63</v>
      </c>
      <c r="D5541" t="s">
        <v>4049</v>
      </c>
      <c r="E5541" t="s">
        <v>4242</v>
      </c>
      <c r="F5541" t="s">
        <v>4051</v>
      </c>
      <c r="G5541">
        <v>1</v>
      </c>
      <c r="H5541" s="2">
        <v>17069.53</v>
      </c>
      <c r="I5541" s="2">
        <v>17069.53</v>
      </c>
    </row>
    <row r="5542" spans="1:9" x14ac:dyDescent="0.25">
      <c r="A5542" t="s">
        <v>3009</v>
      </c>
      <c r="B5542" t="s">
        <v>3010</v>
      </c>
      <c r="C5542" t="s">
        <v>63</v>
      </c>
      <c r="D5542" t="s">
        <v>4052</v>
      </c>
      <c r="E5542" t="s">
        <v>4053</v>
      </c>
      <c r="F5542" t="s">
        <v>4054</v>
      </c>
      <c r="G5542">
        <v>6.6</v>
      </c>
      <c r="H5542" s="2">
        <v>27010.75</v>
      </c>
      <c r="I5542" s="2">
        <v>1782.71</v>
      </c>
    </row>
    <row r="5543" spans="1:9" x14ac:dyDescent="0.25">
      <c r="A5543" t="s">
        <v>3012</v>
      </c>
      <c r="B5543" t="s">
        <v>3013</v>
      </c>
      <c r="C5543" t="s">
        <v>63</v>
      </c>
      <c r="D5543" t="s">
        <v>4062</v>
      </c>
      <c r="E5543" t="s">
        <v>7021</v>
      </c>
      <c r="F5543" t="s">
        <v>63</v>
      </c>
      <c r="G5543">
        <v>1</v>
      </c>
      <c r="H5543" s="2">
        <v>190028</v>
      </c>
      <c r="I5543" s="2">
        <v>190028</v>
      </c>
    </row>
    <row r="5544" spans="1:9" x14ac:dyDescent="0.25">
      <c r="A5544" t="s">
        <v>3012</v>
      </c>
      <c r="B5544" t="s">
        <v>3013</v>
      </c>
      <c r="C5544" t="s">
        <v>63</v>
      </c>
      <c r="D5544" t="s">
        <v>4049</v>
      </c>
      <c r="E5544" t="s">
        <v>4241</v>
      </c>
      <c r="F5544" t="s">
        <v>4051</v>
      </c>
      <c r="G5544">
        <v>2</v>
      </c>
      <c r="H5544" s="2">
        <v>9941.22</v>
      </c>
      <c r="I5544" s="2">
        <v>19882.44</v>
      </c>
    </row>
    <row r="5545" spans="1:9" x14ac:dyDescent="0.25">
      <c r="A5545" t="s">
        <v>3012</v>
      </c>
      <c r="B5545" t="s">
        <v>3013</v>
      </c>
      <c r="C5545" t="s">
        <v>63</v>
      </c>
      <c r="D5545" t="s">
        <v>4049</v>
      </c>
      <c r="E5545" t="s">
        <v>4242</v>
      </c>
      <c r="F5545" t="s">
        <v>4051</v>
      </c>
      <c r="G5545">
        <v>2</v>
      </c>
      <c r="H5545" s="2">
        <v>17069.53</v>
      </c>
      <c r="I5545" s="2">
        <v>34139.06</v>
      </c>
    </row>
    <row r="5546" spans="1:9" x14ac:dyDescent="0.25">
      <c r="A5546" t="s">
        <v>3012</v>
      </c>
      <c r="B5546" t="s">
        <v>3013</v>
      </c>
      <c r="C5546" t="s">
        <v>63</v>
      </c>
      <c r="D5546" t="s">
        <v>4052</v>
      </c>
      <c r="E5546" t="s">
        <v>4113</v>
      </c>
      <c r="F5546" t="s">
        <v>4106</v>
      </c>
      <c r="G5546">
        <v>0.1</v>
      </c>
      <c r="H5546" s="2">
        <v>43805.88</v>
      </c>
      <c r="I5546" s="2">
        <v>4380.59</v>
      </c>
    </row>
    <row r="5547" spans="1:9" x14ac:dyDescent="0.25">
      <c r="A5547" t="s">
        <v>3012</v>
      </c>
      <c r="B5547" t="s">
        <v>3013</v>
      </c>
      <c r="C5547" t="s">
        <v>63</v>
      </c>
      <c r="D5547" t="s">
        <v>4052</v>
      </c>
      <c r="E5547" t="s">
        <v>4053</v>
      </c>
      <c r="F5547" t="s">
        <v>4054</v>
      </c>
      <c r="G5547">
        <v>6.6</v>
      </c>
      <c r="H5547" s="2">
        <v>54021.5</v>
      </c>
      <c r="I5547" s="2">
        <v>3565.42</v>
      </c>
    </row>
    <row r="5548" spans="1:9" x14ac:dyDescent="0.25">
      <c r="A5548" t="s">
        <v>3015</v>
      </c>
      <c r="B5548" t="s">
        <v>3016</v>
      </c>
      <c r="C5548" t="s">
        <v>63</v>
      </c>
      <c r="D5548" t="s">
        <v>4062</v>
      </c>
      <c r="E5548" t="s">
        <v>7024</v>
      </c>
      <c r="F5548" t="s">
        <v>63</v>
      </c>
      <c r="G5548">
        <v>1</v>
      </c>
      <c r="H5548" s="2">
        <v>307315</v>
      </c>
      <c r="I5548" s="2">
        <v>307315</v>
      </c>
    </row>
    <row r="5549" spans="1:9" x14ac:dyDescent="0.25">
      <c r="A5549" t="s">
        <v>3015</v>
      </c>
      <c r="B5549" t="s">
        <v>3016</v>
      </c>
      <c r="C5549" t="s">
        <v>63</v>
      </c>
      <c r="D5549" t="s">
        <v>4049</v>
      </c>
      <c r="E5549" t="s">
        <v>4241</v>
      </c>
      <c r="F5549" t="s">
        <v>4051</v>
      </c>
      <c r="G5549">
        <v>2</v>
      </c>
      <c r="H5549" s="2">
        <v>9941.22</v>
      </c>
      <c r="I5549" s="2">
        <v>19882.44</v>
      </c>
    </row>
    <row r="5550" spans="1:9" x14ac:dyDescent="0.25">
      <c r="A5550" t="s">
        <v>3015</v>
      </c>
      <c r="B5550" t="s">
        <v>3016</v>
      </c>
      <c r="C5550" t="s">
        <v>63</v>
      </c>
      <c r="D5550" t="s">
        <v>4049</v>
      </c>
      <c r="E5550" t="s">
        <v>4242</v>
      </c>
      <c r="F5550" t="s">
        <v>4051</v>
      </c>
      <c r="G5550">
        <v>2</v>
      </c>
      <c r="H5550" s="2">
        <v>17069.53</v>
      </c>
      <c r="I5550" s="2">
        <v>34139.06</v>
      </c>
    </row>
    <row r="5551" spans="1:9" x14ac:dyDescent="0.25">
      <c r="A5551" t="s">
        <v>3015</v>
      </c>
      <c r="B5551" t="s">
        <v>3016</v>
      </c>
      <c r="C5551" t="s">
        <v>63</v>
      </c>
      <c r="D5551" t="s">
        <v>4052</v>
      </c>
      <c r="E5551" t="s">
        <v>4113</v>
      </c>
      <c r="F5551" t="s">
        <v>4106</v>
      </c>
      <c r="G5551">
        <v>0.1</v>
      </c>
      <c r="H5551" s="2">
        <v>43805.88</v>
      </c>
      <c r="I5551" s="2">
        <v>4380.59</v>
      </c>
    </row>
    <row r="5552" spans="1:9" x14ac:dyDescent="0.25">
      <c r="A5552" t="s">
        <v>3015</v>
      </c>
      <c r="B5552" t="s">
        <v>3016</v>
      </c>
      <c r="C5552" t="s">
        <v>63</v>
      </c>
      <c r="D5552" t="s">
        <v>4052</v>
      </c>
      <c r="E5552" t="s">
        <v>4053</v>
      </c>
      <c r="F5552" t="s">
        <v>4054</v>
      </c>
      <c r="G5552">
        <v>6.6</v>
      </c>
      <c r="H5552" s="2">
        <v>54021.5</v>
      </c>
      <c r="I5552" s="2">
        <v>3565.42</v>
      </c>
    </row>
    <row r="5553" spans="1:9" x14ac:dyDescent="0.25">
      <c r="A5553" t="s">
        <v>3018</v>
      </c>
      <c r="B5553" t="s">
        <v>3019</v>
      </c>
      <c r="C5553" t="s">
        <v>63</v>
      </c>
      <c r="D5553" t="s">
        <v>4062</v>
      </c>
      <c r="E5553" t="s">
        <v>7027</v>
      </c>
      <c r="F5553" t="s">
        <v>63</v>
      </c>
      <c r="G5553">
        <v>1</v>
      </c>
      <c r="H5553" s="2">
        <v>371958</v>
      </c>
      <c r="I5553" s="2">
        <v>371958</v>
      </c>
    </row>
    <row r="5554" spans="1:9" x14ac:dyDescent="0.25">
      <c r="A5554" t="s">
        <v>3018</v>
      </c>
      <c r="B5554" t="s">
        <v>3019</v>
      </c>
      <c r="C5554" t="s">
        <v>63</v>
      </c>
      <c r="D5554" t="s">
        <v>4049</v>
      </c>
      <c r="E5554" t="s">
        <v>4113</v>
      </c>
      <c r="F5554" t="s">
        <v>4106</v>
      </c>
      <c r="G5554">
        <v>0.1</v>
      </c>
      <c r="H5554" s="2">
        <v>43805.88</v>
      </c>
      <c r="I5554" s="2">
        <v>4380.59</v>
      </c>
    </row>
    <row r="5555" spans="1:9" x14ac:dyDescent="0.25">
      <c r="A5555" t="s">
        <v>3018</v>
      </c>
      <c r="B5555" t="s">
        <v>3019</v>
      </c>
      <c r="C5555" t="s">
        <v>63</v>
      </c>
      <c r="D5555" t="s">
        <v>4049</v>
      </c>
      <c r="E5555" t="s">
        <v>4241</v>
      </c>
      <c r="F5555" t="s">
        <v>4051</v>
      </c>
      <c r="G5555">
        <v>2</v>
      </c>
      <c r="H5555" s="2">
        <v>9941.22</v>
      </c>
      <c r="I5555" s="2">
        <v>19882.44</v>
      </c>
    </row>
    <row r="5556" spans="1:9" x14ac:dyDescent="0.25">
      <c r="A5556" t="s">
        <v>3018</v>
      </c>
      <c r="B5556" t="s">
        <v>3019</v>
      </c>
      <c r="C5556" t="s">
        <v>63</v>
      </c>
      <c r="D5556" t="s">
        <v>4049</v>
      </c>
      <c r="E5556" t="s">
        <v>4242</v>
      </c>
      <c r="F5556" t="s">
        <v>4051</v>
      </c>
      <c r="G5556">
        <v>2</v>
      </c>
      <c r="H5556" s="2">
        <v>17069.53</v>
      </c>
      <c r="I5556" s="2">
        <v>34139.06</v>
      </c>
    </row>
    <row r="5557" spans="1:9" x14ac:dyDescent="0.25">
      <c r="A5557" t="s">
        <v>3018</v>
      </c>
      <c r="B5557" t="s">
        <v>3019</v>
      </c>
      <c r="C5557" t="s">
        <v>63</v>
      </c>
      <c r="D5557" t="s">
        <v>4052</v>
      </c>
      <c r="E5557" t="s">
        <v>4053</v>
      </c>
      <c r="F5557" t="s">
        <v>4054</v>
      </c>
      <c r="G5557">
        <v>6.6</v>
      </c>
      <c r="H5557" s="2">
        <v>54021.5</v>
      </c>
      <c r="I5557" s="2">
        <v>3565.42</v>
      </c>
    </row>
    <row r="5558" spans="1:9" x14ac:dyDescent="0.25">
      <c r="A5558" t="s">
        <v>3021</v>
      </c>
      <c r="B5558" t="s">
        <v>3022</v>
      </c>
      <c r="C5558" t="s">
        <v>63</v>
      </c>
      <c r="D5558" t="s">
        <v>4062</v>
      </c>
      <c r="E5558" t="s">
        <v>7030</v>
      </c>
      <c r="F5558" t="s">
        <v>63</v>
      </c>
      <c r="G5558">
        <v>1</v>
      </c>
      <c r="H5558" s="2">
        <v>525951</v>
      </c>
      <c r="I5558" s="2">
        <v>525951</v>
      </c>
    </row>
    <row r="5559" spans="1:9" x14ac:dyDescent="0.25">
      <c r="A5559" t="s">
        <v>3021</v>
      </c>
      <c r="B5559" t="s">
        <v>3022</v>
      </c>
      <c r="C5559" t="s">
        <v>63</v>
      </c>
      <c r="D5559" t="s">
        <v>4049</v>
      </c>
      <c r="E5559" t="s">
        <v>4241</v>
      </c>
      <c r="F5559" t="s">
        <v>4051</v>
      </c>
      <c r="G5559">
        <v>2</v>
      </c>
      <c r="H5559" s="2">
        <v>9941.22</v>
      </c>
      <c r="I5559" s="2">
        <v>19882.44</v>
      </c>
    </row>
    <row r="5560" spans="1:9" x14ac:dyDescent="0.25">
      <c r="A5560" t="s">
        <v>3021</v>
      </c>
      <c r="B5560" t="s">
        <v>3022</v>
      </c>
      <c r="C5560" t="s">
        <v>63</v>
      </c>
      <c r="D5560" t="s">
        <v>4049</v>
      </c>
      <c r="E5560" t="s">
        <v>4242</v>
      </c>
      <c r="F5560" t="s">
        <v>4051</v>
      </c>
      <c r="G5560">
        <v>2</v>
      </c>
      <c r="H5560" s="2">
        <v>17069.53</v>
      </c>
      <c r="I5560" s="2">
        <v>34139.06</v>
      </c>
    </row>
    <row r="5561" spans="1:9" x14ac:dyDescent="0.25">
      <c r="A5561" t="s">
        <v>3021</v>
      </c>
      <c r="B5561" t="s">
        <v>3022</v>
      </c>
      <c r="C5561" t="s">
        <v>63</v>
      </c>
      <c r="D5561" t="s">
        <v>4052</v>
      </c>
      <c r="E5561" t="s">
        <v>4113</v>
      </c>
      <c r="F5561" t="s">
        <v>4106</v>
      </c>
      <c r="G5561">
        <v>0.1</v>
      </c>
      <c r="H5561" s="2">
        <v>43805.88</v>
      </c>
      <c r="I5561" s="2">
        <v>4380.59</v>
      </c>
    </row>
    <row r="5562" spans="1:9" x14ac:dyDescent="0.25">
      <c r="A5562" t="s">
        <v>3021</v>
      </c>
      <c r="B5562" t="s">
        <v>3022</v>
      </c>
      <c r="C5562" t="s">
        <v>63</v>
      </c>
      <c r="D5562" t="s">
        <v>4052</v>
      </c>
      <c r="E5562" t="s">
        <v>4053</v>
      </c>
      <c r="F5562" t="s">
        <v>4054</v>
      </c>
      <c r="G5562">
        <v>6.6</v>
      </c>
      <c r="H5562" s="2">
        <v>54021.5</v>
      </c>
      <c r="I5562" s="2">
        <v>3565.42</v>
      </c>
    </row>
    <row r="5563" spans="1:9" x14ac:dyDescent="0.25">
      <c r="A5563" t="s">
        <v>3024</v>
      </c>
      <c r="B5563" t="s">
        <v>3025</v>
      </c>
      <c r="C5563" t="s">
        <v>63</v>
      </c>
      <c r="D5563" t="s">
        <v>4062</v>
      </c>
      <c r="E5563" t="s">
        <v>7033</v>
      </c>
      <c r="F5563" t="s">
        <v>63</v>
      </c>
      <c r="G5563">
        <v>1</v>
      </c>
      <c r="H5563" s="2">
        <v>302110</v>
      </c>
      <c r="I5563" s="2">
        <v>302110</v>
      </c>
    </row>
    <row r="5564" spans="1:9" x14ac:dyDescent="0.25">
      <c r="A5564" t="s">
        <v>3024</v>
      </c>
      <c r="B5564" t="s">
        <v>3025</v>
      </c>
      <c r="C5564" t="s">
        <v>63</v>
      </c>
      <c r="D5564" t="s">
        <v>4049</v>
      </c>
      <c r="E5564" t="s">
        <v>4176</v>
      </c>
      <c r="F5564" t="s">
        <v>4177</v>
      </c>
      <c r="G5564">
        <v>0.25</v>
      </c>
      <c r="H5564" s="2">
        <v>72300.17</v>
      </c>
      <c r="I5564" s="2">
        <v>18075.04</v>
      </c>
    </row>
    <row r="5565" spans="1:9" x14ac:dyDescent="0.25">
      <c r="A5565" t="s">
        <v>3024</v>
      </c>
      <c r="B5565" t="s">
        <v>3025</v>
      </c>
      <c r="C5565" t="s">
        <v>63</v>
      </c>
      <c r="D5565" t="s">
        <v>4049</v>
      </c>
      <c r="E5565" t="s">
        <v>4313</v>
      </c>
      <c r="F5565" t="s">
        <v>4177</v>
      </c>
      <c r="G5565">
        <v>0.25</v>
      </c>
      <c r="H5565" s="2">
        <v>124137.15</v>
      </c>
      <c r="I5565" s="2">
        <v>31034.29</v>
      </c>
    </row>
    <row r="5566" spans="1:9" x14ac:dyDescent="0.25">
      <c r="A5566" t="s">
        <v>3024</v>
      </c>
      <c r="B5566" t="s">
        <v>3025</v>
      </c>
      <c r="C5566" t="s">
        <v>63</v>
      </c>
      <c r="D5566" t="s">
        <v>4052</v>
      </c>
      <c r="E5566" t="s">
        <v>4053</v>
      </c>
      <c r="F5566" t="s">
        <v>4054</v>
      </c>
      <c r="G5566">
        <v>6.6</v>
      </c>
      <c r="H5566" s="2">
        <v>49109.33</v>
      </c>
      <c r="I5566" s="2">
        <v>3241.22</v>
      </c>
    </row>
    <row r="5567" spans="1:9" x14ac:dyDescent="0.25">
      <c r="A5567" t="s">
        <v>3028</v>
      </c>
      <c r="B5567" t="s">
        <v>3029</v>
      </c>
      <c r="C5567" t="s">
        <v>63</v>
      </c>
      <c r="D5567" t="s">
        <v>4062</v>
      </c>
      <c r="E5567" t="s">
        <v>7036</v>
      </c>
      <c r="F5567" t="s">
        <v>63</v>
      </c>
      <c r="G5567">
        <v>1</v>
      </c>
      <c r="H5567" s="2">
        <v>345839.41</v>
      </c>
      <c r="I5567" s="2">
        <v>345839.41</v>
      </c>
    </row>
    <row r="5568" spans="1:9" x14ac:dyDescent="0.25">
      <c r="A5568" t="s">
        <v>3028</v>
      </c>
      <c r="B5568" t="s">
        <v>3029</v>
      </c>
      <c r="C5568" t="s">
        <v>63</v>
      </c>
      <c r="D5568" t="s">
        <v>4049</v>
      </c>
      <c r="E5568" t="s">
        <v>4176</v>
      </c>
      <c r="F5568" t="s">
        <v>4177</v>
      </c>
      <c r="G5568">
        <v>0.25</v>
      </c>
      <c r="H5568" s="2">
        <v>72300.17</v>
      </c>
      <c r="I5568" s="2">
        <v>18075.04</v>
      </c>
    </row>
    <row r="5569" spans="1:9" x14ac:dyDescent="0.25">
      <c r="A5569" t="s">
        <v>3028</v>
      </c>
      <c r="B5569" t="s">
        <v>3029</v>
      </c>
      <c r="C5569" t="s">
        <v>63</v>
      </c>
      <c r="D5569" t="s">
        <v>4049</v>
      </c>
      <c r="E5569" t="s">
        <v>4313</v>
      </c>
      <c r="F5569" t="s">
        <v>4177</v>
      </c>
      <c r="G5569">
        <v>0.25</v>
      </c>
      <c r="H5569" s="2">
        <v>124137.15</v>
      </c>
      <c r="I5569" s="2">
        <v>31034.29</v>
      </c>
    </row>
    <row r="5570" spans="1:9" x14ac:dyDescent="0.25">
      <c r="A5570" t="s">
        <v>3028</v>
      </c>
      <c r="B5570" t="s">
        <v>3029</v>
      </c>
      <c r="C5570" t="s">
        <v>63</v>
      </c>
      <c r="D5570" t="s">
        <v>4052</v>
      </c>
      <c r="E5570" t="s">
        <v>4053</v>
      </c>
      <c r="F5570" t="s">
        <v>4054</v>
      </c>
      <c r="G5570">
        <v>6.6</v>
      </c>
      <c r="H5570" s="2">
        <v>49109.33</v>
      </c>
      <c r="I5570" s="2">
        <v>3241.22</v>
      </c>
    </row>
    <row r="5571" spans="1:9" x14ac:dyDescent="0.25">
      <c r="A5571" t="s">
        <v>3031</v>
      </c>
      <c r="B5571" t="s">
        <v>3032</v>
      </c>
      <c r="C5571" t="s">
        <v>63</v>
      </c>
      <c r="D5571" t="s">
        <v>4062</v>
      </c>
      <c r="E5571" t="s">
        <v>7039</v>
      </c>
      <c r="F5571" t="s">
        <v>63</v>
      </c>
      <c r="G5571">
        <v>1</v>
      </c>
      <c r="H5571" s="2">
        <v>44886</v>
      </c>
      <c r="I5571" s="2">
        <v>44886</v>
      </c>
    </row>
    <row r="5572" spans="1:9" x14ac:dyDescent="0.25">
      <c r="A5572" t="s">
        <v>3031</v>
      </c>
      <c r="B5572" t="s">
        <v>3032</v>
      </c>
      <c r="C5572" t="s">
        <v>63</v>
      </c>
      <c r="D5572" t="s">
        <v>4062</v>
      </c>
      <c r="E5572" t="s">
        <v>4659</v>
      </c>
      <c r="F5572" t="s">
        <v>4377</v>
      </c>
      <c r="G5572">
        <v>0.02</v>
      </c>
      <c r="H5572" s="2">
        <v>31500</v>
      </c>
      <c r="I5572" s="2">
        <v>630</v>
      </c>
    </row>
    <row r="5573" spans="1:9" x14ac:dyDescent="0.25">
      <c r="A5573" t="s">
        <v>3031</v>
      </c>
      <c r="B5573" t="s">
        <v>3032</v>
      </c>
      <c r="C5573" t="s">
        <v>63</v>
      </c>
      <c r="D5573" t="s">
        <v>4062</v>
      </c>
      <c r="E5573" t="s">
        <v>4376</v>
      </c>
      <c r="F5573" t="s">
        <v>4377</v>
      </c>
      <c r="G5573">
        <v>0.02</v>
      </c>
      <c r="H5573" s="2">
        <v>72237.67</v>
      </c>
      <c r="I5573" s="2">
        <v>1444.75</v>
      </c>
    </row>
    <row r="5574" spans="1:9" x14ac:dyDescent="0.25">
      <c r="A5574" t="s">
        <v>3031</v>
      </c>
      <c r="B5574" t="s">
        <v>3032</v>
      </c>
      <c r="C5574" t="s">
        <v>63</v>
      </c>
      <c r="D5574" t="s">
        <v>4049</v>
      </c>
      <c r="E5574" t="s">
        <v>4241</v>
      </c>
      <c r="F5574" t="s">
        <v>4051</v>
      </c>
      <c r="G5574">
        <v>1.6</v>
      </c>
      <c r="H5574" s="2">
        <v>9941.22</v>
      </c>
      <c r="I5574" s="2">
        <v>15905.95</v>
      </c>
    </row>
    <row r="5575" spans="1:9" x14ac:dyDescent="0.25">
      <c r="A5575" t="s">
        <v>3031</v>
      </c>
      <c r="B5575" t="s">
        <v>3032</v>
      </c>
      <c r="C5575" t="s">
        <v>63</v>
      </c>
      <c r="D5575" t="s">
        <v>4049</v>
      </c>
      <c r="E5575" t="s">
        <v>4242</v>
      </c>
      <c r="F5575" t="s">
        <v>4051</v>
      </c>
      <c r="G5575">
        <v>1.6</v>
      </c>
      <c r="H5575" s="2">
        <v>17069.53</v>
      </c>
      <c r="I5575" s="2">
        <v>27311.25</v>
      </c>
    </row>
    <row r="5576" spans="1:9" x14ac:dyDescent="0.25">
      <c r="A5576" t="s">
        <v>3031</v>
      </c>
      <c r="B5576" t="s">
        <v>3032</v>
      </c>
      <c r="C5576" t="s">
        <v>63</v>
      </c>
      <c r="D5576" t="s">
        <v>4052</v>
      </c>
      <c r="E5576" t="s">
        <v>4053</v>
      </c>
      <c r="F5576" t="s">
        <v>4054</v>
      </c>
      <c r="G5576">
        <v>6.6</v>
      </c>
      <c r="H5576" s="2">
        <v>43217.2</v>
      </c>
      <c r="I5576" s="2">
        <v>2852.34</v>
      </c>
    </row>
    <row r="5577" spans="1:9" x14ac:dyDescent="0.25">
      <c r="A5577" t="s">
        <v>3034</v>
      </c>
      <c r="B5577" t="s">
        <v>3035</v>
      </c>
      <c r="C5577" t="s">
        <v>63</v>
      </c>
      <c r="D5577" t="s">
        <v>4062</v>
      </c>
      <c r="E5577" t="s">
        <v>7042</v>
      </c>
      <c r="F5577" t="s">
        <v>63</v>
      </c>
      <c r="G5577">
        <v>1</v>
      </c>
      <c r="H5577" s="2">
        <v>27729</v>
      </c>
      <c r="I5577" s="2">
        <v>27729</v>
      </c>
    </row>
    <row r="5578" spans="1:9" x14ac:dyDescent="0.25">
      <c r="A5578" t="s">
        <v>3034</v>
      </c>
      <c r="B5578" t="s">
        <v>3035</v>
      </c>
      <c r="C5578" t="s">
        <v>63</v>
      </c>
      <c r="D5578" t="s">
        <v>4062</v>
      </c>
      <c r="E5578" t="s">
        <v>4659</v>
      </c>
      <c r="F5578" t="s">
        <v>4377</v>
      </c>
      <c r="G5578">
        <v>0.02</v>
      </c>
      <c r="H5578" s="2">
        <v>31500</v>
      </c>
      <c r="I5578" s="2">
        <v>630</v>
      </c>
    </row>
    <row r="5579" spans="1:9" x14ac:dyDescent="0.25">
      <c r="A5579" t="s">
        <v>3034</v>
      </c>
      <c r="B5579" t="s">
        <v>3035</v>
      </c>
      <c r="C5579" t="s">
        <v>63</v>
      </c>
      <c r="D5579" t="s">
        <v>4062</v>
      </c>
      <c r="E5579" t="s">
        <v>4376</v>
      </c>
      <c r="F5579" t="s">
        <v>4377</v>
      </c>
      <c r="G5579">
        <v>0.02</v>
      </c>
      <c r="H5579" s="2">
        <v>72237.67</v>
      </c>
      <c r="I5579" s="2">
        <v>1444.75</v>
      </c>
    </row>
    <row r="5580" spans="1:9" x14ac:dyDescent="0.25">
      <c r="A5580" t="s">
        <v>3034</v>
      </c>
      <c r="B5580" t="s">
        <v>3035</v>
      </c>
      <c r="C5580" t="s">
        <v>63</v>
      </c>
      <c r="D5580" t="s">
        <v>4049</v>
      </c>
      <c r="E5580" t="s">
        <v>4241</v>
      </c>
      <c r="F5580" t="s">
        <v>4051</v>
      </c>
      <c r="G5580">
        <v>1.6</v>
      </c>
      <c r="H5580" s="2">
        <v>9941.22</v>
      </c>
      <c r="I5580" s="2">
        <v>15905.95</v>
      </c>
    </row>
    <row r="5581" spans="1:9" x14ac:dyDescent="0.25">
      <c r="A5581" t="s">
        <v>3034</v>
      </c>
      <c r="B5581" t="s">
        <v>3035</v>
      </c>
      <c r="C5581" t="s">
        <v>63</v>
      </c>
      <c r="D5581" t="s">
        <v>4049</v>
      </c>
      <c r="E5581" t="s">
        <v>4242</v>
      </c>
      <c r="F5581" t="s">
        <v>4051</v>
      </c>
      <c r="G5581">
        <v>1.6</v>
      </c>
      <c r="H5581" s="2">
        <v>17069.53</v>
      </c>
      <c r="I5581" s="2">
        <v>27311.25</v>
      </c>
    </row>
    <row r="5582" spans="1:9" x14ac:dyDescent="0.25">
      <c r="A5582" t="s">
        <v>3034</v>
      </c>
      <c r="B5582" t="s">
        <v>3035</v>
      </c>
      <c r="C5582" t="s">
        <v>63</v>
      </c>
      <c r="D5582" t="s">
        <v>4052</v>
      </c>
      <c r="E5582" t="s">
        <v>4053</v>
      </c>
      <c r="F5582" t="s">
        <v>4054</v>
      </c>
      <c r="G5582">
        <v>6.6</v>
      </c>
      <c r="H5582" s="2">
        <v>43217.2</v>
      </c>
      <c r="I5582" s="2">
        <v>2852.34</v>
      </c>
    </row>
    <row r="5583" spans="1:9" x14ac:dyDescent="0.25">
      <c r="A5583" t="s">
        <v>3037</v>
      </c>
      <c r="B5583" t="s">
        <v>3038</v>
      </c>
      <c r="C5583" t="s">
        <v>63</v>
      </c>
      <c r="D5583" t="s">
        <v>4062</v>
      </c>
      <c r="E5583" t="s">
        <v>7045</v>
      </c>
      <c r="F5583" t="s">
        <v>63</v>
      </c>
      <c r="G5583">
        <v>1</v>
      </c>
      <c r="H5583" s="2">
        <v>102391</v>
      </c>
      <c r="I5583" s="2">
        <v>102391</v>
      </c>
    </row>
    <row r="5584" spans="1:9" x14ac:dyDescent="0.25">
      <c r="A5584" t="s">
        <v>3037</v>
      </c>
      <c r="B5584" t="s">
        <v>3038</v>
      </c>
      <c r="C5584" t="s">
        <v>63</v>
      </c>
      <c r="D5584" t="s">
        <v>4062</v>
      </c>
      <c r="E5584" t="s">
        <v>4659</v>
      </c>
      <c r="F5584" t="s">
        <v>4377</v>
      </c>
      <c r="G5584">
        <v>0.02</v>
      </c>
      <c r="H5584" s="2">
        <v>31500</v>
      </c>
      <c r="I5584" s="2">
        <v>630</v>
      </c>
    </row>
    <row r="5585" spans="1:9" x14ac:dyDescent="0.25">
      <c r="A5585" t="s">
        <v>3037</v>
      </c>
      <c r="B5585" t="s">
        <v>3038</v>
      </c>
      <c r="C5585" t="s">
        <v>63</v>
      </c>
      <c r="D5585" t="s">
        <v>4062</v>
      </c>
      <c r="E5585" t="s">
        <v>4376</v>
      </c>
      <c r="F5585" t="s">
        <v>4377</v>
      </c>
      <c r="G5585">
        <v>0.02</v>
      </c>
      <c r="H5585" s="2">
        <v>72237.67</v>
      </c>
      <c r="I5585" s="2">
        <v>1444.75</v>
      </c>
    </row>
    <row r="5586" spans="1:9" x14ac:dyDescent="0.25">
      <c r="A5586" t="s">
        <v>3037</v>
      </c>
      <c r="B5586" t="s">
        <v>3038</v>
      </c>
      <c r="C5586" t="s">
        <v>63</v>
      </c>
      <c r="D5586" t="s">
        <v>4049</v>
      </c>
      <c r="E5586" t="s">
        <v>4241</v>
      </c>
      <c r="F5586" t="s">
        <v>4051</v>
      </c>
      <c r="G5586">
        <v>1.6</v>
      </c>
      <c r="H5586" s="2">
        <v>9941.22</v>
      </c>
      <c r="I5586" s="2">
        <v>15905.95</v>
      </c>
    </row>
    <row r="5587" spans="1:9" x14ac:dyDescent="0.25">
      <c r="A5587" t="s">
        <v>3037</v>
      </c>
      <c r="B5587" t="s">
        <v>3038</v>
      </c>
      <c r="C5587" t="s">
        <v>63</v>
      </c>
      <c r="D5587" t="s">
        <v>4049</v>
      </c>
      <c r="E5587" t="s">
        <v>4242</v>
      </c>
      <c r="F5587" t="s">
        <v>4051</v>
      </c>
      <c r="G5587">
        <v>1.6</v>
      </c>
      <c r="H5587" s="2">
        <v>17069.53</v>
      </c>
      <c r="I5587" s="2">
        <v>27311.25</v>
      </c>
    </row>
    <row r="5588" spans="1:9" x14ac:dyDescent="0.25">
      <c r="A5588" t="s">
        <v>3037</v>
      </c>
      <c r="B5588" t="s">
        <v>3038</v>
      </c>
      <c r="C5588" t="s">
        <v>63</v>
      </c>
      <c r="D5588" t="s">
        <v>4052</v>
      </c>
      <c r="E5588" t="s">
        <v>4053</v>
      </c>
      <c r="F5588" t="s">
        <v>4054</v>
      </c>
      <c r="G5588">
        <v>6.6</v>
      </c>
      <c r="H5588" s="2">
        <v>43217.2</v>
      </c>
      <c r="I5588" s="2">
        <v>2852.34</v>
      </c>
    </row>
    <row r="5589" spans="1:9" x14ac:dyDescent="0.25">
      <c r="A5589" t="s">
        <v>3040</v>
      </c>
      <c r="B5589" t="s">
        <v>3041</v>
      </c>
      <c r="C5589" t="s">
        <v>63</v>
      </c>
      <c r="D5589" t="s">
        <v>4062</v>
      </c>
      <c r="E5589" t="s">
        <v>7048</v>
      </c>
      <c r="F5589" t="s">
        <v>63</v>
      </c>
      <c r="G5589">
        <v>1</v>
      </c>
      <c r="H5589" s="2">
        <v>245308.5</v>
      </c>
      <c r="I5589" s="2">
        <v>245308.5</v>
      </c>
    </row>
    <row r="5590" spans="1:9" x14ac:dyDescent="0.25">
      <c r="A5590" t="s">
        <v>3040</v>
      </c>
      <c r="B5590" t="s">
        <v>3041</v>
      </c>
      <c r="C5590" t="s">
        <v>63</v>
      </c>
      <c r="D5590" t="s">
        <v>4049</v>
      </c>
      <c r="E5590" t="s">
        <v>4241</v>
      </c>
      <c r="F5590" t="s">
        <v>4051</v>
      </c>
      <c r="G5590">
        <v>1.6</v>
      </c>
      <c r="H5590" s="2">
        <v>9941.22</v>
      </c>
      <c r="I5590" s="2">
        <v>15905.95</v>
      </c>
    </row>
    <row r="5591" spans="1:9" x14ac:dyDescent="0.25">
      <c r="A5591" t="s">
        <v>3040</v>
      </c>
      <c r="B5591" t="s">
        <v>3041</v>
      </c>
      <c r="C5591" t="s">
        <v>63</v>
      </c>
      <c r="D5591" t="s">
        <v>4049</v>
      </c>
      <c r="E5591" t="s">
        <v>4242</v>
      </c>
      <c r="F5591" t="s">
        <v>4051</v>
      </c>
      <c r="G5591">
        <v>1.6</v>
      </c>
      <c r="H5591" s="2">
        <v>17069.53</v>
      </c>
      <c r="I5591" s="2">
        <v>27311.25</v>
      </c>
    </row>
    <row r="5592" spans="1:9" x14ac:dyDescent="0.25">
      <c r="A5592" t="s">
        <v>3040</v>
      </c>
      <c r="B5592" t="s">
        <v>3041</v>
      </c>
      <c r="C5592" t="s">
        <v>63</v>
      </c>
      <c r="D5592" t="s">
        <v>4052</v>
      </c>
      <c r="E5592" t="s">
        <v>4053</v>
      </c>
      <c r="F5592" t="s">
        <v>4054</v>
      </c>
      <c r="G5592">
        <v>6.6</v>
      </c>
      <c r="H5592" s="2">
        <v>43217.2</v>
      </c>
      <c r="I5592" s="2">
        <v>2852.34</v>
      </c>
    </row>
    <row r="5593" spans="1:9" x14ac:dyDescent="0.25">
      <c r="A5593" t="s">
        <v>3044</v>
      </c>
      <c r="B5593" t="s">
        <v>3046</v>
      </c>
      <c r="C5593" t="s">
        <v>3047</v>
      </c>
      <c r="D5593" t="s">
        <v>4062</v>
      </c>
      <c r="E5593" t="s">
        <v>4063</v>
      </c>
      <c r="F5593" t="s">
        <v>231</v>
      </c>
      <c r="G5593">
        <v>11</v>
      </c>
      <c r="H5593" s="2">
        <v>7400</v>
      </c>
      <c r="I5593" s="2">
        <v>81400</v>
      </c>
    </row>
    <row r="5594" spans="1:9" x14ac:dyDescent="0.25">
      <c r="A5594" t="s">
        <v>3044</v>
      </c>
      <c r="B5594" t="s">
        <v>3046</v>
      </c>
      <c r="C5594" t="s">
        <v>3047</v>
      </c>
      <c r="D5594" t="s">
        <v>4062</v>
      </c>
      <c r="E5594" t="s">
        <v>6140</v>
      </c>
      <c r="F5594" t="s">
        <v>42</v>
      </c>
      <c r="G5594">
        <v>33</v>
      </c>
      <c r="H5594" s="2">
        <v>13966.67</v>
      </c>
      <c r="I5594" s="2">
        <v>460900.11</v>
      </c>
    </row>
    <row r="5595" spans="1:9" x14ac:dyDescent="0.25">
      <c r="A5595" t="s">
        <v>3044</v>
      </c>
      <c r="B5595" t="s">
        <v>3046</v>
      </c>
      <c r="C5595" t="s">
        <v>3047</v>
      </c>
      <c r="D5595" t="s">
        <v>4062</v>
      </c>
      <c r="E5595" t="s">
        <v>4549</v>
      </c>
      <c r="F5595" t="s">
        <v>63</v>
      </c>
      <c r="G5595">
        <v>400</v>
      </c>
      <c r="H5595" s="2">
        <v>7483.5</v>
      </c>
      <c r="I5595" s="2">
        <v>2993400</v>
      </c>
    </row>
    <row r="5596" spans="1:9" x14ac:dyDescent="0.25">
      <c r="A5596" t="s">
        <v>3044</v>
      </c>
      <c r="B5596" t="s">
        <v>3046</v>
      </c>
      <c r="C5596" t="s">
        <v>3047</v>
      </c>
      <c r="D5596" t="s">
        <v>4062</v>
      </c>
      <c r="E5596" t="s">
        <v>4067</v>
      </c>
      <c r="F5596" t="s">
        <v>231</v>
      </c>
      <c r="G5596">
        <v>412</v>
      </c>
      <c r="H5596" s="2">
        <v>7080</v>
      </c>
      <c r="I5596" s="2">
        <v>2916960</v>
      </c>
    </row>
    <row r="5597" spans="1:9" x14ac:dyDescent="0.25">
      <c r="A5597" t="s">
        <v>3044</v>
      </c>
      <c r="B5597" t="s">
        <v>3046</v>
      </c>
      <c r="C5597" t="s">
        <v>3047</v>
      </c>
      <c r="D5597" t="s">
        <v>4049</v>
      </c>
      <c r="E5597" t="s">
        <v>4176</v>
      </c>
      <c r="F5597" t="s">
        <v>4177</v>
      </c>
      <c r="G5597">
        <v>7</v>
      </c>
      <c r="H5597" s="2">
        <v>72300.17</v>
      </c>
      <c r="I5597" s="2">
        <v>506101.19</v>
      </c>
    </row>
    <row r="5598" spans="1:9" x14ac:dyDescent="0.25">
      <c r="A5598" t="s">
        <v>3044</v>
      </c>
      <c r="B5598" t="s">
        <v>3046</v>
      </c>
      <c r="C5598" t="s">
        <v>3047</v>
      </c>
      <c r="D5598" t="s">
        <v>4049</v>
      </c>
      <c r="E5598" t="s">
        <v>4313</v>
      </c>
      <c r="F5598" t="s">
        <v>4177</v>
      </c>
      <c r="G5598">
        <v>7</v>
      </c>
      <c r="H5598" s="2">
        <v>124137.15</v>
      </c>
      <c r="I5598" s="2">
        <v>868960.05</v>
      </c>
    </row>
    <row r="5599" spans="1:9" x14ac:dyDescent="0.25">
      <c r="A5599" t="s">
        <v>3044</v>
      </c>
      <c r="B5599" t="s">
        <v>3046</v>
      </c>
      <c r="C5599" t="s">
        <v>3047</v>
      </c>
      <c r="D5599" t="s">
        <v>4052</v>
      </c>
      <c r="E5599" t="s">
        <v>4053</v>
      </c>
      <c r="F5599" t="s">
        <v>4054</v>
      </c>
      <c r="G5599">
        <v>8</v>
      </c>
      <c r="H5599" s="2">
        <v>1375061.24</v>
      </c>
      <c r="I5599" s="2">
        <v>110004.9</v>
      </c>
    </row>
    <row r="5600" spans="1:9" x14ac:dyDescent="0.25">
      <c r="A5600" t="s">
        <v>3051</v>
      </c>
      <c r="B5600" t="s">
        <v>3052</v>
      </c>
      <c r="C5600" t="s">
        <v>3047</v>
      </c>
      <c r="D5600" t="s">
        <v>4062</v>
      </c>
      <c r="E5600" t="s">
        <v>4063</v>
      </c>
      <c r="F5600" t="s">
        <v>231</v>
      </c>
      <c r="G5600">
        <v>16</v>
      </c>
      <c r="H5600" s="2">
        <v>7400</v>
      </c>
      <c r="I5600" s="2">
        <v>118400</v>
      </c>
    </row>
    <row r="5601" spans="1:9" x14ac:dyDescent="0.25">
      <c r="A5601" t="s">
        <v>3051</v>
      </c>
      <c r="B5601" t="s">
        <v>3052</v>
      </c>
      <c r="C5601" t="s">
        <v>3047</v>
      </c>
      <c r="D5601" t="s">
        <v>4062</v>
      </c>
      <c r="E5601" t="s">
        <v>6140</v>
      </c>
      <c r="F5601" t="s">
        <v>42</v>
      </c>
      <c r="G5601">
        <v>40</v>
      </c>
      <c r="H5601" s="2">
        <v>13966.67</v>
      </c>
      <c r="I5601" s="2">
        <v>558666.8</v>
      </c>
    </row>
    <row r="5602" spans="1:9" x14ac:dyDescent="0.25">
      <c r="A5602" t="s">
        <v>3051</v>
      </c>
      <c r="B5602" t="s">
        <v>3052</v>
      </c>
      <c r="C5602" t="s">
        <v>3047</v>
      </c>
      <c r="D5602" t="s">
        <v>4062</v>
      </c>
      <c r="E5602" t="s">
        <v>4549</v>
      </c>
      <c r="F5602" t="s">
        <v>63</v>
      </c>
      <c r="G5602">
        <v>400</v>
      </c>
      <c r="H5602" s="2">
        <v>7483.5</v>
      </c>
      <c r="I5602" s="2">
        <v>2993400</v>
      </c>
    </row>
    <row r="5603" spans="1:9" x14ac:dyDescent="0.25">
      <c r="A5603" t="s">
        <v>3051</v>
      </c>
      <c r="B5603" t="s">
        <v>3052</v>
      </c>
      <c r="C5603" t="s">
        <v>3047</v>
      </c>
      <c r="D5603" t="s">
        <v>4062</v>
      </c>
      <c r="E5603" t="s">
        <v>4067</v>
      </c>
      <c r="F5603" t="s">
        <v>231</v>
      </c>
      <c r="G5603">
        <v>335</v>
      </c>
      <c r="H5603" s="2">
        <v>7080</v>
      </c>
      <c r="I5603" s="2">
        <v>2371800</v>
      </c>
    </row>
    <row r="5604" spans="1:9" x14ac:dyDescent="0.25">
      <c r="A5604" t="s">
        <v>3051</v>
      </c>
      <c r="B5604" t="s">
        <v>3052</v>
      </c>
      <c r="C5604" t="s">
        <v>3047</v>
      </c>
      <c r="D5604" t="s">
        <v>4049</v>
      </c>
      <c r="E5604" t="s">
        <v>4176</v>
      </c>
      <c r="F5604" t="s">
        <v>4177</v>
      </c>
      <c r="G5604">
        <v>15</v>
      </c>
      <c r="H5604" s="2">
        <v>72300.17</v>
      </c>
      <c r="I5604" s="2">
        <v>1084502.55</v>
      </c>
    </row>
    <row r="5605" spans="1:9" x14ac:dyDescent="0.25">
      <c r="A5605" t="s">
        <v>3051</v>
      </c>
      <c r="B5605" t="s">
        <v>3052</v>
      </c>
      <c r="C5605" t="s">
        <v>3047</v>
      </c>
      <c r="D5605" t="s">
        <v>4049</v>
      </c>
      <c r="E5605" t="s">
        <v>4313</v>
      </c>
      <c r="F5605" t="s">
        <v>4177</v>
      </c>
      <c r="G5605">
        <v>15</v>
      </c>
      <c r="H5605" s="2">
        <v>124137.15</v>
      </c>
      <c r="I5605" s="2">
        <v>1862057.25</v>
      </c>
    </row>
    <row r="5606" spans="1:9" x14ac:dyDescent="0.25">
      <c r="A5606" t="s">
        <v>3051</v>
      </c>
      <c r="B5606" t="s">
        <v>3052</v>
      </c>
      <c r="C5606" t="s">
        <v>3047</v>
      </c>
      <c r="D5606" t="s">
        <v>4052</v>
      </c>
      <c r="E5606" t="s">
        <v>4053</v>
      </c>
      <c r="F5606" t="s">
        <v>4054</v>
      </c>
      <c r="G5606">
        <v>12.5</v>
      </c>
      <c r="H5606" s="2">
        <v>2946559.8</v>
      </c>
      <c r="I5606" s="2">
        <v>368319.97</v>
      </c>
    </row>
    <row r="5607" spans="1:9" x14ac:dyDescent="0.25">
      <c r="A5607" t="s">
        <v>3056</v>
      </c>
      <c r="B5607" t="s">
        <v>3057</v>
      </c>
      <c r="C5607" t="s">
        <v>21</v>
      </c>
      <c r="D5607" t="s">
        <v>4062</v>
      </c>
      <c r="E5607" t="s">
        <v>4547</v>
      </c>
      <c r="F5607" t="s">
        <v>34</v>
      </c>
      <c r="G5607">
        <v>0.1</v>
      </c>
      <c r="H5607" s="2">
        <v>57129.33</v>
      </c>
      <c r="I5607" s="2">
        <v>5712.93</v>
      </c>
    </row>
    <row r="5608" spans="1:9" x14ac:dyDescent="0.25">
      <c r="A5608" t="s">
        <v>3056</v>
      </c>
      <c r="B5608" t="s">
        <v>3057</v>
      </c>
      <c r="C5608" t="s">
        <v>21</v>
      </c>
      <c r="D5608" t="s">
        <v>4062</v>
      </c>
      <c r="E5608" t="s">
        <v>5854</v>
      </c>
      <c r="F5608" t="s">
        <v>21</v>
      </c>
      <c r="G5608">
        <v>1</v>
      </c>
      <c r="H5608" s="2">
        <v>4750</v>
      </c>
      <c r="I5608" s="2">
        <v>4750</v>
      </c>
    </row>
    <row r="5609" spans="1:9" x14ac:dyDescent="0.25">
      <c r="A5609" t="s">
        <v>3056</v>
      </c>
      <c r="B5609" t="s">
        <v>3057</v>
      </c>
      <c r="C5609" t="s">
        <v>21</v>
      </c>
      <c r="D5609" t="s">
        <v>4062</v>
      </c>
      <c r="E5609" t="s">
        <v>7056</v>
      </c>
      <c r="F5609" t="s">
        <v>63</v>
      </c>
      <c r="G5609">
        <v>12</v>
      </c>
      <c r="H5609" s="2">
        <v>4000</v>
      </c>
      <c r="I5609" s="2">
        <v>48000</v>
      </c>
    </row>
    <row r="5610" spans="1:9" x14ac:dyDescent="0.25">
      <c r="A5610" t="s">
        <v>3056</v>
      </c>
      <c r="B5610" t="s">
        <v>3057</v>
      </c>
      <c r="C5610" t="s">
        <v>21</v>
      </c>
      <c r="D5610" t="s">
        <v>4049</v>
      </c>
      <c r="E5610" t="s">
        <v>4050</v>
      </c>
      <c r="F5610" t="s">
        <v>4051</v>
      </c>
      <c r="G5610">
        <v>0.6</v>
      </c>
      <c r="H5610" s="2">
        <v>9037.33</v>
      </c>
      <c r="I5610" s="2">
        <v>5422.4</v>
      </c>
    </row>
    <row r="5611" spans="1:9" x14ac:dyDescent="0.25">
      <c r="A5611" t="s">
        <v>3056</v>
      </c>
      <c r="B5611" t="s">
        <v>3057</v>
      </c>
      <c r="C5611" t="s">
        <v>21</v>
      </c>
      <c r="D5611" t="s">
        <v>4049</v>
      </c>
      <c r="E5611" t="s">
        <v>4073</v>
      </c>
      <c r="F5611" t="s">
        <v>4051</v>
      </c>
      <c r="G5611">
        <v>0.6</v>
      </c>
      <c r="H5611" s="2">
        <v>15517.89</v>
      </c>
      <c r="I5611" s="2">
        <v>9310.73</v>
      </c>
    </row>
    <row r="5612" spans="1:9" x14ac:dyDescent="0.25">
      <c r="A5612" t="s">
        <v>3056</v>
      </c>
      <c r="B5612" t="s">
        <v>3057</v>
      </c>
      <c r="C5612" t="s">
        <v>21</v>
      </c>
      <c r="D5612" t="s">
        <v>4052</v>
      </c>
      <c r="E5612" t="s">
        <v>4053</v>
      </c>
      <c r="F5612" t="s">
        <v>4054</v>
      </c>
      <c r="G5612">
        <v>0.7</v>
      </c>
      <c r="H5612" s="2">
        <v>14733.13</v>
      </c>
      <c r="I5612" s="2">
        <v>103.13</v>
      </c>
    </row>
    <row r="5613" spans="1:9" x14ac:dyDescent="0.25">
      <c r="A5613" t="s">
        <v>3060</v>
      </c>
      <c r="B5613" t="s">
        <v>3061</v>
      </c>
      <c r="C5613" t="s">
        <v>42</v>
      </c>
      <c r="D5613" t="s">
        <v>4062</v>
      </c>
      <c r="E5613" t="s">
        <v>7059</v>
      </c>
      <c r="F5613" t="s">
        <v>34</v>
      </c>
      <c r="G5613">
        <v>0.05</v>
      </c>
      <c r="H5613" s="2">
        <v>40100</v>
      </c>
      <c r="I5613" s="2">
        <v>2005</v>
      </c>
    </row>
    <row r="5614" spans="1:9" x14ac:dyDescent="0.25">
      <c r="A5614" t="s">
        <v>3060</v>
      </c>
      <c r="B5614" t="s">
        <v>3061</v>
      </c>
      <c r="C5614" t="s">
        <v>42</v>
      </c>
      <c r="D5614" t="s">
        <v>4062</v>
      </c>
      <c r="E5614" t="s">
        <v>7060</v>
      </c>
      <c r="F5614" t="s">
        <v>63</v>
      </c>
      <c r="G5614">
        <v>2</v>
      </c>
      <c r="H5614" s="2">
        <v>5983.5</v>
      </c>
      <c r="I5614" s="2">
        <v>11967</v>
      </c>
    </row>
    <row r="5615" spans="1:9" x14ac:dyDescent="0.25">
      <c r="A5615" t="s">
        <v>3060</v>
      </c>
      <c r="B5615" t="s">
        <v>3061</v>
      </c>
      <c r="C5615" t="s">
        <v>42</v>
      </c>
      <c r="D5615" t="s">
        <v>4049</v>
      </c>
      <c r="E5615" t="s">
        <v>4176</v>
      </c>
      <c r="F5615" t="s">
        <v>4177</v>
      </c>
      <c r="G5615">
        <v>0.05</v>
      </c>
      <c r="H5615" s="2">
        <v>72300.17</v>
      </c>
      <c r="I5615" s="2">
        <v>3802.99</v>
      </c>
    </row>
    <row r="5616" spans="1:9" x14ac:dyDescent="0.25">
      <c r="A5616" t="s">
        <v>3060</v>
      </c>
      <c r="B5616" t="s">
        <v>3061</v>
      </c>
      <c r="C5616" t="s">
        <v>42</v>
      </c>
      <c r="D5616" t="s">
        <v>4052</v>
      </c>
      <c r="E5616" t="s">
        <v>4053</v>
      </c>
      <c r="F5616" t="s">
        <v>4054</v>
      </c>
      <c r="G5616">
        <v>5</v>
      </c>
      <c r="H5616" s="2">
        <v>3802.99</v>
      </c>
      <c r="I5616" s="2">
        <v>190.15</v>
      </c>
    </row>
    <row r="5617" spans="1:9" x14ac:dyDescent="0.25">
      <c r="A5617" t="s">
        <v>3063</v>
      </c>
      <c r="B5617" t="s">
        <v>3064</v>
      </c>
      <c r="C5617" t="s">
        <v>3065</v>
      </c>
      <c r="D5617" t="s">
        <v>4062</v>
      </c>
      <c r="E5617" t="s">
        <v>7063</v>
      </c>
      <c r="F5617" t="s">
        <v>63</v>
      </c>
      <c r="G5617">
        <v>111</v>
      </c>
      <c r="H5617" s="2">
        <v>1248.67</v>
      </c>
      <c r="I5617" s="2">
        <v>138602.37</v>
      </c>
    </row>
    <row r="5618" spans="1:9" x14ac:dyDescent="0.25">
      <c r="A5618" t="s">
        <v>3063</v>
      </c>
      <c r="B5618" t="s">
        <v>3064</v>
      </c>
      <c r="C5618" t="s">
        <v>3065</v>
      </c>
      <c r="D5618" t="s">
        <v>4062</v>
      </c>
      <c r="E5618" t="s">
        <v>7064</v>
      </c>
      <c r="F5618" t="s">
        <v>7065</v>
      </c>
      <c r="G5618">
        <v>2</v>
      </c>
      <c r="H5618" s="2">
        <v>4628</v>
      </c>
      <c r="I5618" s="2">
        <v>9256</v>
      </c>
    </row>
    <row r="5619" spans="1:9" x14ac:dyDescent="0.25">
      <c r="A5619" t="s">
        <v>3063</v>
      </c>
      <c r="B5619" t="s">
        <v>3064</v>
      </c>
      <c r="C5619" t="s">
        <v>3065</v>
      </c>
      <c r="D5619" t="s">
        <v>4049</v>
      </c>
      <c r="E5619" t="s">
        <v>4176</v>
      </c>
      <c r="F5619" t="s">
        <v>4177</v>
      </c>
      <c r="G5619">
        <v>11.5</v>
      </c>
      <c r="H5619" s="2">
        <v>72300.17</v>
      </c>
      <c r="I5619" s="2">
        <v>831451.95</v>
      </c>
    </row>
    <row r="5620" spans="1:9" x14ac:dyDescent="0.25">
      <c r="A5620" t="s">
        <v>3063</v>
      </c>
      <c r="B5620" t="s">
        <v>3064</v>
      </c>
      <c r="C5620" t="s">
        <v>3065</v>
      </c>
      <c r="D5620" t="s">
        <v>4049</v>
      </c>
      <c r="E5620" t="s">
        <v>4313</v>
      </c>
      <c r="F5620" t="s">
        <v>4177</v>
      </c>
      <c r="G5620">
        <v>11.5</v>
      </c>
      <c r="H5620" s="2">
        <v>124137.15</v>
      </c>
      <c r="I5620" s="2">
        <v>1427577.22</v>
      </c>
    </row>
    <row r="5621" spans="1:9" x14ac:dyDescent="0.25">
      <c r="A5621" t="s">
        <v>3063</v>
      </c>
      <c r="B5621" t="s">
        <v>3064</v>
      </c>
      <c r="C5621" t="s">
        <v>3065</v>
      </c>
      <c r="D5621" t="s">
        <v>4052</v>
      </c>
      <c r="E5621" t="s">
        <v>4053</v>
      </c>
      <c r="F5621" t="s">
        <v>4054</v>
      </c>
      <c r="G5621">
        <v>5.8</v>
      </c>
      <c r="H5621" s="2">
        <v>2259029.17</v>
      </c>
      <c r="I5621" s="2">
        <v>131023.69</v>
      </c>
    </row>
    <row r="5622" spans="1:9" x14ac:dyDescent="0.25">
      <c r="A5622" t="s">
        <v>3069</v>
      </c>
      <c r="B5622" t="s">
        <v>3070</v>
      </c>
      <c r="C5622" t="s">
        <v>3065</v>
      </c>
      <c r="D5622" t="s">
        <v>4062</v>
      </c>
      <c r="E5622" t="s">
        <v>7063</v>
      </c>
      <c r="F5622" t="s">
        <v>63</v>
      </c>
      <c r="G5622">
        <v>111</v>
      </c>
      <c r="H5622" s="2">
        <v>1248.67</v>
      </c>
      <c r="I5622" s="2">
        <v>138602.37</v>
      </c>
    </row>
    <row r="5623" spans="1:9" x14ac:dyDescent="0.25">
      <c r="A5623" t="s">
        <v>3069</v>
      </c>
      <c r="B5623" t="s">
        <v>3070</v>
      </c>
      <c r="C5623" t="s">
        <v>3065</v>
      </c>
      <c r="D5623" t="s">
        <v>4062</v>
      </c>
      <c r="E5623" t="s">
        <v>7064</v>
      </c>
      <c r="F5623" t="s">
        <v>7065</v>
      </c>
      <c r="G5623">
        <v>2</v>
      </c>
      <c r="H5623" s="2">
        <v>4628</v>
      </c>
      <c r="I5623" s="2">
        <v>9256</v>
      </c>
    </row>
    <row r="5624" spans="1:9" x14ac:dyDescent="0.25">
      <c r="A5624" t="s">
        <v>3069</v>
      </c>
      <c r="B5624" t="s">
        <v>3070</v>
      </c>
      <c r="C5624" t="s">
        <v>3065</v>
      </c>
      <c r="D5624" t="s">
        <v>4049</v>
      </c>
      <c r="E5624" t="s">
        <v>4176</v>
      </c>
      <c r="F5624" t="s">
        <v>4177</v>
      </c>
      <c r="G5624">
        <v>11.5</v>
      </c>
      <c r="H5624" s="2">
        <v>72300.17</v>
      </c>
      <c r="I5624" s="2">
        <v>831451.95</v>
      </c>
    </row>
    <row r="5625" spans="1:9" x14ac:dyDescent="0.25">
      <c r="A5625" t="s">
        <v>3069</v>
      </c>
      <c r="B5625" t="s">
        <v>3070</v>
      </c>
      <c r="C5625" t="s">
        <v>3065</v>
      </c>
      <c r="D5625" t="s">
        <v>4049</v>
      </c>
      <c r="E5625" t="s">
        <v>4313</v>
      </c>
      <c r="F5625" t="s">
        <v>4177</v>
      </c>
      <c r="G5625">
        <v>11.5</v>
      </c>
      <c r="H5625" s="2">
        <v>124137.15</v>
      </c>
      <c r="I5625" s="2">
        <v>1427577.22</v>
      </c>
    </row>
    <row r="5626" spans="1:9" x14ac:dyDescent="0.25">
      <c r="A5626" t="s">
        <v>3069</v>
      </c>
      <c r="B5626" t="s">
        <v>3070</v>
      </c>
      <c r="C5626" t="s">
        <v>3065</v>
      </c>
      <c r="D5626" t="s">
        <v>4052</v>
      </c>
      <c r="E5626" t="s">
        <v>4053</v>
      </c>
      <c r="F5626" t="s">
        <v>4054</v>
      </c>
      <c r="G5626">
        <v>5.8</v>
      </c>
      <c r="H5626" s="2">
        <v>2259029.17</v>
      </c>
      <c r="I5626" s="2">
        <v>131023.69</v>
      </c>
    </row>
    <row r="5627" spans="1:9" x14ac:dyDescent="0.25">
      <c r="A5627" t="s">
        <v>3071</v>
      </c>
      <c r="B5627" t="s">
        <v>3072</v>
      </c>
      <c r="C5627" t="s">
        <v>21</v>
      </c>
      <c r="D5627" t="s">
        <v>4049</v>
      </c>
      <c r="E5627" t="s">
        <v>4176</v>
      </c>
      <c r="F5627" t="s">
        <v>4177</v>
      </c>
      <c r="G5627">
        <v>0.04</v>
      </c>
      <c r="H5627" s="2">
        <v>72300.17</v>
      </c>
      <c r="I5627" s="2">
        <v>2530.51</v>
      </c>
    </row>
    <row r="5628" spans="1:9" x14ac:dyDescent="0.25">
      <c r="A5628" t="s">
        <v>3071</v>
      </c>
      <c r="B5628" t="s">
        <v>3072</v>
      </c>
      <c r="C5628" t="s">
        <v>21</v>
      </c>
      <c r="D5628" t="s">
        <v>4049</v>
      </c>
      <c r="E5628" t="s">
        <v>4313</v>
      </c>
      <c r="F5628" t="s">
        <v>4177</v>
      </c>
      <c r="G5628">
        <v>0.01</v>
      </c>
      <c r="H5628" s="2">
        <v>124137.15</v>
      </c>
      <c r="I5628" s="2">
        <v>620.69</v>
      </c>
    </row>
    <row r="5629" spans="1:9" x14ac:dyDescent="0.25">
      <c r="A5629" t="s">
        <v>3071</v>
      </c>
      <c r="B5629" t="s">
        <v>3072</v>
      </c>
      <c r="C5629" t="s">
        <v>21</v>
      </c>
      <c r="D5629" t="s">
        <v>4052</v>
      </c>
      <c r="E5629" t="s">
        <v>4053</v>
      </c>
      <c r="F5629" t="s">
        <v>4054</v>
      </c>
      <c r="G5629">
        <v>8.4</v>
      </c>
      <c r="H5629" s="2">
        <v>3151.2</v>
      </c>
      <c r="I5629" s="2">
        <v>264.7</v>
      </c>
    </row>
    <row r="5630" spans="1:9" x14ac:dyDescent="0.25">
      <c r="A5630" t="s">
        <v>3074</v>
      </c>
      <c r="B5630" t="s">
        <v>3075</v>
      </c>
      <c r="C5630" t="s">
        <v>42</v>
      </c>
      <c r="D5630" t="s">
        <v>4049</v>
      </c>
      <c r="E5630" t="s">
        <v>4176</v>
      </c>
      <c r="F5630" t="s">
        <v>4177</v>
      </c>
      <c r="G5630">
        <v>0.04</v>
      </c>
      <c r="H5630" s="2">
        <v>72300.17</v>
      </c>
      <c r="I5630" s="2">
        <v>2530.51</v>
      </c>
    </row>
    <row r="5631" spans="1:9" x14ac:dyDescent="0.25">
      <c r="A5631" t="s">
        <v>3074</v>
      </c>
      <c r="B5631" t="s">
        <v>3075</v>
      </c>
      <c r="C5631" t="s">
        <v>42</v>
      </c>
      <c r="D5631" t="s">
        <v>4049</v>
      </c>
      <c r="E5631" t="s">
        <v>4313</v>
      </c>
      <c r="F5631" t="s">
        <v>4177</v>
      </c>
      <c r="G5631">
        <v>0.01</v>
      </c>
      <c r="H5631" s="2">
        <v>124137.15</v>
      </c>
      <c r="I5631" s="2">
        <v>620.69</v>
      </c>
    </row>
    <row r="5632" spans="1:9" x14ac:dyDescent="0.25">
      <c r="A5632" t="s">
        <v>3074</v>
      </c>
      <c r="B5632" t="s">
        <v>3075</v>
      </c>
      <c r="C5632" t="s">
        <v>42</v>
      </c>
      <c r="D5632" t="s">
        <v>4052</v>
      </c>
      <c r="E5632" t="s">
        <v>4053</v>
      </c>
      <c r="F5632" t="s">
        <v>4054</v>
      </c>
      <c r="G5632">
        <v>8</v>
      </c>
      <c r="H5632" s="2">
        <v>3151.2</v>
      </c>
      <c r="I5632" s="2">
        <v>252.1</v>
      </c>
    </row>
    <row r="5633" spans="1:9" x14ac:dyDescent="0.25">
      <c r="A5633" t="s">
        <v>3077</v>
      </c>
      <c r="B5633" t="s">
        <v>3078</v>
      </c>
      <c r="C5633" t="s">
        <v>3065</v>
      </c>
      <c r="D5633" t="s">
        <v>4062</v>
      </c>
      <c r="E5633" t="s">
        <v>7063</v>
      </c>
      <c r="F5633" t="s">
        <v>63</v>
      </c>
      <c r="G5633">
        <v>1222</v>
      </c>
      <c r="H5633" s="2">
        <v>1248.67</v>
      </c>
      <c r="I5633" s="2">
        <v>1525874.74</v>
      </c>
    </row>
    <row r="5634" spans="1:9" x14ac:dyDescent="0.25">
      <c r="A5634" t="s">
        <v>3077</v>
      </c>
      <c r="B5634" t="s">
        <v>3078</v>
      </c>
      <c r="C5634" t="s">
        <v>3065</v>
      </c>
      <c r="D5634" t="s">
        <v>4062</v>
      </c>
      <c r="E5634" t="s">
        <v>7073</v>
      </c>
      <c r="F5634" t="s">
        <v>231</v>
      </c>
      <c r="G5634">
        <v>77.8</v>
      </c>
      <c r="H5634" s="2">
        <v>2563.33</v>
      </c>
      <c r="I5634" s="2">
        <v>199427.07</v>
      </c>
    </row>
    <row r="5635" spans="1:9" x14ac:dyDescent="0.25">
      <c r="A5635" t="s">
        <v>3077</v>
      </c>
      <c r="B5635" t="s">
        <v>3078</v>
      </c>
      <c r="C5635" t="s">
        <v>3065</v>
      </c>
      <c r="D5635" t="s">
        <v>4062</v>
      </c>
      <c r="E5635" t="s">
        <v>7074</v>
      </c>
      <c r="F5635" t="s">
        <v>231</v>
      </c>
      <c r="G5635">
        <v>11.1</v>
      </c>
      <c r="H5635" s="2">
        <v>4950</v>
      </c>
      <c r="I5635" s="2">
        <v>54945</v>
      </c>
    </row>
    <row r="5636" spans="1:9" x14ac:dyDescent="0.25">
      <c r="A5636" t="s">
        <v>3077</v>
      </c>
      <c r="B5636" t="s">
        <v>3078</v>
      </c>
      <c r="C5636" t="s">
        <v>3065</v>
      </c>
      <c r="D5636" t="s">
        <v>4062</v>
      </c>
      <c r="E5636" t="s">
        <v>7075</v>
      </c>
      <c r="F5636" t="s">
        <v>231</v>
      </c>
      <c r="G5636">
        <v>3.3</v>
      </c>
      <c r="H5636" s="2">
        <v>39800</v>
      </c>
      <c r="I5636" s="2">
        <v>131340</v>
      </c>
    </row>
    <row r="5637" spans="1:9" x14ac:dyDescent="0.25">
      <c r="A5637" t="s">
        <v>3077</v>
      </c>
      <c r="B5637" t="s">
        <v>3078</v>
      </c>
      <c r="C5637" t="s">
        <v>3065</v>
      </c>
      <c r="D5637" t="s">
        <v>4062</v>
      </c>
      <c r="E5637" t="s">
        <v>7064</v>
      </c>
      <c r="F5637" t="s">
        <v>7065</v>
      </c>
      <c r="G5637">
        <v>2</v>
      </c>
      <c r="H5637" s="2">
        <v>4628</v>
      </c>
      <c r="I5637" s="2">
        <v>9256</v>
      </c>
    </row>
    <row r="5638" spans="1:9" x14ac:dyDescent="0.25">
      <c r="A5638" t="s">
        <v>3077</v>
      </c>
      <c r="B5638" t="s">
        <v>3078</v>
      </c>
      <c r="C5638" t="s">
        <v>3065</v>
      </c>
      <c r="D5638" t="s">
        <v>4062</v>
      </c>
      <c r="E5638" t="s">
        <v>7076</v>
      </c>
      <c r="F5638" t="s">
        <v>231</v>
      </c>
      <c r="G5638">
        <v>55.6</v>
      </c>
      <c r="H5638" s="2">
        <v>1650</v>
      </c>
      <c r="I5638" s="2">
        <v>91740</v>
      </c>
    </row>
    <row r="5639" spans="1:9" x14ac:dyDescent="0.25">
      <c r="A5639" t="s">
        <v>3077</v>
      </c>
      <c r="B5639" t="s">
        <v>3078</v>
      </c>
      <c r="C5639" t="s">
        <v>3065</v>
      </c>
      <c r="D5639" t="s">
        <v>4049</v>
      </c>
      <c r="E5639" t="s">
        <v>4176</v>
      </c>
      <c r="F5639" t="s">
        <v>4177</v>
      </c>
      <c r="G5639">
        <v>15</v>
      </c>
      <c r="H5639" s="2">
        <v>72300.17</v>
      </c>
      <c r="I5639" s="2">
        <v>1084502.55</v>
      </c>
    </row>
    <row r="5640" spans="1:9" x14ac:dyDescent="0.25">
      <c r="A5640" t="s">
        <v>3077</v>
      </c>
      <c r="B5640" t="s">
        <v>3078</v>
      </c>
      <c r="C5640" t="s">
        <v>3065</v>
      </c>
      <c r="D5640" t="s">
        <v>4049</v>
      </c>
      <c r="E5640" t="s">
        <v>4313</v>
      </c>
      <c r="F5640" t="s">
        <v>4177</v>
      </c>
      <c r="G5640">
        <v>15</v>
      </c>
      <c r="H5640" s="2">
        <v>124137.15</v>
      </c>
      <c r="I5640" s="2">
        <v>1862057.25</v>
      </c>
    </row>
    <row r="5641" spans="1:9" x14ac:dyDescent="0.25">
      <c r="A5641" t="s">
        <v>3077</v>
      </c>
      <c r="B5641" t="s">
        <v>3078</v>
      </c>
      <c r="C5641" t="s">
        <v>3065</v>
      </c>
      <c r="D5641" t="s">
        <v>4052</v>
      </c>
      <c r="E5641" t="s">
        <v>4053</v>
      </c>
      <c r="F5641" t="s">
        <v>4054</v>
      </c>
      <c r="G5641">
        <v>7</v>
      </c>
      <c r="H5641" s="2">
        <v>2946559.8</v>
      </c>
      <c r="I5641" s="2">
        <v>206259.19</v>
      </c>
    </row>
    <row r="5642" spans="1:9" x14ac:dyDescent="0.25">
      <c r="A5642" t="s">
        <v>3080</v>
      </c>
      <c r="B5642" t="s">
        <v>3082</v>
      </c>
      <c r="C5642" t="s">
        <v>3065</v>
      </c>
      <c r="D5642" t="s">
        <v>4049</v>
      </c>
      <c r="E5642" t="s">
        <v>4176</v>
      </c>
      <c r="F5642" t="s">
        <v>4177</v>
      </c>
      <c r="G5642">
        <v>10</v>
      </c>
      <c r="H5642" s="2">
        <v>72300.17</v>
      </c>
      <c r="I5642" s="2">
        <v>723001.7</v>
      </c>
    </row>
    <row r="5643" spans="1:9" x14ac:dyDescent="0.25">
      <c r="A5643" t="s">
        <v>3080</v>
      </c>
      <c r="B5643" t="s">
        <v>3082</v>
      </c>
      <c r="C5643" t="s">
        <v>3065</v>
      </c>
      <c r="D5643" t="s">
        <v>4052</v>
      </c>
      <c r="E5643" t="s">
        <v>4306</v>
      </c>
      <c r="F5643" t="s">
        <v>287</v>
      </c>
      <c r="G5643">
        <v>6.67</v>
      </c>
      <c r="H5643" s="2">
        <v>155433.33</v>
      </c>
      <c r="I5643" s="2">
        <v>1036227.38</v>
      </c>
    </row>
    <row r="5644" spans="1:9" x14ac:dyDescent="0.25">
      <c r="A5644" t="s">
        <v>3080</v>
      </c>
      <c r="B5644" t="s">
        <v>3082</v>
      </c>
      <c r="C5644" t="s">
        <v>3065</v>
      </c>
      <c r="D5644" t="s">
        <v>4052</v>
      </c>
      <c r="E5644" t="s">
        <v>4085</v>
      </c>
      <c r="F5644" t="s">
        <v>287</v>
      </c>
      <c r="G5644">
        <v>6.67</v>
      </c>
      <c r="H5644" s="2">
        <v>5732.5</v>
      </c>
      <c r="I5644" s="2">
        <v>38216.86</v>
      </c>
    </row>
    <row r="5645" spans="1:9" x14ac:dyDescent="0.25">
      <c r="A5645" t="s">
        <v>3080</v>
      </c>
      <c r="B5645" t="s">
        <v>3082</v>
      </c>
      <c r="C5645" t="s">
        <v>3065</v>
      </c>
      <c r="D5645" t="s">
        <v>4052</v>
      </c>
      <c r="E5645" t="s">
        <v>4053</v>
      </c>
      <c r="F5645" t="s">
        <v>4054</v>
      </c>
      <c r="G5645">
        <v>5</v>
      </c>
      <c r="H5645" s="2">
        <v>723001.7</v>
      </c>
      <c r="I5645" s="2">
        <v>36150.08</v>
      </c>
    </row>
    <row r="5646" spans="1:9" x14ac:dyDescent="0.25">
      <c r="A5646" t="s">
        <v>3086</v>
      </c>
      <c r="B5646" t="s">
        <v>3087</v>
      </c>
      <c r="C5646" t="s">
        <v>3065</v>
      </c>
      <c r="D5646" t="s">
        <v>4049</v>
      </c>
      <c r="E5646" t="s">
        <v>4176</v>
      </c>
      <c r="F5646" t="s">
        <v>4177</v>
      </c>
      <c r="G5646">
        <v>10</v>
      </c>
      <c r="H5646" s="2">
        <v>72300.17</v>
      </c>
      <c r="I5646" s="2">
        <v>723001.7</v>
      </c>
    </row>
    <row r="5647" spans="1:9" x14ac:dyDescent="0.25">
      <c r="A5647" t="s">
        <v>3086</v>
      </c>
      <c r="B5647" t="s">
        <v>3087</v>
      </c>
      <c r="C5647" t="s">
        <v>3065</v>
      </c>
      <c r="D5647" t="s">
        <v>4052</v>
      </c>
      <c r="E5647" t="s">
        <v>4306</v>
      </c>
      <c r="F5647" t="s">
        <v>287</v>
      </c>
      <c r="G5647">
        <v>6.67</v>
      </c>
      <c r="H5647" s="2">
        <v>155433.33</v>
      </c>
      <c r="I5647" s="2">
        <v>1036227.38</v>
      </c>
    </row>
    <row r="5648" spans="1:9" x14ac:dyDescent="0.25">
      <c r="A5648" t="s">
        <v>3086</v>
      </c>
      <c r="B5648" t="s">
        <v>3087</v>
      </c>
      <c r="C5648" t="s">
        <v>3065</v>
      </c>
      <c r="D5648" t="s">
        <v>4052</v>
      </c>
      <c r="E5648" t="s">
        <v>4085</v>
      </c>
      <c r="F5648" t="s">
        <v>287</v>
      </c>
      <c r="G5648">
        <v>6.67</v>
      </c>
      <c r="H5648" s="2">
        <v>5732.5</v>
      </c>
      <c r="I5648" s="2">
        <v>38216.86</v>
      </c>
    </row>
    <row r="5649" spans="1:9" x14ac:dyDescent="0.25">
      <c r="A5649" t="s">
        <v>3086</v>
      </c>
      <c r="B5649" t="s">
        <v>3087</v>
      </c>
      <c r="C5649" t="s">
        <v>3065</v>
      </c>
      <c r="D5649" t="s">
        <v>4052</v>
      </c>
      <c r="E5649" t="s">
        <v>4053</v>
      </c>
      <c r="F5649" t="s">
        <v>4054</v>
      </c>
      <c r="G5649">
        <v>5</v>
      </c>
      <c r="H5649" s="2">
        <v>723001.7</v>
      </c>
      <c r="I5649" s="2">
        <v>36150.08</v>
      </c>
    </row>
    <row r="5650" spans="1:9" x14ac:dyDescent="0.25">
      <c r="A5650" t="s">
        <v>3086</v>
      </c>
      <c r="B5650" t="s">
        <v>3087</v>
      </c>
      <c r="C5650" t="s">
        <v>3065</v>
      </c>
      <c r="D5650" t="s">
        <v>4058</v>
      </c>
      <c r="E5650" t="s">
        <v>4314</v>
      </c>
      <c r="F5650" t="s">
        <v>34</v>
      </c>
      <c r="G5650">
        <v>10</v>
      </c>
      <c r="H5650" s="2">
        <v>63714</v>
      </c>
      <c r="I5650" s="2">
        <v>637140</v>
      </c>
    </row>
    <row r="5651" spans="1:9" x14ac:dyDescent="0.25">
      <c r="A5651" t="s">
        <v>3090</v>
      </c>
      <c r="B5651" t="s">
        <v>3091</v>
      </c>
      <c r="C5651" t="s">
        <v>3065</v>
      </c>
      <c r="D5651" t="s">
        <v>4049</v>
      </c>
      <c r="E5651" t="s">
        <v>4176</v>
      </c>
      <c r="F5651" t="s">
        <v>4177</v>
      </c>
      <c r="G5651">
        <v>14</v>
      </c>
      <c r="H5651" s="2">
        <v>72300.17</v>
      </c>
      <c r="I5651" s="2">
        <v>1012202.38</v>
      </c>
    </row>
    <row r="5652" spans="1:9" x14ac:dyDescent="0.25">
      <c r="A5652" t="s">
        <v>3090</v>
      </c>
      <c r="B5652" t="s">
        <v>3091</v>
      </c>
      <c r="C5652" t="s">
        <v>3065</v>
      </c>
      <c r="D5652" t="s">
        <v>4052</v>
      </c>
      <c r="E5652" t="s">
        <v>7085</v>
      </c>
      <c r="F5652" t="s">
        <v>287</v>
      </c>
      <c r="G5652">
        <v>2.78</v>
      </c>
      <c r="H5652" s="2">
        <v>7226.17</v>
      </c>
      <c r="I5652" s="2">
        <v>20074.3</v>
      </c>
    </row>
    <row r="5653" spans="1:9" x14ac:dyDescent="0.25">
      <c r="A5653" t="s">
        <v>3090</v>
      </c>
      <c r="B5653" t="s">
        <v>3091</v>
      </c>
      <c r="C5653" t="s">
        <v>3065</v>
      </c>
      <c r="D5653" t="s">
        <v>4052</v>
      </c>
      <c r="E5653" t="s">
        <v>4085</v>
      </c>
      <c r="F5653" t="s">
        <v>287</v>
      </c>
      <c r="G5653">
        <v>9.71</v>
      </c>
      <c r="H5653" s="2">
        <v>5732.5</v>
      </c>
      <c r="I5653" s="2">
        <v>55655.12</v>
      </c>
    </row>
    <row r="5654" spans="1:9" x14ac:dyDescent="0.25">
      <c r="A5654" t="s">
        <v>3090</v>
      </c>
      <c r="B5654" t="s">
        <v>3091</v>
      </c>
      <c r="C5654" t="s">
        <v>3065</v>
      </c>
      <c r="D5654" t="s">
        <v>4052</v>
      </c>
      <c r="E5654" t="s">
        <v>4053</v>
      </c>
      <c r="F5654" t="s">
        <v>4054</v>
      </c>
      <c r="G5654">
        <v>5</v>
      </c>
      <c r="H5654" s="2">
        <v>1012202.38</v>
      </c>
      <c r="I5654" s="2">
        <v>50610.12</v>
      </c>
    </row>
    <row r="5655" spans="1:9" x14ac:dyDescent="0.25">
      <c r="A5655" t="s">
        <v>3093</v>
      </c>
      <c r="B5655" t="s">
        <v>3094</v>
      </c>
      <c r="C5655" t="s">
        <v>3047</v>
      </c>
      <c r="D5655" t="s">
        <v>4062</v>
      </c>
      <c r="E5655" t="s">
        <v>7088</v>
      </c>
      <c r="F5655" t="s">
        <v>4171</v>
      </c>
      <c r="G5655">
        <v>1</v>
      </c>
      <c r="H5655" s="2">
        <v>29333</v>
      </c>
      <c r="I5655" s="2">
        <v>29333</v>
      </c>
    </row>
    <row r="5656" spans="1:9" x14ac:dyDescent="0.25">
      <c r="A5656" t="s">
        <v>3093</v>
      </c>
      <c r="B5656" t="s">
        <v>3094</v>
      </c>
      <c r="C5656" t="s">
        <v>3047</v>
      </c>
      <c r="D5656" t="s">
        <v>4049</v>
      </c>
      <c r="E5656" t="s">
        <v>7089</v>
      </c>
      <c r="F5656" t="s">
        <v>4177</v>
      </c>
      <c r="G5656">
        <v>4</v>
      </c>
      <c r="H5656" s="2">
        <v>121418.06</v>
      </c>
      <c r="I5656" s="2">
        <v>485672.24</v>
      </c>
    </row>
    <row r="5657" spans="1:9" x14ac:dyDescent="0.25">
      <c r="A5657" t="s">
        <v>3093</v>
      </c>
      <c r="B5657" t="s">
        <v>3094</v>
      </c>
      <c r="C5657" t="s">
        <v>3047</v>
      </c>
      <c r="D5657" t="s">
        <v>4049</v>
      </c>
      <c r="E5657" t="s">
        <v>7090</v>
      </c>
      <c r="F5657" t="s">
        <v>4177</v>
      </c>
      <c r="G5657">
        <v>4</v>
      </c>
      <c r="H5657" s="2">
        <v>105563.04</v>
      </c>
      <c r="I5657" s="2">
        <v>422252.16</v>
      </c>
    </row>
    <row r="5658" spans="1:9" x14ac:dyDescent="0.25">
      <c r="A5658" t="s">
        <v>3093</v>
      </c>
      <c r="B5658" t="s">
        <v>3094</v>
      </c>
      <c r="C5658" t="s">
        <v>3047</v>
      </c>
      <c r="D5658" t="s">
        <v>4049</v>
      </c>
      <c r="E5658" t="s">
        <v>7091</v>
      </c>
      <c r="F5658" t="s">
        <v>4177</v>
      </c>
      <c r="G5658">
        <v>4</v>
      </c>
      <c r="H5658" s="2">
        <v>105563.04</v>
      </c>
      <c r="I5658" s="2">
        <v>422252.16</v>
      </c>
    </row>
    <row r="5659" spans="1:9" x14ac:dyDescent="0.25">
      <c r="A5659" t="s">
        <v>3093</v>
      </c>
      <c r="B5659" t="s">
        <v>3094</v>
      </c>
      <c r="C5659" t="s">
        <v>3047</v>
      </c>
      <c r="D5659" t="s">
        <v>4049</v>
      </c>
      <c r="E5659" t="s">
        <v>7092</v>
      </c>
      <c r="F5659" t="s">
        <v>4177</v>
      </c>
      <c r="G5659">
        <v>5</v>
      </c>
      <c r="H5659" s="2">
        <v>195479.38</v>
      </c>
      <c r="I5659" s="2">
        <v>977396.9</v>
      </c>
    </row>
    <row r="5660" spans="1:9" x14ac:dyDescent="0.25">
      <c r="A5660" t="s">
        <v>3093</v>
      </c>
      <c r="B5660" t="s">
        <v>3094</v>
      </c>
      <c r="C5660" t="s">
        <v>3047</v>
      </c>
      <c r="D5660" t="s">
        <v>4049</v>
      </c>
      <c r="E5660" t="s">
        <v>7093</v>
      </c>
      <c r="F5660" t="s">
        <v>4177</v>
      </c>
      <c r="G5660">
        <v>4</v>
      </c>
      <c r="H5660" s="2">
        <v>50188.55</v>
      </c>
      <c r="I5660" s="2">
        <v>200754.2</v>
      </c>
    </row>
    <row r="5661" spans="1:9" x14ac:dyDescent="0.25">
      <c r="A5661" t="s">
        <v>3093</v>
      </c>
      <c r="B5661" t="s">
        <v>3094</v>
      </c>
      <c r="C5661" t="s">
        <v>3047</v>
      </c>
      <c r="D5661" t="s">
        <v>4052</v>
      </c>
      <c r="E5661" t="s">
        <v>7094</v>
      </c>
      <c r="F5661" t="s">
        <v>287</v>
      </c>
      <c r="G5661">
        <v>24</v>
      </c>
      <c r="H5661" s="2">
        <v>6250</v>
      </c>
      <c r="I5661" s="2">
        <v>150000</v>
      </c>
    </row>
    <row r="5662" spans="1:9" x14ac:dyDescent="0.25">
      <c r="A5662" t="s">
        <v>3093</v>
      </c>
      <c r="B5662" t="s">
        <v>3094</v>
      </c>
      <c r="C5662" t="s">
        <v>3047</v>
      </c>
      <c r="D5662" t="s">
        <v>4052</v>
      </c>
      <c r="E5662" t="s">
        <v>4053</v>
      </c>
      <c r="F5662" t="s">
        <v>4054</v>
      </c>
      <c r="G5662">
        <v>5</v>
      </c>
      <c r="H5662" s="2">
        <v>2508327.66</v>
      </c>
      <c r="I5662" s="2">
        <v>125416.38</v>
      </c>
    </row>
    <row r="5663" spans="1:9" x14ac:dyDescent="0.25">
      <c r="A5663" t="s">
        <v>3097</v>
      </c>
      <c r="B5663" t="s">
        <v>3098</v>
      </c>
      <c r="C5663" t="s">
        <v>231</v>
      </c>
      <c r="D5663" t="s">
        <v>4049</v>
      </c>
      <c r="E5663" t="s">
        <v>4176</v>
      </c>
      <c r="F5663" t="s">
        <v>4177</v>
      </c>
      <c r="G5663">
        <v>0</v>
      </c>
      <c r="H5663" s="2">
        <v>72300.17</v>
      </c>
      <c r="I5663" s="2">
        <v>72.3</v>
      </c>
    </row>
    <row r="5664" spans="1:9" x14ac:dyDescent="0.25">
      <c r="A5664" t="s">
        <v>3097</v>
      </c>
      <c r="B5664" t="s">
        <v>3098</v>
      </c>
      <c r="C5664" t="s">
        <v>231</v>
      </c>
      <c r="D5664" t="s">
        <v>4049</v>
      </c>
      <c r="E5664" t="s">
        <v>4313</v>
      </c>
      <c r="F5664" t="s">
        <v>4177</v>
      </c>
      <c r="G5664">
        <v>0</v>
      </c>
      <c r="H5664" s="2">
        <v>124137.15</v>
      </c>
      <c r="I5664" s="2">
        <v>24.83</v>
      </c>
    </row>
    <row r="5665" spans="1:9" x14ac:dyDescent="0.25">
      <c r="A5665" t="s">
        <v>3097</v>
      </c>
      <c r="B5665" t="s">
        <v>3098</v>
      </c>
      <c r="C5665" t="s">
        <v>231</v>
      </c>
      <c r="D5665" t="s">
        <v>4049</v>
      </c>
      <c r="E5665" t="s">
        <v>7097</v>
      </c>
      <c r="F5665" t="s">
        <v>7098</v>
      </c>
      <c r="G5665">
        <v>1</v>
      </c>
      <c r="H5665" s="2">
        <v>146.18</v>
      </c>
      <c r="I5665" s="2">
        <v>146.18</v>
      </c>
    </row>
    <row r="5666" spans="1:9" x14ac:dyDescent="0.25">
      <c r="A5666" t="s">
        <v>3097</v>
      </c>
      <c r="B5666" t="s">
        <v>3098</v>
      </c>
      <c r="C5666" t="s">
        <v>231</v>
      </c>
      <c r="D5666" t="s">
        <v>4052</v>
      </c>
      <c r="E5666" t="s">
        <v>7099</v>
      </c>
      <c r="F5666" t="s">
        <v>4106</v>
      </c>
      <c r="G5666">
        <v>0</v>
      </c>
      <c r="H5666" s="2">
        <v>147140</v>
      </c>
      <c r="I5666" s="2">
        <v>147.14</v>
      </c>
    </row>
    <row r="5667" spans="1:9" x14ac:dyDescent="0.25">
      <c r="A5667" t="s">
        <v>3097</v>
      </c>
      <c r="B5667" t="s">
        <v>3098</v>
      </c>
      <c r="C5667" t="s">
        <v>231</v>
      </c>
      <c r="D5667" t="s">
        <v>4052</v>
      </c>
      <c r="E5667" t="s">
        <v>7100</v>
      </c>
      <c r="F5667" t="s">
        <v>287</v>
      </c>
      <c r="G5667">
        <v>0</v>
      </c>
      <c r="H5667" s="2">
        <v>326171.09</v>
      </c>
      <c r="I5667" s="2">
        <v>652.34</v>
      </c>
    </row>
    <row r="5668" spans="1:9" x14ac:dyDescent="0.25">
      <c r="A5668" t="s">
        <v>3097</v>
      </c>
      <c r="B5668" t="s">
        <v>3098</v>
      </c>
      <c r="C5668" t="s">
        <v>231</v>
      </c>
      <c r="D5668" t="s">
        <v>4052</v>
      </c>
      <c r="E5668" t="s">
        <v>4053</v>
      </c>
      <c r="F5668" t="s">
        <v>4054</v>
      </c>
      <c r="G5668">
        <v>1</v>
      </c>
      <c r="H5668" s="2">
        <v>97.13</v>
      </c>
      <c r="I5668" s="2">
        <v>0.97</v>
      </c>
    </row>
    <row r="5669" spans="1:9" x14ac:dyDescent="0.25">
      <c r="A5669" t="s">
        <v>3101</v>
      </c>
      <c r="B5669" t="s">
        <v>3102</v>
      </c>
      <c r="C5669" t="s">
        <v>42</v>
      </c>
      <c r="D5669" t="s">
        <v>4049</v>
      </c>
      <c r="E5669" t="s">
        <v>4176</v>
      </c>
      <c r="F5669" t="s">
        <v>4177</v>
      </c>
      <c r="G5669">
        <v>0.05</v>
      </c>
      <c r="H5669" s="2">
        <v>72300.17</v>
      </c>
      <c r="I5669" s="2">
        <v>3615.01</v>
      </c>
    </row>
    <row r="5670" spans="1:9" x14ac:dyDescent="0.25">
      <c r="A5670" t="s">
        <v>3101</v>
      </c>
      <c r="B5670" t="s">
        <v>3102</v>
      </c>
      <c r="C5670" t="s">
        <v>42</v>
      </c>
      <c r="D5670" t="s">
        <v>4052</v>
      </c>
      <c r="E5670" t="s">
        <v>4053</v>
      </c>
      <c r="F5670" t="s">
        <v>4054</v>
      </c>
      <c r="G5670">
        <v>5</v>
      </c>
      <c r="H5670" s="2">
        <v>3615.01</v>
      </c>
      <c r="I5670" s="2">
        <v>180.75</v>
      </c>
    </row>
    <row r="5671" spans="1:9" x14ac:dyDescent="0.25">
      <c r="A5671" t="s">
        <v>3105</v>
      </c>
      <c r="B5671" t="s">
        <v>3106</v>
      </c>
      <c r="C5671" t="s">
        <v>63</v>
      </c>
      <c r="D5671" t="s">
        <v>4062</v>
      </c>
      <c r="E5671" t="s">
        <v>7059</v>
      </c>
      <c r="F5671" t="s">
        <v>34</v>
      </c>
      <c r="G5671">
        <v>2</v>
      </c>
      <c r="H5671" s="2">
        <v>40100</v>
      </c>
      <c r="I5671" s="2">
        <v>80200</v>
      </c>
    </row>
    <row r="5672" spans="1:9" x14ac:dyDescent="0.25">
      <c r="A5672" t="s">
        <v>3105</v>
      </c>
      <c r="B5672" t="s">
        <v>3106</v>
      </c>
      <c r="C5672" t="s">
        <v>63</v>
      </c>
      <c r="D5672" t="s">
        <v>4062</v>
      </c>
      <c r="E5672" t="s">
        <v>7105</v>
      </c>
      <c r="F5672" t="s">
        <v>21</v>
      </c>
      <c r="G5672">
        <v>4</v>
      </c>
      <c r="H5672" s="2">
        <v>1121</v>
      </c>
      <c r="I5672" s="2">
        <v>4484</v>
      </c>
    </row>
    <row r="5673" spans="1:9" x14ac:dyDescent="0.25">
      <c r="A5673" t="s">
        <v>3105</v>
      </c>
      <c r="B5673" t="s">
        <v>3106</v>
      </c>
      <c r="C5673" t="s">
        <v>63</v>
      </c>
      <c r="D5673" t="s">
        <v>4062</v>
      </c>
      <c r="E5673" t="s">
        <v>7106</v>
      </c>
      <c r="F5673" t="s">
        <v>231</v>
      </c>
      <c r="G5673">
        <v>1</v>
      </c>
      <c r="H5673" s="2">
        <v>5233.33</v>
      </c>
      <c r="I5673" s="2">
        <v>5233.33</v>
      </c>
    </row>
    <row r="5674" spans="1:9" x14ac:dyDescent="0.25">
      <c r="A5674" t="s">
        <v>3105</v>
      </c>
      <c r="B5674" t="s">
        <v>3106</v>
      </c>
      <c r="C5674" t="s">
        <v>63</v>
      </c>
      <c r="D5674" t="s">
        <v>4049</v>
      </c>
      <c r="E5674" t="s">
        <v>4176</v>
      </c>
      <c r="F5674" t="s">
        <v>4177</v>
      </c>
      <c r="G5674">
        <v>0.5</v>
      </c>
      <c r="H5674" s="2">
        <v>72300.17</v>
      </c>
      <c r="I5674" s="2">
        <v>36150.08</v>
      </c>
    </row>
    <row r="5675" spans="1:9" x14ac:dyDescent="0.25">
      <c r="A5675" t="s">
        <v>3105</v>
      </c>
      <c r="B5675" t="s">
        <v>3106</v>
      </c>
      <c r="C5675" t="s">
        <v>63</v>
      </c>
      <c r="D5675" t="s">
        <v>4052</v>
      </c>
      <c r="E5675" t="s">
        <v>4084</v>
      </c>
      <c r="F5675" t="s">
        <v>287</v>
      </c>
      <c r="G5675">
        <v>1</v>
      </c>
      <c r="H5675" s="2">
        <v>145366.67</v>
      </c>
      <c r="I5675" s="2">
        <v>145366.67</v>
      </c>
    </row>
    <row r="5676" spans="1:9" x14ac:dyDescent="0.25">
      <c r="A5676" t="s">
        <v>3105</v>
      </c>
      <c r="B5676" t="s">
        <v>3106</v>
      </c>
      <c r="C5676" t="s">
        <v>63</v>
      </c>
      <c r="D5676" t="s">
        <v>4052</v>
      </c>
      <c r="E5676" t="s">
        <v>4053</v>
      </c>
      <c r="F5676" t="s">
        <v>4054</v>
      </c>
      <c r="G5676">
        <v>6.7</v>
      </c>
      <c r="H5676" s="2">
        <v>36150.08</v>
      </c>
      <c r="I5676" s="2">
        <v>2422.06</v>
      </c>
    </row>
    <row r="5677" spans="1:9" x14ac:dyDescent="0.25">
      <c r="A5677" t="s">
        <v>3108</v>
      </c>
      <c r="B5677" t="s">
        <v>3110</v>
      </c>
      <c r="C5677" t="s">
        <v>34</v>
      </c>
      <c r="D5677" t="s">
        <v>4049</v>
      </c>
      <c r="E5677" t="s">
        <v>4176</v>
      </c>
      <c r="F5677" t="s">
        <v>4177</v>
      </c>
      <c r="G5677">
        <v>0</v>
      </c>
      <c r="H5677" s="2">
        <v>72300.17</v>
      </c>
      <c r="I5677" s="2">
        <v>151.83</v>
      </c>
    </row>
    <row r="5678" spans="1:9" x14ac:dyDescent="0.25">
      <c r="A5678" t="s">
        <v>3108</v>
      </c>
      <c r="B5678" t="s">
        <v>3110</v>
      </c>
      <c r="C5678" t="s">
        <v>34</v>
      </c>
      <c r="D5678" t="s">
        <v>4052</v>
      </c>
      <c r="E5678" t="s">
        <v>4305</v>
      </c>
      <c r="F5678" t="s">
        <v>287</v>
      </c>
      <c r="G5678">
        <v>0.02</v>
      </c>
      <c r="H5678" s="2">
        <v>166043.14</v>
      </c>
      <c r="I5678" s="2">
        <v>3320.86</v>
      </c>
    </row>
    <row r="5679" spans="1:9" x14ac:dyDescent="0.25">
      <c r="A5679" t="s">
        <v>3113</v>
      </c>
      <c r="B5679" t="s">
        <v>349</v>
      </c>
      <c r="C5679" t="s">
        <v>34</v>
      </c>
      <c r="D5679" t="s">
        <v>4049</v>
      </c>
      <c r="E5679" t="s">
        <v>4176</v>
      </c>
      <c r="F5679" t="s">
        <v>4177</v>
      </c>
      <c r="G5679">
        <v>0.01</v>
      </c>
      <c r="H5679" s="2">
        <v>72300.17</v>
      </c>
      <c r="I5679" s="2">
        <v>361.5</v>
      </c>
    </row>
    <row r="5680" spans="1:9" x14ac:dyDescent="0.25">
      <c r="A5680" t="s">
        <v>3113</v>
      </c>
      <c r="B5680" t="s">
        <v>349</v>
      </c>
      <c r="C5680" t="s">
        <v>34</v>
      </c>
      <c r="D5680" t="s">
        <v>4049</v>
      </c>
      <c r="E5680" t="s">
        <v>4304</v>
      </c>
      <c r="F5680" t="s">
        <v>4177</v>
      </c>
      <c r="G5680">
        <v>0.01</v>
      </c>
      <c r="H5680" s="2">
        <v>50188.55</v>
      </c>
      <c r="I5680" s="2">
        <v>250.94</v>
      </c>
    </row>
    <row r="5681" spans="1:9" x14ac:dyDescent="0.25">
      <c r="A5681" t="s">
        <v>3113</v>
      </c>
      <c r="B5681" t="s">
        <v>349</v>
      </c>
      <c r="C5681" t="s">
        <v>34</v>
      </c>
      <c r="D5681" t="s">
        <v>4052</v>
      </c>
      <c r="E5681" t="s">
        <v>4306</v>
      </c>
      <c r="F5681" t="s">
        <v>287</v>
      </c>
      <c r="G5681">
        <v>0.08</v>
      </c>
      <c r="H5681" s="2">
        <v>155433.33</v>
      </c>
      <c r="I5681" s="2">
        <v>12434.67</v>
      </c>
    </row>
    <row r="5682" spans="1:9" x14ac:dyDescent="0.25">
      <c r="A5682" t="s">
        <v>3113</v>
      </c>
      <c r="B5682" t="s">
        <v>349</v>
      </c>
      <c r="C5682" t="s">
        <v>34</v>
      </c>
      <c r="D5682" t="s">
        <v>4052</v>
      </c>
      <c r="E5682" t="s">
        <v>4053</v>
      </c>
      <c r="F5682" t="s">
        <v>4054</v>
      </c>
      <c r="G5682">
        <v>0.7</v>
      </c>
      <c r="H5682" s="2">
        <v>612.44</v>
      </c>
      <c r="I5682" s="2">
        <v>4.29</v>
      </c>
    </row>
    <row r="5683" spans="1:9" x14ac:dyDescent="0.25">
      <c r="A5683" t="s">
        <v>3113</v>
      </c>
      <c r="B5683" t="s">
        <v>349</v>
      </c>
      <c r="C5683" t="s">
        <v>34</v>
      </c>
      <c r="D5683" t="s">
        <v>4058</v>
      </c>
      <c r="E5683" t="s">
        <v>4307</v>
      </c>
      <c r="F5683" t="s">
        <v>34</v>
      </c>
      <c r="G5683">
        <v>1</v>
      </c>
      <c r="H5683" s="2">
        <v>1250</v>
      </c>
      <c r="I5683" s="2">
        <v>1250</v>
      </c>
    </row>
    <row r="5684" spans="1:9" x14ac:dyDescent="0.25">
      <c r="A5684" t="s">
        <v>3115</v>
      </c>
      <c r="B5684" t="s">
        <v>355</v>
      </c>
      <c r="C5684" t="s">
        <v>34</v>
      </c>
      <c r="D5684" t="s">
        <v>4052</v>
      </c>
      <c r="E5684" t="s">
        <v>4306</v>
      </c>
      <c r="F5684" t="s">
        <v>287</v>
      </c>
      <c r="G5684">
        <v>0.03</v>
      </c>
      <c r="H5684" s="2">
        <v>155433.33</v>
      </c>
      <c r="I5684" s="2">
        <v>5175.93</v>
      </c>
    </row>
    <row r="5685" spans="1:9" x14ac:dyDescent="0.25">
      <c r="A5685" t="s">
        <v>3115</v>
      </c>
      <c r="B5685" t="s">
        <v>355</v>
      </c>
      <c r="C5685" t="s">
        <v>34</v>
      </c>
      <c r="D5685" t="s">
        <v>4058</v>
      </c>
      <c r="E5685" t="s">
        <v>4314</v>
      </c>
      <c r="F5685" t="s">
        <v>34</v>
      </c>
      <c r="G5685">
        <v>0.1</v>
      </c>
      <c r="H5685" s="2">
        <v>63714</v>
      </c>
      <c r="I5685" s="2">
        <v>6371.4</v>
      </c>
    </row>
    <row r="5686" spans="1:9" x14ac:dyDescent="0.25">
      <c r="A5686" t="s">
        <v>3117</v>
      </c>
      <c r="B5686" t="s">
        <v>3118</v>
      </c>
      <c r="C5686" t="s">
        <v>34</v>
      </c>
      <c r="D5686" t="s">
        <v>4062</v>
      </c>
      <c r="E5686" t="s">
        <v>7116</v>
      </c>
      <c r="F5686" t="s">
        <v>42</v>
      </c>
      <c r="G5686">
        <v>3</v>
      </c>
      <c r="H5686" s="2">
        <v>1321</v>
      </c>
      <c r="I5686" s="2">
        <v>3963</v>
      </c>
    </row>
    <row r="5687" spans="1:9" x14ac:dyDescent="0.25">
      <c r="A5687" t="s">
        <v>3117</v>
      </c>
      <c r="B5687" t="s">
        <v>3118</v>
      </c>
      <c r="C5687" t="s">
        <v>34</v>
      </c>
      <c r="D5687" t="s">
        <v>4062</v>
      </c>
      <c r="E5687" t="s">
        <v>7117</v>
      </c>
      <c r="F5687" t="s">
        <v>63</v>
      </c>
      <c r="G5687">
        <v>1</v>
      </c>
      <c r="H5687" s="2">
        <v>47788.31</v>
      </c>
      <c r="I5687" s="2">
        <v>47788.31</v>
      </c>
    </row>
    <row r="5688" spans="1:9" x14ac:dyDescent="0.25">
      <c r="A5688" t="s">
        <v>3117</v>
      </c>
      <c r="B5688" t="s">
        <v>3118</v>
      </c>
      <c r="C5688" t="s">
        <v>34</v>
      </c>
      <c r="D5688" t="s">
        <v>4062</v>
      </c>
      <c r="E5688" t="s">
        <v>7118</v>
      </c>
      <c r="F5688" t="s">
        <v>231</v>
      </c>
      <c r="G5688">
        <v>2</v>
      </c>
      <c r="H5688" s="2">
        <v>13756</v>
      </c>
      <c r="I5688" s="2">
        <v>27512</v>
      </c>
    </row>
    <row r="5689" spans="1:9" x14ac:dyDescent="0.25">
      <c r="A5689" t="s">
        <v>3117</v>
      </c>
      <c r="B5689" t="s">
        <v>3118</v>
      </c>
      <c r="C5689" t="s">
        <v>34</v>
      </c>
      <c r="D5689" t="s">
        <v>4049</v>
      </c>
      <c r="E5689" t="s">
        <v>4123</v>
      </c>
      <c r="F5689" t="s">
        <v>287</v>
      </c>
      <c r="G5689">
        <v>0.1</v>
      </c>
      <c r="H5689" s="2">
        <v>62400</v>
      </c>
      <c r="I5689" s="2">
        <v>6240</v>
      </c>
    </row>
    <row r="5690" spans="1:9" x14ac:dyDescent="0.25">
      <c r="A5690" t="s">
        <v>3117</v>
      </c>
      <c r="B5690" t="s">
        <v>3118</v>
      </c>
      <c r="C5690" t="s">
        <v>34</v>
      </c>
      <c r="D5690" t="s">
        <v>4049</v>
      </c>
      <c r="E5690" t="s">
        <v>4176</v>
      </c>
      <c r="F5690" t="s">
        <v>4177</v>
      </c>
      <c r="G5690">
        <v>0.5</v>
      </c>
      <c r="H5690" s="2">
        <v>72300.17</v>
      </c>
      <c r="I5690" s="2">
        <v>36150.08</v>
      </c>
    </row>
    <row r="5691" spans="1:9" x14ac:dyDescent="0.25">
      <c r="A5691" t="s">
        <v>3117</v>
      </c>
      <c r="B5691" t="s">
        <v>3118</v>
      </c>
      <c r="C5691" t="s">
        <v>34</v>
      </c>
      <c r="D5691" t="s">
        <v>4049</v>
      </c>
      <c r="E5691" t="s">
        <v>7119</v>
      </c>
      <c r="F5691" t="s">
        <v>4177</v>
      </c>
      <c r="G5691">
        <v>0.1</v>
      </c>
      <c r="H5691" s="2">
        <v>124137.15</v>
      </c>
      <c r="I5691" s="2">
        <v>12413.72</v>
      </c>
    </row>
    <row r="5692" spans="1:9" x14ac:dyDescent="0.25">
      <c r="A5692" t="s">
        <v>3117</v>
      </c>
      <c r="B5692" t="s">
        <v>3118</v>
      </c>
      <c r="C5692" t="s">
        <v>34</v>
      </c>
      <c r="D5692" t="s">
        <v>4052</v>
      </c>
      <c r="E5692" t="s">
        <v>4053</v>
      </c>
      <c r="F5692" t="s">
        <v>4054</v>
      </c>
      <c r="G5692">
        <v>3.3</v>
      </c>
      <c r="H5692" s="2">
        <v>48563.8</v>
      </c>
      <c r="I5692" s="2">
        <v>1602.61</v>
      </c>
    </row>
    <row r="5693" spans="1:9" x14ac:dyDescent="0.25">
      <c r="A5693" t="s">
        <v>3121</v>
      </c>
      <c r="B5693" t="s">
        <v>3122</v>
      </c>
      <c r="C5693" t="s">
        <v>34</v>
      </c>
      <c r="D5693" t="s">
        <v>4049</v>
      </c>
      <c r="E5693" t="s">
        <v>4176</v>
      </c>
      <c r="F5693" t="s">
        <v>4177</v>
      </c>
      <c r="G5693">
        <v>0</v>
      </c>
      <c r="H5693" s="2">
        <v>72300.17</v>
      </c>
      <c r="I5693" s="2">
        <v>137.37</v>
      </c>
    </row>
    <row r="5694" spans="1:9" x14ac:dyDescent="0.25">
      <c r="A5694" t="s">
        <v>3121</v>
      </c>
      <c r="B5694" t="s">
        <v>3122</v>
      </c>
      <c r="C5694" t="s">
        <v>34</v>
      </c>
      <c r="D5694" t="s">
        <v>4049</v>
      </c>
      <c r="E5694" t="s">
        <v>4304</v>
      </c>
      <c r="F5694" t="s">
        <v>4177</v>
      </c>
      <c r="G5694">
        <v>0</v>
      </c>
      <c r="H5694" s="2">
        <v>50188.55</v>
      </c>
      <c r="I5694" s="2">
        <v>95.36</v>
      </c>
    </row>
    <row r="5695" spans="1:9" x14ac:dyDescent="0.25">
      <c r="A5695" t="s">
        <v>3121</v>
      </c>
      <c r="B5695" t="s">
        <v>3122</v>
      </c>
      <c r="C5695" t="s">
        <v>34</v>
      </c>
      <c r="D5695" t="s">
        <v>4052</v>
      </c>
      <c r="E5695" t="s">
        <v>4317</v>
      </c>
      <c r="F5695" t="s">
        <v>287</v>
      </c>
      <c r="G5695">
        <v>0.15</v>
      </c>
      <c r="H5695" s="2">
        <v>280401.54</v>
      </c>
      <c r="I5695" s="2">
        <v>42060.23</v>
      </c>
    </row>
    <row r="5696" spans="1:9" x14ac:dyDescent="0.25">
      <c r="A5696" t="s">
        <v>3121</v>
      </c>
      <c r="B5696" t="s">
        <v>3122</v>
      </c>
      <c r="C5696" t="s">
        <v>34</v>
      </c>
      <c r="D5696" t="s">
        <v>4052</v>
      </c>
      <c r="E5696" t="s">
        <v>4306</v>
      </c>
      <c r="F5696" t="s">
        <v>287</v>
      </c>
      <c r="G5696">
        <v>0.15</v>
      </c>
      <c r="H5696" s="2">
        <v>155433.33</v>
      </c>
      <c r="I5696" s="2">
        <v>23315</v>
      </c>
    </row>
    <row r="5697" spans="1:9" x14ac:dyDescent="0.25">
      <c r="A5697" t="s">
        <v>3121</v>
      </c>
      <c r="B5697" t="s">
        <v>3122</v>
      </c>
      <c r="C5697" t="s">
        <v>34</v>
      </c>
      <c r="D5697" t="s">
        <v>4052</v>
      </c>
      <c r="E5697" t="s">
        <v>4053</v>
      </c>
      <c r="F5697" t="s">
        <v>4054</v>
      </c>
      <c r="G5697">
        <v>1</v>
      </c>
      <c r="H5697" s="2">
        <v>65607.96</v>
      </c>
      <c r="I5697" s="2">
        <v>656.08</v>
      </c>
    </row>
    <row r="5698" spans="1:9" x14ac:dyDescent="0.25">
      <c r="A5698" t="s">
        <v>3124</v>
      </c>
      <c r="B5698" t="s">
        <v>3125</v>
      </c>
      <c r="C5698" t="s">
        <v>34</v>
      </c>
      <c r="D5698" t="s">
        <v>4062</v>
      </c>
      <c r="E5698" t="s">
        <v>7116</v>
      </c>
      <c r="F5698" t="s">
        <v>42</v>
      </c>
      <c r="G5698">
        <v>3</v>
      </c>
      <c r="H5698" s="2">
        <v>1321</v>
      </c>
      <c r="I5698" s="2">
        <v>3963</v>
      </c>
    </row>
    <row r="5699" spans="1:9" x14ac:dyDescent="0.25">
      <c r="A5699" t="s">
        <v>3124</v>
      </c>
      <c r="B5699" t="s">
        <v>3125</v>
      </c>
      <c r="C5699" t="s">
        <v>34</v>
      </c>
      <c r="D5699" t="s">
        <v>4062</v>
      </c>
      <c r="E5699" t="s">
        <v>7118</v>
      </c>
      <c r="F5699" t="s">
        <v>231</v>
      </c>
      <c r="G5699">
        <v>1</v>
      </c>
      <c r="H5699" s="2">
        <v>13756</v>
      </c>
      <c r="I5699" s="2">
        <v>13756</v>
      </c>
    </row>
    <row r="5700" spans="1:9" x14ac:dyDescent="0.25">
      <c r="A5700" t="s">
        <v>3124</v>
      </c>
      <c r="B5700" t="s">
        <v>3125</v>
      </c>
      <c r="C5700" t="s">
        <v>34</v>
      </c>
      <c r="D5700" t="s">
        <v>4049</v>
      </c>
      <c r="E5700" t="s">
        <v>4176</v>
      </c>
      <c r="F5700" t="s">
        <v>4177</v>
      </c>
      <c r="G5700">
        <v>0.1</v>
      </c>
      <c r="H5700" s="2">
        <v>72300.17</v>
      </c>
      <c r="I5700" s="2">
        <v>7230.02</v>
      </c>
    </row>
    <row r="5701" spans="1:9" x14ac:dyDescent="0.25">
      <c r="A5701" t="s">
        <v>3124</v>
      </c>
      <c r="B5701" t="s">
        <v>3125</v>
      </c>
      <c r="C5701" t="s">
        <v>34</v>
      </c>
      <c r="D5701" t="s">
        <v>4049</v>
      </c>
      <c r="E5701" t="s">
        <v>7119</v>
      </c>
      <c r="F5701" t="s">
        <v>4177</v>
      </c>
      <c r="G5701">
        <v>0.1</v>
      </c>
      <c r="H5701" s="2">
        <v>124137.15</v>
      </c>
      <c r="I5701" s="2">
        <v>12413.72</v>
      </c>
    </row>
    <row r="5702" spans="1:9" x14ac:dyDescent="0.25">
      <c r="A5702" t="s">
        <v>3124</v>
      </c>
      <c r="B5702" t="s">
        <v>3125</v>
      </c>
      <c r="C5702" t="s">
        <v>34</v>
      </c>
      <c r="D5702" t="s">
        <v>4052</v>
      </c>
      <c r="E5702" t="s">
        <v>4305</v>
      </c>
      <c r="F5702" t="s">
        <v>287</v>
      </c>
      <c r="G5702">
        <v>0.08</v>
      </c>
      <c r="H5702" s="2">
        <v>166043.14</v>
      </c>
      <c r="I5702" s="2">
        <v>13831.39</v>
      </c>
    </row>
    <row r="5703" spans="1:9" x14ac:dyDescent="0.25">
      <c r="A5703" t="s">
        <v>3124</v>
      </c>
      <c r="B5703" t="s">
        <v>3125</v>
      </c>
      <c r="C5703" t="s">
        <v>34</v>
      </c>
      <c r="D5703" t="s">
        <v>4052</v>
      </c>
      <c r="E5703" t="s">
        <v>4084</v>
      </c>
      <c r="F5703" t="s">
        <v>287</v>
      </c>
      <c r="G5703">
        <v>0.07</v>
      </c>
      <c r="H5703" s="2">
        <v>145366.67</v>
      </c>
      <c r="I5703" s="2">
        <v>9695.96</v>
      </c>
    </row>
    <row r="5704" spans="1:9" x14ac:dyDescent="0.25">
      <c r="A5704" t="s">
        <v>3124</v>
      </c>
      <c r="B5704" t="s">
        <v>3125</v>
      </c>
      <c r="C5704" t="s">
        <v>34</v>
      </c>
      <c r="D5704" t="s">
        <v>4052</v>
      </c>
      <c r="E5704" t="s">
        <v>4123</v>
      </c>
      <c r="F5704" t="s">
        <v>287</v>
      </c>
      <c r="G5704">
        <v>0.08</v>
      </c>
      <c r="H5704" s="2">
        <v>62400</v>
      </c>
      <c r="I5704" s="2">
        <v>5197.92</v>
      </c>
    </row>
    <row r="5705" spans="1:9" x14ac:dyDescent="0.25">
      <c r="A5705" t="s">
        <v>3124</v>
      </c>
      <c r="B5705" t="s">
        <v>3125</v>
      </c>
      <c r="C5705" t="s">
        <v>34</v>
      </c>
      <c r="D5705" t="s">
        <v>4052</v>
      </c>
      <c r="E5705" t="s">
        <v>4053</v>
      </c>
      <c r="F5705" t="s">
        <v>4054</v>
      </c>
      <c r="G5705">
        <v>7.5</v>
      </c>
      <c r="H5705" s="2">
        <v>19643.74</v>
      </c>
      <c r="I5705" s="2">
        <v>1473.28</v>
      </c>
    </row>
    <row r="5706" spans="1:9" x14ac:dyDescent="0.25">
      <c r="A5706" t="s">
        <v>3124</v>
      </c>
      <c r="B5706" t="s">
        <v>3125</v>
      </c>
      <c r="C5706" t="s">
        <v>34</v>
      </c>
      <c r="D5706" t="s">
        <v>4058</v>
      </c>
      <c r="E5706" t="s">
        <v>4314</v>
      </c>
      <c r="F5706" t="s">
        <v>34</v>
      </c>
      <c r="G5706">
        <v>0.07</v>
      </c>
      <c r="H5706" s="2">
        <v>63714</v>
      </c>
      <c r="I5706" s="2">
        <v>4249.72</v>
      </c>
    </row>
    <row r="5707" spans="1:9" x14ac:dyDescent="0.25">
      <c r="A5707" t="s">
        <v>3127</v>
      </c>
      <c r="B5707" t="s">
        <v>3128</v>
      </c>
      <c r="C5707" t="s">
        <v>34</v>
      </c>
      <c r="D5707" t="s">
        <v>4049</v>
      </c>
      <c r="E5707" t="s">
        <v>4176</v>
      </c>
      <c r="F5707" t="s">
        <v>4177</v>
      </c>
      <c r="G5707">
        <v>0</v>
      </c>
      <c r="H5707" s="2">
        <v>72300.17</v>
      </c>
      <c r="I5707" s="2">
        <v>303.66</v>
      </c>
    </row>
    <row r="5708" spans="1:9" x14ac:dyDescent="0.25">
      <c r="A5708" t="s">
        <v>3127</v>
      </c>
      <c r="B5708" t="s">
        <v>3128</v>
      </c>
      <c r="C5708" t="s">
        <v>34</v>
      </c>
      <c r="D5708" t="s">
        <v>4052</v>
      </c>
      <c r="E5708" t="s">
        <v>4118</v>
      </c>
      <c r="F5708" t="s">
        <v>287</v>
      </c>
      <c r="G5708">
        <v>0.04</v>
      </c>
      <c r="H5708" s="2">
        <v>107433.33</v>
      </c>
      <c r="I5708" s="2">
        <v>4512.2</v>
      </c>
    </row>
    <row r="5709" spans="1:9" x14ac:dyDescent="0.25">
      <c r="A5709" t="s">
        <v>3127</v>
      </c>
      <c r="B5709" t="s">
        <v>3128</v>
      </c>
      <c r="C5709" t="s">
        <v>34</v>
      </c>
      <c r="D5709" t="s">
        <v>4052</v>
      </c>
      <c r="E5709" t="s">
        <v>4053</v>
      </c>
      <c r="F5709" t="s">
        <v>4054</v>
      </c>
      <c r="G5709">
        <v>3.3</v>
      </c>
      <c r="H5709" s="2">
        <v>303.66</v>
      </c>
      <c r="I5709" s="2">
        <v>10.02</v>
      </c>
    </row>
    <row r="5710" spans="1:9" x14ac:dyDescent="0.25">
      <c r="A5710" t="s">
        <v>3127</v>
      </c>
      <c r="B5710" t="s">
        <v>3128</v>
      </c>
      <c r="C5710" t="s">
        <v>34</v>
      </c>
      <c r="D5710" t="s">
        <v>4058</v>
      </c>
      <c r="E5710" t="s">
        <v>4059</v>
      </c>
      <c r="F5710" t="s">
        <v>3545</v>
      </c>
      <c r="G5710">
        <v>6.5</v>
      </c>
      <c r="H5710" s="2">
        <v>1325</v>
      </c>
      <c r="I5710" s="2">
        <v>8612.5</v>
      </c>
    </row>
    <row r="5711" spans="1:9" x14ac:dyDescent="0.25">
      <c r="A5711" t="s">
        <v>3130</v>
      </c>
      <c r="B5711" t="s">
        <v>3131</v>
      </c>
      <c r="C5711" t="s">
        <v>34</v>
      </c>
      <c r="D5711" t="s">
        <v>4062</v>
      </c>
      <c r="E5711" t="s">
        <v>4921</v>
      </c>
      <c r="F5711" t="s">
        <v>63</v>
      </c>
      <c r="G5711">
        <v>1</v>
      </c>
      <c r="H5711" s="2">
        <v>426.33</v>
      </c>
      <c r="I5711" s="2">
        <v>426.33</v>
      </c>
    </row>
    <row r="5712" spans="1:9" x14ac:dyDescent="0.25">
      <c r="A5712" t="s">
        <v>3130</v>
      </c>
      <c r="B5712" t="s">
        <v>3131</v>
      </c>
      <c r="C5712" t="s">
        <v>34</v>
      </c>
      <c r="D5712" t="s">
        <v>4062</v>
      </c>
      <c r="E5712" t="s">
        <v>7116</v>
      </c>
      <c r="F5712" t="s">
        <v>42</v>
      </c>
      <c r="G5712">
        <v>2</v>
      </c>
      <c r="H5712" s="2">
        <v>1321</v>
      </c>
      <c r="I5712" s="2">
        <v>2642</v>
      </c>
    </row>
    <row r="5713" spans="1:9" x14ac:dyDescent="0.25">
      <c r="A5713" t="s">
        <v>3130</v>
      </c>
      <c r="B5713" t="s">
        <v>3131</v>
      </c>
      <c r="C5713" t="s">
        <v>34</v>
      </c>
      <c r="D5713" t="s">
        <v>4062</v>
      </c>
      <c r="E5713" t="s">
        <v>7118</v>
      </c>
      <c r="F5713" t="s">
        <v>231</v>
      </c>
      <c r="G5713">
        <v>0.13</v>
      </c>
      <c r="H5713" s="2">
        <v>13756</v>
      </c>
      <c r="I5713" s="2">
        <v>1719.5</v>
      </c>
    </row>
    <row r="5714" spans="1:9" x14ac:dyDescent="0.25">
      <c r="A5714" t="s">
        <v>3130</v>
      </c>
      <c r="B5714" t="s">
        <v>3131</v>
      </c>
      <c r="C5714" t="s">
        <v>34</v>
      </c>
      <c r="D5714" t="s">
        <v>4062</v>
      </c>
      <c r="E5714" t="s">
        <v>7128</v>
      </c>
      <c r="F5714" t="s">
        <v>42</v>
      </c>
      <c r="G5714">
        <v>0.5</v>
      </c>
      <c r="H5714" s="2">
        <v>761.5</v>
      </c>
      <c r="I5714" s="2">
        <v>380.75</v>
      </c>
    </row>
    <row r="5715" spans="1:9" x14ac:dyDescent="0.25">
      <c r="A5715" t="s">
        <v>3130</v>
      </c>
      <c r="B5715" t="s">
        <v>3131</v>
      </c>
      <c r="C5715" t="s">
        <v>34</v>
      </c>
      <c r="D5715" t="s">
        <v>4049</v>
      </c>
      <c r="E5715" t="s">
        <v>4176</v>
      </c>
      <c r="F5715" t="s">
        <v>4177</v>
      </c>
      <c r="G5715">
        <v>0.5</v>
      </c>
      <c r="H5715" s="2">
        <v>72300.17</v>
      </c>
      <c r="I5715" s="2">
        <v>36150.08</v>
      </c>
    </row>
    <row r="5716" spans="1:9" x14ac:dyDescent="0.25">
      <c r="A5716" t="s">
        <v>3130</v>
      </c>
      <c r="B5716" t="s">
        <v>3131</v>
      </c>
      <c r="C5716" t="s">
        <v>34</v>
      </c>
      <c r="D5716" t="s">
        <v>4049</v>
      </c>
      <c r="E5716" t="s">
        <v>4313</v>
      </c>
      <c r="F5716" t="s">
        <v>4177</v>
      </c>
      <c r="G5716">
        <v>0.3</v>
      </c>
      <c r="H5716" s="2">
        <v>124137.15</v>
      </c>
      <c r="I5716" s="2">
        <v>37241.14</v>
      </c>
    </row>
    <row r="5717" spans="1:9" x14ac:dyDescent="0.25">
      <c r="A5717" t="s">
        <v>3130</v>
      </c>
      <c r="B5717" t="s">
        <v>3131</v>
      </c>
      <c r="C5717" t="s">
        <v>34</v>
      </c>
      <c r="D5717" t="s">
        <v>4052</v>
      </c>
      <c r="E5717" t="s">
        <v>4123</v>
      </c>
      <c r="F5717" t="s">
        <v>287</v>
      </c>
      <c r="G5717">
        <v>0.4</v>
      </c>
      <c r="H5717" s="2">
        <v>62400</v>
      </c>
      <c r="I5717" s="2">
        <v>24960</v>
      </c>
    </row>
    <row r="5718" spans="1:9" x14ac:dyDescent="0.25">
      <c r="A5718" t="s">
        <v>3130</v>
      </c>
      <c r="B5718" t="s">
        <v>3131</v>
      </c>
      <c r="C5718" t="s">
        <v>34</v>
      </c>
      <c r="D5718" t="s">
        <v>4052</v>
      </c>
      <c r="E5718" t="s">
        <v>7129</v>
      </c>
      <c r="F5718" t="s">
        <v>287</v>
      </c>
      <c r="G5718">
        <v>0.13</v>
      </c>
      <c r="H5718" s="2">
        <v>9929.67</v>
      </c>
      <c r="I5718" s="2">
        <v>1241.21</v>
      </c>
    </row>
    <row r="5719" spans="1:9" x14ac:dyDescent="0.25">
      <c r="A5719" t="s">
        <v>3130</v>
      </c>
      <c r="B5719" t="s">
        <v>3131</v>
      </c>
      <c r="C5719" t="s">
        <v>34</v>
      </c>
      <c r="D5719" t="s">
        <v>4052</v>
      </c>
      <c r="E5719" t="s">
        <v>4306</v>
      </c>
      <c r="F5719" t="s">
        <v>287</v>
      </c>
      <c r="G5719">
        <v>0.01</v>
      </c>
      <c r="H5719" s="2">
        <v>155433.33</v>
      </c>
      <c r="I5719" s="2">
        <v>1554.33</v>
      </c>
    </row>
    <row r="5720" spans="1:9" x14ac:dyDescent="0.25">
      <c r="A5720" t="s">
        <v>3130</v>
      </c>
      <c r="B5720" t="s">
        <v>3131</v>
      </c>
      <c r="C5720" t="s">
        <v>34</v>
      </c>
      <c r="D5720" t="s">
        <v>4052</v>
      </c>
      <c r="E5720" t="s">
        <v>4053</v>
      </c>
      <c r="F5720" t="s">
        <v>4054</v>
      </c>
      <c r="G5720">
        <v>3.3</v>
      </c>
      <c r="H5720" s="2">
        <v>73391.22</v>
      </c>
      <c r="I5720" s="2">
        <v>2421.91</v>
      </c>
    </row>
    <row r="5721" spans="1:9" x14ac:dyDescent="0.25">
      <c r="A5721" t="s">
        <v>3130</v>
      </c>
      <c r="B5721" t="s">
        <v>3131</v>
      </c>
      <c r="C5721" t="s">
        <v>34</v>
      </c>
      <c r="D5721" t="s">
        <v>4058</v>
      </c>
      <c r="E5721" t="s">
        <v>7130</v>
      </c>
      <c r="F5721" t="s">
        <v>34</v>
      </c>
      <c r="G5721">
        <v>1</v>
      </c>
      <c r="H5721" s="2">
        <v>22342.27</v>
      </c>
      <c r="I5721" s="2">
        <v>22342.27</v>
      </c>
    </row>
    <row r="5722" spans="1:9" x14ac:dyDescent="0.25">
      <c r="A5722" t="s">
        <v>3130</v>
      </c>
      <c r="B5722" t="s">
        <v>3131</v>
      </c>
      <c r="C5722" t="s">
        <v>34</v>
      </c>
      <c r="D5722" t="s">
        <v>4058</v>
      </c>
      <c r="E5722" t="s">
        <v>4059</v>
      </c>
      <c r="F5722" t="s">
        <v>3545</v>
      </c>
      <c r="G5722">
        <v>7</v>
      </c>
      <c r="H5722" s="2">
        <v>1325</v>
      </c>
      <c r="I5722" s="2">
        <v>9275</v>
      </c>
    </row>
    <row r="5723" spans="1:9" x14ac:dyDescent="0.25">
      <c r="A5723" t="s">
        <v>3133</v>
      </c>
      <c r="B5723" t="s">
        <v>3134</v>
      </c>
      <c r="C5723" t="s">
        <v>34</v>
      </c>
      <c r="D5723" t="s">
        <v>4062</v>
      </c>
      <c r="E5723" t="s">
        <v>4921</v>
      </c>
      <c r="F5723" t="s">
        <v>63</v>
      </c>
      <c r="G5723">
        <v>1</v>
      </c>
      <c r="H5723" s="2">
        <v>426.33</v>
      </c>
      <c r="I5723" s="2">
        <v>426.33</v>
      </c>
    </row>
    <row r="5724" spans="1:9" x14ac:dyDescent="0.25">
      <c r="A5724" t="s">
        <v>3133</v>
      </c>
      <c r="B5724" t="s">
        <v>3134</v>
      </c>
      <c r="C5724" t="s">
        <v>34</v>
      </c>
      <c r="D5724" t="s">
        <v>4062</v>
      </c>
      <c r="E5724" t="s">
        <v>7116</v>
      </c>
      <c r="F5724" t="s">
        <v>42</v>
      </c>
      <c r="G5724">
        <v>4</v>
      </c>
      <c r="H5724" s="2">
        <v>1321</v>
      </c>
      <c r="I5724" s="2">
        <v>5284</v>
      </c>
    </row>
    <row r="5725" spans="1:9" x14ac:dyDescent="0.25">
      <c r="A5725" t="s">
        <v>3133</v>
      </c>
      <c r="B5725" t="s">
        <v>3134</v>
      </c>
      <c r="C5725" t="s">
        <v>34</v>
      </c>
      <c r="D5725" t="s">
        <v>4062</v>
      </c>
      <c r="E5725" t="s">
        <v>7118</v>
      </c>
      <c r="F5725" t="s">
        <v>231</v>
      </c>
      <c r="G5725">
        <v>0.4</v>
      </c>
      <c r="H5725" s="2">
        <v>13756</v>
      </c>
      <c r="I5725" s="2">
        <v>5502.4</v>
      </c>
    </row>
    <row r="5726" spans="1:9" x14ac:dyDescent="0.25">
      <c r="A5726" t="s">
        <v>3133</v>
      </c>
      <c r="B5726" t="s">
        <v>3134</v>
      </c>
      <c r="C5726" t="s">
        <v>34</v>
      </c>
      <c r="D5726" t="s">
        <v>4062</v>
      </c>
      <c r="E5726" t="s">
        <v>7128</v>
      </c>
      <c r="F5726" t="s">
        <v>42</v>
      </c>
      <c r="G5726">
        <v>1</v>
      </c>
      <c r="H5726" s="2">
        <v>761.5</v>
      </c>
      <c r="I5726" s="2">
        <v>761.5</v>
      </c>
    </row>
    <row r="5727" spans="1:9" x14ac:dyDescent="0.25">
      <c r="A5727" t="s">
        <v>3133</v>
      </c>
      <c r="B5727" t="s">
        <v>3134</v>
      </c>
      <c r="C5727" t="s">
        <v>34</v>
      </c>
      <c r="D5727" t="s">
        <v>4049</v>
      </c>
      <c r="E5727" t="s">
        <v>4176</v>
      </c>
      <c r="F5727" t="s">
        <v>4177</v>
      </c>
      <c r="G5727">
        <v>0.17</v>
      </c>
      <c r="H5727" s="2">
        <v>72300.17</v>
      </c>
      <c r="I5727" s="2">
        <v>12291.03</v>
      </c>
    </row>
    <row r="5728" spans="1:9" x14ac:dyDescent="0.25">
      <c r="A5728" t="s">
        <v>3133</v>
      </c>
      <c r="B5728" t="s">
        <v>3134</v>
      </c>
      <c r="C5728" t="s">
        <v>34</v>
      </c>
      <c r="D5728" t="s">
        <v>4049</v>
      </c>
      <c r="E5728" t="s">
        <v>4313</v>
      </c>
      <c r="F5728" t="s">
        <v>4177</v>
      </c>
      <c r="G5728">
        <v>0.04</v>
      </c>
      <c r="H5728" s="2">
        <v>124137.15</v>
      </c>
      <c r="I5728" s="2">
        <v>4965.49</v>
      </c>
    </row>
    <row r="5729" spans="1:9" x14ac:dyDescent="0.25">
      <c r="A5729" t="s">
        <v>3133</v>
      </c>
      <c r="B5729" t="s">
        <v>3134</v>
      </c>
      <c r="C5729" t="s">
        <v>34</v>
      </c>
      <c r="D5729" t="s">
        <v>4052</v>
      </c>
      <c r="E5729" t="s">
        <v>4123</v>
      </c>
      <c r="F5729" t="s">
        <v>287</v>
      </c>
      <c r="G5729">
        <v>0.5</v>
      </c>
      <c r="H5729" s="2">
        <v>62400</v>
      </c>
      <c r="I5729" s="2">
        <v>31200</v>
      </c>
    </row>
    <row r="5730" spans="1:9" x14ac:dyDescent="0.25">
      <c r="A5730" t="s">
        <v>3133</v>
      </c>
      <c r="B5730" t="s">
        <v>3134</v>
      </c>
      <c r="C5730" t="s">
        <v>34</v>
      </c>
      <c r="D5730" t="s">
        <v>4052</v>
      </c>
      <c r="E5730" t="s">
        <v>4118</v>
      </c>
      <c r="F5730" t="s">
        <v>287</v>
      </c>
      <c r="G5730">
        <v>0.07</v>
      </c>
      <c r="H5730" s="2">
        <v>107433.33</v>
      </c>
      <c r="I5730" s="2">
        <v>7165.8</v>
      </c>
    </row>
    <row r="5731" spans="1:9" x14ac:dyDescent="0.25">
      <c r="A5731" t="s">
        <v>3133</v>
      </c>
      <c r="B5731" t="s">
        <v>3134</v>
      </c>
      <c r="C5731" t="s">
        <v>34</v>
      </c>
      <c r="D5731" t="s">
        <v>4052</v>
      </c>
      <c r="E5731" t="s">
        <v>4053</v>
      </c>
      <c r="F5731" t="s">
        <v>4054</v>
      </c>
      <c r="G5731">
        <v>5</v>
      </c>
      <c r="H5731" s="2">
        <v>17256.52</v>
      </c>
      <c r="I5731" s="2">
        <v>862.83</v>
      </c>
    </row>
    <row r="5732" spans="1:9" x14ac:dyDescent="0.25">
      <c r="A5732" t="s">
        <v>3136</v>
      </c>
      <c r="B5732" t="s">
        <v>3137</v>
      </c>
      <c r="C5732" t="s">
        <v>34</v>
      </c>
      <c r="D5732" t="s">
        <v>4062</v>
      </c>
      <c r="E5732" t="s">
        <v>7135</v>
      </c>
      <c r="F5732" t="s">
        <v>34</v>
      </c>
      <c r="G5732">
        <v>1.3</v>
      </c>
      <c r="H5732" s="2">
        <v>58644.33</v>
      </c>
      <c r="I5732" s="2">
        <v>76237.63</v>
      </c>
    </row>
    <row r="5733" spans="1:9" x14ac:dyDescent="0.25">
      <c r="A5733" t="s">
        <v>3136</v>
      </c>
      <c r="B5733" t="s">
        <v>3137</v>
      </c>
      <c r="C5733" t="s">
        <v>34</v>
      </c>
      <c r="D5733" t="s">
        <v>4049</v>
      </c>
      <c r="E5733" t="s">
        <v>4176</v>
      </c>
      <c r="F5733" t="s">
        <v>4177</v>
      </c>
      <c r="G5733">
        <v>0.01</v>
      </c>
      <c r="H5733" s="2">
        <v>72300.17</v>
      </c>
      <c r="I5733" s="2">
        <v>997.74</v>
      </c>
    </row>
    <row r="5734" spans="1:9" x14ac:dyDescent="0.25">
      <c r="A5734" t="s">
        <v>3136</v>
      </c>
      <c r="B5734" t="s">
        <v>3137</v>
      </c>
      <c r="C5734" t="s">
        <v>34</v>
      </c>
      <c r="D5734" t="s">
        <v>4049</v>
      </c>
      <c r="E5734" t="s">
        <v>4313</v>
      </c>
      <c r="F5734" t="s">
        <v>4177</v>
      </c>
      <c r="G5734">
        <v>0</v>
      </c>
      <c r="H5734" s="2">
        <v>124137.15</v>
      </c>
      <c r="I5734" s="2">
        <v>384.83</v>
      </c>
    </row>
    <row r="5735" spans="1:9" x14ac:dyDescent="0.25">
      <c r="A5735" t="s">
        <v>3136</v>
      </c>
      <c r="B5735" t="s">
        <v>3137</v>
      </c>
      <c r="C5735" t="s">
        <v>34</v>
      </c>
      <c r="D5735" t="s">
        <v>4052</v>
      </c>
      <c r="E5735" t="s">
        <v>4305</v>
      </c>
      <c r="F5735" t="s">
        <v>287</v>
      </c>
      <c r="G5735">
        <v>0.03</v>
      </c>
      <c r="H5735" s="2">
        <v>166043.14</v>
      </c>
      <c r="I5735" s="2">
        <v>4981.29</v>
      </c>
    </row>
    <row r="5736" spans="1:9" x14ac:dyDescent="0.25">
      <c r="A5736" t="s">
        <v>3136</v>
      </c>
      <c r="B5736" t="s">
        <v>3137</v>
      </c>
      <c r="C5736" t="s">
        <v>34</v>
      </c>
      <c r="D5736" t="s">
        <v>4052</v>
      </c>
      <c r="E5736" t="s">
        <v>4118</v>
      </c>
      <c r="F5736" t="s">
        <v>287</v>
      </c>
      <c r="G5736">
        <v>0.03</v>
      </c>
      <c r="H5736" s="2">
        <v>107433.33</v>
      </c>
      <c r="I5736" s="2">
        <v>3223</v>
      </c>
    </row>
    <row r="5737" spans="1:9" x14ac:dyDescent="0.25">
      <c r="A5737" t="s">
        <v>3136</v>
      </c>
      <c r="B5737" t="s">
        <v>3137</v>
      </c>
      <c r="C5737" t="s">
        <v>34</v>
      </c>
      <c r="D5737" t="s">
        <v>4052</v>
      </c>
      <c r="E5737" t="s">
        <v>4081</v>
      </c>
      <c r="F5737" t="s">
        <v>287</v>
      </c>
      <c r="G5737">
        <v>0.03</v>
      </c>
      <c r="H5737" s="2">
        <v>98968.79</v>
      </c>
      <c r="I5737" s="2">
        <v>2969.06</v>
      </c>
    </row>
    <row r="5738" spans="1:9" x14ac:dyDescent="0.25">
      <c r="A5738" t="s">
        <v>3139</v>
      </c>
      <c r="B5738" t="s">
        <v>3140</v>
      </c>
      <c r="C5738" t="s">
        <v>34</v>
      </c>
      <c r="D5738" t="s">
        <v>4062</v>
      </c>
      <c r="E5738" t="s">
        <v>7135</v>
      </c>
      <c r="F5738" t="s">
        <v>34</v>
      </c>
      <c r="G5738">
        <v>1.1</v>
      </c>
      <c r="H5738" s="2">
        <v>58644.33</v>
      </c>
      <c r="I5738" s="2">
        <v>64508.76</v>
      </c>
    </row>
    <row r="5739" spans="1:9" x14ac:dyDescent="0.25">
      <c r="A5739" t="s">
        <v>3139</v>
      </c>
      <c r="B5739" t="s">
        <v>3140</v>
      </c>
      <c r="C5739" t="s">
        <v>34</v>
      </c>
      <c r="D5739" t="s">
        <v>4049</v>
      </c>
      <c r="E5739" t="s">
        <v>4176</v>
      </c>
      <c r="F5739" t="s">
        <v>4177</v>
      </c>
      <c r="G5739">
        <v>0</v>
      </c>
      <c r="H5739" s="2">
        <v>72300.17</v>
      </c>
      <c r="I5739" s="2">
        <v>224.13</v>
      </c>
    </row>
    <row r="5740" spans="1:9" x14ac:dyDescent="0.25">
      <c r="A5740" t="s">
        <v>3139</v>
      </c>
      <c r="B5740" t="s">
        <v>3140</v>
      </c>
      <c r="C5740" t="s">
        <v>34</v>
      </c>
      <c r="D5740" t="s">
        <v>4049</v>
      </c>
      <c r="E5740" t="s">
        <v>4313</v>
      </c>
      <c r="F5740" t="s">
        <v>4177</v>
      </c>
      <c r="G5740">
        <v>0</v>
      </c>
      <c r="H5740" s="2">
        <v>124137.15</v>
      </c>
      <c r="I5740" s="2">
        <v>384.83</v>
      </c>
    </row>
    <row r="5741" spans="1:9" x14ac:dyDescent="0.25">
      <c r="A5741" t="s">
        <v>3139</v>
      </c>
      <c r="B5741" t="s">
        <v>3140</v>
      </c>
      <c r="C5741" t="s">
        <v>34</v>
      </c>
      <c r="D5741" t="s">
        <v>4052</v>
      </c>
      <c r="E5741" t="s">
        <v>4305</v>
      </c>
      <c r="F5741" t="s">
        <v>287</v>
      </c>
      <c r="G5741">
        <v>0.03</v>
      </c>
      <c r="H5741" s="2">
        <v>166043.14</v>
      </c>
      <c r="I5741" s="2">
        <v>4981.29</v>
      </c>
    </row>
    <row r="5742" spans="1:9" x14ac:dyDescent="0.25">
      <c r="A5742" t="s">
        <v>3139</v>
      </c>
      <c r="B5742" t="s">
        <v>3140</v>
      </c>
      <c r="C5742" t="s">
        <v>34</v>
      </c>
      <c r="D5742" t="s">
        <v>4052</v>
      </c>
      <c r="E5742" t="s">
        <v>4118</v>
      </c>
      <c r="F5742" t="s">
        <v>287</v>
      </c>
      <c r="G5742">
        <v>0.03</v>
      </c>
      <c r="H5742" s="2">
        <v>107433.33</v>
      </c>
      <c r="I5742" s="2">
        <v>3223</v>
      </c>
    </row>
    <row r="5743" spans="1:9" x14ac:dyDescent="0.25">
      <c r="A5743" t="s">
        <v>3142</v>
      </c>
      <c r="B5743" t="s">
        <v>3143</v>
      </c>
      <c r="C5743" t="s">
        <v>34</v>
      </c>
      <c r="D5743" t="s">
        <v>4049</v>
      </c>
      <c r="E5743" t="s">
        <v>4176</v>
      </c>
      <c r="F5743" t="s">
        <v>4177</v>
      </c>
      <c r="G5743">
        <v>0</v>
      </c>
      <c r="H5743" s="2">
        <v>72300.17</v>
      </c>
      <c r="I5743" s="2">
        <v>180.75</v>
      </c>
    </row>
    <row r="5744" spans="1:9" x14ac:dyDescent="0.25">
      <c r="A5744" t="s">
        <v>3142</v>
      </c>
      <c r="B5744" t="s">
        <v>3143</v>
      </c>
      <c r="C5744" t="s">
        <v>34</v>
      </c>
      <c r="D5744" t="s">
        <v>4049</v>
      </c>
      <c r="E5744" t="s">
        <v>4313</v>
      </c>
      <c r="F5744" t="s">
        <v>4177</v>
      </c>
      <c r="G5744">
        <v>0</v>
      </c>
      <c r="H5744" s="2">
        <v>124137.15</v>
      </c>
      <c r="I5744" s="2">
        <v>310.34</v>
      </c>
    </row>
    <row r="5745" spans="1:9" x14ac:dyDescent="0.25">
      <c r="A5745" t="s">
        <v>3142</v>
      </c>
      <c r="B5745" t="s">
        <v>3143</v>
      </c>
      <c r="C5745" t="s">
        <v>34</v>
      </c>
      <c r="D5745" t="s">
        <v>4052</v>
      </c>
      <c r="E5745" t="s">
        <v>4077</v>
      </c>
      <c r="F5745" t="s">
        <v>287</v>
      </c>
      <c r="G5745">
        <v>0.03</v>
      </c>
      <c r="H5745" s="2">
        <v>74712.95</v>
      </c>
      <c r="I5745" s="2">
        <v>2487.94</v>
      </c>
    </row>
    <row r="5746" spans="1:9" x14ac:dyDescent="0.25">
      <c r="A5746" t="s">
        <v>3142</v>
      </c>
      <c r="B5746" t="s">
        <v>3143</v>
      </c>
      <c r="C5746" t="s">
        <v>34</v>
      </c>
      <c r="D5746" t="s">
        <v>4052</v>
      </c>
      <c r="E5746" t="s">
        <v>4078</v>
      </c>
      <c r="F5746" t="s">
        <v>287</v>
      </c>
      <c r="G5746">
        <v>0.03</v>
      </c>
      <c r="H5746" s="2">
        <v>157100</v>
      </c>
      <c r="I5746" s="2">
        <v>5231.43</v>
      </c>
    </row>
    <row r="5747" spans="1:9" x14ac:dyDescent="0.25">
      <c r="A5747" t="s">
        <v>3142</v>
      </c>
      <c r="B5747" t="s">
        <v>3143</v>
      </c>
      <c r="C5747" t="s">
        <v>34</v>
      </c>
      <c r="D5747" t="s">
        <v>4052</v>
      </c>
      <c r="E5747" t="s">
        <v>4118</v>
      </c>
      <c r="F5747" t="s">
        <v>287</v>
      </c>
      <c r="G5747">
        <v>0.03</v>
      </c>
      <c r="H5747" s="2">
        <v>107433.33</v>
      </c>
      <c r="I5747" s="2">
        <v>3577.53</v>
      </c>
    </row>
    <row r="5748" spans="1:9" x14ac:dyDescent="0.25">
      <c r="A5748" t="s">
        <v>3142</v>
      </c>
      <c r="B5748" t="s">
        <v>3143</v>
      </c>
      <c r="C5748" t="s">
        <v>34</v>
      </c>
      <c r="D5748" t="s">
        <v>4052</v>
      </c>
      <c r="E5748" t="s">
        <v>4081</v>
      </c>
      <c r="F5748" t="s">
        <v>287</v>
      </c>
      <c r="G5748">
        <v>0.03</v>
      </c>
      <c r="H5748" s="2">
        <v>98968.79</v>
      </c>
      <c r="I5748" s="2">
        <v>3295.66</v>
      </c>
    </row>
    <row r="5749" spans="1:9" x14ac:dyDescent="0.25">
      <c r="A5749" t="s">
        <v>3145</v>
      </c>
      <c r="B5749" t="s">
        <v>3147</v>
      </c>
      <c r="C5749" t="s">
        <v>34</v>
      </c>
      <c r="D5749" t="s">
        <v>4062</v>
      </c>
      <c r="E5749" t="s">
        <v>4290</v>
      </c>
      <c r="F5749" t="s">
        <v>42</v>
      </c>
      <c r="G5749">
        <v>2</v>
      </c>
      <c r="H5749" s="2">
        <v>4500</v>
      </c>
      <c r="I5749" s="2">
        <v>9000</v>
      </c>
    </row>
    <row r="5750" spans="1:9" x14ac:dyDescent="0.25">
      <c r="A5750" t="s">
        <v>3145</v>
      </c>
      <c r="B5750" t="s">
        <v>3147</v>
      </c>
      <c r="C5750" t="s">
        <v>34</v>
      </c>
      <c r="D5750" t="s">
        <v>4062</v>
      </c>
      <c r="E5750" t="s">
        <v>4300</v>
      </c>
      <c r="F5750" t="s">
        <v>63</v>
      </c>
      <c r="G5750">
        <v>1</v>
      </c>
      <c r="H5750" s="2">
        <v>107814</v>
      </c>
      <c r="I5750" s="2">
        <v>107814</v>
      </c>
    </row>
    <row r="5751" spans="1:9" x14ac:dyDescent="0.25">
      <c r="A5751" t="s">
        <v>3145</v>
      </c>
      <c r="B5751" t="s">
        <v>3147</v>
      </c>
      <c r="C5751" t="s">
        <v>34</v>
      </c>
      <c r="D5751" t="s">
        <v>4062</v>
      </c>
      <c r="E5751" t="s">
        <v>4277</v>
      </c>
      <c r="F5751" t="s">
        <v>34</v>
      </c>
      <c r="G5751">
        <v>1.05</v>
      </c>
      <c r="H5751" s="2">
        <v>50575</v>
      </c>
      <c r="I5751" s="2">
        <v>53103.75</v>
      </c>
    </row>
    <row r="5752" spans="1:9" x14ac:dyDescent="0.25">
      <c r="A5752" t="s">
        <v>3145</v>
      </c>
      <c r="B5752" t="s">
        <v>3147</v>
      </c>
      <c r="C5752" t="s">
        <v>34</v>
      </c>
      <c r="D5752" t="s">
        <v>4062</v>
      </c>
      <c r="E5752" t="s">
        <v>7143</v>
      </c>
      <c r="F5752" t="s">
        <v>231</v>
      </c>
      <c r="G5752">
        <v>0.5</v>
      </c>
      <c r="H5752" s="2">
        <v>4293.67</v>
      </c>
      <c r="I5752" s="2">
        <v>2146.84</v>
      </c>
    </row>
    <row r="5753" spans="1:9" x14ac:dyDescent="0.25">
      <c r="A5753" t="s">
        <v>3145</v>
      </c>
      <c r="B5753" t="s">
        <v>3147</v>
      </c>
      <c r="C5753" t="s">
        <v>34</v>
      </c>
      <c r="D5753" t="s">
        <v>4049</v>
      </c>
      <c r="E5753" t="s">
        <v>4176</v>
      </c>
      <c r="F5753" t="s">
        <v>4177</v>
      </c>
      <c r="G5753">
        <v>0.2</v>
      </c>
      <c r="H5753" s="2">
        <v>72300.17</v>
      </c>
      <c r="I5753" s="2">
        <v>14460.03</v>
      </c>
    </row>
    <row r="5754" spans="1:9" x14ac:dyDescent="0.25">
      <c r="A5754" t="s">
        <v>3145</v>
      </c>
      <c r="B5754" t="s">
        <v>3147</v>
      </c>
      <c r="C5754" t="s">
        <v>34</v>
      </c>
      <c r="D5754" t="s">
        <v>4049</v>
      </c>
      <c r="E5754" t="s">
        <v>4313</v>
      </c>
      <c r="F5754" t="s">
        <v>4177</v>
      </c>
      <c r="G5754">
        <v>0.2</v>
      </c>
      <c r="H5754" s="2">
        <v>124137.15</v>
      </c>
      <c r="I5754" s="2">
        <v>24827.43</v>
      </c>
    </row>
    <row r="5755" spans="1:9" x14ac:dyDescent="0.25">
      <c r="A5755" t="s">
        <v>3145</v>
      </c>
      <c r="B5755" t="s">
        <v>3147</v>
      </c>
      <c r="C5755" t="s">
        <v>34</v>
      </c>
      <c r="D5755" t="s">
        <v>4052</v>
      </c>
      <c r="E5755" t="s">
        <v>4053</v>
      </c>
      <c r="F5755" t="s">
        <v>4054</v>
      </c>
      <c r="G5755">
        <v>6.7</v>
      </c>
      <c r="H5755" s="2">
        <v>39287.46</v>
      </c>
      <c r="I5755" s="2">
        <v>2632.26</v>
      </c>
    </row>
    <row r="5756" spans="1:9" x14ac:dyDescent="0.25">
      <c r="A5756" t="s">
        <v>3150</v>
      </c>
      <c r="B5756" t="s">
        <v>3151</v>
      </c>
      <c r="C5756" t="s">
        <v>34</v>
      </c>
      <c r="D5756" t="s">
        <v>4062</v>
      </c>
      <c r="E5756" t="s">
        <v>7146</v>
      </c>
      <c r="F5756" t="s">
        <v>21</v>
      </c>
      <c r="G5756">
        <v>3.5</v>
      </c>
      <c r="H5756" s="2">
        <v>5694.67</v>
      </c>
      <c r="I5756" s="2">
        <v>19931.35</v>
      </c>
    </row>
    <row r="5757" spans="1:9" x14ac:dyDescent="0.25">
      <c r="A5757" t="s">
        <v>3150</v>
      </c>
      <c r="B5757" t="s">
        <v>3151</v>
      </c>
      <c r="C5757" t="s">
        <v>34</v>
      </c>
      <c r="D5757" t="s">
        <v>4062</v>
      </c>
      <c r="E5757" t="s">
        <v>4369</v>
      </c>
      <c r="F5757" t="s">
        <v>34</v>
      </c>
      <c r="G5757">
        <v>0.8</v>
      </c>
      <c r="H5757" s="2">
        <v>89250</v>
      </c>
      <c r="I5757" s="2">
        <v>71400</v>
      </c>
    </row>
    <row r="5758" spans="1:9" x14ac:dyDescent="0.25">
      <c r="A5758" t="s">
        <v>3150</v>
      </c>
      <c r="B5758" t="s">
        <v>3151</v>
      </c>
      <c r="C5758" t="s">
        <v>34</v>
      </c>
      <c r="D5758" t="s">
        <v>4062</v>
      </c>
      <c r="E5758" t="s">
        <v>7147</v>
      </c>
      <c r="F5758" t="s">
        <v>34</v>
      </c>
      <c r="G5758">
        <v>0.1</v>
      </c>
      <c r="H5758" s="2">
        <v>30214.05</v>
      </c>
      <c r="I5758" s="2">
        <v>3021.41</v>
      </c>
    </row>
    <row r="5759" spans="1:9" x14ac:dyDescent="0.25">
      <c r="A5759" t="s">
        <v>3150</v>
      </c>
      <c r="B5759" t="s">
        <v>3151</v>
      </c>
      <c r="C5759" t="s">
        <v>34</v>
      </c>
      <c r="D5759" t="s">
        <v>4062</v>
      </c>
      <c r="E5759" t="s">
        <v>7148</v>
      </c>
      <c r="F5759" t="s">
        <v>34</v>
      </c>
      <c r="G5759">
        <v>0.4</v>
      </c>
      <c r="H5759" s="2">
        <v>47600</v>
      </c>
      <c r="I5759" s="2">
        <v>19040</v>
      </c>
    </row>
    <row r="5760" spans="1:9" x14ac:dyDescent="0.25">
      <c r="A5760" t="s">
        <v>3150</v>
      </c>
      <c r="B5760" t="s">
        <v>3151</v>
      </c>
      <c r="C5760" t="s">
        <v>34</v>
      </c>
      <c r="D5760" t="s">
        <v>4049</v>
      </c>
      <c r="E5760" t="s">
        <v>4176</v>
      </c>
      <c r="F5760" t="s">
        <v>4177</v>
      </c>
      <c r="G5760">
        <v>0.75</v>
      </c>
      <c r="H5760" s="2">
        <v>72300.17</v>
      </c>
      <c r="I5760" s="2">
        <v>54225.13</v>
      </c>
    </row>
    <row r="5761" spans="1:9" x14ac:dyDescent="0.25">
      <c r="A5761" t="s">
        <v>3150</v>
      </c>
      <c r="B5761" t="s">
        <v>3151</v>
      </c>
      <c r="C5761" t="s">
        <v>34</v>
      </c>
      <c r="D5761" t="s">
        <v>4049</v>
      </c>
      <c r="E5761" t="s">
        <v>4313</v>
      </c>
      <c r="F5761" t="s">
        <v>4177</v>
      </c>
      <c r="G5761">
        <v>0.25</v>
      </c>
      <c r="H5761" s="2">
        <v>124137.15</v>
      </c>
      <c r="I5761" s="2">
        <v>31034.29</v>
      </c>
    </row>
    <row r="5762" spans="1:9" x14ac:dyDescent="0.25">
      <c r="A5762" t="s">
        <v>3150</v>
      </c>
      <c r="B5762" t="s">
        <v>3151</v>
      </c>
      <c r="C5762" t="s">
        <v>34</v>
      </c>
      <c r="D5762" t="s">
        <v>4052</v>
      </c>
      <c r="E5762" t="s">
        <v>4053</v>
      </c>
      <c r="F5762" t="s">
        <v>4054</v>
      </c>
      <c r="G5762">
        <v>3.3</v>
      </c>
      <c r="H5762" s="2">
        <v>85259.42</v>
      </c>
      <c r="I5762" s="2">
        <v>2813.56</v>
      </c>
    </row>
    <row r="5763" spans="1:9" x14ac:dyDescent="0.25">
      <c r="A5763" t="s">
        <v>3154</v>
      </c>
      <c r="B5763" t="s">
        <v>3155</v>
      </c>
      <c r="C5763" t="s">
        <v>34</v>
      </c>
      <c r="D5763" t="s">
        <v>4062</v>
      </c>
      <c r="E5763" t="s">
        <v>4298</v>
      </c>
      <c r="F5763" t="s">
        <v>42</v>
      </c>
      <c r="G5763">
        <v>5</v>
      </c>
      <c r="H5763" s="2">
        <v>6466.67</v>
      </c>
      <c r="I5763" s="2">
        <v>32333.35</v>
      </c>
    </row>
    <row r="5764" spans="1:9" x14ac:dyDescent="0.25">
      <c r="A5764" t="s">
        <v>3154</v>
      </c>
      <c r="B5764" t="s">
        <v>3155</v>
      </c>
      <c r="C5764" t="s">
        <v>34</v>
      </c>
      <c r="D5764" t="s">
        <v>4062</v>
      </c>
      <c r="E5764" t="s">
        <v>4299</v>
      </c>
      <c r="F5764" t="s">
        <v>63</v>
      </c>
      <c r="G5764">
        <v>0.4</v>
      </c>
      <c r="H5764" s="2">
        <v>9284.05</v>
      </c>
      <c r="I5764" s="2">
        <v>3713.62</v>
      </c>
    </row>
    <row r="5765" spans="1:9" x14ac:dyDescent="0.25">
      <c r="A5765" t="s">
        <v>3154</v>
      </c>
      <c r="B5765" t="s">
        <v>3155</v>
      </c>
      <c r="C5765" t="s">
        <v>34</v>
      </c>
      <c r="D5765" t="s">
        <v>4062</v>
      </c>
      <c r="E5765" t="s">
        <v>7151</v>
      </c>
      <c r="F5765" t="s">
        <v>63</v>
      </c>
      <c r="G5765">
        <v>0.5</v>
      </c>
      <c r="H5765" s="2">
        <v>76529</v>
      </c>
      <c r="I5765" s="2">
        <v>38264.5</v>
      </c>
    </row>
    <row r="5766" spans="1:9" x14ac:dyDescent="0.25">
      <c r="A5766" t="s">
        <v>3154</v>
      </c>
      <c r="B5766" t="s">
        <v>3155</v>
      </c>
      <c r="C5766" t="s">
        <v>34</v>
      </c>
      <c r="D5766" t="s">
        <v>4062</v>
      </c>
      <c r="E5766" t="s">
        <v>4277</v>
      </c>
      <c r="F5766" t="s">
        <v>34</v>
      </c>
      <c r="G5766">
        <v>1.2</v>
      </c>
      <c r="H5766" s="2">
        <v>50575</v>
      </c>
      <c r="I5766" s="2">
        <v>60690</v>
      </c>
    </row>
    <row r="5767" spans="1:9" x14ac:dyDescent="0.25">
      <c r="A5767" t="s">
        <v>3154</v>
      </c>
      <c r="B5767" t="s">
        <v>3155</v>
      </c>
      <c r="C5767" t="s">
        <v>34</v>
      </c>
      <c r="D5767" t="s">
        <v>4062</v>
      </c>
      <c r="E5767" t="s">
        <v>4065</v>
      </c>
      <c r="F5767" t="s">
        <v>4066</v>
      </c>
      <c r="G5767">
        <v>0.3</v>
      </c>
      <c r="H5767" s="2">
        <v>3433</v>
      </c>
      <c r="I5767" s="2">
        <v>1029.9</v>
      </c>
    </row>
    <row r="5768" spans="1:9" x14ac:dyDescent="0.25">
      <c r="A5768" t="s">
        <v>3154</v>
      </c>
      <c r="B5768" t="s">
        <v>3155</v>
      </c>
      <c r="C5768" t="s">
        <v>34</v>
      </c>
      <c r="D5768" t="s">
        <v>4062</v>
      </c>
      <c r="E5768" t="s">
        <v>4301</v>
      </c>
      <c r="F5768" t="s">
        <v>231</v>
      </c>
      <c r="G5768">
        <v>1.4</v>
      </c>
      <c r="H5768" s="2">
        <v>4850</v>
      </c>
      <c r="I5768" s="2">
        <v>6790</v>
      </c>
    </row>
    <row r="5769" spans="1:9" x14ac:dyDescent="0.25">
      <c r="A5769" t="s">
        <v>3154</v>
      </c>
      <c r="B5769" t="s">
        <v>3155</v>
      </c>
      <c r="C5769" t="s">
        <v>34</v>
      </c>
      <c r="D5769" t="s">
        <v>4049</v>
      </c>
      <c r="E5769" t="s">
        <v>4050</v>
      </c>
      <c r="F5769" t="s">
        <v>4051</v>
      </c>
      <c r="G5769">
        <v>4.25</v>
      </c>
      <c r="H5769" s="2">
        <v>9037.33</v>
      </c>
      <c r="I5769" s="2">
        <v>38408.65</v>
      </c>
    </row>
    <row r="5770" spans="1:9" x14ac:dyDescent="0.25">
      <c r="A5770" t="s">
        <v>3154</v>
      </c>
      <c r="B5770" t="s">
        <v>3155</v>
      </c>
      <c r="C5770" t="s">
        <v>34</v>
      </c>
      <c r="D5770" t="s">
        <v>4049</v>
      </c>
      <c r="E5770" t="s">
        <v>4073</v>
      </c>
      <c r="F5770" t="s">
        <v>4051</v>
      </c>
      <c r="G5770">
        <v>0.85</v>
      </c>
      <c r="H5770" s="2">
        <v>15517.89</v>
      </c>
      <c r="I5770" s="2">
        <v>13190.21</v>
      </c>
    </row>
    <row r="5771" spans="1:9" x14ac:dyDescent="0.25">
      <c r="A5771" t="s">
        <v>3154</v>
      </c>
      <c r="B5771" t="s">
        <v>3155</v>
      </c>
      <c r="C5771" t="s">
        <v>34</v>
      </c>
      <c r="D5771" t="s">
        <v>4052</v>
      </c>
      <c r="E5771" t="s">
        <v>4053</v>
      </c>
      <c r="F5771" t="s">
        <v>4054</v>
      </c>
      <c r="G5771">
        <v>3</v>
      </c>
      <c r="H5771" s="2">
        <v>51598.86</v>
      </c>
      <c r="I5771" s="2">
        <v>1547.97</v>
      </c>
    </row>
    <row r="5772" spans="1:9" x14ac:dyDescent="0.25">
      <c r="A5772" t="s">
        <v>3158</v>
      </c>
      <c r="B5772" t="s">
        <v>3159</v>
      </c>
      <c r="C5772" t="s">
        <v>42</v>
      </c>
      <c r="D5772" t="s">
        <v>4049</v>
      </c>
      <c r="E5772" t="s">
        <v>4176</v>
      </c>
      <c r="F5772" t="s">
        <v>4177</v>
      </c>
      <c r="G5772">
        <v>0.05</v>
      </c>
      <c r="H5772" s="2">
        <v>72300.17</v>
      </c>
      <c r="I5772" s="2">
        <v>3615.01</v>
      </c>
    </row>
    <row r="5773" spans="1:9" x14ac:dyDescent="0.25">
      <c r="A5773" t="s">
        <v>3158</v>
      </c>
      <c r="B5773" t="s">
        <v>3159</v>
      </c>
      <c r="C5773" t="s">
        <v>42</v>
      </c>
      <c r="D5773" t="s">
        <v>4052</v>
      </c>
      <c r="E5773" t="s">
        <v>4053</v>
      </c>
      <c r="F5773" t="s">
        <v>4054</v>
      </c>
      <c r="G5773">
        <v>6.4</v>
      </c>
      <c r="H5773" s="2">
        <v>3615.01</v>
      </c>
      <c r="I5773" s="2">
        <v>231.36</v>
      </c>
    </row>
    <row r="5774" spans="1:9" x14ac:dyDescent="0.25">
      <c r="A5774" t="s">
        <v>3161</v>
      </c>
      <c r="B5774" t="s">
        <v>3162</v>
      </c>
      <c r="C5774" t="s">
        <v>34</v>
      </c>
      <c r="D5774" t="s">
        <v>4062</v>
      </c>
      <c r="E5774" t="s">
        <v>4390</v>
      </c>
      <c r="F5774" t="s">
        <v>231</v>
      </c>
      <c r="G5774">
        <v>0.1</v>
      </c>
      <c r="H5774" s="2">
        <v>4155</v>
      </c>
      <c r="I5774" s="2">
        <v>415.5</v>
      </c>
    </row>
    <row r="5775" spans="1:9" x14ac:dyDescent="0.25">
      <c r="A5775" t="s">
        <v>3161</v>
      </c>
      <c r="B5775" t="s">
        <v>3162</v>
      </c>
      <c r="C5775" t="s">
        <v>34</v>
      </c>
      <c r="D5775" t="s">
        <v>4062</v>
      </c>
      <c r="E5775" t="s">
        <v>4012</v>
      </c>
      <c r="F5775" t="s">
        <v>34</v>
      </c>
      <c r="G5775">
        <v>1.05</v>
      </c>
      <c r="H5775" s="2">
        <v>475506.98</v>
      </c>
      <c r="I5775" s="2">
        <v>499282.33</v>
      </c>
    </row>
    <row r="5776" spans="1:9" x14ac:dyDescent="0.25">
      <c r="A5776" t="s">
        <v>3161</v>
      </c>
      <c r="B5776" t="s">
        <v>3162</v>
      </c>
      <c r="C5776" t="s">
        <v>34</v>
      </c>
      <c r="D5776" t="s">
        <v>4062</v>
      </c>
      <c r="E5776" t="s">
        <v>4325</v>
      </c>
      <c r="F5776" t="s">
        <v>42</v>
      </c>
      <c r="G5776">
        <v>3</v>
      </c>
      <c r="H5776" s="2">
        <v>4947</v>
      </c>
      <c r="I5776" s="2">
        <v>14841</v>
      </c>
    </row>
    <row r="5777" spans="1:9" x14ac:dyDescent="0.25">
      <c r="A5777" t="s">
        <v>3161</v>
      </c>
      <c r="B5777" t="s">
        <v>3162</v>
      </c>
      <c r="C5777" t="s">
        <v>34</v>
      </c>
      <c r="D5777" t="s">
        <v>4062</v>
      </c>
      <c r="E5777" t="s">
        <v>4065</v>
      </c>
      <c r="F5777" t="s">
        <v>4066</v>
      </c>
      <c r="G5777">
        <v>0.16</v>
      </c>
      <c r="H5777" s="2">
        <v>3433</v>
      </c>
      <c r="I5777" s="2">
        <v>549.28</v>
      </c>
    </row>
    <row r="5778" spans="1:9" x14ac:dyDescent="0.25">
      <c r="A5778" t="s">
        <v>3161</v>
      </c>
      <c r="B5778" t="s">
        <v>3162</v>
      </c>
      <c r="C5778" t="s">
        <v>34</v>
      </c>
      <c r="D5778" t="s">
        <v>4049</v>
      </c>
      <c r="E5778" t="s">
        <v>4176</v>
      </c>
      <c r="F5778" t="s">
        <v>4177</v>
      </c>
      <c r="G5778">
        <v>0.3</v>
      </c>
      <c r="H5778" s="2">
        <v>72300.17</v>
      </c>
      <c r="I5778" s="2">
        <v>21690.05</v>
      </c>
    </row>
    <row r="5779" spans="1:9" x14ac:dyDescent="0.25">
      <c r="A5779" t="s">
        <v>3161</v>
      </c>
      <c r="B5779" t="s">
        <v>3162</v>
      </c>
      <c r="C5779" t="s">
        <v>34</v>
      </c>
      <c r="D5779" t="s">
        <v>4049</v>
      </c>
      <c r="E5779" t="s">
        <v>4313</v>
      </c>
      <c r="F5779" t="s">
        <v>4177</v>
      </c>
      <c r="G5779">
        <v>0.3</v>
      </c>
      <c r="H5779" s="2">
        <v>124137.15</v>
      </c>
      <c r="I5779" s="2">
        <v>37241.14</v>
      </c>
    </row>
    <row r="5780" spans="1:9" x14ac:dyDescent="0.25">
      <c r="A5780" t="s">
        <v>3161</v>
      </c>
      <c r="B5780" t="s">
        <v>3162</v>
      </c>
      <c r="C5780" t="s">
        <v>34</v>
      </c>
      <c r="D5780" t="s">
        <v>4052</v>
      </c>
      <c r="E5780" t="s">
        <v>4053</v>
      </c>
      <c r="F5780" t="s">
        <v>4054</v>
      </c>
      <c r="G5780">
        <v>3.3</v>
      </c>
      <c r="H5780" s="2">
        <v>58931.19</v>
      </c>
      <c r="I5780" s="2">
        <v>1944.73</v>
      </c>
    </row>
    <row r="5781" spans="1:9" x14ac:dyDescent="0.25">
      <c r="A5781" t="s">
        <v>3165</v>
      </c>
      <c r="B5781" t="s">
        <v>3166</v>
      </c>
      <c r="C5781" t="s">
        <v>34</v>
      </c>
      <c r="D5781" t="s">
        <v>4062</v>
      </c>
      <c r="E5781" t="s">
        <v>4012</v>
      </c>
      <c r="F5781" t="s">
        <v>34</v>
      </c>
      <c r="G5781">
        <v>1</v>
      </c>
      <c r="H5781" s="2">
        <v>475506.98</v>
      </c>
      <c r="I5781" s="2">
        <v>475506.98</v>
      </c>
    </row>
    <row r="5782" spans="1:9" x14ac:dyDescent="0.25">
      <c r="A5782" t="s">
        <v>3165</v>
      </c>
      <c r="B5782" t="s">
        <v>3166</v>
      </c>
      <c r="C5782" t="s">
        <v>34</v>
      </c>
      <c r="D5782" t="s">
        <v>4062</v>
      </c>
      <c r="E5782" t="s">
        <v>4400</v>
      </c>
      <c r="F5782" t="s">
        <v>42</v>
      </c>
      <c r="G5782">
        <v>0.59</v>
      </c>
      <c r="H5782" s="2">
        <v>5286.26</v>
      </c>
      <c r="I5782" s="2">
        <v>3118.89</v>
      </c>
    </row>
    <row r="5783" spans="1:9" x14ac:dyDescent="0.25">
      <c r="A5783" t="s">
        <v>3165</v>
      </c>
      <c r="B5783" t="s">
        <v>3166</v>
      </c>
      <c r="C5783" t="s">
        <v>34</v>
      </c>
      <c r="D5783" t="s">
        <v>4062</v>
      </c>
      <c r="E5783" t="s">
        <v>4070</v>
      </c>
      <c r="F5783" t="s">
        <v>42</v>
      </c>
      <c r="G5783">
        <v>1.31</v>
      </c>
      <c r="H5783" s="2">
        <v>7381.08</v>
      </c>
      <c r="I5783" s="2">
        <v>9669.21</v>
      </c>
    </row>
    <row r="5784" spans="1:9" x14ac:dyDescent="0.25">
      <c r="A5784" t="s">
        <v>3165</v>
      </c>
      <c r="B5784" t="s">
        <v>3166</v>
      </c>
      <c r="C5784" t="s">
        <v>34</v>
      </c>
      <c r="D5784" t="s">
        <v>4062</v>
      </c>
      <c r="E5784" t="s">
        <v>4071</v>
      </c>
      <c r="F5784" t="s">
        <v>42</v>
      </c>
      <c r="G5784">
        <v>0.77</v>
      </c>
      <c r="H5784" s="2">
        <v>2555</v>
      </c>
      <c r="I5784" s="2">
        <v>1967.35</v>
      </c>
    </row>
    <row r="5785" spans="1:9" x14ac:dyDescent="0.25">
      <c r="A5785" t="s">
        <v>3165</v>
      </c>
      <c r="B5785" t="s">
        <v>3166</v>
      </c>
      <c r="C5785" t="s">
        <v>34</v>
      </c>
      <c r="D5785" t="s">
        <v>4062</v>
      </c>
      <c r="E5785" t="s">
        <v>4065</v>
      </c>
      <c r="F5785" t="s">
        <v>4066</v>
      </c>
      <c r="G5785">
        <v>0.64</v>
      </c>
      <c r="H5785" s="2">
        <v>3433</v>
      </c>
      <c r="I5785" s="2">
        <v>2197.12</v>
      </c>
    </row>
    <row r="5786" spans="1:9" x14ac:dyDescent="0.25">
      <c r="A5786" t="s">
        <v>3165</v>
      </c>
      <c r="B5786" t="s">
        <v>3166</v>
      </c>
      <c r="C5786" t="s">
        <v>34</v>
      </c>
      <c r="D5786" t="s">
        <v>4049</v>
      </c>
      <c r="E5786" t="s">
        <v>4176</v>
      </c>
      <c r="F5786" t="s">
        <v>4177</v>
      </c>
      <c r="G5786">
        <v>1</v>
      </c>
      <c r="H5786" s="2">
        <v>72300.17</v>
      </c>
      <c r="I5786" s="2">
        <v>72300.17</v>
      </c>
    </row>
    <row r="5787" spans="1:9" x14ac:dyDescent="0.25">
      <c r="A5787" t="s">
        <v>3165</v>
      </c>
      <c r="B5787" t="s">
        <v>3166</v>
      </c>
      <c r="C5787" t="s">
        <v>34</v>
      </c>
      <c r="D5787" t="s">
        <v>4049</v>
      </c>
      <c r="E5787" t="s">
        <v>4313</v>
      </c>
      <c r="F5787" t="s">
        <v>4177</v>
      </c>
      <c r="G5787">
        <v>0.27</v>
      </c>
      <c r="H5787" s="2">
        <v>124137.15</v>
      </c>
      <c r="I5787" s="2">
        <v>33517.03</v>
      </c>
    </row>
    <row r="5788" spans="1:9" x14ac:dyDescent="0.25">
      <c r="A5788" t="s">
        <v>3165</v>
      </c>
      <c r="B5788" t="s">
        <v>3166</v>
      </c>
      <c r="C5788" t="s">
        <v>34</v>
      </c>
      <c r="D5788" t="s">
        <v>4052</v>
      </c>
      <c r="E5788" t="s">
        <v>4414</v>
      </c>
      <c r="F5788" t="s">
        <v>4106</v>
      </c>
      <c r="G5788">
        <v>4.5</v>
      </c>
      <c r="H5788" s="2">
        <v>5691.28</v>
      </c>
      <c r="I5788" s="2">
        <v>25610.76</v>
      </c>
    </row>
    <row r="5789" spans="1:9" x14ac:dyDescent="0.25">
      <c r="A5789" t="s">
        <v>3165</v>
      </c>
      <c r="B5789" t="s">
        <v>3166</v>
      </c>
      <c r="C5789" t="s">
        <v>34</v>
      </c>
      <c r="D5789" t="s">
        <v>4052</v>
      </c>
      <c r="E5789" t="s">
        <v>4053</v>
      </c>
      <c r="F5789" t="s">
        <v>4054</v>
      </c>
      <c r="G5789">
        <v>6.7</v>
      </c>
      <c r="H5789" s="2">
        <v>105817.2</v>
      </c>
      <c r="I5789" s="2">
        <v>7089.75</v>
      </c>
    </row>
    <row r="5790" spans="1:9" x14ac:dyDescent="0.25">
      <c r="A5790" t="s">
        <v>3169</v>
      </c>
      <c r="B5790" t="s">
        <v>3170</v>
      </c>
      <c r="C5790" t="s">
        <v>34</v>
      </c>
      <c r="D5790" t="s">
        <v>4062</v>
      </c>
      <c r="E5790" t="s">
        <v>3972</v>
      </c>
      <c r="F5790" t="s">
        <v>34</v>
      </c>
      <c r="G5790">
        <v>0.12</v>
      </c>
      <c r="H5790" s="2">
        <v>470829.15</v>
      </c>
      <c r="I5790" s="2">
        <v>56499.5</v>
      </c>
    </row>
    <row r="5791" spans="1:9" x14ac:dyDescent="0.25">
      <c r="A5791" t="s">
        <v>3169</v>
      </c>
      <c r="B5791" t="s">
        <v>3170</v>
      </c>
      <c r="C5791" t="s">
        <v>34</v>
      </c>
      <c r="D5791" t="s">
        <v>4062</v>
      </c>
      <c r="E5791" t="s">
        <v>4400</v>
      </c>
      <c r="F5791" t="s">
        <v>42</v>
      </c>
      <c r="G5791">
        <v>2</v>
      </c>
      <c r="H5791" s="2">
        <v>5286.26</v>
      </c>
      <c r="I5791" s="2">
        <v>10572.52</v>
      </c>
    </row>
    <row r="5792" spans="1:9" x14ac:dyDescent="0.25">
      <c r="A5792" t="s">
        <v>3169</v>
      </c>
      <c r="B5792" t="s">
        <v>3170</v>
      </c>
      <c r="C5792" t="s">
        <v>34</v>
      </c>
      <c r="D5792" t="s">
        <v>4062</v>
      </c>
      <c r="E5792" t="s">
        <v>4070</v>
      </c>
      <c r="F5792" t="s">
        <v>42</v>
      </c>
      <c r="G5792">
        <v>4</v>
      </c>
      <c r="H5792" s="2">
        <v>7381.08</v>
      </c>
      <c r="I5792" s="2">
        <v>29524.32</v>
      </c>
    </row>
    <row r="5793" spans="1:9" x14ac:dyDescent="0.25">
      <c r="A5793" t="s">
        <v>3169</v>
      </c>
      <c r="B5793" t="s">
        <v>3170</v>
      </c>
      <c r="C5793" t="s">
        <v>34</v>
      </c>
      <c r="D5793" t="s">
        <v>4062</v>
      </c>
      <c r="E5793" t="s">
        <v>4071</v>
      </c>
      <c r="F5793" t="s">
        <v>42</v>
      </c>
      <c r="G5793">
        <v>0.39</v>
      </c>
      <c r="H5793" s="2">
        <v>2555</v>
      </c>
      <c r="I5793" s="2">
        <v>996.45</v>
      </c>
    </row>
    <row r="5794" spans="1:9" x14ac:dyDescent="0.25">
      <c r="A5794" t="s">
        <v>3169</v>
      </c>
      <c r="B5794" t="s">
        <v>3170</v>
      </c>
      <c r="C5794" t="s">
        <v>34</v>
      </c>
      <c r="D5794" t="s">
        <v>4062</v>
      </c>
      <c r="E5794" t="s">
        <v>4300</v>
      </c>
      <c r="F5794" t="s">
        <v>63</v>
      </c>
      <c r="G5794">
        <v>0.5</v>
      </c>
      <c r="H5794" s="2">
        <v>107814</v>
      </c>
      <c r="I5794" s="2">
        <v>53907</v>
      </c>
    </row>
    <row r="5795" spans="1:9" x14ac:dyDescent="0.25">
      <c r="A5795" t="s">
        <v>3169</v>
      </c>
      <c r="B5795" t="s">
        <v>3170</v>
      </c>
      <c r="C5795" t="s">
        <v>34</v>
      </c>
      <c r="D5795" t="s">
        <v>4062</v>
      </c>
      <c r="E5795" t="s">
        <v>4277</v>
      </c>
      <c r="F5795" t="s">
        <v>34</v>
      </c>
      <c r="G5795">
        <v>1</v>
      </c>
      <c r="H5795" s="2">
        <v>50575</v>
      </c>
      <c r="I5795" s="2">
        <v>50575</v>
      </c>
    </row>
    <row r="5796" spans="1:9" x14ac:dyDescent="0.25">
      <c r="A5796" t="s">
        <v>3169</v>
      </c>
      <c r="B5796" t="s">
        <v>3170</v>
      </c>
      <c r="C5796" t="s">
        <v>34</v>
      </c>
      <c r="D5796" t="s">
        <v>4062</v>
      </c>
      <c r="E5796" t="s">
        <v>4065</v>
      </c>
      <c r="F5796" t="s">
        <v>4066</v>
      </c>
      <c r="G5796">
        <v>0.3</v>
      </c>
      <c r="H5796" s="2">
        <v>3433</v>
      </c>
      <c r="I5796" s="2">
        <v>1029.9</v>
      </c>
    </row>
    <row r="5797" spans="1:9" x14ac:dyDescent="0.25">
      <c r="A5797" t="s">
        <v>3169</v>
      </c>
      <c r="B5797" t="s">
        <v>3170</v>
      </c>
      <c r="C5797" t="s">
        <v>34</v>
      </c>
      <c r="D5797" t="s">
        <v>4062</v>
      </c>
      <c r="E5797" t="s">
        <v>4301</v>
      </c>
      <c r="F5797" t="s">
        <v>231</v>
      </c>
      <c r="G5797">
        <v>1</v>
      </c>
      <c r="H5797" s="2">
        <v>4850</v>
      </c>
      <c r="I5797" s="2">
        <v>4850</v>
      </c>
    </row>
    <row r="5798" spans="1:9" x14ac:dyDescent="0.25">
      <c r="A5798" t="s">
        <v>3169</v>
      </c>
      <c r="B5798" t="s">
        <v>3170</v>
      </c>
      <c r="C5798" t="s">
        <v>34</v>
      </c>
      <c r="D5798" t="s">
        <v>4049</v>
      </c>
      <c r="E5798" t="s">
        <v>4176</v>
      </c>
      <c r="F5798" t="s">
        <v>4177</v>
      </c>
      <c r="G5798">
        <v>0.53</v>
      </c>
      <c r="H5798" s="2">
        <v>72300.17</v>
      </c>
      <c r="I5798" s="2">
        <v>38319.09</v>
      </c>
    </row>
    <row r="5799" spans="1:9" x14ac:dyDescent="0.25">
      <c r="A5799" t="s">
        <v>3169</v>
      </c>
      <c r="B5799" t="s">
        <v>3170</v>
      </c>
      <c r="C5799" t="s">
        <v>34</v>
      </c>
      <c r="D5799" t="s">
        <v>4049</v>
      </c>
      <c r="E5799" t="s">
        <v>4313</v>
      </c>
      <c r="F5799" t="s">
        <v>4177</v>
      </c>
      <c r="G5799">
        <v>0.13</v>
      </c>
      <c r="H5799" s="2">
        <v>124137.15</v>
      </c>
      <c r="I5799" s="2">
        <v>16137.83</v>
      </c>
    </row>
    <row r="5800" spans="1:9" x14ac:dyDescent="0.25">
      <c r="A5800" t="s">
        <v>3169</v>
      </c>
      <c r="B5800" t="s">
        <v>3170</v>
      </c>
      <c r="C5800" t="s">
        <v>34</v>
      </c>
      <c r="D5800" t="s">
        <v>4052</v>
      </c>
      <c r="E5800" t="s">
        <v>4414</v>
      </c>
      <c r="F5800" t="s">
        <v>4106</v>
      </c>
      <c r="G5800">
        <v>2.5</v>
      </c>
      <c r="H5800" s="2">
        <v>5691.28</v>
      </c>
      <c r="I5800" s="2">
        <v>14228.2</v>
      </c>
    </row>
    <row r="5801" spans="1:9" x14ac:dyDescent="0.25">
      <c r="A5801" t="s">
        <v>3169</v>
      </c>
      <c r="B5801" t="s">
        <v>3170</v>
      </c>
      <c r="C5801" t="s">
        <v>34</v>
      </c>
      <c r="D5801" t="s">
        <v>4052</v>
      </c>
      <c r="E5801" t="s">
        <v>4053</v>
      </c>
      <c r="F5801" t="s">
        <v>4054</v>
      </c>
      <c r="G5801">
        <v>6.7</v>
      </c>
      <c r="H5801" s="2">
        <v>54456.92</v>
      </c>
      <c r="I5801" s="2">
        <v>3648.61</v>
      </c>
    </row>
    <row r="5802" spans="1:9" x14ac:dyDescent="0.25">
      <c r="A5802" t="s">
        <v>3172</v>
      </c>
      <c r="B5802" t="s">
        <v>3173</v>
      </c>
      <c r="C5802" t="s">
        <v>42</v>
      </c>
      <c r="D5802" t="s">
        <v>4062</v>
      </c>
      <c r="E5802" t="s">
        <v>7162</v>
      </c>
      <c r="F5802" t="s">
        <v>42</v>
      </c>
      <c r="G5802">
        <v>1</v>
      </c>
      <c r="H5802" s="2">
        <v>23227</v>
      </c>
      <c r="I5802" s="2">
        <v>23227</v>
      </c>
    </row>
    <row r="5803" spans="1:9" x14ac:dyDescent="0.25">
      <c r="A5803" t="s">
        <v>3172</v>
      </c>
      <c r="B5803" t="s">
        <v>3173</v>
      </c>
      <c r="C5803" t="s">
        <v>42</v>
      </c>
      <c r="D5803" t="s">
        <v>4062</v>
      </c>
      <c r="E5803" t="s">
        <v>4369</v>
      </c>
      <c r="F5803" t="s">
        <v>34</v>
      </c>
      <c r="G5803">
        <v>0.03</v>
      </c>
      <c r="H5803" s="2">
        <v>89250</v>
      </c>
      <c r="I5803" s="2">
        <v>2677.5</v>
      </c>
    </row>
    <row r="5804" spans="1:9" x14ac:dyDescent="0.25">
      <c r="A5804" t="s">
        <v>3172</v>
      </c>
      <c r="B5804" t="s">
        <v>3173</v>
      </c>
      <c r="C5804" t="s">
        <v>42</v>
      </c>
      <c r="D5804" t="s">
        <v>4049</v>
      </c>
      <c r="E5804" t="s">
        <v>4241</v>
      </c>
      <c r="F5804" t="s">
        <v>4051</v>
      </c>
      <c r="G5804">
        <v>0.3</v>
      </c>
      <c r="H5804" s="2">
        <v>9941.22</v>
      </c>
      <c r="I5804" s="2">
        <v>2982.37</v>
      </c>
    </row>
    <row r="5805" spans="1:9" x14ac:dyDescent="0.25">
      <c r="A5805" t="s">
        <v>3172</v>
      </c>
      <c r="B5805" t="s">
        <v>3173</v>
      </c>
      <c r="C5805" t="s">
        <v>42</v>
      </c>
      <c r="D5805" t="s">
        <v>4049</v>
      </c>
      <c r="E5805" t="s">
        <v>4242</v>
      </c>
      <c r="F5805" t="s">
        <v>4051</v>
      </c>
      <c r="G5805">
        <v>0.3</v>
      </c>
      <c r="H5805" s="2">
        <v>17069.53</v>
      </c>
      <c r="I5805" s="2">
        <v>5120.86</v>
      </c>
    </row>
    <row r="5806" spans="1:9" x14ac:dyDescent="0.25">
      <c r="A5806" t="s">
        <v>3172</v>
      </c>
      <c r="B5806" t="s">
        <v>3173</v>
      </c>
      <c r="C5806" t="s">
        <v>42</v>
      </c>
      <c r="D5806" t="s">
        <v>4052</v>
      </c>
      <c r="E5806" t="s">
        <v>4053</v>
      </c>
      <c r="F5806" t="s">
        <v>4054</v>
      </c>
      <c r="G5806">
        <v>5</v>
      </c>
      <c r="H5806" s="2">
        <v>8103.23</v>
      </c>
      <c r="I5806" s="2">
        <v>405.16</v>
      </c>
    </row>
    <row r="5807" spans="1:9" x14ac:dyDescent="0.25">
      <c r="A5807" t="s">
        <v>3176</v>
      </c>
      <c r="B5807" t="s">
        <v>3177</v>
      </c>
      <c r="C5807" t="s">
        <v>42</v>
      </c>
      <c r="D5807" t="s">
        <v>4062</v>
      </c>
      <c r="E5807" t="s">
        <v>7165</v>
      </c>
      <c r="F5807" t="s">
        <v>42</v>
      </c>
      <c r="G5807">
        <v>1</v>
      </c>
      <c r="H5807" s="2">
        <v>15076</v>
      </c>
      <c r="I5807" s="2">
        <v>15076</v>
      </c>
    </row>
    <row r="5808" spans="1:9" x14ac:dyDescent="0.25">
      <c r="A5808" t="s">
        <v>3176</v>
      </c>
      <c r="B5808" t="s">
        <v>3177</v>
      </c>
      <c r="C5808" t="s">
        <v>42</v>
      </c>
      <c r="D5808" t="s">
        <v>4049</v>
      </c>
      <c r="E5808" t="s">
        <v>7166</v>
      </c>
      <c r="F5808" t="s">
        <v>287</v>
      </c>
      <c r="G5808">
        <v>0.8</v>
      </c>
      <c r="H5808" s="2">
        <v>181997</v>
      </c>
      <c r="I5808" s="2">
        <v>145597.6</v>
      </c>
    </row>
    <row r="5809" spans="1:9" x14ac:dyDescent="0.25">
      <c r="A5809" t="s">
        <v>3176</v>
      </c>
      <c r="B5809" t="s">
        <v>3177</v>
      </c>
      <c r="C5809" t="s">
        <v>42</v>
      </c>
      <c r="D5809" t="s">
        <v>4049</v>
      </c>
      <c r="E5809" t="s">
        <v>4241</v>
      </c>
      <c r="F5809" t="s">
        <v>4051</v>
      </c>
      <c r="G5809">
        <v>1.4</v>
      </c>
      <c r="H5809" s="2">
        <v>9941.22</v>
      </c>
      <c r="I5809" s="2">
        <v>13917.71</v>
      </c>
    </row>
    <row r="5810" spans="1:9" x14ac:dyDescent="0.25">
      <c r="A5810" t="s">
        <v>3176</v>
      </c>
      <c r="B5810" t="s">
        <v>3177</v>
      </c>
      <c r="C5810" t="s">
        <v>42</v>
      </c>
      <c r="D5810" t="s">
        <v>4049</v>
      </c>
      <c r="E5810" t="s">
        <v>4242</v>
      </c>
      <c r="F5810" t="s">
        <v>4051</v>
      </c>
      <c r="G5810">
        <v>1</v>
      </c>
      <c r="H5810" s="2">
        <v>17069.53</v>
      </c>
      <c r="I5810" s="2">
        <v>17069.53</v>
      </c>
    </row>
    <row r="5811" spans="1:9" x14ac:dyDescent="0.25">
      <c r="A5811" t="s">
        <v>3176</v>
      </c>
      <c r="B5811" t="s">
        <v>3177</v>
      </c>
      <c r="C5811" t="s">
        <v>42</v>
      </c>
      <c r="D5811" t="s">
        <v>4052</v>
      </c>
      <c r="E5811" t="s">
        <v>4053</v>
      </c>
      <c r="F5811" t="s">
        <v>4054</v>
      </c>
      <c r="G5811">
        <v>5</v>
      </c>
      <c r="H5811" s="2">
        <v>30987.24</v>
      </c>
      <c r="I5811" s="2">
        <v>1549.36</v>
      </c>
    </row>
    <row r="5812" spans="1:9" x14ac:dyDescent="0.25">
      <c r="A5812" t="s">
        <v>3179</v>
      </c>
      <c r="B5812" t="s">
        <v>3180</v>
      </c>
      <c r="C5812" t="s">
        <v>34</v>
      </c>
      <c r="D5812" t="s">
        <v>4049</v>
      </c>
      <c r="E5812" t="s">
        <v>4176</v>
      </c>
      <c r="F5812" t="s">
        <v>4177</v>
      </c>
      <c r="G5812">
        <v>0.3</v>
      </c>
      <c r="H5812" s="2">
        <v>72300.17</v>
      </c>
      <c r="I5812" s="2">
        <v>21690.05</v>
      </c>
    </row>
    <row r="5813" spans="1:9" x14ac:dyDescent="0.25">
      <c r="A5813" t="s">
        <v>3179</v>
      </c>
      <c r="B5813" t="s">
        <v>3180</v>
      </c>
      <c r="C5813" t="s">
        <v>34</v>
      </c>
      <c r="D5813" t="s">
        <v>4049</v>
      </c>
      <c r="E5813" t="s">
        <v>4313</v>
      </c>
      <c r="F5813" t="s">
        <v>4177</v>
      </c>
      <c r="G5813">
        <v>0.2</v>
      </c>
      <c r="H5813" s="2">
        <v>124137.15</v>
      </c>
      <c r="I5813" s="2">
        <v>24827.43</v>
      </c>
    </row>
    <row r="5814" spans="1:9" x14ac:dyDescent="0.25">
      <c r="A5814" t="s">
        <v>3179</v>
      </c>
      <c r="B5814" t="s">
        <v>3180</v>
      </c>
      <c r="C5814" t="s">
        <v>34</v>
      </c>
      <c r="D5814" t="s">
        <v>4052</v>
      </c>
      <c r="E5814" t="s">
        <v>4053</v>
      </c>
      <c r="F5814" t="s">
        <v>4054</v>
      </c>
      <c r="G5814">
        <v>5</v>
      </c>
      <c r="H5814" s="2">
        <v>46517.48</v>
      </c>
      <c r="I5814" s="2">
        <v>2325.87</v>
      </c>
    </row>
    <row r="5815" spans="1:9" x14ac:dyDescent="0.25">
      <c r="A5815" t="s">
        <v>3182</v>
      </c>
      <c r="B5815" t="s">
        <v>3183</v>
      </c>
      <c r="C5815" t="s">
        <v>34</v>
      </c>
      <c r="D5815" t="s">
        <v>4049</v>
      </c>
      <c r="E5815" t="s">
        <v>4176</v>
      </c>
      <c r="F5815" t="s">
        <v>4177</v>
      </c>
      <c r="G5815">
        <v>0.5</v>
      </c>
      <c r="H5815" s="2">
        <v>72300.17</v>
      </c>
      <c r="I5815" s="2">
        <v>36150.08</v>
      </c>
    </row>
    <row r="5816" spans="1:9" x14ac:dyDescent="0.25">
      <c r="A5816" t="s">
        <v>3182</v>
      </c>
      <c r="B5816" t="s">
        <v>3183</v>
      </c>
      <c r="C5816" t="s">
        <v>34</v>
      </c>
      <c r="D5816" t="s">
        <v>4049</v>
      </c>
      <c r="E5816" t="s">
        <v>4313</v>
      </c>
      <c r="F5816" t="s">
        <v>4177</v>
      </c>
      <c r="G5816">
        <v>0.25</v>
      </c>
      <c r="H5816" s="2">
        <v>124137.15</v>
      </c>
      <c r="I5816" s="2">
        <v>31034.29</v>
      </c>
    </row>
    <row r="5817" spans="1:9" x14ac:dyDescent="0.25">
      <c r="A5817" t="s">
        <v>3182</v>
      </c>
      <c r="B5817" t="s">
        <v>3183</v>
      </c>
      <c r="C5817" t="s">
        <v>34</v>
      </c>
      <c r="D5817" t="s">
        <v>4052</v>
      </c>
      <c r="E5817" t="s">
        <v>4053</v>
      </c>
      <c r="F5817" t="s">
        <v>4054</v>
      </c>
      <c r="G5817">
        <v>3.3</v>
      </c>
      <c r="H5817" s="2">
        <v>67184.37</v>
      </c>
      <c r="I5817" s="2">
        <v>2217.08</v>
      </c>
    </row>
    <row r="5818" spans="1:9" x14ac:dyDescent="0.25">
      <c r="A5818" t="s">
        <v>3185</v>
      </c>
      <c r="B5818" t="s">
        <v>3186</v>
      </c>
      <c r="C5818" t="s">
        <v>34</v>
      </c>
      <c r="D5818" t="s">
        <v>4062</v>
      </c>
      <c r="E5818" t="s">
        <v>5205</v>
      </c>
      <c r="F5818" t="s">
        <v>34</v>
      </c>
      <c r="G5818">
        <v>1.3</v>
      </c>
      <c r="H5818" s="2">
        <v>28333.33</v>
      </c>
      <c r="I5818" s="2">
        <v>36833.33</v>
      </c>
    </row>
    <row r="5819" spans="1:9" x14ac:dyDescent="0.25">
      <c r="A5819" t="s">
        <v>3185</v>
      </c>
      <c r="B5819" t="s">
        <v>3186</v>
      </c>
      <c r="C5819" t="s">
        <v>34</v>
      </c>
      <c r="D5819" t="s">
        <v>4062</v>
      </c>
      <c r="E5819" t="s">
        <v>4076</v>
      </c>
      <c r="F5819" t="s">
        <v>3963</v>
      </c>
      <c r="G5819">
        <v>25</v>
      </c>
      <c r="H5819" s="2">
        <v>21</v>
      </c>
      <c r="I5819" s="2">
        <v>525</v>
      </c>
    </row>
    <row r="5820" spans="1:9" x14ac:dyDescent="0.25">
      <c r="A5820" t="s">
        <v>3185</v>
      </c>
      <c r="B5820" t="s">
        <v>3186</v>
      </c>
      <c r="C5820" t="s">
        <v>34</v>
      </c>
      <c r="D5820" t="s">
        <v>4049</v>
      </c>
      <c r="E5820" t="s">
        <v>4176</v>
      </c>
      <c r="F5820" t="s">
        <v>4177</v>
      </c>
      <c r="G5820">
        <v>0.1</v>
      </c>
      <c r="H5820" s="2">
        <v>72300.17</v>
      </c>
      <c r="I5820" s="2">
        <v>7230.02</v>
      </c>
    </row>
    <row r="5821" spans="1:9" x14ac:dyDescent="0.25">
      <c r="A5821" t="s">
        <v>3185</v>
      </c>
      <c r="B5821" t="s">
        <v>3186</v>
      </c>
      <c r="C5821" t="s">
        <v>34</v>
      </c>
      <c r="D5821" t="s">
        <v>4049</v>
      </c>
      <c r="E5821" t="s">
        <v>4313</v>
      </c>
      <c r="F5821" t="s">
        <v>4177</v>
      </c>
      <c r="G5821">
        <v>0.1</v>
      </c>
      <c r="H5821" s="2">
        <v>124137.15</v>
      </c>
      <c r="I5821" s="2">
        <v>12413.72</v>
      </c>
    </row>
    <row r="5822" spans="1:9" x14ac:dyDescent="0.25">
      <c r="A5822" t="s">
        <v>3185</v>
      </c>
      <c r="B5822" t="s">
        <v>3186</v>
      </c>
      <c r="C5822" t="s">
        <v>34</v>
      </c>
      <c r="D5822" t="s">
        <v>4052</v>
      </c>
      <c r="E5822" t="s">
        <v>4084</v>
      </c>
      <c r="F5822" t="s">
        <v>287</v>
      </c>
      <c r="G5822">
        <v>0.1</v>
      </c>
      <c r="H5822" s="2">
        <v>145366.67</v>
      </c>
      <c r="I5822" s="2">
        <v>14536.67</v>
      </c>
    </row>
    <row r="5823" spans="1:9" x14ac:dyDescent="0.25">
      <c r="A5823" t="s">
        <v>3185</v>
      </c>
      <c r="B5823" t="s">
        <v>3186</v>
      </c>
      <c r="C5823" t="s">
        <v>34</v>
      </c>
      <c r="D5823" t="s">
        <v>4052</v>
      </c>
      <c r="E5823" t="s">
        <v>4077</v>
      </c>
      <c r="F5823" t="s">
        <v>287</v>
      </c>
      <c r="G5823">
        <v>0.1</v>
      </c>
      <c r="H5823" s="2">
        <v>74712.95</v>
      </c>
      <c r="I5823" s="2">
        <v>7471.3</v>
      </c>
    </row>
    <row r="5824" spans="1:9" x14ac:dyDescent="0.25">
      <c r="A5824" t="s">
        <v>3185</v>
      </c>
      <c r="B5824" t="s">
        <v>3186</v>
      </c>
      <c r="C5824" t="s">
        <v>34</v>
      </c>
      <c r="D5824" t="s">
        <v>4052</v>
      </c>
      <c r="E5824" t="s">
        <v>4342</v>
      </c>
      <c r="F5824" t="s">
        <v>287</v>
      </c>
      <c r="G5824">
        <v>0.33</v>
      </c>
      <c r="H5824" s="2">
        <v>8333.33</v>
      </c>
      <c r="I5824" s="2">
        <v>2775</v>
      </c>
    </row>
    <row r="5825" spans="1:9" x14ac:dyDescent="0.25">
      <c r="A5825" t="s">
        <v>3185</v>
      </c>
      <c r="B5825" t="s">
        <v>3186</v>
      </c>
      <c r="C5825" t="s">
        <v>34</v>
      </c>
      <c r="D5825" t="s">
        <v>4052</v>
      </c>
      <c r="E5825" t="s">
        <v>4053</v>
      </c>
      <c r="F5825" t="s">
        <v>4054</v>
      </c>
      <c r="G5825">
        <v>3.3</v>
      </c>
      <c r="H5825" s="2">
        <v>19643.74</v>
      </c>
      <c r="I5825" s="2">
        <v>648.24</v>
      </c>
    </row>
    <row r="5826" spans="1:9" x14ac:dyDescent="0.25">
      <c r="A5826" t="s">
        <v>3189</v>
      </c>
      <c r="B5826" t="s">
        <v>3190</v>
      </c>
      <c r="C5826" t="s">
        <v>34</v>
      </c>
      <c r="D5826" t="s">
        <v>4062</v>
      </c>
      <c r="E5826" t="s">
        <v>7175</v>
      </c>
      <c r="F5826" t="s">
        <v>21</v>
      </c>
      <c r="G5826">
        <v>6</v>
      </c>
      <c r="H5826" s="2">
        <v>6756.91</v>
      </c>
      <c r="I5826" s="2">
        <v>40541.46</v>
      </c>
    </row>
    <row r="5827" spans="1:9" x14ac:dyDescent="0.25">
      <c r="A5827" t="s">
        <v>3189</v>
      </c>
      <c r="B5827" t="s">
        <v>3190</v>
      </c>
      <c r="C5827" t="s">
        <v>34</v>
      </c>
      <c r="D5827" t="s">
        <v>4062</v>
      </c>
      <c r="E5827" t="s">
        <v>7176</v>
      </c>
      <c r="F5827" t="s">
        <v>34</v>
      </c>
      <c r="G5827">
        <v>1.3</v>
      </c>
      <c r="H5827" s="2">
        <v>39666.67</v>
      </c>
      <c r="I5827" s="2">
        <v>51566.67</v>
      </c>
    </row>
    <row r="5828" spans="1:9" x14ac:dyDescent="0.25">
      <c r="A5828" t="s">
        <v>3189</v>
      </c>
      <c r="B5828" t="s">
        <v>3190</v>
      </c>
      <c r="C5828" t="s">
        <v>34</v>
      </c>
      <c r="D5828" t="s">
        <v>4062</v>
      </c>
      <c r="E5828" t="s">
        <v>4076</v>
      </c>
      <c r="F5828" t="s">
        <v>3963</v>
      </c>
      <c r="G5828">
        <v>44</v>
      </c>
      <c r="H5828" s="2">
        <v>21</v>
      </c>
      <c r="I5828" s="2">
        <v>924</v>
      </c>
    </row>
    <row r="5829" spans="1:9" x14ac:dyDescent="0.25">
      <c r="A5829" t="s">
        <v>3189</v>
      </c>
      <c r="B5829" t="s">
        <v>3190</v>
      </c>
      <c r="C5829" t="s">
        <v>34</v>
      </c>
      <c r="D5829" t="s">
        <v>4049</v>
      </c>
      <c r="E5829" t="s">
        <v>4077</v>
      </c>
      <c r="F5829" t="s">
        <v>287</v>
      </c>
      <c r="G5829">
        <v>0.13</v>
      </c>
      <c r="H5829" s="2">
        <v>74712.95</v>
      </c>
      <c r="I5829" s="2">
        <v>9712.68</v>
      </c>
    </row>
    <row r="5830" spans="1:9" x14ac:dyDescent="0.25">
      <c r="A5830" t="s">
        <v>3189</v>
      </c>
      <c r="B5830" t="s">
        <v>3190</v>
      </c>
      <c r="C5830" t="s">
        <v>34</v>
      </c>
      <c r="D5830" t="s">
        <v>4049</v>
      </c>
      <c r="E5830" t="s">
        <v>4414</v>
      </c>
      <c r="F5830" t="s">
        <v>4106</v>
      </c>
      <c r="G5830">
        <v>0.5</v>
      </c>
      <c r="H5830" s="2">
        <v>5691.28</v>
      </c>
      <c r="I5830" s="2">
        <v>2845.64</v>
      </c>
    </row>
    <row r="5831" spans="1:9" x14ac:dyDescent="0.25">
      <c r="A5831" t="s">
        <v>3189</v>
      </c>
      <c r="B5831" t="s">
        <v>3190</v>
      </c>
      <c r="C5831" t="s">
        <v>34</v>
      </c>
      <c r="D5831" t="s">
        <v>4049</v>
      </c>
      <c r="E5831" t="s">
        <v>4081</v>
      </c>
      <c r="F5831" t="s">
        <v>287</v>
      </c>
      <c r="G5831">
        <v>0.13</v>
      </c>
      <c r="H5831" s="2">
        <v>98968.79</v>
      </c>
      <c r="I5831" s="2">
        <v>12371.1</v>
      </c>
    </row>
    <row r="5832" spans="1:9" x14ac:dyDescent="0.25">
      <c r="A5832" t="s">
        <v>3189</v>
      </c>
      <c r="B5832" t="s">
        <v>3190</v>
      </c>
      <c r="C5832" t="s">
        <v>34</v>
      </c>
      <c r="D5832" t="s">
        <v>4049</v>
      </c>
      <c r="E5832" t="s">
        <v>4176</v>
      </c>
      <c r="F5832" t="s">
        <v>4177</v>
      </c>
      <c r="G5832">
        <v>0.04</v>
      </c>
      <c r="H5832" s="2">
        <v>72300.17</v>
      </c>
      <c r="I5832" s="2">
        <v>2892.01</v>
      </c>
    </row>
    <row r="5833" spans="1:9" x14ac:dyDescent="0.25">
      <c r="A5833" t="s">
        <v>3189</v>
      </c>
      <c r="B5833" t="s">
        <v>3190</v>
      </c>
      <c r="C5833" t="s">
        <v>34</v>
      </c>
      <c r="D5833" t="s">
        <v>4049</v>
      </c>
      <c r="E5833" t="s">
        <v>4313</v>
      </c>
      <c r="F5833" t="s">
        <v>4177</v>
      </c>
      <c r="G5833">
        <v>0.02</v>
      </c>
      <c r="H5833" s="2">
        <v>124137.15</v>
      </c>
      <c r="I5833" s="2">
        <v>2482.74</v>
      </c>
    </row>
    <row r="5834" spans="1:9" x14ac:dyDescent="0.25">
      <c r="A5834" t="s">
        <v>3189</v>
      </c>
      <c r="B5834" t="s">
        <v>3190</v>
      </c>
      <c r="C5834" t="s">
        <v>34</v>
      </c>
      <c r="D5834" t="s">
        <v>4052</v>
      </c>
      <c r="E5834" t="s">
        <v>4053</v>
      </c>
      <c r="F5834" t="s">
        <v>4054</v>
      </c>
      <c r="G5834">
        <v>2</v>
      </c>
      <c r="H5834" s="2">
        <v>5374.75</v>
      </c>
      <c r="I5834" s="2">
        <v>107.5</v>
      </c>
    </row>
    <row r="5835" spans="1:9" x14ac:dyDescent="0.25">
      <c r="A5835" t="s">
        <v>3189</v>
      </c>
      <c r="B5835" t="s">
        <v>3190</v>
      </c>
      <c r="C5835" t="s">
        <v>34</v>
      </c>
      <c r="D5835" t="s">
        <v>4058</v>
      </c>
      <c r="E5835" t="s">
        <v>4059</v>
      </c>
      <c r="F5835" t="s">
        <v>3545</v>
      </c>
      <c r="G5835">
        <v>30</v>
      </c>
      <c r="H5835" s="2">
        <v>1325</v>
      </c>
      <c r="I5835" s="2">
        <v>39750</v>
      </c>
    </row>
    <row r="5836" spans="1:9" x14ac:dyDescent="0.25">
      <c r="A5836" t="s">
        <v>3192</v>
      </c>
      <c r="B5836" t="s">
        <v>3193</v>
      </c>
      <c r="C5836" t="s">
        <v>42</v>
      </c>
      <c r="D5836" t="s">
        <v>4062</v>
      </c>
      <c r="E5836" t="s">
        <v>4012</v>
      </c>
      <c r="F5836" t="s">
        <v>34</v>
      </c>
      <c r="G5836">
        <v>0.11</v>
      </c>
      <c r="H5836" s="2">
        <v>475506.98</v>
      </c>
      <c r="I5836" s="2">
        <v>52305.77</v>
      </c>
    </row>
    <row r="5837" spans="1:9" x14ac:dyDescent="0.25">
      <c r="A5837" t="s">
        <v>3192</v>
      </c>
      <c r="B5837" t="s">
        <v>3193</v>
      </c>
      <c r="C5837" t="s">
        <v>42</v>
      </c>
      <c r="D5837" t="s">
        <v>4062</v>
      </c>
      <c r="E5837" t="s">
        <v>4261</v>
      </c>
      <c r="F5837" t="s">
        <v>231</v>
      </c>
      <c r="G5837">
        <v>13</v>
      </c>
      <c r="H5837" s="2">
        <v>2982</v>
      </c>
      <c r="I5837" s="2">
        <v>38766</v>
      </c>
    </row>
    <row r="5838" spans="1:9" x14ac:dyDescent="0.25">
      <c r="A5838" t="s">
        <v>3192</v>
      </c>
      <c r="B5838" t="s">
        <v>3193</v>
      </c>
      <c r="C5838" t="s">
        <v>42</v>
      </c>
      <c r="D5838" t="s">
        <v>4062</v>
      </c>
      <c r="E5838" t="s">
        <v>4494</v>
      </c>
      <c r="F5838" t="s">
        <v>63</v>
      </c>
      <c r="G5838">
        <v>72</v>
      </c>
      <c r="H5838" s="2">
        <v>794</v>
      </c>
      <c r="I5838" s="2">
        <v>57168</v>
      </c>
    </row>
    <row r="5839" spans="1:9" x14ac:dyDescent="0.25">
      <c r="A5839" t="s">
        <v>3192</v>
      </c>
      <c r="B5839" t="s">
        <v>3193</v>
      </c>
      <c r="C5839" t="s">
        <v>42</v>
      </c>
      <c r="D5839" t="s">
        <v>4062</v>
      </c>
      <c r="E5839" t="s">
        <v>3978</v>
      </c>
      <c r="F5839" t="s">
        <v>34</v>
      </c>
      <c r="G5839">
        <v>0.03</v>
      </c>
      <c r="H5839" s="2">
        <v>409741.65</v>
      </c>
      <c r="I5839" s="2">
        <v>12292.25</v>
      </c>
    </row>
    <row r="5840" spans="1:9" x14ac:dyDescent="0.25">
      <c r="A5840" t="s">
        <v>3192</v>
      </c>
      <c r="B5840" t="s">
        <v>3193</v>
      </c>
      <c r="C5840" t="s">
        <v>42</v>
      </c>
      <c r="D5840" t="s">
        <v>4062</v>
      </c>
      <c r="E5840" t="s">
        <v>5818</v>
      </c>
      <c r="F5840" t="s">
        <v>4236</v>
      </c>
      <c r="G5840">
        <v>1.61</v>
      </c>
      <c r="H5840" s="2">
        <v>24555.22</v>
      </c>
      <c r="I5840" s="2">
        <v>39533.9</v>
      </c>
    </row>
    <row r="5841" spans="1:9" x14ac:dyDescent="0.25">
      <c r="A5841" t="s">
        <v>3195</v>
      </c>
      <c r="B5841" t="s">
        <v>3196</v>
      </c>
      <c r="C5841" t="s">
        <v>34</v>
      </c>
      <c r="D5841" t="s">
        <v>4062</v>
      </c>
      <c r="E5841" t="s">
        <v>5205</v>
      </c>
      <c r="F5841" t="s">
        <v>34</v>
      </c>
      <c r="G5841">
        <v>1.3</v>
      </c>
      <c r="H5841" s="2">
        <v>28333.33</v>
      </c>
      <c r="I5841" s="2">
        <v>36833.33</v>
      </c>
    </row>
    <row r="5842" spans="1:9" x14ac:dyDescent="0.25">
      <c r="A5842" t="s">
        <v>3195</v>
      </c>
      <c r="B5842" t="s">
        <v>3196</v>
      </c>
      <c r="C5842" t="s">
        <v>34</v>
      </c>
      <c r="D5842" t="s">
        <v>4049</v>
      </c>
      <c r="E5842" t="s">
        <v>4176</v>
      </c>
      <c r="F5842" t="s">
        <v>4177</v>
      </c>
      <c r="G5842">
        <v>0.1</v>
      </c>
      <c r="H5842" s="2">
        <v>72300.17</v>
      </c>
      <c r="I5842" s="2">
        <v>7230.02</v>
      </c>
    </row>
    <row r="5843" spans="1:9" x14ac:dyDescent="0.25">
      <c r="A5843" t="s">
        <v>3195</v>
      </c>
      <c r="B5843" t="s">
        <v>3196</v>
      </c>
      <c r="C5843" t="s">
        <v>34</v>
      </c>
      <c r="D5843" t="s">
        <v>4049</v>
      </c>
      <c r="E5843" t="s">
        <v>4313</v>
      </c>
      <c r="F5843" t="s">
        <v>4177</v>
      </c>
      <c r="G5843">
        <v>0.1</v>
      </c>
      <c r="H5843" s="2">
        <v>124137.15</v>
      </c>
      <c r="I5843" s="2">
        <v>12413.72</v>
      </c>
    </row>
    <row r="5844" spans="1:9" x14ac:dyDescent="0.25">
      <c r="A5844" t="s">
        <v>3195</v>
      </c>
      <c r="B5844" t="s">
        <v>3196</v>
      </c>
      <c r="C5844" t="s">
        <v>34</v>
      </c>
      <c r="D5844" t="s">
        <v>4052</v>
      </c>
      <c r="E5844" t="s">
        <v>4084</v>
      </c>
      <c r="F5844" t="s">
        <v>287</v>
      </c>
      <c r="G5844">
        <v>0.07</v>
      </c>
      <c r="H5844" s="2">
        <v>145366.67</v>
      </c>
      <c r="I5844" s="2">
        <v>10175.67</v>
      </c>
    </row>
    <row r="5845" spans="1:9" x14ac:dyDescent="0.25">
      <c r="A5845" t="s">
        <v>3195</v>
      </c>
      <c r="B5845" t="s">
        <v>3196</v>
      </c>
      <c r="C5845" t="s">
        <v>34</v>
      </c>
      <c r="D5845" t="s">
        <v>4052</v>
      </c>
      <c r="E5845" t="s">
        <v>4342</v>
      </c>
      <c r="F5845" t="s">
        <v>287</v>
      </c>
      <c r="G5845">
        <v>0.18</v>
      </c>
      <c r="H5845" s="2">
        <v>8333.33</v>
      </c>
      <c r="I5845" s="2">
        <v>1500</v>
      </c>
    </row>
    <row r="5846" spans="1:9" x14ac:dyDescent="0.25">
      <c r="A5846" t="s">
        <v>3195</v>
      </c>
      <c r="B5846" t="s">
        <v>3196</v>
      </c>
      <c r="C5846" t="s">
        <v>34</v>
      </c>
      <c r="D5846" t="s">
        <v>4052</v>
      </c>
      <c r="E5846" t="s">
        <v>4053</v>
      </c>
      <c r="F5846" t="s">
        <v>4054</v>
      </c>
      <c r="G5846">
        <v>3.3</v>
      </c>
      <c r="H5846" s="2">
        <v>19643.74</v>
      </c>
      <c r="I5846" s="2">
        <v>648.24</v>
      </c>
    </row>
    <row r="5847" spans="1:9" x14ac:dyDescent="0.25">
      <c r="A5847" t="s">
        <v>3195</v>
      </c>
      <c r="B5847" t="s">
        <v>3196</v>
      </c>
      <c r="C5847" t="s">
        <v>34</v>
      </c>
      <c r="D5847" t="s">
        <v>4058</v>
      </c>
      <c r="E5847" t="s">
        <v>4314</v>
      </c>
      <c r="F5847" t="s">
        <v>34</v>
      </c>
      <c r="G5847">
        <v>0.07</v>
      </c>
      <c r="H5847" s="2">
        <v>63714</v>
      </c>
      <c r="I5847" s="2">
        <v>4249.72</v>
      </c>
    </row>
    <row r="5848" spans="1:9" x14ac:dyDescent="0.25">
      <c r="A5848" t="s">
        <v>3198</v>
      </c>
      <c r="B5848" t="s">
        <v>3199</v>
      </c>
      <c r="C5848" t="s">
        <v>34</v>
      </c>
      <c r="D5848" t="s">
        <v>4049</v>
      </c>
      <c r="E5848" t="s">
        <v>4176</v>
      </c>
      <c r="F5848" t="s">
        <v>4177</v>
      </c>
      <c r="G5848">
        <v>0.15</v>
      </c>
      <c r="H5848" s="2">
        <v>72300.17</v>
      </c>
      <c r="I5848" s="2">
        <v>10845.03</v>
      </c>
    </row>
    <row r="5849" spans="1:9" x14ac:dyDescent="0.25">
      <c r="A5849" t="s">
        <v>3198</v>
      </c>
      <c r="B5849" t="s">
        <v>3199</v>
      </c>
      <c r="C5849" t="s">
        <v>34</v>
      </c>
      <c r="D5849" t="s">
        <v>4049</v>
      </c>
      <c r="E5849" t="s">
        <v>4313</v>
      </c>
      <c r="F5849" t="s">
        <v>4177</v>
      </c>
      <c r="G5849">
        <v>0.05</v>
      </c>
      <c r="H5849" s="2">
        <v>124137.15</v>
      </c>
      <c r="I5849" s="2">
        <v>6206.86</v>
      </c>
    </row>
    <row r="5850" spans="1:9" x14ac:dyDescent="0.25">
      <c r="A5850" t="s">
        <v>3198</v>
      </c>
      <c r="B5850" t="s">
        <v>3199</v>
      </c>
      <c r="C5850" t="s">
        <v>34</v>
      </c>
      <c r="D5850" t="s">
        <v>4052</v>
      </c>
      <c r="E5850" t="s">
        <v>4342</v>
      </c>
      <c r="F5850" t="s">
        <v>287</v>
      </c>
      <c r="G5850">
        <v>0.33</v>
      </c>
      <c r="H5850" s="2">
        <v>8333.33</v>
      </c>
      <c r="I5850" s="2">
        <v>2777.5</v>
      </c>
    </row>
    <row r="5851" spans="1:9" x14ac:dyDescent="0.25">
      <c r="A5851" t="s">
        <v>3198</v>
      </c>
      <c r="B5851" t="s">
        <v>3199</v>
      </c>
      <c r="C5851" t="s">
        <v>34</v>
      </c>
      <c r="D5851" t="s">
        <v>4052</v>
      </c>
      <c r="E5851" t="s">
        <v>4053</v>
      </c>
      <c r="F5851" t="s">
        <v>4054</v>
      </c>
      <c r="G5851">
        <v>3.3</v>
      </c>
      <c r="H5851" s="2">
        <v>17051.89</v>
      </c>
      <c r="I5851" s="2">
        <v>562.71</v>
      </c>
    </row>
    <row r="5852" spans="1:9" x14ac:dyDescent="0.25">
      <c r="A5852" t="s">
        <v>3201</v>
      </c>
      <c r="B5852" t="s">
        <v>3202</v>
      </c>
      <c r="C5852" t="s">
        <v>34</v>
      </c>
      <c r="D5852" t="s">
        <v>4062</v>
      </c>
      <c r="E5852" t="s">
        <v>4475</v>
      </c>
      <c r="F5852" t="s">
        <v>231</v>
      </c>
      <c r="G5852">
        <v>97.5</v>
      </c>
      <c r="H5852" s="2">
        <v>730</v>
      </c>
      <c r="I5852" s="2">
        <v>71175</v>
      </c>
    </row>
    <row r="5853" spans="1:9" x14ac:dyDescent="0.25">
      <c r="A5853" t="s">
        <v>3201</v>
      </c>
      <c r="B5853" t="s">
        <v>3202</v>
      </c>
      <c r="C5853" t="s">
        <v>34</v>
      </c>
      <c r="D5853" t="s">
        <v>4049</v>
      </c>
      <c r="E5853" t="s">
        <v>4050</v>
      </c>
      <c r="F5853" t="s">
        <v>4051</v>
      </c>
      <c r="G5853">
        <v>0.2</v>
      </c>
      <c r="H5853" s="2">
        <v>9037.33</v>
      </c>
      <c r="I5853" s="2">
        <v>1807.47</v>
      </c>
    </row>
    <row r="5854" spans="1:9" x14ac:dyDescent="0.25">
      <c r="A5854" t="s">
        <v>3201</v>
      </c>
      <c r="B5854" t="s">
        <v>3202</v>
      </c>
      <c r="C5854" t="s">
        <v>34</v>
      </c>
      <c r="D5854" t="s">
        <v>4049</v>
      </c>
      <c r="E5854" t="s">
        <v>4073</v>
      </c>
      <c r="F5854" t="s">
        <v>4051</v>
      </c>
      <c r="G5854">
        <v>0.2</v>
      </c>
      <c r="H5854" s="2">
        <v>15517.89</v>
      </c>
      <c r="I5854" s="2">
        <v>3103.58</v>
      </c>
    </row>
    <row r="5855" spans="1:9" x14ac:dyDescent="0.25">
      <c r="A5855" t="s">
        <v>3201</v>
      </c>
      <c r="B5855" t="s">
        <v>3202</v>
      </c>
      <c r="C5855" t="s">
        <v>34</v>
      </c>
      <c r="D5855" t="s">
        <v>4052</v>
      </c>
      <c r="E5855" t="s">
        <v>4077</v>
      </c>
      <c r="F5855" t="s">
        <v>287</v>
      </c>
      <c r="G5855">
        <v>0.08</v>
      </c>
      <c r="H5855" s="2">
        <v>74712.95</v>
      </c>
      <c r="I5855" s="2">
        <v>5977.04</v>
      </c>
    </row>
    <row r="5856" spans="1:9" x14ac:dyDescent="0.25">
      <c r="A5856" t="s">
        <v>3201</v>
      </c>
      <c r="B5856" t="s">
        <v>3202</v>
      </c>
      <c r="C5856" t="s">
        <v>34</v>
      </c>
      <c r="D5856" t="s">
        <v>4052</v>
      </c>
      <c r="E5856" t="s">
        <v>4078</v>
      </c>
      <c r="F5856" t="s">
        <v>287</v>
      </c>
      <c r="G5856">
        <v>0.08</v>
      </c>
      <c r="H5856" s="2">
        <v>157100</v>
      </c>
      <c r="I5856" s="2">
        <v>12568</v>
      </c>
    </row>
    <row r="5857" spans="1:9" x14ac:dyDescent="0.25">
      <c r="A5857" t="s">
        <v>3201</v>
      </c>
      <c r="B5857" t="s">
        <v>3202</v>
      </c>
      <c r="C5857" t="s">
        <v>34</v>
      </c>
      <c r="D5857" t="s">
        <v>4052</v>
      </c>
      <c r="E5857" t="s">
        <v>4081</v>
      </c>
      <c r="F5857" t="s">
        <v>287</v>
      </c>
      <c r="G5857">
        <v>0.08</v>
      </c>
      <c r="H5857" s="2">
        <v>98968.79</v>
      </c>
      <c r="I5857" s="2">
        <v>7917.5</v>
      </c>
    </row>
    <row r="5858" spans="1:9" x14ac:dyDescent="0.25">
      <c r="A5858" t="s">
        <v>3201</v>
      </c>
      <c r="B5858" t="s">
        <v>3202</v>
      </c>
      <c r="C5858" t="s">
        <v>34</v>
      </c>
      <c r="D5858" t="s">
        <v>4052</v>
      </c>
      <c r="E5858" t="s">
        <v>4053</v>
      </c>
      <c r="F5858" t="s">
        <v>4054</v>
      </c>
      <c r="G5858">
        <v>4</v>
      </c>
      <c r="H5858" s="2">
        <v>4911.05</v>
      </c>
      <c r="I5858" s="2">
        <v>196.44</v>
      </c>
    </row>
    <row r="5859" spans="1:9" x14ac:dyDescent="0.25">
      <c r="A5859" t="s">
        <v>3204</v>
      </c>
      <c r="B5859" t="s">
        <v>3205</v>
      </c>
      <c r="C5859" t="s">
        <v>34</v>
      </c>
      <c r="D5859" t="s">
        <v>4062</v>
      </c>
      <c r="E5859" t="s">
        <v>4001</v>
      </c>
      <c r="F5859" t="s">
        <v>34</v>
      </c>
      <c r="G5859">
        <v>1.05</v>
      </c>
      <c r="H5859" s="2">
        <v>450245.66</v>
      </c>
      <c r="I5859" s="2">
        <v>472757.94</v>
      </c>
    </row>
    <row r="5860" spans="1:9" x14ac:dyDescent="0.25">
      <c r="A5860" t="s">
        <v>3204</v>
      </c>
      <c r="B5860" t="s">
        <v>3205</v>
      </c>
      <c r="C5860" t="s">
        <v>34</v>
      </c>
      <c r="D5860" t="s">
        <v>4062</v>
      </c>
      <c r="E5860" t="s">
        <v>4400</v>
      </c>
      <c r="F5860" t="s">
        <v>42</v>
      </c>
      <c r="G5860">
        <v>1.97</v>
      </c>
      <c r="H5860" s="2">
        <v>5286.26</v>
      </c>
      <c r="I5860" s="2">
        <v>10413.93</v>
      </c>
    </row>
    <row r="5861" spans="1:9" x14ac:dyDescent="0.25">
      <c r="A5861" t="s">
        <v>3204</v>
      </c>
      <c r="B5861" t="s">
        <v>3205</v>
      </c>
      <c r="C5861" t="s">
        <v>34</v>
      </c>
      <c r="D5861" t="s">
        <v>4062</v>
      </c>
      <c r="E5861" t="s">
        <v>4070</v>
      </c>
      <c r="F5861" t="s">
        <v>42</v>
      </c>
      <c r="G5861">
        <v>4.34</v>
      </c>
      <c r="H5861" s="2">
        <v>7381.08</v>
      </c>
      <c r="I5861" s="2">
        <v>32033.89</v>
      </c>
    </row>
    <row r="5862" spans="1:9" x14ac:dyDescent="0.25">
      <c r="A5862" t="s">
        <v>3204</v>
      </c>
      <c r="B5862" t="s">
        <v>3205</v>
      </c>
      <c r="C5862" t="s">
        <v>34</v>
      </c>
      <c r="D5862" t="s">
        <v>4062</v>
      </c>
      <c r="E5862" t="s">
        <v>4071</v>
      </c>
      <c r="F5862" t="s">
        <v>42</v>
      </c>
      <c r="G5862">
        <v>2.56</v>
      </c>
      <c r="H5862" s="2">
        <v>2555</v>
      </c>
      <c r="I5862" s="2">
        <v>6540.8</v>
      </c>
    </row>
    <row r="5863" spans="1:9" x14ac:dyDescent="0.25">
      <c r="A5863" t="s">
        <v>3204</v>
      </c>
      <c r="B5863" t="s">
        <v>3205</v>
      </c>
      <c r="C5863" t="s">
        <v>34</v>
      </c>
      <c r="D5863" t="s">
        <v>4062</v>
      </c>
      <c r="E5863" t="s">
        <v>4065</v>
      </c>
      <c r="F5863" t="s">
        <v>4066</v>
      </c>
      <c r="G5863">
        <v>2.12</v>
      </c>
      <c r="H5863" s="2">
        <v>3433</v>
      </c>
      <c r="I5863" s="2">
        <v>7277.96</v>
      </c>
    </row>
    <row r="5864" spans="1:9" x14ac:dyDescent="0.25">
      <c r="A5864" t="s">
        <v>3204</v>
      </c>
      <c r="B5864" t="s">
        <v>3205</v>
      </c>
      <c r="C5864" t="s">
        <v>34</v>
      </c>
      <c r="D5864" t="s">
        <v>4049</v>
      </c>
      <c r="E5864" t="s">
        <v>4176</v>
      </c>
      <c r="F5864" t="s">
        <v>4177</v>
      </c>
      <c r="G5864">
        <v>0.6</v>
      </c>
      <c r="H5864" s="2">
        <v>72300.17</v>
      </c>
      <c r="I5864" s="2">
        <v>43380.1</v>
      </c>
    </row>
    <row r="5865" spans="1:9" x14ac:dyDescent="0.25">
      <c r="A5865" t="s">
        <v>3204</v>
      </c>
      <c r="B5865" t="s">
        <v>3205</v>
      </c>
      <c r="C5865" t="s">
        <v>34</v>
      </c>
      <c r="D5865" t="s">
        <v>4049</v>
      </c>
      <c r="E5865" t="s">
        <v>4313</v>
      </c>
      <c r="F5865" t="s">
        <v>4177</v>
      </c>
      <c r="G5865">
        <v>0.15</v>
      </c>
      <c r="H5865" s="2">
        <v>124137.15</v>
      </c>
      <c r="I5865" s="2">
        <v>18620.57</v>
      </c>
    </row>
    <row r="5866" spans="1:9" x14ac:dyDescent="0.25">
      <c r="A5866" t="s">
        <v>3204</v>
      </c>
      <c r="B5866" t="s">
        <v>3205</v>
      </c>
      <c r="C5866" t="s">
        <v>34</v>
      </c>
      <c r="D5866" t="s">
        <v>4052</v>
      </c>
      <c r="E5866" t="s">
        <v>4414</v>
      </c>
      <c r="F5866" t="s">
        <v>4106</v>
      </c>
      <c r="G5866">
        <v>7</v>
      </c>
      <c r="H5866" s="2">
        <v>5691.28</v>
      </c>
      <c r="I5866" s="2">
        <v>39838.96</v>
      </c>
    </row>
    <row r="5867" spans="1:9" x14ac:dyDescent="0.25">
      <c r="A5867" t="s">
        <v>3204</v>
      </c>
      <c r="B5867" t="s">
        <v>3205</v>
      </c>
      <c r="C5867" t="s">
        <v>34</v>
      </c>
      <c r="D5867" t="s">
        <v>4052</v>
      </c>
      <c r="E5867" t="s">
        <v>4286</v>
      </c>
      <c r="F5867" t="s">
        <v>287</v>
      </c>
      <c r="G5867">
        <v>2</v>
      </c>
      <c r="H5867" s="2">
        <v>9375</v>
      </c>
      <c r="I5867" s="2">
        <v>18750</v>
      </c>
    </row>
    <row r="5868" spans="1:9" x14ac:dyDescent="0.25">
      <c r="A5868" t="s">
        <v>3204</v>
      </c>
      <c r="B5868" t="s">
        <v>3205</v>
      </c>
      <c r="C5868" t="s">
        <v>34</v>
      </c>
      <c r="D5868" t="s">
        <v>4052</v>
      </c>
      <c r="E5868" t="s">
        <v>4053</v>
      </c>
      <c r="F5868" t="s">
        <v>4054</v>
      </c>
      <c r="G5868">
        <v>1.7</v>
      </c>
      <c r="H5868" s="2">
        <v>62000.67</v>
      </c>
      <c r="I5868" s="2">
        <v>1054.01</v>
      </c>
    </row>
    <row r="5869" spans="1:9" x14ac:dyDescent="0.25">
      <c r="A5869" t="s">
        <v>3208</v>
      </c>
      <c r="B5869" t="s">
        <v>3209</v>
      </c>
      <c r="C5869" t="s">
        <v>34</v>
      </c>
      <c r="D5869" t="s">
        <v>4062</v>
      </c>
      <c r="E5869" t="s">
        <v>4001</v>
      </c>
      <c r="F5869" t="s">
        <v>34</v>
      </c>
      <c r="G5869">
        <v>0.65</v>
      </c>
      <c r="H5869" s="2">
        <v>450245.66</v>
      </c>
      <c r="I5869" s="2">
        <v>292659.68</v>
      </c>
    </row>
    <row r="5870" spans="1:9" x14ac:dyDescent="0.25">
      <c r="A5870" t="s">
        <v>3208</v>
      </c>
      <c r="B5870" t="s">
        <v>3209</v>
      </c>
      <c r="C5870" t="s">
        <v>34</v>
      </c>
      <c r="D5870" t="s">
        <v>4062</v>
      </c>
      <c r="E5870" t="s">
        <v>4400</v>
      </c>
      <c r="F5870" t="s">
        <v>42</v>
      </c>
      <c r="G5870">
        <v>0.42</v>
      </c>
      <c r="H5870" s="2">
        <v>5286.26</v>
      </c>
      <c r="I5870" s="2">
        <v>2220.23</v>
      </c>
    </row>
    <row r="5871" spans="1:9" x14ac:dyDescent="0.25">
      <c r="A5871" t="s">
        <v>3208</v>
      </c>
      <c r="B5871" t="s">
        <v>3209</v>
      </c>
      <c r="C5871" t="s">
        <v>34</v>
      </c>
      <c r="D5871" t="s">
        <v>4062</v>
      </c>
      <c r="E5871" t="s">
        <v>4070</v>
      </c>
      <c r="F5871" t="s">
        <v>42</v>
      </c>
      <c r="G5871">
        <v>0.93</v>
      </c>
      <c r="H5871" s="2">
        <v>7381.08</v>
      </c>
      <c r="I5871" s="2">
        <v>6864.4</v>
      </c>
    </row>
    <row r="5872" spans="1:9" x14ac:dyDescent="0.25">
      <c r="A5872" t="s">
        <v>3208</v>
      </c>
      <c r="B5872" t="s">
        <v>3209</v>
      </c>
      <c r="C5872" t="s">
        <v>34</v>
      </c>
      <c r="D5872" t="s">
        <v>4062</v>
      </c>
      <c r="E5872" t="s">
        <v>4071</v>
      </c>
      <c r="F5872" t="s">
        <v>42</v>
      </c>
      <c r="G5872">
        <v>0.55</v>
      </c>
      <c r="H5872" s="2">
        <v>2555</v>
      </c>
      <c r="I5872" s="2">
        <v>1405.25</v>
      </c>
    </row>
    <row r="5873" spans="1:9" x14ac:dyDescent="0.25">
      <c r="A5873" t="s">
        <v>3208</v>
      </c>
      <c r="B5873" t="s">
        <v>3209</v>
      </c>
      <c r="C5873" t="s">
        <v>34</v>
      </c>
      <c r="D5873" t="s">
        <v>4062</v>
      </c>
      <c r="E5873" t="s">
        <v>4065</v>
      </c>
      <c r="F5873" t="s">
        <v>4066</v>
      </c>
      <c r="G5873">
        <v>0.45</v>
      </c>
      <c r="H5873" s="2">
        <v>3433</v>
      </c>
      <c r="I5873" s="2">
        <v>1544.85</v>
      </c>
    </row>
    <row r="5874" spans="1:9" x14ac:dyDescent="0.25">
      <c r="A5874" t="s">
        <v>3208</v>
      </c>
      <c r="B5874" t="s">
        <v>3209</v>
      </c>
      <c r="C5874" t="s">
        <v>34</v>
      </c>
      <c r="D5874" t="s">
        <v>4062</v>
      </c>
      <c r="E5874" t="s">
        <v>7148</v>
      </c>
      <c r="F5874" t="s">
        <v>34</v>
      </c>
      <c r="G5874">
        <v>0.45</v>
      </c>
      <c r="H5874" s="2">
        <v>47600</v>
      </c>
      <c r="I5874" s="2">
        <v>21420</v>
      </c>
    </row>
    <row r="5875" spans="1:9" x14ac:dyDescent="0.25">
      <c r="A5875" t="s">
        <v>3208</v>
      </c>
      <c r="B5875" t="s">
        <v>3209</v>
      </c>
      <c r="C5875" t="s">
        <v>34</v>
      </c>
      <c r="D5875" t="s">
        <v>4049</v>
      </c>
      <c r="E5875" t="s">
        <v>4176</v>
      </c>
      <c r="F5875" t="s">
        <v>4177</v>
      </c>
      <c r="G5875">
        <v>1</v>
      </c>
      <c r="H5875" s="2">
        <v>72300.17</v>
      </c>
      <c r="I5875" s="2">
        <v>72300.17</v>
      </c>
    </row>
    <row r="5876" spans="1:9" x14ac:dyDescent="0.25">
      <c r="A5876" t="s">
        <v>3208</v>
      </c>
      <c r="B5876" t="s">
        <v>3209</v>
      </c>
      <c r="C5876" t="s">
        <v>34</v>
      </c>
      <c r="D5876" t="s">
        <v>4049</v>
      </c>
      <c r="E5876" t="s">
        <v>4313</v>
      </c>
      <c r="F5876" t="s">
        <v>4177</v>
      </c>
      <c r="G5876">
        <v>0.35</v>
      </c>
      <c r="H5876" s="2">
        <v>124137.15</v>
      </c>
      <c r="I5876" s="2">
        <v>43448</v>
      </c>
    </row>
    <row r="5877" spans="1:9" x14ac:dyDescent="0.25">
      <c r="A5877" t="s">
        <v>3208</v>
      </c>
      <c r="B5877" t="s">
        <v>3209</v>
      </c>
      <c r="C5877" t="s">
        <v>34</v>
      </c>
      <c r="D5877" t="s">
        <v>4052</v>
      </c>
      <c r="E5877" t="s">
        <v>4053</v>
      </c>
      <c r="F5877" t="s">
        <v>4054</v>
      </c>
      <c r="G5877">
        <v>3.3</v>
      </c>
      <c r="H5877" s="2">
        <v>115748.17</v>
      </c>
      <c r="I5877" s="2">
        <v>3819.69</v>
      </c>
    </row>
    <row r="5878" spans="1:9" x14ac:dyDescent="0.25">
      <c r="A5878" t="s">
        <v>3211</v>
      </c>
      <c r="B5878" t="s">
        <v>3212</v>
      </c>
      <c r="C5878" t="s">
        <v>34</v>
      </c>
      <c r="D5878" t="s">
        <v>4062</v>
      </c>
      <c r="E5878" t="s">
        <v>4001</v>
      </c>
      <c r="F5878" t="s">
        <v>34</v>
      </c>
      <c r="G5878">
        <v>0.65</v>
      </c>
      <c r="H5878" s="2">
        <v>450245.66</v>
      </c>
      <c r="I5878" s="2">
        <v>292659.68</v>
      </c>
    </row>
    <row r="5879" spans="1:9" x14ac:dyDescent="0.25">
      <c r="A5879" t="s">
        <v>3211</v>
      </c>
      <c r="B5879" t="s">
        <v>3212</v>
      </c>
      <c r="C5879" t="s">
        <v>34</v>
      </c>
      <c r="D5879" t="s">
        <v>4062</v>
      </c>
      <c r="E5879" t="s">
        <v>4400</v>
      </c>
      <c r="F5879" t="s">
        <v>42</v>
      </c>
      <c r="G5879">
        <v>1.47</v>
      </c>
      <c r="H5879" s="2">
        <v>5286.26</v>
      </c>
      <c r="I5879" s="2">
        <v>7770.8</v>
      </c>
    </row>
    <row r="5880" spans="1:9" x14ac:dyDescent="0.25">
      <c r="A5880" t="s">
        <v>3211</v>
      </c>
      <c r="B5880" t="s">
        <v>3212</v>
      </c>
      <c r="C5880" t="s">
        <v>34</v>
      </c>
      <c r="D5880" t="s">
        <v>4062</v>
      </c>
      <c r="E5880" t="s">
        <v>4070</v>
      </c>
      <c r="F5880" t="s">
        <v>42</v>
      </c>
      <c r="G5880">
        <v>3.23</v>
      </c>
      <c r="H5880" s="2">
        <v>7381.08</v>
      </c>
      <c r="I5880" s="2">
        <v>23840.89</v>
      </c>
    </row>
    <row r="5881" spans="1:9" x14ac:dyDescent="0.25">
      <c r="A5881" t="s">
        <v>3211</v>
      </c>
      <c r="B5881" t="s">
        <v>3212</v>
      </c>
      <c r="C5881" t="s">
        <v>34</v>
      </c>
      <c r="D5881" t="s">
        <v>4062</v>
      </c>
      <c r="E5881" t="s">
        <v>4071</v>
      </c>
      <c r="F5881" t="s">
        <v>42</v>
      </c>
      <c r="G5881">
        <v>1.91</v>
      </c>
      <c r="H5881" s="2">
        <v>2555</v>
      </c>
      <c r="I5881" s="2">
        <v>4880.05</v>
      </c>
    </row>
    <row r="5882" spans="1:9" x14ac:dyDescent="0.25">
      <c r="A5882" t="s">
        <v>3211</v>
      </c>
      <c r="B5882" t="s">
        <v>3212</v>
      </c>
      <c r="C5882" t="s">
        <v>34</v>
      </c>
      <c r="D5882" t="s">
        <v>4062</v>
      </c>
      <c r="E5882" t="s">
        <v>4065</v>
      </c>
      <c r="F5882" t="s">
        <v>4066</v>
      </c>
      <c r="G5882">
        <v>1.58</v>
      </c>
      <c r="H5882" s="2">
        <v>3433</v>
      </c>
      <c r="I5882" s="2">
        <v>5424.14</v>
      </c>
    </row>
    <row r="5883" spans="1:9" x14ac:dyDescent="0.25">
      <c r="A5883" t="s">
        <v>3211</v>
      </c>
      <c r="B5883" t="s">
        <v>3212</v>
      </c>
      <c r="C5883" t="s">
        <v>34</v>
      </c>
      <c r="D5883" t="s">
        <v>4062</v>
      </c>
      <c r="E5883" t="s">
        <v>7148</v>
      </c>
      <c r="F5883" t="s">
        <v>34</v>
      </c>
      <c r="G5883">
        <v>0.45</v>
      </c>
      <c r="H5883" s="2">
        <v>47600</v>
      </c>
      <c r="I5883" s="2">
        <v>21420</v>
      </c>
    </row>
    <row r="5884" spans="1:9" x14ac:dyDescent="0.25">
      <c r="A5884" t="s">
        <v>3211</v>
      </c>
      <c r="B5884" t="s">
        <v>3212</v>
      </c>
      <c r="C5884" t="s">
        <v>34</v>
      </c>
      <c r="D5884" t="s">
        <v>4049</v>
      </c>
      <c r="E5884" t="s">
        <v>4414</v>
      </c>
      <c r="F5884" t="s">
        <v>4106</v>
      </c>
      <c r="G5884">
        <v>7</v>
      </c>
      <c r="H5884" s="2">
        <v>5691.28</v>
      </c>
      <c r="I5884" s="2">
        <v>39838.96</v>
      </c>
    </row>
    <row r="5885" spans="1:9" x14ac:dyDescent="0.25">
      <c r="A5885" t="s">
        <v>3211</v>
      </c>
      <c r="B5885" t="s">
        <v>3212</v>
      </c>
      <c r="C5885" t="s">
        <v>34</v>
      </c>
      <c r="D5885" t="s">
        <v>4049</v>
      </c>
      <c r="E5885" t="s">
        <v>4176</v>
      </c>
      <c r="F5885" t="s">
        <v>4177</v>
      </c>
      <c r="G5885">
        <v>2.5</v>
      </c>
      <c r="H5885" s="2">
        <v>72300.17</v>
      </c>
      <c r="I5885" s="2">
        <v>180750.42</v>
      </c>
    </row>
    <row r="5886" spans="1:9" x14ac:dyDescent="0.25">
      <c r="A5886" t="s">
        <v>3211</v>
      </c>
      <c r="B5886" t="s">
        <v>3212</v>
      </c>
      <c r="C5886" t="s">
        <v>34</v>
      </c>
      <c r="D5886" t="s">
        <v>4049</v>
      </c>
      <c r="E5886" t="s">
        <v>4313</v>
      </c>
      <c r="F5886" t="s">
        <v>4177</v>
      </c>
      <c r="G5886">
        <v>0.75</v>
      </c>
      <c r="H5886" s="2">
        <v>124137.15</v>
      </c>
      <c r="I5886" s="2">
        <v>93102.86</v>
      </c>
    </row>
    <row r="5887" spans="1:9" x14ac:dyDescent="0.25">
      <c r="A5887" t="s">
        <v>3211</v>
      </c>
      <c r="B5887" t="s">
        <v>3212</v>
      </c>
      <c r="C5887" t="s">
        <v>34</v>
      </c>
      <c r="D5887" t="s">
        <v>4052</v>
      </c>
      <c r="E5887" t="s">
        <v>4053</v>
      </c>
      <c r="F5887" t="s">
        <v>4054</v>
      </c>
      <c r="G5887">
        <v>3.3</v>
      </c>
      <c r="H5887" s="2">
        <v>273853.28</v>
      </c>
      <c r="I5887" s="2">
        <v>9037.16</v>
      </c>
    </row>
    <row r="5888" spans="1:9" x14ac:dyDescent="0.25">
      <c r="A5888" t="s">
        <v>3214</v>
      </c>
      <c r="B5888" t="s">
        <v>3215</v>
      </c>
      <c r="C5888" t="s">
        <v>34</v>
      </c>
      <c r="D5888" t="s">
        <v>4062</v>
      </c>
      <c r="E5888" t="s">
        <v>4332</v>
      </c>
      <c r="F5888" t="s">
        <v>4106</v>
      </c>
      <c r="G5888">
        <v>5</v>
      </c>
      <c r="H5888" s="2">
        <v>207.67</v>
      </c>
      <c r="I5888" s="2">
        <v>1038.35</v>
      </c>
    </row>
    <row r="5889" spans="1:9" x14ac:dyDescent="0.25">
      <c r="A5889" t="s">
        <v>3214</v>
      </c>
      <c r="B5889" t="s">
        <v>3215</v>
      </c>
      <c r="C5889" t="s">
        <v>34</v>
      </c>
      <c r="D5889" t="s">
        <v>4062</v>
      </c>
      <c r="E5889" t="s">
        <v>4001</v>
      </c>
      <c r="F5889" t="s">
        <v>34</v>
      </c>
      <c r="G5889">
        <v>0.45</v>
      </c>
      <c r="H5889" s="2">
        <v>450245.66</v>
      </c>
      <c r="I5889" s="2">
        <v>202610.55</v>
      </c>
    </row>
    <row r="5890" spans="1:9" x14ac:dyDescent="0.25">
      <c r="A5890" t="s">
        <v>3214</v>
      </c>
      <c r="B5890" t="s">
        <v>3215</v>
      </c>
      <c r="C5890" t="s">
        <v>34</v>
      </c>
      <c r="D5890" t="s">
        <v>4062</v>
      </c>
      <c r="E5890" t="s">
        <v>4400</v>
      </c>
      <c r="F5890" t="s">
        <v>42</v>
      </c>
      <c r="G5890">
        <v>0.42</v>
      </c>
      <c r="H5890" s="2">
        <v>5286.26</v>
      </c>
      <c r="I5890" s="2">
        <v>2220.23</v>
      </c>
    </row>
    <row r="5891" spans="1:9" x14ac:dyDescent="0.25">
      <c r="A5891" t="s">
        <v>3214</v>
      </c>
      <c r="B5891" t="s">
        <v>3215</v>
      </c>
      <c r="C5891" t="s">
        <v>34</v>
      </c>
      <c r="D5891" t="s">
        <v>4062</v>
      </c>
      <c r="E5891" t="s">
        <v>4070</v>
      </c>
      <c r="F5891" t="s">
        <v>42</v>
      </c>
      <c r="G5891">
        <v>0.93</v>
      </c>
      <c r="H5891" s="2">
        <v>7381.08</v>
      </c>
      <c r="I5891" s="2">
        <v>6864.4</v>
      </c>
    </row>
    <row r="5892" spans="1:9" x14ac:dyDescent="0.25">
      <c r="A5892" t="s">
        <v>3214</v>
      </c>
      <c r="B5892" t="s">
        <v>3215</v>
      </c>
      <c r="C5892" t="s">
        <v>34</v>
      </c>
      <c r="D5892" t="s">
        <v>4062</v>
      </c>
      <c r="E5892" t="s">
        <v>4071</v>
      </c>
      <c r="F5892" t="s">
        <v>42</v>
      </c>
      <c r="G5892">
        <v>0.55</v>
      </c>
      <c r="H5892" s="2">
        <v>2555</v>
      </c>
      <c r="I5892" s="2">
        <v>1405.25</v>
      </c>
    </row>
    <row r="5893" spans="1:9" x14ac:dyDescent="0.25">
      <c r="A5893" t="s">
        <v>3214</v>
      </c>
      <c r="B5893" t="s">
        <v>3215</v>
      </c>
      <c r="C5893" t="s">
        <v>34</v>
      </c>
      <c r="D5893" t="s">
        <v>4062</v>
      </c>
      <c r="E5893" t="s">
        <v>4065</v>
      </c>
      <c r="F5893" t="s">
        <v>4066</v>
      </c>
      <c r="G5893">
        <v>0.45</v>
      </c>
      <c r="H5893" s="2">
        <v>3433</v>
      </c>
      <c r="I5893" s="2">
        <v>1544.85</v>
      </c>
    </row>
    <row r="5894" spans="1:9" x14ac:dyDescent="0.25">
      <c r="A5894" t="s">
        <v>3214</v>
      </c>
      <c r="B5894" t="s">
        <v>3215</v>
      </c>
      <c r="C5894" t="s">
        <v>34</v>
      </c>
      <c r="D5894" t="s">
        <v>4062</v>
      </c>
      <c r="E5894" t="s">
        <v>7148</v>
      </c>
      <c r="F5894" t="s">
        <v>34</v>
      </c>
      <c r="G5894">
        <v>0.65</v>
      </c>
      <c r="H5894" s="2">
        <v>47600</v>
      </c>
      <c r="I5894" s="2">
        <v>30940</v>
      </c>
    </row>
    <row r="5895" spans="1:9" x14ac:dyDescent="0.25">
      <c r="A5895" t="s">
        <v>3214</v>
      </c>
      <c r="B5895" t="s">
        <v>3215</v>
      </c>
      <c r="C5895" t="s">
        <v>34</v>
      </c>
      <c r="D5895" t="s">
        <v>4049</v>
      </c>
      <c r="E5895" t="s">
        <v>4176</v>
      </c>
      <c r="F5895" t="s">
        <v>4177</v>
      </c>
      <c r="G5895">
        <v>1.4</v>
      </c>
      <c r="H5895" s="2">
        <v>72300.17</v>
      </c>
      <c r="I5895" s="2">
        <v>101220.24</v>
      </c>
    </row>
    <row r="5896" spans="1:9" x14ac:dyDescent="0.25">
      <c r="A5896" t="s">
        <v>3214</v>
      </c>
      <c r="B5896" t="s">
        <v>3215</v>
      </c>
      <c r="C5896" t="s">
        <v>34</v>
      </c>
      <c r="D5896" t="s">
        <v>4049</v>
      </c>
      <c r="E5896" t="s">
        <v>4313</v>
      </c>
      <c r="F5896" t="s">
        <v>4177</v>
      </c>
      <c r="G5896">
        <v>0.35</v>
      </c>
      <c r="H5896" s="2">
        <v>124137.15</v>
      </c>
      <c r="I5896" s="2">
        <v>43448</v>
      </c>
    </row>
    <row r="5897" spans="1:9" x14ac:dyDescent="0.25">
      <c r="A5897" t="s">
        <v>3214</v>
      </c>
      <c r="B5897" t="s">
        <v>3215</v>
      </c>
      <c r="C5897" t="s">
        <v>34</v>
      </c>
      <c r="D5897" t="s">
        <v>4052</v>
      </c>
      <c r="E5897" t="s">
        <v>4053</v>
      </c>
      <c r="F5897" t="s">
        <v>4054</v>
      </c>
      <c r="G5897">
        <v>3.3</v>
      </c>
      <c r="H5897" s="2">
        <v>144668.24</v>
      </c>
      <c r="I5897" s="2">
        <v>4774.05</v>
      </c>
    </row>
    <row r="5898" spans="1:9" x14ac:dyDescent="0.25">
      <c r="A5898" t="s">
        <v>3217</v>
      </c>
      <c r="B5898" t="s">
        <v>3218</v>
      </c>
      <c r="C5898" t="s">
        <v>34</v>
      </c>
      <c r="D5898" t="s">
        <v>4062</v>
      </c>
      <c r="E5898" t="s">
        <v>4004</v>
      </c>
      <c r="F5898" t="s">
        <v>34</v>
      </c>
      <c r="G5898">
        <v>1</v>
      </c>
      <c r="H5898" s="2">
        <v>426702.51</v>
      </c>
      <c r="I5898" s="2">
        <v>426702.51</v>
      </c>
    </row>
    <row r="5899" spans="1:9" x14ac:dyDescent="0.25">
      <c r="A5899" t="s">
        <v>3217</v>
      </c>
      <c r="B5899" t="s">
        <v>3218</v>
      </c>
      <c r="C5899" t="s">
        <v>34</v>
      </c>
      <c r="D5899" t="s">
        <v>4049</v>
      </c>
      <c r="E5899" t="s">
        <v>4176</v>
      </c>
      <c r="F5899" t="s">
        <v>4177</v>
      </c>
      <c r="G5899">
        <v>0.1</v>
      </c>
      <c r="H5899" s="2">
        <v>72300.17</v>
      </c>
      <c r="I5899" s="2">
        <v>7230.02</v>
      </c>
    </row>
    <row r="5900" spans="1:9" x14ac:dyDescent="0.25">
      <c r="A5900" t="s">
        <v>3217</v>
      </c>
      <c r="B5900" t="s">
        <v>3218</v>
      </c>
      <c r="C5900" t="s">
        <v>34</v>
      </c>
      <c r="D5900" t="s">
        <v>4049</v>
      </c>
      <c r="E5900" t="s">
        <v>4313</v>
      </c>
      <c r="F5900" t="s">
        <v>4177</v>
      </c>
      <c r="G5900">
        <v>0.05</v>
      </c>
      <c r="H5900" s="2">
        <v>124137.15</v>
      </c>
      <c r="I5900" s="2">
        <v>6206.86</v>
      </c>
    </row>
    <row r="5901" spans="1:9" x14ac:dyDescent="0.25">
      <c r="A5901" t="s">
        <v>3217</v>
      </c>
      <c r="B5901" t="s">
        <v>3218</v>
      </c>
      <c r="C5901" t="s">
        <v>34</v>
      </c>
      <c r="D5901" t="s">
        <v>4052</v>
      </c>
      <c r="E5901" t="s">
        <v>4053</v>
      </c>
      <c r="F5901" t="s">
        <v>4054</v>
      </c>
      <c r="G5901">
        <v>6.6</v>
      </c>
      <c r="H5901" s="2">
        <v>13436.88</v>
      </c>
      <c r="I5901" s="2">
        <v>886.83</v>
      </c>
    </row>
    <row r="5902" spans="1:9" x14ac:dyDescent="0.25">
      <c r="A5902" t="s">
        <v>3220</v>
      </c>
      <c r="B5902" t="s">
        <v>3221</v>
      </c>
      <c r="C5902" t="s">
        <v>34</v>
      </c>
      <c r="D5902" t="s">
        <v>4062</v>
      </c>
      <c r="E5902" t="s">
        <v>4001</v>
      </c>
      <c r="F5902" t="s">
        <v>34</v>
      </c>
      <c r="G5902">
        <v>1.1</v>
      </c>
      <c r="H5902" s="2">
        <v>450245.66</v>
      </c>
      <c r="I5902" s="2">
        <v>495270.23</v>
      </c>
    </row>
    <row r="5903" spans="1:9" x14ac:dyDescent="0.25">
      <c r="A5903" t="s">
        <v>3220</v>
      </c>
      <c r="B5903" t="s">
        <v>3221</v>
      </c>
      <c r="C5903" t="s">
        <v>34</v>
      </c>
      <c r="D5903" t="s">
        <v>4062</v>
      </c>
      <c r="E5903" t="s">
        <v>6955</v>
      </c>
      <c r="F5903" t="s">
        <v>4377</v>
      </c>
      <c r="G5903">
        <v>3</v>
      </c>
      <c r="H5903" s="2">
        <v>5178.75</v>
      </c>
      <c r="I5903" s="2">
        <v>15536.25</v>
      </c>
    </row>
    <row r="5904" spans="1:9" x14ac:dyDescent="0.25">
      <c r="A5904" t="s">
        <v>3220</v>
      </c>
      <c r="B5904" t="s">
        <v>3221</v>
      </c>
      <c r="C5904" t="s">
        <v>34</v>
      </c>
      <c r="D5904" t="s">
        <v>4049</v>
      </c>
      <c r="E5904" t="s">
        <v>4176</v>
      </c>
      <c r="F5904" t="s">
        <v>4177</v>
      </c>
      <c r="G5904">
        <v>0.2</v>
      </c>
      <c r="H5904" s="2">
        <v>72300.17</v>
      </c>
      <c r="I5904" s="2">
        <v>14460.03</v>
      </c>
    </row>
    <row r="5905" spans="1:9" x14ac:dyDescent="0.25">
      <c r="A5905" t="s">
        <v>3220</v>
      </c>
      <c r="B5905" t="s">
        <v>3221</v>
      </c>
      <c r="C5905" t="s">
        <v>34</v>
      </c>
      <c r="D5905" t="s">
        <v>4049</v>
      </c>
      <c r="E5905" t="s">
        <v>4313</v>
      </c>
      <c r="F5905" t="s">
        <v>4177</v>
      </c>
      <c r="G5905">
        <v>0.05</v>
      </c>
      <c r="H5905" s="2">
        <v>124137.15</v>
      </c>
      <c r="I5905" s="2">
        <v>6206.86</v>
      </c>
    </row>
    <row r="5906" spans="1:9" x14ac:dyDescent="0.25">
      <c r="A5906" t="s">
        <v>3220</v>
      </c>
      <c r="B5906" t="s">
        <v>3221</v>
      </c>
      <c r="C5906" t="s">
        <v>34</v>
      </c>
      <c r="D5906" t="s">
        <v>4052</v>
      </c>
      <c r="E5906" t="s">
        <v>4286</v>
      </c>
      <c r="F5906" t="s">
        <v>287</v>
      </c>
      <c r="G5906">
        <v>1</v>
      </c>
      <c r="H5906" s="2">
        <v>9375</v>
      </c>
      <c r="I5906" s="2">
        <v>9375</v>
      </c>
    </row>
    <row r="5907" spans="1:9" x14ac:dyDescent="0.25">
      <c r="A5907" t="s">
        <v>3220</v>
      </c>
      <c r="B5907" t="s">
        <v>3221</v>
      </c>
      <c r="C5907" t="s">
        <v>34</v>
      </c>
      <c r="D5907" t="s">
        <v>4052</v>
      </c>
      <c r="E5907" t="s">
        <v>4053</v>
      </c>
      <c r="F5907" t="s">
        <v>4054</v>
      </c>
      <c r="G5907">
        <v>1.6</v>
      </c>
      <c r="H5907" s="2">
        <v>20666.89</v>
      </c>
      <c r="I5907" s="2">
        <v>330.67</v>
      </c>
    </row>
    <row r="5908" spans="1:9" x14ac:dyDescent="0.25">
      <c r="A5908" t="s">
        <v>3223</v>
      </c>
      <c r="B5908" t="s">
        <v>3224</v>
      </c>
      <c r="C5908" t="s">
        <v>34</v>
      </c>
      <c r="D5908" t="s">
        <v>4062</v>
      </c>
      <c r="E5908" t="s">
        <v>4012</v>
      </c>
      <c r="F5908" t="s">
        <v>34</v>
      </c>
      <c r="G5908">
        <v>1.1</v>
      </c>
      <c r="H5908" s="2">
        <v>475506.98</v>
      </c>
      <c r="I5908" s="2">
        <v>523057.68</v>
      </c>
    </row>
    <row r="5909" spans="1:9" x14ac:dyDescent="0.25">
      <c r="A5909" t="s">
        <v>3223</v>
      </c>
      <c r="B5909" t="s">
        <v>3224</v>
      </c>
      <c r="C5909" t="s">
        <v>34</v>
      </c>
      <c r="D5909" t="s">
        <v>4062</v>
      </c>
      <c r="E5909" t="s">
        <v>4400</v>
      </c>
      <c r="F5909" t="s">
        <v>42</v>
      </c>
      <c r="G5909">
        <v>1.97</v>
      </c>
      <c r="H5909" s="2">
        <v>5286.26</v>
      </c>
      <c r="I5909" s="2">
        <v>10413.93</v>
      </c>
    </row>
    <row r="5910" spans="1:9" x14ac:dyDescent="0.25">
      <c r="A5910" t="s">
        <v>3223</v>
      </c>
      <c r="B5910" t="s">
        <v>3224</v>
      </c>
      <c r="C5910" t="s">
        <v>34</v>
      </c>
      <c r="D5910" t="s">
        <v>4062</v>
      </c>
      <c r="E5910" t="s">
        <v>4070</v>
      </c>
      <c r="F5910" t="s">
        <v>42</v>
      </c>
      <c r="G5910">
        <v>4.34</v>
      </c>
      <c r="H5910" s="2">
        <v>7381.08</v>
      </c>
      <c r="I5910" s="2">
        <v>32033.89</v>
      </c>
    </row>
    <row r="5911" spans="1:9" x14ac:dyDescent="0.25">
      <c r="A5911" t="s">
        <v>3223</v>
      </c>
      <c r="B5911" t="s">
        <v>3224</v>
      </c>
      <c r="C5911" t="s">
        <v>34</v>
      </c>
      <c r="D5911" t="s">
        <v>4062</v>
      </c>
      <c r="E5911" t="s">
        <v>4071</v>
      </c>
      <c r="F5911" t="s">
        <v>42</v>
      </c>
      <c r="G5911">
        <v>2.56</v>
      </c>
      <c r="H5911" s="2">
        <v>2555</v>
      </c>
      <c r="I5911" s="2">
        <v>6540.8</v>
      </c>
    </row>
    <row r="5912" spans="1:9" x14ac:dyDescent="0.25">
      <c r="A5912" t="s">
        <v>3223</v>
      </c>
      <c r="B5912" t="s">
        <v>3224</v>
      </c>
      <c r="C5912" t="s">
        <v>34</v>
      </c>
      <c r="D5912" t="s">
        <v>4062</v>
      </c>
      <c r="E5912" t="s">
        <v>4065</v>
      </c>
      <c r="F5912" t="s">
        <v>4066</v>
      </c>
      <c r="G5912">
        <v>2.12</v>
      </c>
      <c r="H5912" s="2">
        <v>3433</v>
      </c>
      <c r="I5912" s="2">
        <v>7277.96</v>
      </c>
    </row>
    <row r="5913" spans="1:9" x14ac:dyDescent="0.25">
      <c r="A5913" t="s">
        <v>3223</v>
      </c>
      <c r="B5913" t="s">
        <v>3224</v>
      </c>
      <c r="C5913" t="s">
        <v>34</v>
      </c>
      <c r="D5913" t="s">
        <v>4049</v>
      </c>
      <c r="E5913" t="s">
        <v>4176</v>
      </c>
      <c r="F5913" t="s">
        <v>4177</v>
      </c>
      <c r="G5913">
        <v>1.7</v>
      </c>
      <c r="H5913" s="2">
        <v>72300.17</v>
      </c>
      <c r="I5913" s="2">
        <v>122910.29</v>
      </c>
    </row>
    <row r="5914" spans="1:9" x14ac:dyDescent="0.25">
      <c r="A5914" t="s">
        <v>3223</v>
      </c>
      <c r="B5914" t="s">
        <v>3224</v>
      </c>
      <c r="C5914" t="s">
        <v>34</v>
      </c>
      <c r="D5914" t="s">
        <v>4049</v>
      </c>
      <c r="E5914" t="s">
        <v>4313</v>
      </c>
      <c r="F5914" t="s">
        <v>4177</v>
      </c>
      <c r="G5914">
        <v>0.44</v>
      </c>
      <c r="H5914" s="2">
        <v>124137.15</v>
      </c>
      <c r="I5914" s="2">
        <v>54620.35</v>
      </c>
    </row>
    <row r="5915" spans="1:9" x14ac:dyDescent="0.25">
      <c r="A5915" t="s">
        <v>3223</v>
      </c>
      <c r="B5915" t="s">
        <v>3224</v>
      </c>
      <c r="C5915" t="s">
        <v>34</v>
      </c>
      <c r="D5915" t="s">
        <v>4052</v>
      </c>
      <c r="E5915" t="s">
        <v>4414</v>
      </c>
      <c r="F5915" t="s">
        <v>4106</v>
      </c>
      <c r="G5915">
        <v>14</v>
      </c>
      <c r="H5915" s="2">
        <v>5691.28</v>
      </c>
      <c r="I5915" s="2">
        <v>79677.92</v>
      </c>
    </row>
    <row r="5916" spans="1:9" x14ac:dyDescent="0.25">
      <c r="A5916" t="s">
        <v>3223</v>
      </c>
      <c r="B5916" t="s">
        <v>3224</v>
      </c>
      <c r="C5916" t="s">
        <v>34</v>
      </c>
      <c r="D5916" t="s">
        <v>4052</v>
      </c>
      <c r="E5916" t="s">
        <v>4286</v>
      </c>
      <c r="F5916" t="s">
        <v>287</v>
      </c>
      <c r="G5916">
        <v>2.5</v>
      </c>
      <c r="H5916" s="2">
        <v>9375</v>
      </c>
      <c r="I5916" s="2">
        <v>23437.5</v>
      </c>
    </row>
    <row r="5917" spans="1:9" x14ac:dyDescent="0.25">
      <c r="A5917" t="s">
        <v>3223</v>
      </c>
      <c r="B5917" t="s">
        <v>3224</v>
      </c>
      <c r="C5917" t="s">
        <v>34</v>
      </c>
      <c r="D5917" t="s">
        <v>4052</v>
      </c>
      <c r="E5917" t="s">
        <v>4053</v>
      </c>
      <c r="F5917" t="s">
        <v>4054</v>
      </c>
      <c r="G5917">
        <v>1.7</v>
      </c>
      <c r="H5917" s="2">
        <v>177530.64</v>
      </c>
      <c r="I5917" s="2">
        <v>3018.02</v>
      </c>
    </row>
    <row r="5918" spans="1:9" x14ac:dyDescent="0.25">
      <c r="A5918" t="s">
        <v>3226</v>
      </c>
      <c r="B5918" t="s">
        <v>3227</v>
      </c>
      <c r="C5918" t="s">
        <v>34</v>
      </c>
      <c r="D5918" t="s">
        <v>4062</v>
      </c>
      <c r="E5918" t="s">
        <v>4012</v>
      </c>
      <c r="F5918" t="s">
        <v>34</v>
      </c>
      <c r="G5918">
        <v>1.1</v>
      </c>
      <c r="H5918" s="2">
        <v>475506.98</v>
      </c>
      <c r="I5918" s="2">
        <v>523057.68</v>
      </c>
    </row>
    <row r="5919" spans="1:9" x14ac:dyDescent="0.25">
      <c r="A5919" t="s">
        <v>3226</v>
      </c>
      <c r="B5919" t="s">
        <v>3227</v>
      </c>
      <c r="C5919" t="s">
        <v>34</v>
      </c>
      <c r="D5919" t="s">
        <v>4062</v>
      </c>
      <c r="E5919" t="s">
        <v>4400</v>
      </c>
      <c r="F5919" t="s">
        <v>42</v>
      </c>
      <c r="G5919">
        <v>3</v>
      </c>
      <c r="H5919" s="2">
        <v>5286.26</v>
      </c>
      <c r="I5919" s="2">
        <v>15858.78</v>
      </c>
    </row>
    <row r="5920" spans="1:9" x14ac:dyDescent="0.25">
      <c r="A5920" t="s">
        <v>3226</v>
      </c>
      <c r="B5920" t="s">
        <v>3227</v>
      </c>
      <c r="C5920" t="s">
        <v>34</v>
      </c>
      <c r="D5920" t="s">
        <v>4062</v>
      </c>
      <c r="E5920" t="s">
        <v>4070</v>
      </c>
      <c r="F5920" t="s">
        <v>42</v>
      </c>
      <c r="G5920">
        <v>6</v>
      </c>
      <c r="H5920" s="2">
        <v>7381.08</v>
      </c>
      <c r="I5920" s="2">
        <v>44286.48</v>
      </c>
    </row>
    <row r="5921" spans="1:9" x14ac:dyDescent="0.25">
      <c r="A5921" t="s">
        <v>3226</v>
      </c>
      <c r="B5921" t="s">
        <v>3227</v>
      </c>
      <c r="C5921" t="s">
        <v>34</v>
      </c>
      <c r="D5921" t="s">
        <v>4062</v>
      </c>
      <c r="E5921" t="s">
        <v>4071</v>
      </c>
      <c r="F5921" t="s">
        <v>42</v>
      </c>
      <c r="G5921">
        <v>4</v>
      </c>
      <c r="H5921" s="2">
        <v>2555</v>
      </c>
      <c r="I5921" s="2">
        <v>10220</v>
      </c>
    </row>
    <row r="5922" spans="1:9" x14ac:dyDescent="0.25">
      <c r="A5922" t="s">
        <v>3226</v>
      </c>
      <c r="B5922" t="s">
        <v>3227</v>
      </c>
      <c r="C5922" t="s">
        <v>34</v>
      </c>
      <c r="D5922" t="s">
        <v>4062</v>
      </c>
      <c r="E5922" t="s">
        <v>4065</v>
      </c>
      <c r="F5922" t="s">
        <v>4066</v>
      </c>
      <c r="G5922">
        <v>3</v>
      </c>
      <c r="H5922" s="2">
        <v>3433</v>
      </c>
      <c r="I5922" s="2">
        <v>10299</v>
      </c>
    </row>
    <row r="5923" spans="1:9" x14ac:dyDescent="0.25">
      <c r="A5923" t="s">
        <v>3226</v>
      </c>
      <c r="B5923" t="s">
        <v>3227</v>
      </c>
      <c r="C5923" t="s">
        <v>34</v>
      </c>
      <c r="D5923" t="s">
        <v>4049</v>
      </c>
      <c r="E5923" t="s">
        <v>4176</v>
      </c>
      <c r="F5923" t="s">
        <v>4177</v>
      </c>
      <c r="G5923">
        <v>2</v>
      </c>
      <c r="H5923" s="2">
        <v>72300.17</v>
      </c>
      <c r="I5923" s="2">
        <v>144600.34</v>
      </c>
    </row>
    <row r="5924" spans="1:9" x14ac:dyDescent="0.25">
      <c r="A5924" t="s">
        <v>3226</v>
      </c>
      <c r="B5924" t="s">
        <v>3227</v>
      </c>
      <c r="C5924" t="s">
        <v>34</v>
      </c>
      <c r="D5924" t="s">
        <v>4049</v>
      </c>
      <c r="E5924" t="s">
        <v>4313</v>
      </c>
      <c r="F5924" t="s">
        <v>4177</v>
      </c>
      <c r="G5924">
        <v>0.5</v>
      </c>
      <c r="H5924" s="2">
        <v>124137.15</v>
      </c>
      <c r="I5924" s="2">
        <v>62068.57</v>
      </c>
    </row>
    <row r="5925" spans="1:9" x14ac:dyDescent="0.25">
      <c r="A5925" t="s">
        <v>3226</v>
      </c>
      <c r="B5925" t="s">
        <v>3227</v>
      </c>
      <c r="C5925" t="s">
        <v>34</v>
      </c>
      <c r="D5925" t="s">
        <v>4052</v>
      </c>
      <c r="E5925" t="s">
        <v>4414</v>
      </c>
      <c r="F5925" t="s">
        <v>4106</v>
      </c>
      <c r="G5925">
        <v>20</v>
      </c>
      <c r="H5925" s="2">
        <v>5691.28</v>
      </c>
      <c r="I5925" s="2">
        <v>113825.6</v>
      </c>
    </row>
    <row r="5926" spans="1:9" x14ac:dyDescent="0.25">
      <c r="A5926" t="s">
        <v>3226</v>
      </c>
      <c r="B5926" t="s">
        <v>3227</v>
      </c>
      <c r="C5926" t="s">
        <v>34</v>
      </c>
      <c r="D5926" t="s">
        <v>4052</v>
      </c>
      <c r="E5926" t="s">
        <v>4286</v>
      </c>
      <c r="F5926" t="s">
        <v>287</v>
      </c>
      <c r="G5926">
        <v>3.3</v>
      </c>
      <c r="H5926" s="2">
        <v>9375</v>
      </c>
      <c r="I5926" s="2">
        <v>30937.5</v>
      </c>
    </row>
    <row r="5927" spans="1:9" x14ac:dyDescent="0.25">
      <c r="A5927" t="s">
        <v>3226</v>
      </c>
      <c r="B5927" t="s">
        <v>3227</v>
      </c>
      <c r="C5927" t="s">
        <v>34</v>
      </c>
      <c r="D5927" t="s">
        <v>4052</v>
      </c>
      <c r="E5927" t="s">
        <v>4053</v>
      </c>
      <c r="F5927" t="s">
        <v>4054</v>
      </c>
      <c r="G5927">
        <v>5</v>
      </c>
      <c r="H5927" s="2">
        <v>206668.91</v>
      </c>
      <c r="I5927" s="2">
        <v>10333.45</v>
      </c>
    </row>
    <row r="5928" spans="1:9" x14ac:dyDescent="0.25">
      <c r="A5928" t="s">
        <v>3229</v>
      </c>
      <c r="B5928" t="s">
        <v>3230</v>
      </c>
      <c r="C5928" t="s">
        <v>34</v>
      </c>
      <c r="D5928" t="s">
        <v>4062</v>
      </c>
      <c r="E5928" t="s">
        <v>4012</v>
      </c>
      <c r="F5928" t="s">
        <v>34</v>
      </c>
      <c r="G5928">
        <v>1.1</v>
      </c>
      <c r="H5928" s="2">
        <v>475506.98</v>
      </c>
      <c r="I5928" s="2">
        <v>523057.68</v>
      </c>
    </row>
    <row r="5929" spans="1:9" x14ac:dyDescent="0.25">
      <c r="A5929" t="s">
        <v>3229</v>
      </c>
      <c r="B5929" t="s">
        <v>3230</v>
      </c>
      <c r="C5929" t="s">
        <v>34</v>
      </c>
      <c r="D5929" t="s">
        <v>4062</v>
      </c>
      <c r="E5929" t="s">
        <v>6955</v>
      </c>
      <c r="F5929" t="s">
        <v>4377</v>
      </c>
      <c r="G5929">
        <v>3</v>
      </c>
      <c r="H5929" s="2">
        <v>5178.75</v>
      </c>
      <c r="I5929" s="2">
        <v>15536.25</v>
      </c>
    </row>
    <row r="5930" spans="1:9" x14ac:dyDescent="0.25">
      <c r="A5930" t="s">
        <v>3229</v>
      </c>
      <c r="B5930" t="s">
        <v>3230</v>
      </c>
      <c r="C5930" t="s">
        <v>34</v>
      </c>
      <c r="D5930" t="s">
        <v>4049</v>
      </c>
      <c r="E5930" t="s">
        <v>4286</v>
      </c>
      <c r="F5930" t="s">
        <v>287</v>
      </c>
      <c r="G5930">
        <v>2.5</v>
      </c>
      <c r="H5930" s="2">
        <v>9375</v>
      </c>
      <c r="I5930" s="2">
        <v>23437.5</v>
      </c>
    </row>
    <row r="5931" spans="1:9" x14ac:dyDescent="0.25">
      <c r="A5931" t="s">
        <v>3229</v>
      </c>
      <c r="B5931" t="s">
        <v>3230</v>
      </c>
      <c r="C5931" t="s">
        <v>34</v>
      </c>
      <c r="D5931" t="s">
        <v>4049</v>
      </c>
      <c r="E5931" t="s">
        <v>4176</v>
      </c>
      <c r="F5931" t="s">
        <v>4177</v>
      </c>
      <c r="G5931">
        <v>1</v>
      </c>
      <c r="H5931" s="2">
        <v>72300.17</v>
      </c>
      <c r="I5931" s="2">
        <v>72300.17</v>
      </c>
    </row>
    <row r="5932" spans="1:9" x14ac:dyDescent="0.25">
      <c r="A5932" t="s">
        <v>3229</v>
      </c>
      <c r="B5932" t="s">
        <v>3230</v>
      </c>
      <c r="C5932" t="s">
        <v>34</v>
      </c>
      <c r="D5932" t="s">
        <v>4049</v>
      </c>
      <c r="E5932" t="s">
        <v>4313</v>
      </c>
      <c r="F5932" t="s">
        <v>4177</v>
      </c>
      <c r="G5932">
        <v>0.25</v>
      </c>
      <c r="H5932" s="2">
        <v>124137.15</v>
      </c>
      <c r="I5932" s="2">
        <v>31034.29</v>
      </c>
    </row>
    <row r="5933" spans="1:9" x14ac:dyDescent="0.25">
      <c r="A5933" t="s">
        <v>3229</v>
      </c>
      <c r="B5933" t="s">
        <v>3230</v>
      </c>
      <c r="C5933" t="s">
        <v>34</v>
      </c>
      <c r="D5933" t="s">
        <v>4052</v>
      </c>
      <c r="E5933" t="s">
        <v>4053</v>
      </c>
      <c r="F5933" t="s">
        <v>4054</v>
      </c>
      <c r="G5933">
        <v>1.6</v>
      </c>
      <c r="H5933" s="2">
        <v>103334.46</v>
      </c>
      <c r="I5933" s="2">
        <v>1653.35</v>
      </c>
    </row>
    <row r="5934" spans="1:9" x14ac:dyDescent="0.25">
      <c r="A5934" t="s">
        <v>3232</v>
      </c>
      <c r="B5934" t="s">
        <v>3233</v>
      </c>
      <c r="C5934" t="s">
        <v>42</v>
      </c>
      <c r="D5934" t="s">
        <v>4062</v>
      </c>
      <c r="E5934" t="s">
        <v>3975</v>
      </c>
      <c r="F5934" t="s">
        <v>34</v>
      </c>
      <c r="G5934">
        <v>0.02</v>
      </c>
      <c r="H5934" s="2">
        <v>586929.15</v>
      </c>
      <c r="I5934" s="2">
        <v>11738.58</v>
      </c>
    </row>
    <row r="5935" spans="1:9" x14ac:dyDescent="0.25">
      <c r="A5935" t="s">
        <v>3232</v>
      </c>
      <c r="B5935" t="s">
        <v>3233</v>
      </c>
      <c r="C5935" t="s">
        <v>42</v>
      </c>
      <c r="D5935" t="s">
        <v>4062</v>
      </c>
      <c r="E5935" t="s">
        <v>7205</v>
      </c>
      <c r="F5935" t="s">
        <v>42</v>
      </c>
      <c r="G5935">
        <v>1</v>
      </c>
      <c r="H5935" s="2">
        <v>162480</v>
      </c>
      <c r="I5935" s="2">
        <v>162480</v>
      </c>
    </row>
    <row r="5936" spans="1:9" x14ac:dyDescent="0.25">
      <c r="A5936" t="s">
        <v>3232</v>
      </c>
      <c r="B5936" t="s">
        <v>3233</v>
      </c>
      <c r="C5936" t="s">
        <v>42</v>
      </c>
      <c r="D5936" t="s">
        <v>4062</v>
      </c>
      <c r="E5936" t="s">
        <v>4015</v>
      </c>
      <c r="F5936" t="s">
        <v>34</v>
      </c>
      <c r="G5936">
        <v>0.05</v>
      </c>
      <c r="H5936" s="2">
        <v>426702.51</v>
      </c>
      <c r="I5936" s="2">
        <v>21335.13</v>
      </c>
    </row>
    <row r="5937" spans="1:9" x14ac:dyDescent="0.25">
      <c r="A5937" t="s">
        <v>3232</v>
      </c>
      <c r="B5937" t="s">
        <v>3233</v>
      </c>
      <c r="C5937" t="s">
        <v>42</v>
      </c>
      <c r="D5937" t="s">
        <v>4049</v>
      </c>
      <c r="E5937" t="s">
        <v>4176</v>
      </c>
      <c r="F5937" t="s">
        <v>4177</v>
      </c>
      <c r="G5937">
        <v>0.25</v>
      </c>
      <c r="H5937" s="2">
        <v>72300.17</v>
      </c>
      <c r="I5937" s="2">
        <v>18075.04</v>
      </c>
    </row>
    <row r="5938" spans="1:9" x14ac:dyDescent="0.25">
      <c r="A5938" t="s">
        <v>3232</v>
      </c>
      <c r="B5938" t="s">
        <v>3233</v>
      </c>
      <c r="C5938" t="s">
        <v>42</v>
      </c>
      <c r="D5938" t="s">
        <v>4049</v>
      </c>
      <c r="E5938" t="s">
        <v>4313</v>
      </c>
      <c r="F5938" t="s">
        <v>4177</v>
      </c>
      <c r="G5938">
        <v>0.25</v>
      </c>
      <c r="H5938" s="2">
        <v>124137.15</v>
      </c>
      <c r="I5938" s="2">
        <v>31034.29</v>
      </c>
    </row>
    <row r="5939" spans="1:9" x14ac:dyDescent="0.25">
      <c r="A5939" t="s">
        <v>3232</v>
      </c>
      <c r="B5939" t="s">
        <v>3233</v>
      </c>
      <c r="C5939" t="s">
        <v>42</v>
      </c>
      <c r="D5939" t="s">
        <v>4052</v>
      </c>
      <c r="E5939" t="s">
        <v>4118</v>
      </c>
      <c r="F5939" t="s">
        <v>287</v>
      </c>
      <c r="G5939">
        <v>0.1</v>
      </c>
      <c r="H5939" s="2">
        <v>107433.33</v>
      </c>
      <c r="I5939" s="2">
        <v>10743.33</v>
      </c>
    </row>
    <row r="5940" spans="1:9" x14ac:dyDescent="0.25">
      <c r="A5940" t="s">
        <v>3232</v>
      </c>
      <c r="B5940" t="s">
        <v>3233</v>
      </c>
      <c r="C5940" t="s">
        <v>42</v>
      </c>
      <c r="D5940" t="s">
        <v>4052</v>
      </c>
      <c r="E5940" t="s">
        <v>4053</v>
      </c>
      <c r="F5940" t="s">
        <v>4054</v>
      </c>
      <c r="G5940">
        <v>5</v>
      </c>
      <c r="H5940" s="2">
        <v>49109.33</v>
      </c>
      <c r="I5940" s="2">
        <v>2455.47</v>
      </c>
    </row>
    <row r="5941" spans="1:9" x14ac:dyDescent="0.25">
      <c r="A5941" t="s">
        <v>3236</v>
      </c>
      <c r="B5941" t="s">
        <v>3237</v>
      </c>
      <c r="C5941" t="s">
        <v>42</v>
      </c>
      <c r="D5941" t="s">
        <v>4062</v>
      </c>
      <c r="E5941" t="s">
        <v>3975</v>
      </c>
      <c r="F5941" t="s">
        <v>34</v>
      </c>
      <c r="G5941">
        <v>0.02</v>
      </c>
      <c r="H5941" s="2">
        <v>586929.15</v>
      </c>
      <c r="I5941" s="2">
        <v>11738.58</v>
      </c>
    </row>
    <row r="5942" spans="1:9" x14ac:dyDescent="0.25">
      <c r="A5942" t="s">
        <v>3236</v>
      </c>
      <c r="B5942" t="s">
        <v>3237</v>
      </c>
      <c r="C5942" t="s">
        <v>42</v>
      </c>
      <c r="D5942" t="s">
        <v>4062</v>
      </c>
      <c r="E5942" t="s">
        <v>7208</v>
      </c>
      <c r="F5942" t="s">
        <v>42</v>
      </c>
      <c r="G5942">
        <v>1</v>
      </c>
      <c r="H5942" s="2">
        <v>330125</v>
      </c>
      <c r="I5942" s="2">
        <v>330125</v>
      </c>
    </row>
    <row r="5943" spans="1:9" x14ac:dyDescent="0.25">
      <c r="A5943" t="s">
        <v>3236</v>
      </c>
      <c r="B5943" t="s">
        <v>3237</v>
      </c>
      <c r="C5943" t="s">
        <v>42</v>
      </c>
      <c r="D5943" t="s">
        <v>4062</v>
      </c>
      <c r="E5943" t="s">
        <v>4015</v>
      </c>
      <c r="F5943" t="s">
        <v>34</v>
      </c>
      <c r="G5943">
        <v>0.1</v>
      </c>
      <c r="H5943" s="2">
        <v>426702.51</v>
      </c>
      <c r="I5943" s="2">
        <v>42670.25</v>
      </c>
    </row>
    <row r="5944" spans="1:9" x14ac:dyDescent="0.25">
      <c r="A5944" t="s">
        <v>3236</v>
      </c>
      <c r="B5944" t="s">
        <v>3237</v>
      </c>
      <c r="C5944" t="s">
        <v>42</v>
      </c>
      <c r="D5944" t="s">
        <v>4049</v>
      </c>
      <c r="E5944" t="s">
        <v>4118</v>
      </c>
      <c r="F5944" t="s">
        <v>287</v>
      </c>
      <c r="G5944">
        <v>0.2</v>
      </c>
      <c r="H5944" s="2">
        <v>107433.33</v>
      </c>
      <c r="I5944" s="2">
        <v>21486.67</v>
      </c>
    </row>
    <row r="5945" spans="1:9" x14ac:dyDescent="0.25">
      <c r="A5945" t="s">
        <v>3236</v>
      </c>
      <c r="B5945" t="s">
        <v>3237</v>
      </c>
      <c r="C5945" t="s">
        <v>42</v>
      </c>
      <c r="D5945" t="s">
        <v>4049</v>
      </c>
      <c r="E5945" t="s">
        <v>4176</v>
      </c>
      <c r="F5945" t="s">
        <v>4177</v>
      </c>
      <c r="G5945">
        <v>0.25</v>
      </c>
      <c r="H5945" s="2">
        <v>72300.17</v>
      </c>
      <c r="I5945" s="2">
        <v>18075.04</v>
      </c>
    </row>
    <row r="5946" spans="1:9" x14ac:dyDescent="0.25">
      <c r="A5946" t="s">
        <v>3236</v>
      </c>
      <c r="B5946" t="s">
        <v>3237</v>
      </c>
      <c r="C5946" t="s">
        <v>42</v>
      </c>
      <c r="D5946" t="s">
        <v>4049</v>
      </c>
      <c r="E5946" t="s">
        <v>4313</v>
      </c>
      <c r="F5946" t="s">
        <v>4177</v>
      </c>
      <c r="G5946">
        <v>0.25</v>
      </c>
      <c r="H5946" s="2">
        <v>124137.15</v>
      </c>
      <c r="I5946" s="2">
        <v>31034.29</v>
      </c>
    </row>
    <row r="5947" spans="1:9" x14ac:dyDescent="0.25">
      <c r="A5947" t="s">
        <v>3236</v>
      </c>
      <c r="B5947" t="s">
        <v>3237</v>
      </c>
      <c r="C5947" t="s">
        <v>42</v>
      </c>
      <c r="D5947" t="s">
        <v>4052</v>
      </c>
      <c r="E5947" t="s">
        <v>4053</v>
      </c>
      <c r="F5947" t="s">
        <v>4054</v>
      </c>
      <c r="G5947">
        <v>5</v>
      </c>
      <c r="H5947" s="2">
        <v>49109.33</v>
      </c>
      <c r="I5947" s="2">
        <v>2455.47</v>
      </c>
    </row>
    <row r="5948" spans="1:9" x14ac:dyDescent="0.25">
      <c r="A5948" t="s">
        <v>3239</v>
      </c>
      <c r="B5948" t="s">
        <v>3241</v>
      </c>
      <c r="C5948" t="s">
        <v>34</v>
      </c>
      <c r="D5948" t="s">
        <v>4062</v>
      </c>
      <c r="E5948" t="s">
        <v>4475</v>
      </c>
      <c r="F5948" t="s">
        <v>231</v>
      </c>
      <c r="G5948">
        <v>110</v>
      </c>
      <c r="H5948" s="2">
        <v>730</v>
      </c>
      <c r="I5948" s="2">
        <v>80300</v>
      </c>
    </row>
    <row r="5949" spans="1:9" x14ac:dyDescent="0.25">
      <c r="A5949" t="s">
        <v>3239</v>
      </c>
      <c r="B5949" t="s">
        <v>3241</v>
      </c>
      <c r="C5949" t="s">
        <v>34</v>
      </c>
      <c r="D5949" t="s">
        <v>4062</v>
      </c>
      <c r="E5949" t="s">
        <v>6154</v>
      </c>
      <c r="F5949" t="s">
        <v>34</v>
      </c>
      <c r="G5949">
        <v>1.3</v>
      </c>
      <c r="H5949" s="2">
        <v>58706.67</v>
      </c>
      <c r="I5949" s="2">
        <v>76318.67</v>
      </c>
    </row>
    <row r="5950" spans="1:9" x14ac:dyDescent="0.25">
      <c r="A5950" t="s">
        <v>3239</v>
      </c>
      <c r="B5950" t="s">
        <v>3241</v>
      </c>
      <c r="C5950" t="s">
        <v>34</v>
      </c>
      <c r="D5950" t="s">
        <v>4049</v>
      </c>
      <c r="E5950" t="s">
        <v>4176</v>
      </c>
      <c r="F5950" t="s">
        <v>4177</v>
      </c>
      <c r="G5950">
        <v>0.1</v>
      </c>
      <c r="H5950" s="2">
        <v>72300.17</v>
      </c>
      <c r="I5950" s="2">
        <v>7230.02</v>
      </c>
    </row>
    <row r="5951" spans="1:9" x14ac:dyDescent="0.25">
      <c r="A5951" t="s">
        <v>3239</v>
      </c>
      <c r="B5951" t="s">
        <v>3241</v>
      </c>
      <c r="C5951" t="s">
        <v>34</v>
      </c>
      <c r="D5951" t="s">
        <v>4049</v>
      </c>
      <c r="E5951" t="s">
        <v>4313</v>
      </c>
      <c r="F5951" t="s">
        <v>4177</v>
      </c>
      <c r="G5951">
        <v>0.01</v>
      </c>
      <c r="H5951" s="2">
        <v>124137.15</v>
      </c>
      <c r="I5951" s="2">
        <v>1241.37</v>
      </c>
    </row>
    <row r="5952" spans="1:9" x14ac:dyDescent="0.25">
      <c r="A5952" t="s">
        <v>3239</v>
      </c>
      <c r="B5952" t="s">
        <v>3241</v>
      </c>
      <c r="C5952" t="s">
        <v>34</v>
      </c>
      <c r="D5952" t="s">
        <v>4052</v>
      </c>
      <c r="E5952" t="s">
        <v>4077</v>
      </c>
      <c r="F5952" t="s">
        <v>287</v>
      </c>
      <c r="G5952">
        <v>0.07</v>
      </c>
      <c r="H5952" s="2">
        <v>74712.95</v>
      </c>
      <c r="I5952" s="2">
        <v>5229.91</v>
      </c>
    </row>
    <row r="5953" spans="1:9" x14ac:dyDescent="0.25">
      <c r="A5953" t="s">
        <v>3239</v>
      </c>
      <c r="B5953" t="s">
        <v>3241</v>
      </c>
      <c r="C5953" t="s">
        <v>34</v>
      </c>
      <c r="D5953" t="s">
        <v>4052</v>
      </c>
      <c r="E5953" t="s">
        <v>4078</v>
      </c>
      <c r="F5953" t="s">
        <v>287</v>
      </c>
      <c r="G5953">
        <v>0.07</v>
      </c>
      <c r="H5953" s="2">
        <v>157100</v>
      </c>
      <c r="I5953" s="2">
        <v>10997</v>
      </c>
    </row>
    <row r="5954" spans="1:9" x14ac:dyDescent="0.25">
      <c r="A5954" t="s">
        <v>3239</v>
      </c>
      <c r="B5954" t="s">
        <v>3241</v>
      </c>
      <c r="C5954" t="s">
        <v>34</v>
      </c>
      <c r="D5954" t="s">
        <v>4052</v>
      </c>
      <c r="E5954" t="s">
        <v>4081</v>
      </c>
      <c r="F5954" t="s">
        <v>287</v>
      </c>
      <c r="G5954">
        <v>0.07</v>
      </c>
      <c r="H5954" s="2">
        <v>98968.79</v>
      </c>
      <c r="I5954" s="2">
        <v>6927.82</v>
      </c>
    </row>
    <row r="5955" spans="1:9" x14ac:dyDescent="0.25">
      <c r="A5955" t="s">
        <v>3239</v>
      </c>
      <c r="B5955" t="s">
        <v>3241</v>
      </c>
      <c r="C5955" t="s">
        <v>34</v>
      </c>
      <c r="D5955" t="s">
        <v>4052</v>
      </c>
      <c r="E5955" t="s">
        <v>4053</v>
      </c>
      <c r="F5955" t="s">
        <v>4054</v>
      </c>
      <c r="G5955">
        <v>5</v>
      </c>
      <c r="H5955" s="2">
        <v>8471.39</v>
      </c>
      <c r="I5955" s="2">
        <v>423.57</v>
      </c>
    </row>
    <row r="5956" spans="1:9" x14ac:dyDescent="0.25">
      <c r="A5956" t="s">
        <v>3244</v>
      </c>
      <c r="B5956" t="s">
        <v>3245</v>
      </c>
      <c r="C5956" t="s">
        <v>34</v>
      </c>
      <c r="D5956" t="s">
        <v>4062</v>
      </c>
      <c r="E5956" t="s">
        <v>7214</v>
      </c>
      <c r="F5956" t="s">
        <v>3963</v>
      </c>
      <c r="G5956">
        <v>75</v>
      </c>
      <c r="H5956" s="2">
        <v>2520</v>
      </c>
      <c r="I5956" s="2">
        <v>189000</v>
      </c>
    </row>
    <row r="5957" spans="1:9" x14ac:dyDescent="0.25">
      <c r="A5957" t="s">
        <v>3244</v>
      </c>
      <c r="B5957" t="s">
        <v>3245</v>
      </c>
      <c r="C5957" t="s">
        <v>34</v>
      </c>
      <c r="D5957" t="s">
        <v>4062</v>
      </c>
      <c r="E5957" t="s">
        <v>6154</v>
      </c>
      <c r="F5957" t="s">
        <v>34</v>
      </c>
      <c r="G5957">
        <v>1.3</v>
      </c>
      <c r="H5957" s="2">
        <v>58706.67</v>
      </c>
      <c r="I5957" s="2">
        <v>76318.67</v>
      </c>
    </row>
    <row r="5958" spans="1:9" x14ac:dyDescent="0.25">
      <c r="A5958" t="s">
        <v>3244</v>
      </c>
      <c r="B5958" t="s">
        <v>3245</v>
      </c>
      <c r="C5958" t="s">
        <v>34</v>
      </c>
      <c r="D5958" t="s">
        <v>4049</v>
      </c>
      <c r="E5958" t="s">
        <v>4176</v>
      </c>
      <c r="F5958" t="s">
        <v>4177</v>
      </c>
      <c r="G5958">
        <v>0.08</v>
      </c>
      <c r="H5958" s="2">
        <v>72300.17</v>
      </c>
      <c r="I5958" s="2">
        <v>5784.01</v>
      </c>
    </row>
    <row r="5959" spans="1:9" x14ac:dyDescent="0.25">
      <c r="A5959" t="s">
        <v>3244</v>
      </c>
      <c r="B5959" t="s">
        <v>3245</v>
      </c>
      <c r="C5959" t="s">
        <v>34</v>
      </c>
      <c r="D5959" t="s">
        <v>4049</v>
      </c>
      <c r="E5959" t="s">
        <v>4313</v>
      </c>
      <c r="F5959" t="s">
        <v>4177</v>
      </c>
      <c r="G5959">
        <v>0.04</v>
      </c>
      <c r="H5959" s="2">
        <v>124137.15</v>
      </c>
      <c r="I5959" s="2">
        <v>4965.49</v>
      </c>
    </row>
    <row r="5960" spans="1:9" x14ac:dyDescent="0.25">
      <c r="A5960" t="s">
        <v>3244</v>
      </c>
      <c r="B5960" t="s">
        <v>3245</v>
      </c>
      <c r="C5960" t="s">
        <v>34</v>
      </c>
      <c r="D5960" t="s">
        <v>4052</v>
      </c>
      <c r="E5960" t="s">
        <v>6149</v>
      </c>
      <c r="F5960" t="s">
        <v>287</v>
      </c>
      <c r="G5960">
        <v>0.07</v>
      </c>
      <c r="H5960" s="2">
        <v>90261</v>
      </c>
      <c r="I5960" s="2">
        <v>6318.27</v>
      </c>
    </row>
    <row r="5961" spans="1:9" x14ac:dyDescent="0.25">
      <c r="A5961" t="s">
        <v>3244</v>
      </c>
      <c r="B5961" t="s">
        <v>3245</v>
      </c>
      <c r="C5961" t="s">
        <v>34</v>
      </c>
      <c r="D5961" t="s">
        <v>4052</v>
      </c>
      <c r="E5961" t="s">
        <v>4078</v>
      </c>
      <c r="F5961" t="s">
        <v>287</v>
      </c>
      <c r="G5961">
        <v>0.07</v>
      </c>
      <c r="H5961" s="2">
        <v>157100</v>
      </c>
      <c r="I5961" s="2">
        <v>10997</v>
      </c>
    </row>
    <row r="5962" spans="1:9" x14ac:dyDescent="0.25">
      <c r="A5962" t="s">
        <v>3244</v>
      </c>
      <c r="B5962" t="s">
        <v>3245</v>
      </c>
      <c r="C5962" t="s">
        <v>34</v>
      </c>
      <c r="D5962" t="s">
        <v>4052</v>
      </c>
      <c r="E5962" t="s">
        <v>4081</v>
      </c>
      <c r="F5962" t="s">
        <v>287</v>
      </c>
      <c r="G5962">
        <v>0.07</v>
      </c>
      <c r="H5962" s="2">
        <v>98968.79</v>
      </c>
      <c r="I5962" s="2">
        <v>6927.82</v>
      </c>
    </row>
    <row r="5963" spans="1:9" x14ac:dyDescent="0.25">
      <c r="A5963" t="s">
        <v>3247</v>
      </c>
      <c r="B5963" t="s">
        <v>3248</v>
      </c>
      <c r="C5963" t="s">
        <v>3047</v>
      </c>
      <c r="D5963" t="s">
        <v>4052</v>
      </c>
      <c r="E5963" t="s">
        <v>4077</v>
      </c>
      <c r="F5963" t="s">
        <v>287</v>
      </c>
      <c r="G5963">
        <v>5</v>
      </c>
      <c r="H5963" s="2">
        <v>74712.95</v>
      </c>
      <c r="I5963" s="2">
        <v>373564.75</v>
      </c>
    </row>
    <row r="5964" spans="1:9" x14ac:dyDescent="0.25">
      <c r="A5964" t="s">
        <v>3247</v>
      </c>
      <c r="B5964" t="s">
        <v>3248</v>
      </c>
      <c r="C5964" t="s">
        <v>3047</v>
      </c>
      <c r="D5964" t="s">
        <v>4052</v>
      </c>
      <c r="E5964" t="s">
        <v>4078</v>
      </c>
      <c r="F5964" t="s">
        <v>287</v>
      </c>
      <c r="G5964">
        <v>2</v>
      </c>
      <c r="H5964" s="2">
        <v>157100</v>
      </c>
      <c r="I5964" s="2">
        <v>314200</v>
      </c>
    </row>
    <row r="5965" spans="1:9" x14ac:dyDescent="0.25">
      <c r="A5965" t="s">
        <v>3247</v>
      </c>
      <c r="B5965" t="s">
        <v>3248</v>
      </c>
      <c r="C5965" t="s">
        <v>3047</v>
      </c>
      <c r="D5965" t="s">
        <v>4052</v>
      </c>
      <c r="E5965" t="s">
        <v>4081</v>
      </c>
      <c r="F5965" t="s">
        <v>287</v>
      </c>
      <c r="G5965">
        <v>5</v>
      </c>
      <c r="H5965" s="2">
        <v>98968.79</v>
      </c>
      <c r="I5965" s="2">
        <v>494843.95</v>
      </c>
    </row>
    <row r="5966" spans="1:9" x14ac:dyDescent="0.25">
      <c r="A5966" t="s">
        <v>3250</v>
      </c>
      <c r="B5966" t="s">
        <v>3251</v>
      </c>
      <c r="C5966" t="s">
        <v>34</v>
      </c>
      <c r="D5966" t="s">
        <v>4062</v>
      </c>
      <c r="E5966" t="s">
        <v>7219</v>
      </c>
      <c r="F5966" t="s">
        <v>34</v>
      </c>
      <c r="G5966">
        <v>1.1</v>
      </c>
      <c r="H5966" s="2">
        <v>34846.67</v>
      </c>
      <c r="I5966" s="2">
        <v>38331.34</v>
      </c>
    </row>
    <row r="5967" spans="1:9" x14ac:dyDescent="0.25">
      <c r="A5967" t="s">
        <v>3250</v>
      </c>
      <c r="B5967" t="s">
        <v>3251</v>
      </c>
      <c r="C5967" t="s">
        <v>34</v>
      </c>
      <c r="D5967" t="s">
        <v>4049</v>
      </c>
      <c r="E5967" t="s">
        <v>4078</v>
      </c>
      <c r="F5967" t="s">
        <v>287</v>
      </c>
      <c r="G5967">
        <v>0.05</v>
      </c>
      <c r="H5967" s="2">
        <v>157100</v>
      </c>
      <c r="I5967" s="2">
        <v>7855</v>
      </c>
    </row>
    <row r="5968" spans="1:9" x14ac:dyDescent="0.25">
      <c r="A5968" t="s">
        <v>3250</v>
      </c>
      <c r="B5968" t="s">
        <v>3251</v>
      </c>
      <c r="C5968" t="s">
        <v>34</v>
      </c>
      <c r="D5968" t="s">
        <v>4049</v>
      </c>
      <c r="E5968" t="s">
        <v>7220</v>
      </c>
      <c r="F5968" t="s">
        <v>4177</v>
      </c>
      <c r="G5968">
        <v>0.01</v>
      </c>
      <c r="H5968" s="2">
        <v>130296.06</v>
      </c>
      <c r="I5968" s="2">
        <v>1302.96</v>
      </c>
    </row>
    <row r="5969" spans="1:9" x14ac:dyDescent="0.25">
      <c r="A5969" t="s">
        <v>3250</v>
      </c>
      <c r="B5969" t="s">
        <v>3251</v>
      </c>
      <c r="C5969" t="s">
        <v>34</v>
      </c>
      <c r="D5969" t="s">
        <v>4058</v>
      </c>
      <c r="E5969" t="s">
        <v>4059</v>
      </c>
      <c r="F5969" t="s">
        <v>3545</v>
      </c>
      <c r="G5969">
        <v>5.5</v>
      </c>
      <c r="H5969" s="2">
        <v>1325</v>
      </c>
      <c r="I5969" s="2">
        <v>7287.5</v>
      </c>
    </row>
    <row r="5970" spans="1:9" x14ac:dyDescent="0.25">
      <c r="A5970" t="s">
        <v>3254</v>
      </c>
      <c r="B5970" t="s">
        <v>3255</v>
      </c>
      <c r="C5970" t="s">
        <v>34</v>
      </c>
      <c r="D5970" t="s">
        <v>4062</v>
      </c>
      <c r="E5970" t="s">
        <v>7219</v>
      </c>
      <c r="F5970" t="s">
        <v>34</v>
      </c>
      <c r="G5970">
        <v>1.3</v>
      </c>
      <c r="H5970" s="2">
        <v>34846.67</v>
      </c>
      <c r="I5970" s="2">
        <v>45300.67</v>
      </c>
    </row>
    <row r="5971" spans="1:9" x14ac:dyDescent="0.25">
      <c r="A5971" t="s">
        <v>3254</v>
      </c>
      <c r="B5971" t="s">
        <v>3255</v>
      </c>
      <c r="C5971" t="s">
        <v>34</v>
      </c>
      <c r="D5971" t="s">
        <v>4049</v>
      </c>
      <c r="E5971" t="s">
        <v>7220</v>
      </c>
      <c r="F5971" t="s">
        <v>4177</v>
      </c>
      <c r="G5971">
        <v>0.01</v>
      </c>
      <c r="H5971" s="2">
        <v>130296.06</v>
      </c>
      <c r="I5971" s="2">
        <v>1302.96</v>
      </c>
    </row>
    <row r="5972" spans="1:9" x14ac:dyDescent="0.25">
      <c r="A5972" t="s">
        <v>3254</v>
      </c>
      <c r="B5972" t="s">
        <v>3255</v>
      </c>
      <c r="C5972" t="s">
        <v>34</v>
      </c>
      <c r="D5972" t="s">
        <v>4052</v>
      </c>
      <c r="E5972" t="s">
        <v>4077</v>
      </c>
      <c r="F5972" t="s">
        <v>287</v>
      </c>
      <c r="G5972">
        <v>0.05</v>
      </c>
      <c r="H5972" s="2">
        <v>74712.95</v>
      </c>
      <c r="I5972" s="2">
        <v>3735.65</v>
      </c>
    </row>
    <row r="5973" spans="1:9" x14ac:dyDescent="0.25">
      <c r="A5973" t="s">
        <v>3254</v>
      </c>
      <c r="B5973" t="s">
        <v>3255</v>
      </c>
      <c r="C5973" t="s">
        <v>34</v>
      </c>
      <c r="D5973" t="s">
        <v>4052</v>
      </c>
      <c r="E5973" t="s">
        <v>4078</v>
      </c>
      <c r="F5973" t="s">
        <v>287</v>
      </c>
      <c r="G5973">
        <v>0.06</v>
      </c>
      <c r="H5973" s="2">
        <v>157100</v>
      </c>
      <c r="I5973" s="2">
        <v>9426</v>
      </c>
    </row>
    <row r="5974" spans="1:9" x14ac:dyDescent="0.25">
      <c r="A5974" t="s">
        <v>3254</v>
      </c>
      <c r="B5974" t="s">
        <v>3255</v>
      </c>
      <c r="C5974" t="s">
        <v>34</v>
      </c>
      <c r="D5974" t="s">
        <v>4052</v>
      </c>
      <c r="E5974" t="s">
        <v>4081</v>
      </c>
      <c r="F5974" t="s">
        <v>287</v>
      </c>
      <c r="G5974">
        <v>0.07</v>
      </c>
      <c r="H5974" s="2">
        <v>98968.79</v>
      </c>
      <c r="I5974" s="2">
        <v>6432.97</v>
      </c>
    </row>
    <row r="5975" spans="1:9" x14ac:dyDescent="0.25">
      <c r="A5975" t="s">
        <v>3254</v>
      </c>
      <c r="B5975" t="s">
        <v>3255</v>
      </c>
      <c r="C5975" t="s">
        <v>34</v>
      </c>
      <c r="D5975" t="s">
        <v>4058</v>
      </c>
      <c r="E5975" t="s">
        <v>4059</v>
      </c>
      <c r="F5975" t="s">
        <v>3545</v>
      </c>
      <c r="G5975">
        <v>6.5</v>
      </c>
      <c r="H5975" s="2">
        <v>1325</v>
      </c>
      <c r="I5975" s="2">
        <v>8612.5</v>
      </c>
    </row>
    <row r="5976" spans="1:9" x14ac:dyDescent="0.25">
      <c r="A5976" t="s">
        <v>3257</v>
      </c>
      <c r="B5976" t="s">
        <v>3258</v>
      </c>
      <c r="C5976" t="s">
        <v>34</v>
      </c>
      <c r="D5976" t="s">
        <v>4062</v>
      </c>
      <c r="E5976" t="s">
        <v>6154</v>
      </c>
      <c r="F5976" t="s">
        <v>34</v>
      </c>
      <c r="G5976">
        <v>1.3</v>
      </c>
      <c r="H5976" s="2">
        <v>58706.67</v>
      </c>
      <c r="I5976" s="2">
        <v>76318.67</v>
      </c>
    </row>
    <row r="5977" spans="1:9" x14ac:dyDescent="0.25">
      <c r="A5977" t="s">
        <v>3257</v>
      </c>
      <c r="B5977" t="s">
        <v>3258</v>
      </c>
      <c r="C5977" t="s">
        <v>34</v>
      </c>
      <c r="D5977" t="s">
        <v>4049</v>
      </c>
      <c r="E5977" t="s">
        <v>4176</v>
      </c>
      <c r="F5977" t="s">
        <v>4177</v>
      </c>
      <c r="G5977">
        <v>0.05</v>
      </c>
      <c r="H5977" s="2">
        <v>72300.17</v>
      </c>
      <c r="I5977" s="2">
        <v>3615.01</v>
      </c>
    </row>
    <row r="5978" spans="1:9" x14ac:dyDescent="0.25">
      <c r="A5978" t="s">
        <v>3257</v>
      </c>
      <c r="B5978" t="s">
        <v>3258</v>
      </c>
      <c r="C5978" t="s">
        <v>34</v>
      </c>
      <c r="D5978" t="s">
        <v>4049</v>
      </c>
      <c r="E5978" t="s">
        <v>7220</v>
      </c>
      <c r="F5978" t="s">
        <v>4177</v>
      </c>
      <c r="G5978">
        <v>0.01</v>
      </c>
      <c r="H5978" s="2">
        <v>130296.06</v>
      </c>
      <c r="I5978" s="2">
        <v>1302.96</v>
      </c>
    </row>
    <row r="5979" spans="1:9" x14ac:dyDescent="0.25">
      <c r="A5979" t="s">
        <v>3257</v>
      </c>
      <c r="B5979" t="s">
        <v>3258</v>
      </c>
      <c r="C5979" t="s">
        <v>34</v>
      </c>
      <c r="D5979" t="s">
        <v>4058</v>
      </c>
      <c r="E5979" t="s">
        <v>4077</v>
      </c>
      <c r="F5979" t="s">
        <v>287</v>
      </c>
      <c r="G5979">
        <v>0.05</v>
      </c>
      <c r="H5979" s="2">
        <v>74712.95</v>
      </c>
      <c r="I5979" s="2">
        <v>3735.65</v>
      </c>
    </row>
    <row r="5980" spans="1:9" x14ac:dyDescent="0.25">
      <c r="A5980" t="s">
        <v>3257</v>
      </c>
      <c r="B5980" t="s">
        <v>3258</v>
      </c>
      <c r="C5980" t="s">
        <v>34</v>
      </c>
      <c r="D5980" t="s">
        <v>4058</v>
      </c>
      <c r="E5980" t="s">
        <v>4078</v>
      </c>
      <c r="F5980" t="s">
        <v>287</v>
      </c>
      <c r="G5980">
        <v>0.07</v>
      </c>
      <c r="H5980" s="2">
        <v>157100</v>
      </c>
      <c r="I5980" s="2">
        <v>10997</v>
      </c>
    </row>
    <row r="5981" spans="1:9" x14ac:dyDescent="0.25">
      <c r="A5981" t="s">
        <v>3257</v>
      </c>
      <c r="B5981" t="s">
        <v>3258</v>
      </c>
      <c r="C5981" t="s">
        <v>34</v>
      </c>
      <c r="D5981" t="s">
        <v>4058</v>
      </c>
      <c r="E5981" t="s">
        <v>4081</v>
      </c>
      <c r="F5981" t="s">
        <v>287</v>
      </c>
      <c r="G5981">
        <v>0.07</v>
      </c>
      <c r="H5981" s="2">
        <v>98968.79</v>
      </c>
      <c r="I5981" s="2">
        <v>6927.82</v>
      </c>
    </row>
    <row r="5982" spans="1:9" x14ac:dyDescent="0.25">
      <c r="A5982" t="s">
        <v>3257</v>
      </c>
      <c r="B5982" t="s">
        <v>3258</v>
      </c>
      <c r="C5982" t="s">
        <v>34</v>
      </c>
      <c r="D5982" t="s">
        <v>4058</v>
      </c>
      <c r="E5982" t="s">
        <v>4310</v>
      </c>
      <c r="F5982" t="s">
        <v>3545</v>
      </c>
      <c r="G5982">
        <v>6.5</v>
      </c>
      <c r="H5982" s="2">
        <v>1350</v>
      </c>
      <c r="I5982" s="2">
        <v>8775</v>
      </c>
    </row>
    <row r="5983" spans="1:9" x14ac:dyDescent="0.25">
      <c r="A5983" t="s">
        <v>3260</v>
      </c>
      <c r="B5983" t="s">
        <v>3261</v>
      </c>
      <c r="C5983" t="s">
        <v>34</v>
      </c>
      <c r="D5983" t="s">
        <v>4062</v>
      </c>
      <c r="E5983" t="s">
        <v>6162</v>
      </c>
      <c r="F5983" t="s">
        <v>34</v>
      </c>
      <c r="G5983">
        <v>1.3</v>
      </c>
      <c r="H5983" s="2">
        <v>42113.33</v>
      </c>
      <c r="I5983" s="2">
        <v>54747.33</v>
      </c>
    </row>
    <row r="5984" spans="1:9" x14ac:dyDescent="0.25">
      <c r="A5984" t="s">
        <v>3260</v>
      </c>
      <c r="B5984" t="s">
        <v>3261</v>
      </c>
      <c r="C5984" t="s">
        <v>34</v>
      </c>
      <c r="D5984" t="s">
        <v>4049</v>
      </c>
      <c r="E5984" t="s">
        <v>4176</v>
      </c>
      <c r="F5984" t="s">
        <v>4177</v>
      </c>
      <c r="G5984">
        <v>0.05</v>
      </c>
      <c r="H5984" s="2">
        <v>72300.17</v>
      </c>
      <c r="I5984" s="2">
        <v>3615.01</v>
      </c>
    </row>
    <row r="5985" spans="1:9" x14ac:dyDescent="0.25">
      <c r="A5985" t="s">
        <v>3260</v>
      </c>
      <c r="B5985" t="s">
        <v>3261</v>
      </c>
      <c r="C5985" t="s">
        <v>34</v>
      </c>
      <c r="D5985" t="s">
        <v>4049</v>
      </c>
      <c r="E5985" t="s">
        <v>7220</v>
      </c>
      <c r="F5985" t="s">
        <v>4177</v>
      </c>
      <c r="G5985">
        <v>0.01</v>
      </c>
      <c r="H5985" s="2">
        <v>130296.06</v>
      </c>
      <c r="I5985" s="2">
        <v>1302.96</v>
      </c>
    </row>
    <row r="5986" spans="1:9" x14ac:dyDescent="0.25">
      <c r="A5986" t="s">
        <v>3260</v>
      </c>
      <c r="B5986" t="s">
        <v>3261</v>
      </c>
      <c r="C5986" t="s">
        <v>34</v>
      </c>
      <c r="D5986" t="s">
        <v>4052</v>
      </c>
      <c r="E5986" t="s">
        <v>4077</v>
      </c>
      <c r="F5986" t="s">
        <v>287</v>
      </c>
      <c r="G5986">
        <v>0.05</v>
      </c>
      <c r="H5986" s="2">
        <v>74712.95</v>
      </c>
      <c r="I5986" s="2">
        <v>3735.65</v>
      </c>
    </row>
    <row r="5987" spans="1:9" x14ac:dyDescent="0.25">
      <c r="A5987" t="s">
        <v>3260</v>
      </c>
      <c r="B5987" t="s">
        <v>3261</v>
      </c>
      <c r="C5987" t="s">
        <v>34</v>
      </c>
      <c r="D5987" t="s">
        <v>4052</v>
      </c>
      <c r="E5987" t="s">
        <v>4078</v>
      </c>
      <c r="F5987" t="s">
        <v>287</v>
      </c>
      <c r="G5987">
        <v>0.07</v>
      </c>
      <c r="H5987" s="2">
        <v>157100</v>
      </c>
      <c r="I5987" s="2">
        <v>10997</v>
      </c>
    </row>
    <row r="5988" spans="1:9" x14ac:dyDescent="0.25">
      <c r="A5988" t="s">
        <v>3260</v>
      </c>
      <c r="B5988" t="s">
        <v>3261</v>
      </c>
      <c r="C5988" t="s">
        <v>34</v>
      </c>
      <c r="D5988" t="s">
        <v>4052</v>
      </c>
      <c r="E5988" t="s">
        <v>4081</v>
      </c>
      <c r="F5988" t="s">
        <v>287</v>
      </c>
      <c r="G5988">
        <v>0.07</v>
      </c>
      <c r="H5988" s="2">
        <v>98968.79</v>
      </c>
      <c r="I5988" s="2">
        <v>6927.82</v>
      </c>
    </row>
    <row r="5989" spans="1:9" x14ac:dyDescent="0.25">
      <c r="A5989" t="s">
        <v>3260</v>
      </c>
      <c r="B5989" t="s">
        <v>3261</v>
      </c>
      <c r="C5989" t="s">
        <v>34</v>
      </c>
      <c r="D5989" t="s">
        <v>4058</v>
      </c>
      <c r="E5989" t="s">
        <v>4310</v>
      </c>
      <c r="F5989" t="s">
        <v>3545</v>
      </c>
      <c r="G5989">
        <v>6.5</v>
      </c>
      <c r="H5989" s="2">
        <v>1350</v>
      </c>
      <c r="I5989" s="2">
        <v>8775</v>
      </c>
    </row>
    <row r="5990" spans="1:9" x14ac:dyDescent="0.25">
      <c r="A5990" t="s">
        <v>3263</v>
      </c>
      <c r="B5990" t="s">
        <v>3265</v>
      </c>
      <c r="C5990" t="s">
        <v>34</v>
      </c>
      <c r="D5990" t="s">
        <v>4062</v>
      </c>
      <c r="E5990" t="s">
        <v>7230</v>
      </c>
      <c r="F5990" t="s">
        <v>231</v>
      </c>
      <c r="G5990">
        <v>7</v>
      </c>
      <c r="H5990" s="2">
        <v>1803</v>
      </c>
      <c r="I5990" s="2">
        <v>12621</v>
      </c>
    </row>
    <row r="5991" spans="1:9" x14ac:dyDescent="0.25">
      <c r="A5991" t="s">
        <v>3263</v>
      </c>
      <c r="B5991" t="s">
        <v>3265</v>
      </c>
      <c r="C5991" t="s">
        <v>34</v>
      </c>
      <c r="D5991" t="s">
        <v>4062</v>
      </c>
      <c r="E5991" t="s">
        <v>3998</v>
      </c>
      <c r="F5991" t="s">
        <v>34</v>
      </c>
      <c r="G5991">
        <v>1.1</v>
      </c>
      <c r="H5991" s="2">
        <v>520986.7</v>
      </c>
      <c r="I5991" s="2">
        <v>573085.37</v>
      </c>
    </row>
    <row r="5992" spans="1:9" x14ac:dyDescent="0.25">
      <c r="A5992" t="s">
        <v>3263</v>
      </c>
      <c r="B5992" t="s">
        <v>3265</v>
      </c>
      <c r="C5992" t="s">
        <v>34</v>
      </c>
      <c r="D5992" t="s">
        <v>4049</v>
      </c>
      <c r="E5992" t="s">
        <v>4176</v>
      </c>
      <c r="F5992" t="s">
        <v>4177</v>
      </c>
      <c r="G5992">
        <v>0.8</v>
      </c>
      <c r="H5992" s="2">
        <v>72300.17</v>
      </c>
      <c r="I5992" s="2">
        <v>57840.14</v>
      </c>
    </row>
    <row r="5993" spans="1:9" x14ac:dyDescent="0.25">
      <c r="A5993" t="s">
        <v>3263</v>
      </c>
      <c r="B5993" t="s">
        <v>3265</v>
      </c>
      <c r="C5993" t="s">
        <v>34</v>
      </c>
      <c r="D5993" t="s">
        <v>4049</v>
      </c>
      <c r="E5993" t="s">
        <v>4313</v>
      </c>
      <c r="F5993" t="s">
        <v>4177</v>
      </c>
      <c r="G5993">
        <v>0.15</v>
      </c>
      <c r="H5993" s="2">
        <v>124137.15</v>
      </c>
      <c r="I5993" s="2">
        <v>18620.57</v>
      </c>
    </row>
    <row r="5994" spans="1:9" x14ac:dyDescent="0.25">
      <c r="A5994" t="s">
        <v>3263</v>
      </c>
      <c r="B5994" t="s">
        <v>3265</v>
      </c>
      <c r="C5994" t="s">
        <v>34</v>
      </c>
      <c r="D5994" t="s">
        <v>4052</v>
      </c>
      <c r="E5994" t="s">
        <v>7231</v>
      </c>
      <c r="F5994" t="s">
        <v>42</v>
      </c>
      <c r="G5994">
        <v>4</v>
      </c>
      <c r="H5994" s="2">
        <v>4905</v>
      </c>
      <c r="I5994" s="2">
        <v>19620</v>
      </c>
    </row>
    <row r="5995" spans="1:9" x14ac:dyDescent="0.25">
      <c r="A5995" t="s">
        <v>3263</v>
      </c>
      <c r="B5995" t="s">
        <v>3265</v>
      </c>
      <c r="C5995" t="s">
        <v>34</v>
      </c>
      <c r="D5995" t="s">
        <v>4052</v>
      </c>
      <c r="E5995" t="s">
        <v>4286</v>
      </c>
      <c r="F5995" t="s">
        <v>287</v>
      </c>
      <c r="G5995">
        <v>2.5</v>
      </c>
      <c r="H5995" s="2">
        <v>9375</v>
      </c>
      <c r="I5995" s="2">
        <v>23437.5</v>
      </c>
    </row>
    <row r="5996" spans="1:9" x14ac:dyDescent="0.25">
      <c r="A5996" t="s">
        <v>3263</v>
      </c>
      <c r="B5996" t="s">
        <v>3265</v>
      </c>
      <c r="C5996" t="s">
        <v>34</v>
      </c>
      <c r="D5996" t="s">
        <v>4052</v>
      </c>
      <c r="E5996" t="s">
        <v>4053</v>
      </c>
      <c r="F5996" t="s">
        <v>4054</v>
      </c>
      <c r="G5996">
        <v>1.3</v>
      </c>
      <c r="H5996" s="2">
        <v>76460.71</v>
      </c>
      <c r="I5996" s="2">
        <v>993.99</v>
      </c>
    </row>
    <row r="5997" spans="1:9" x14ac:dyDescent="0.25">
      <c r="A5997" t="s">
        <v>3268</v>
      </c>
      <c r="B5997" t="s">
        <v>3269</v>
      </c>
      <c r="C5997" t="s">
        <v>42</v>
      </c>
      <c r="D5997" t="s">
        <v>4062</v>
      </c>
      <c r="E5997" t="s">
        <v>6947</v>
      </c>
      <c r="F5997" t="s">
        <v>63</v>
      </c>
      <c r="G5997">
        <v>0.01</v>
      </c>
      <c r="H5997" s="2">
        <v>185957</v>
      </c>
      <c r="I5997" s="2">
        <v>1859.57</v>
      </c>
    </row>
    <row r="5998" spans="1:9" x14ac:dyDescent="0.25">
      <c r="A5998" t="s">
        <v>3268</v>
      </c>
      <c r="B5998" t="s">
        <v>3269</v>
      </c>
      <c r="C5998" t="s">
        <v>42</v>
      </c>
      <c r="D5998" t="s">
        <v>4062</v>
      </c>
      <c r="E5998" t="s">
        <v>4076</v>
      </c>
      <c r="F5998" t="s">
        <v>3963</v>
      </c>
      <c r="G5998">
        <v>5</v>
      </c>
      <c r="H5998" s="2">
        <v>21</v>
      </c>
      <c r="I5998" s="2">
        <v>105</v>
      </c>
    </row>
    <row r="5999" spans="1:9" x14ac:dyDescent="0.25">
      <c r="A5999" t="s">
        <v>3268</v>
      </c>
      <c r="B5999" t="s">
        <v>3269</v>
      </c>
      <c r="C5999" t="s">
        <v>42</v>
      </c>
      <c r="D5999" t="s">
        <v>4049</v>
      </c>
      <c r="E5999" t="s">
        <v>7234</v>
      </c>
      <c r="F5999" t="s">
        <v>287</v>
      </c>
      <c r="G5999">
        <v>0.09</v>
      </c>
      <c r="H5999" s="2">
        <v>8800</v>
      </c>
      <c r="I5999" s="2">
        <v>748</v>
      </c>
    </row>
    <row r="6000" spans="1:9" x14ac:dyDescent="0.25">
      <c r="A6000" t="s">
        <v>3268</v>
      </c>
      <c r="B6000" t="s">
        <v>3269</v>
      </c>
      <c r="C6000" t="s">
        <v>42</v>
      </c>
      <c r="D6000" t="s">
        <v>4049</v>
      </c>
      <c r="E6000" t="s">
        <v>4176</v>
      </c>
      <c r="F6000" t="s">
        <v>4177</v>
      </c>
      <c r="G6000">
        <v>0.02</v>
      </c>
      <c r="H6000" s="2">
        <v>72300.17</v>
      </c>
      <c r="I6000" s="2">
        <v>1446</v>
      </c>
    </row>
    <row r="6001" spans="1:9" x14ac:dyDescent="0.25">
      <c r="A6001" t="s">
        <v>3271</v>
      </c>
      <c r="B6001" t="s">
        <v>3272</v>
      </c>
      <c r="C6001" t="s">
        <v>34</v>
      </c>
      <c r="D6001" t="s">
        <v>4062</v>
      </c>
      <c r="E6001" t="s">
        <v>3272</v>
      </c>
      <c r="F6001" t="s">
        <v>34</v>
      </c>
      <c r="G6001">
        <v>1.05</v>
      </c>
      <c r="H6001" s="2">
        <v>503370</v>
      </c>
      <c r="I6001" s="2">
        <v>528538.5</v>
      </c>
    </row>
    <row r="6002" spans="1:9" x14ac:dyDescent="0.25">
      <c r="A6002" t="s">
        <v>3271</v>
      </c>
      <c r="B6002" t="s">
        <v>3272</v>
      </c>
      <c r="C6002" t="s">
        <v>34</v>
      </c>
      <c r="D6002" t="s">
        <v>4062</v>
      </c>
      <c r="E6002" t="s">
        <v>7237</v>
      </c>
      <c r="F6002" t="s">
        <v>42</v>
      </c>
      <c r="G6002">
        <v>4</v>
      </c>
      <c r="H6002" s="2">
        <v>771.12</v>
      </c>
      <c r="I6002" s="2">
        <v>3084.48</v>
      </c>
    </row>
    <row r="6003" spans="1:9" x14ac:dyDescent="0.25">
      <c r="A6003" t="s">
        <v>3271</v>
      </c>
      <c r="B6003" t="s">
        <v>3272</v>
      </c>
      <c r="C6003" t="s">
        <v>34</v>
      </c>
      <c r="D6003" t="s">
        <v>4062</v>
      </c>
      <c r="E6003" t="s">
        <v>7238</v>
      </c>
      <c r="F6003" t="s">
        <v>4377</v>
      </c>
      <c r="G6003">
        <v>0.04</v>
      </c>
      <c r="H6003" s="2">
        <v>152320</v>
      </c>
      <c r="I6003" s="2">
        <v>6473.6</v>
      </c>
    </row>
    <row r="6004" spans="1:9" x14ac:dyDescent="0.25">
      <c r="A6004" t="s">
        <v>3271</v>
      </c>
      <c r="B6004" t="s">
        <v>3272</v>
      </c>
      <c r="C6004" t="s">
        <v>34</v>
      </c>
      <c r="D6004" t="s">
        <v>4062</v>
      </c>
      <c r="E6004" t="s">
        <v>7239</v>
      </c>
      <c r="F6004" t="s">
        <v>63</v>
      </c>
      <c r="G6004">
        <v>0.03</v>
      </c>
      <c r="H6004" s="2">
        <v>185957</v>
      </c>
      <c r="I6004" s="2">
        <v>5578.71</v>
      </c>
    </row>
    <row r="6005" spans="1:9" x14ac:dyDescent="0.25">
      <c r="A6005" t="s">
        <v>3271</v>
      </c>
      <c r="B6005" t="s">
        <v>3272</v>
      </c>
      <c r="C6005" t="s">
        <v>34</v>
      </c>
      <c r="D6005" t="s">
        <v>4049</v>
      </c>
      <c r="E6005" t="s">
        <v>4176</v>
      </c>
      <c r="F6005" t="s">
        <v>4177</v>
      </c>
      <c r="G6005">
        <v>0.8</v>
      </c>
      <c r="H6005" s="2">
        <v>72300.17</v>
      </c>
      <c r="I6005" s="2">
        <v>57840.14</v>
      </c>
    </row>
    <row r="6006" spans="1:9" x14ac:dyDescent="0.25">
      <c r="A6006" t="s">
        <v>3271</v>
      </c>
      <c r="B6006" t="s">
        <v>3272</v>
      </c>
      <c r="C6006" t="s">
        <v>34</v>
      </c>
      <c r="D6006" t="s">
        <v>4049</v>
      </c>
      <c r="E6006" t="s">
        <v>4313</v>
      </c>
      <c r="F6006" t="s">
        <v>4177</v>
      </c>
      <c r="G6006">
        <v>0.3</v>
      </c>
      <c r="H6006" s="2">
        <v>124137.15</v>
      </c>
      <c r="I6006" s="2">
        <v>37241.14</v>
      </c>
    </row>
    <row r="6007" spans="1:9" x14ac:dyDescent="0.25">
      <c r="A6007" t="s">
        <v>3271</v>
      </c>
      <c r="B6007" t="s">
        <v>3272</v>
      </c>
      <c r="C6007" t="s">
        <v>34</v>
      </c>
      <c r="D6007" t="s">
        <v>4052</v>
      </c>
      <c r="E6007" t="s">
        <v>7234</v>
      </c>
      <c r="F6007" t="s">
        <v>287</v>
      </c>
      <c r="G6007">
        <v>0.34</v>
      </c>
      <c r="H6007" s="2">
        <v>8800</v>
      </c>
      <c r="I6007" s="2">
        <v>2992</v>
      </c>
    </row>
    <row r="6008" spans="1:9" x14ac:dyDescent="0.25">
      <c r="A6008" t="s">
        <v>3271</v>
      </c>
      <c r="B6008" t="s">
        <v>3272</v>
      </c>
      <c r="C6008" t="s">
        <v>34</v>
      </c>
      <c r="D6008" t="s">
        <v>4052</v>
      </c>
      <c r="E6008" t="s">
        <v>7231</v>
      </c>
      <c r="F6008" t="s">
        <v>42</v>
      </c>
      <c r="G6008">
        <v>4</v>
      </c>
      <c r="H6008" s="2">
        <v>4905</v>
      </c>
      <c r="I6008" s="2">
        <v>19620</v>
      </c>
    </row>
    <row r="6009" spans="1:9" x14ac:dyDescent="0.25">
      <c r="A6009" t="s">
        <v>3271</v>
      </c>
      <c r="B6009" t="s">
        <v>3272</v>
      </c>
      <c r="C6009" t="s">
        <v>34</v>
      </c>
      <c r="D6009" t="s">
        <v>4052</v>
      </c>
      <c r="E6009" t="s">
        <v>4286</v>
      </c>
      <c r="F6009" t="s">
        <v>287</v>
      </c>
      <c r="G6009">
        <v>2.5</v>
      </c>
      <c r="H6009" s="2">
        <v>9375</v>
      </c>
      <c r="I6009" s="2">
        <v>23437.5</v>
      </c>
    </row>
    <row r="6010" spans="1:9" x14ac:dyDescent="0.25">
      <c r="A6010" t="s">
        <v>3271</v>
      </c>
      <c r="B6010" t="s">
        <v>3272</v>
      </c>
      <c r="C6010" t="s">
        <v>34</v>
      </c>
      <c r="D6010" t="s">
        <v>4052</v>
      </c>
      <c r="E6010" t="s">
        <v>4053</v>
      </c>
      <c r="F6010" t="s">
        <v>4054</v>
      </c>
      <c r="G6010">
        <v>1.3</v>
      </c>
      <c r="H6010" s="2">
        <v>95081.28</v>
      </c>
      <c r="I6010" s="2">
        <v>1236.06</v>
      </c>
    </row>
    <row r="6011" spans="1:9" x14ac:dyDescent="0.25">
      <c r="A6011" t="s">
        <v>3274</v>
      </c>
      <c r="B6011" t="s">
        <v>3275</v>
      </c>
      <c r="C6011" t="s">
        <v>34</v>
      </c>
      <c r="D6011" t="s">
        <v>4062</v>
      </c>
      <c r="E6011" t="s">
        <v>7237</v>
      </c>
      <c r="F6011" t="s">
        <v>42</v>
      </c>
      <c r="G6011">
        <v>4</v>
      </c>
      <c r="H6011" s="2">
        <v>771.12</v>
      </c>
      <c r="I6011" s="2">
        <v>3084.48</v>
      </c>
    </row>
    <row r="6012" spans="1:9" x14ac:dyDescent="0.25">
      <c r="A6012" t="s">
        <v>3274</v>
      </c>
      <c r="B6012" t="s">
        <v>3275</v>
      </c>
      <c r="C6012" t="s">
        <v>34</v>
      </c>
      <c r="D6012" t="s">
        <v>4062</v>
      </c>
      <c r="E6012" t="s">
        <v>7242</v>
      </c>
      <c r="F6012" t="s">
        <v>4377</v>
      </c>
      <c r="G6012">
        <v>0.04</v>
      </c>
      <c r="H6012" s="2">
        <v>152320</v>
      </c>
      <c r="I6012" s="2">
        <v>6473.6</v>
      </c>
    </row>
    <row r="6013" spans="1:9" x14ac:dyDescent="0.25">
      <c r="A6013" t="s">
        <v>3274</v>
      </c>
      <c r="B6013" t="s">
        <v>3275</v>
      </c>
      <c r="C6013" t="s">
        <v>34</v>
      </c>
      <c r="D6013" t="s">
        <v>4062</v>
      </c>
      <c r="E6013" t="s">
        <v>7243</v>
      </c>
      <c r="F6013" t="s">
        <v>34</v>
      </c>
      <c r="G6013">
        <v>1.05</v>
      </c>
      <c r="H6013" s="2">
        <v>521220</v>
      </c>
      <c r="I6013" s="2">
        <v>547281</v>
      </c>
    </row>
    <row r="6014" spans="1:9" x14ac:dyDescent="0.25">
      <c r="A6014" t="s">
        <v>3274</v>
      </c>
      <c r="B6014" t="s">
        <v>3275</v>
      </c>
      <c r="C6014" t="s">
        <v>34</v>
      </c>
      <c r="D6014" t="s">
        <v>4062</v>
      </c>
      <c r="E6014" t="s">
        <v>7239</v>
      </c>
      <c r="F6014" t="s">
        <v>63</v>
      </c>
      <c r="G6014">
        <v>0.03</v>
      </c>
      <c r="H6014" s="2">
        <v>185957</v>
      </c>
      <c r="I6014" s="2">
        <v>5578.71</v>
      </c>
    </row>
    <row r="6015" spans="1:9" x14ac:dyDescent="0.25">
      <c r="A6015" t="s">
        <v>3274</v>
      </c>
      <c r="B6015" t="s">
        <v>3275</v>
      </c>
      <c r="C6015" t="s">
        <v>34</v>
      </c>
      <c r="D6015" t="s">
        <v>4049</v>
      </c>
      <c r="E6015" t="s">
        <v>4176</v>
      </c>
      <c r="F6015" t="s">
        <v>4177</v>
      </c>
      <c r="G6015">
        <v>0.8</v>
      </c>
      <c r="H6015" s="2">
        <v>72300.17</v>
      </c>
      <c r="I6015" s="2">
        <v>57840.14</v>
      </c>
    </row>
    <row r="6016" spans="1:9" x14ac:dyDescent="0.25">
      <c r="A6016" t="s">
        <v>3274</v>
      </c>
      <c r="B6016" t="s">
        <v>3275</v>
      </c>
      <c r="C6016" t="s">
        <v>34</v>
      </c>
      <c r="D6016" t="s">
        <v>4049</v>
      </c>
      <c r="E6016" t="s">
        <v>4313</v>
      </c>
      <c r="F6016" t="s">
        <v>4177</v>
      </c>
      <c r="G6016">
        <v>0.3</v>
      </c>
      <c r="H6016" s="2">
        <v>124137.15</v>
      </c>
      <c r="I6016" s="2">
        <v>37241.14</v>
      </c>
    </row>
    <row r="6017" spans="1:9" x14ac:dyDescent="0.25">
      <c r="A6017" t="s">
        <v>3274</v>
      </c>
      <c r="B6017" t="s">
        <v>3275</v>
      </c>
      <c r="C6017" t="s">
        <v>34</v>
      </c>
      <c r="D6017" t="s">
        <v>4052</v>
      </c>
      <c r="E6017" t="s">
        <v>7234</v>
      </c>
      <c r="F6017" t="s">
        <v>287</v>
      </c>
      <c r="G6017">
        <v>0.34</v>
      </c>
      <c r="H6017" s="2">
        <v>8800</v>
      </c>
      <c r="I6017" s="2">
        <v>2992</v>
      </c>
    </row>
    <row r="6018" spans="1:9" x14ac:dyDescent="0.25">
      <c r="A6018" t="s">
        <v>3274</v>
      </c>
      <c r="B6018" t="s">
        <v>3275</v>
      </c>
      <c r="C6018" t="s">
        <v>34</v>
      </c>
      <c r="D6018" t="s">
        <v>4052</v>
      </c>
      <c r="E6018" t="s">
        <v>7231</v>
      </c>
      <c r="F6018" t="s">
        <v>42</v>
      </c>
      <c r="G6018">
        <v>4</v>
      </c>
      <c r="H6018" s="2">
        <v>4905</v>
      </c>
      <c r="I6018" s="2">
        <v>19620</v>
      </c>
    </row>
    <row r="6019" spans="1:9" x14ac:dyDescent="0.25">
      <c r="A6019" t="s">
        <v>3274</v>
      </c>
      <c r="B6019" t="s">
        <v>3275</v>
      </c>
      <c r="C6019" t="s">
        <v>34</v>
      </c>
      <c r="D6019" t="s">
        <v>4052</v>
      </c>
      <c r="E6019" t="s">
        <v>4286</v>
      </c>
      <c r="F6019" t="s">
        <v>287</v>
      </c>
      <c r="G6019">
        <v>2.5</v>
      </c>
      <c r="H6019" s="2">
        <v>9375</v>
      </c>
      <c r="I6019" s="2">
        <v>23437.5</v>
      </c>
    </row>
    <row r="6020" spans="1:9" x14ac:dyDescent="0.25">
      <c r="A6020" t="s">
        <v>3274</v>
      </c>
      <c r="B6020" t="s">
        <v>3275</v>
      </c>
      <c r="C6020" t="s">
        <v>34</v>
      </c>
      <c r="D6020" t="s">
        <v>4052</v>
      </c>
      <c r="E6020" t="s">
        <v>4053</v>
      </c>
      <c r="F6020" t="s">
        <v>4054</v>
      </c>
      <c r="G6020">
        <v>1.3</v>
      </c>
      <c r="H6020" s="2">
        <v>95081.28</v>
      </c>
      <c r="I6020" s="2">
        <v>1236.06</v>
      </c>
    </row>
    <row r="6021" spans="1:9" x14ac:dyDescent="0.25">
      <c r="A6021" t="s">
        <v>3277</v>
      </c>
      <c r="B6021" t="s">
        <v>3278</v>
      </c>
      <c r="C6021" t="s">
        <v>34</v>
      </c>
      <c r="D6021" t="s">
        <v>4062</v>
      </c>
      <c r="E6021" t="s">
        <v>7237</v>
      </c>
      <c r="F6021" t="s">
        <v>42</v>
      </c>
      <c r="G6021">
        <v>4</v>
      </c>
      <c r="H6021" s="2">
        <v>771.12</v>
      </c>
      <c r="I6021" s="2">
        <v>3084.48</v>
      </c>
    </row>
    <row r="6022" spans="1:9" x14ac:dyDescent="0.25">
      <c r="A6022" t="s">
        <v>3277</v>
      </c>
      <c r="B6022" t="s">
        <v>3278</v>
      </c>
      <c r="C6022" t="s">
        <v>34</v>
      </c>
      <c r="D6022" t="s">
        <v>4062</v>
      </c>
      <c r="E6022" t="s">
        <v>7246</v>
      </c>
      <c r="F6022" t="s">
        <v>4377</v>
      </c>
      <c r="G6022">
        <v>0.04</v>
      </c>
      <c r="H6022" s="2">
        <v>152320</v>
      </c>
      <c r="I6022" s="2">
        <v>6473.6</v>
      </c>
    </row>
    <row r="6023" spans="1:9" x14ac:dyDescent="0.25">
      <c r="A6023" t="s">
        <v>3277</v>
      </c>
      <c r="B6023" t="s">
        <v>3278</v>
      </c>
      <c r="C6023" t="s">
        <v>34</v>
      </c>
      <c r="D6023" t="s">
        <v>4062</v>
      </c>
      <c r="E6023" t="s">
        <v>7247</v>
      </c>
      <c r="F6023" t="s">
        <v>34</v>
      </c>
      <c r="G6023">
        <v>1.05</v>
      </c>
      <c r="H6023" s="2">
        <v>523600</v>
      </c>
      <c r="I6023" s="2">
        <v>549780</v>
      </c>
    </row>
    <row r="6024" spans="1:9" x14ac:dyDescent="0.25">
      <c r="A6024" t="s">
        <v>3277</v>
      </c>
      <c r="B6024" t="s">
        <v>3278</v>
      </c>
      <c r="C6024" t="s">
        <v>34</v>
      </c>
      <c r="D6024" t="s">
        <v>4062</v>
      </c>
      <c r="E6024" t="s">
        <v>7239</v>
      </c>
      <c r="F6024" t="s">
        <v>63</v>
      </c>
      <c r="G6024">
        <v>0.03</v>
      </c>
      <c r="H6024" s="2">
        <v>185957</v>
      </c>
      <c r="I6024" s="2">
        <v>5578.71</v>
      </c>
    </row>
    <row r="6025" spans="1:9" x14ac:dyDescent="0.25">
      <c r="A6025" t="s">
        <v>3277</v>
      </c>
      <c r="B6025" t="s">
        <v>3278</v>
      </c>
      <c r="C6025" t="s">
        <v>34</v>
      </c>
      <c r="D6025" t="s">
        <v>4049</v>
      </c>
      <c r="E6025" t="s">
        <v>4176</v>
      </c>
      <c r="F6025" t="s">
        <v>4177</v>
      </c>
      <c r="G6025">
        <v>0.8</v>
      </c>
      <c r="H6025" s="2">
        <v>72300.17</v>
      </c>
      <c r="I6025" s="2">
        <v>57840.14</v>
      </c>
    </row>
    <row r="6026" spans="1:9" x14ac:dyDescent="0.25">
      <c r="A6026" t="s">
        <v>3277</v>
      </c>
      <c r="B6026" t="s">
        <v>3278</v>
      </c>
      <c r="C6026" t="s">
        <v>34</v>
      </c>
      <c r="D6026" t="s">
        <v>4049</v>
      </c>
      <c r="E6026" t="s">
        <v>4313</v>
      </c>
      <c r="F6026" t="s">
        <v>4177</v>
      </c>
      <c r="G6026">
        <v>0.3</v>
      </c>
      <c r="H6026" s="2">
        <v>124137.15</v>
      </c>
      <c r="I6026" s="2">
        <v>37241.14</v>
      </c>
    </row>
    <row r="6027" spans="1:9" x14ac:dyDescent="0.25">
      <c r="A6027" t="s">
        <v>3277</v>
      </c>
      <c r="B6027" t="s">
        <v>3278</v>
      </c>
      <c r="C6027" t="s">
        <v>34</v>
      </c>
      <c r="D6027" t="s">
        <v>4052</v>
      </c>
      <c r="E6027" t="s">
        <v>7234</v>
      </c>
      <c r="F6027" t="s">
        <v>287</v>
      </c>
      <c r="G6027">
        <v>0.34</v>
      </c>
      <c r="H6027" s="2">
        <v>8800</v>
      </c>
      <c r="I6027" s="2">
        <v>2992</v>
      </c>
    </row>
    <row r="6028" spans="1:9" x14ac:dyDescent="0.25">
      <c r="A6028" t="s">
        <v>3277</v>
      </c>
      <c r="B6028" t="s">
        <v>3278</v>
      </c>
      <c r="C6028" t="s">
        <v>34</v>
      </c>
      <c r="D6028" t="s">
        <v>4052</v>
      </c>
      <c r="E6028" t="s">
        <v>7231</v>
      </c>
      <c r="F6028" t="s">
        <v>42</v>
      </c>
      <c r="G6028">
        <v>4</v>
      </c>
      <c r="H6028" s="2">
        <v>4905</v>
      </c>
      <c r="I6028" s="2">
        <v>19620</v>
      </c>
    </row>
    <row r="6029" spans="1:9" x14ac:dyDescent="0.25">
      <c r="A6029" t="s">
        <v>3277</v>
      </c>
      <c r="B6029" t="s">
        <v>3278</v>
      </c>
      <c r="C6029" t="s">
        <v>34</v>
      </c>
      <c r="D6029" t="s">
        <v>4052</v>
      </c>
      <c r="E6029" t="s">
        <v>4286</v>
      </c>
      <c r="F6029" t="s">
        <v>287</v>
      </c>
      <c r="G6029">
        <v>2.5</v>
      </c>
      <c r="H6029" s="2">
        <v>9375</v>
      </c>
      <c r="I6029" s="2">
        <v>23437.5</v>
      </c>
    </row>
    <row r="6030" spans="1:9" x14ac:dyDescent="0.25">
      <c r="A6030" t="s">
        <v>3277</v>
      </c>
      <c r="B6030" t="s">
        <v>3278</v>
      </c>
      <c r="C6030" t="s">
        <v>34</v>
      </c>
      <c r="D6030" t="s">
        <v>4052</v>
      </c>
      <c r="E6030" t="s">
        <v>4053</v>
      </c>
      <c r="F6030" t="s">
        <v>4054</v>
      </c>
      <c r="G6030">
        <v>1.3</v>
      </c>
      <c r="H6030" s="2">
        <v>95081.28</v>
      </c>
      <c r="I6030" s="2">
        <v>1236.06</v>
      </c>
    </row>
    <row r="6031" spans="1:9" x14ac:dyDescent="0.25">
      <c r="A6031" t="s">
        <v>3280</v>
      </c>
      <c r="B6031" t="s">
        <v>3281</v>
      </c>
      <c r="C6031" t="s">
        <v>34</v>
      </c>
      <c r="D6031" t="s">
        <v>4062</v>
      </c>
      <c r="E6031" t="s">
        <v>7237</v>
      </c>
      <c r="F6031" t="s">
        <v>42</v>
      </c>
      <c r="G6031">
        <v>4</v>
      </c>
      <c r="H6031" s="2">
        <v>771.12</v>
      </c>
      <c r="I6031" s="2">
        <v>3084.48</v>
      </c>
    </row>
    <row r="6032" spans="1:9" x14ac:dyDescent="0.25">
      <c r="A6032" t="s">
        <v>3280</v>
      </c>
      <c r="B6032" t="s">
        <v>3281</v>
      </c>
      <c r="C6032" t="s">
        <v>34</v>
      </c>
      <c r="D6032" t="s">
        <v>4062</v>
      </c>
      <c r="E6032" t="s">
        <v>7250</v>
      </c>
      <c r="F6032" t="s">
        <v>4377</v>
      </c>
      <c r="G6032">
        <v>0.04</v>
      </c>
      <c r="H6032" s="2">
        <v>152320</v>
      </c>
      <c r="I6032" s="2">
        <v>6473.6</v>
      </c>
    </row>
    <row r="6033" spans="1:9" x14ac:dyDescent="0.25">
      <c r="A6033" t="s">
        <v>3280</v>
      </c>
      <c r="B6033" t="s">
        <v>3281</v>
      </c>
      <c r="C6033" t="s">
        <v>34</v>
      </c>
      <c r="D6033" t="s">
        <v>4062</v>
      </c>
      <c r="E6033" t="s">
        <v>7251</v>
      </c>
      <c r="F6033" t="s">
        <v>34</v>
      </c>
      <c r="G6033">
        <v>1.05</v>
      </c>
      <c r="H6033" s="2">
        <v>528360</v>
      </c>
      <c r="I6033" s="2">
        <v>554778</v>
      </c>
    </row>
    <row r="6034" spans="1:9" x14ac:dyDescent="0.25">
      <c r="A6034" t="s">
        <v>3280</v>
      </c>
      <c r="B6034" t="s">
        <v>3281</v>
      </c>
      <c r="C6034" t="s">
        <v>34</v>
      </c>
      <c r="D6034" t="s">
        <v>4062</v>
      </c>
      <c r="E6034" t="s">
        <v>7239</v>
      </c>
      <c r="F6034" t="s">
        <v>63</v>
      </c>
      <c r="G6034">
        <v>0.03</v>
      </c>
      <c r="H6034" s="2">
        <v>185957</v>
      </c>
      <c r="I6034" s="2">
        <v>5578.71</v>
      </c>
    </row>
    <row r="6035" spans="1:9" x14ac:dyDescent="0.25">
      <c r="A6035" t="s">
        <v>3280</v>
      </c>
      <c r="B6035" t="s">
        <v>3281</v>
      </c>
      <c r="C6035" t="s">
        <v>34</v>
      </c>
      <c r="D6035" t="s">
        <v>4049</v>
      </c>
      <c r="E6035" t="s">
        <v>4176</v>
      </c>
      <c r="F6035" t="s">
        <v>4177</v>
      </c>
      <c r="G6035">
        <v>0.8</v>
      </c>
      <c r="H6035" s="2">
        <v>72300.17</v>
      </c>
      <c r="I6035" s="2">
        <v>57840.14</v>
      </c>
    </row>
    <row r="6036" spans="1:9" x14ac:dyDescent="0.25">
      <c r="A6036" t="s">
        <v>3280</v>
      </c>
      <c r="B6036" t="s">
        <v>3281</v>
      </c>
      <c r="C6036" t="s">
        <v>34</v>
      </c>
      <c r="D6036" t="s">
        <v>4049</v>
      </c>
      <c r="E6036" t="s">
        <v>4313</v>
      </c>
      <c r="F6036" t="s">
        <v>4177</v>
      </c>
      <c r="G6036">
        <v>0.3</v>
      </c>
      <c r="H6036" s="2">
        <v>124137.15</v>
      </c>
      <c r="I6036" s="2">
        <v>37241.14</v>
      </c>
    </row>
    <row r="6037" spans="1:9" x14ac:dyDescent="0.25">
      <c r="A6037" t="s">
        <v>3280</v>
      </c>
      <c r="B6037" t="s">
        <v>3281</v>
      </c>
      <c r="C6037" t="s">
        <v>34</v>
      </c>
      <c r="D6037" t="s">
        <v>4052</v>
      </c>
      <c r="E6037" t="s">
        <v>7234</v>
      </c>
      <c r="F6037" t="s">
        <v>287</v>
      </c>
      <c r="G6037">
        <v>0.34</v>
      </c>
      <c r="H6037" s="2">
        <v>8800</v>
      </c>
      <c r="I6037" s="2">
        <v>2992</v>
      </c>
    </row>
    <row r="6038" spans="1:9" x14ac:dyDescent="0.25">
      <c r="A6038" t="s">
        <v>3280</v>
      </c>
      <c r="B6038" t="s">
        <v>3281</v>
      </c>
      <c r="C6038" t="s">
        <v>34</v>
      </c>
      <c r="D6038" t="s">
        <v>4052</v>
      </c>
      <c r="E6038" t="s">
        <v>7231</v>
      </c>
      <c r="F6038" t="s">
        <v>42</v>
      </c>
      <c r="G6038">
        <v>4</v>
      </c>
      <c r="H6038" s="2">
        <v>4905</v>
      </c>
      <c r="I6038" s="2">
        <v>19620</v>
      </c>
    </row>
    <row r="6039" spans="1:9" x14ac:dyDescent="0.25">
      <c r="A6039" t="s">
        <v>3280</v>
      </c>
      <c r="B6039" t="s">
        <v>3281</v>
      </c>
      <c r="C6039" t="s">
        <v>34</v>
      </c>
      <c r="D6039" t="s">
        <v>4052</v>
      </c>
      <c r="E6039" t="s">
        <v>4286</v>
      </c>
      <c r="F6039" t="s">
        <v>287</v>
      </c>
      <c r="G6039">
        <v>2.5</v>
      </c>
      <c r="H6039" s="2">
        <v>9375</v>
      </c>
      <c r="I6039" s="2">
        <v>23437.5</v>
      </c>
    </row>
    <row r="6040" spans="1:9" x14ac:dyDescent="0.25">
      <c r="A6040" t="s">
        <v>3280</v>
      </c>
      <c r="B6040" t="s">
        <v>3281</v>
      </c>
      <c r="C6040" t="s">
        <v>34</v>
      </c>
      <c r="D6040" t="s">
        <v>4052</v>
      </c>
      <c r="E6040" t="s">
        <v>4053</v>
      </c>
      <c r="F6040" t="s">
        <v>4054</v>
      </c>
      <c r="G6040">
        <v>1.3</v>
      </c>
      <c r="H6040" s="2">
        <v>95081.28</v>
      </c>
      <c r="I6040" s="2">
        <v>1236.06</v>
      </c>
    </row>
    <row r="6041" spans="1:9" x14ac:dyDescent="0.25">
      <c r="A6041" t="s">
        <v>3283</v>
      </c>
      <c r="B6041" t="s">
        <v>3284</v>
      </c>
      <c r="C6041" t="s">
        <v>34</v>
      </c>
      <c r="D6041" t="s">
        <v>4062</v>
      </c>
      <c r="E6041" t="s">
        <v>7237</v>
      </c>
      <c r="F6041" t="s">
        <v>42</v>
      </c>
      <c r="G6041">
        <v>4</v>
      </c>
      <c r="H6041" s="2">
        <v>771.12</v>
      </c>
      <c r="I6041" s="2">
        <v>3084.48</v>
      </c>
    </row>
    <row r="6042" spans="1:9" x14ac:dyDescent="0.25">
      <c r="A6042" t="s">
        <v>3283</v>
      </c>
      <c r="B6042" t="s">
        <v>3284</v>
      </c>
      <c r="C6042" t="s">
        <v>34</v>
      </c>
      <c r="D6042" t="s">
        <v>4062</v>
      </c>
      <c r="E6042" t="s">
        <v>7254</v>
      </c>
      <c r="F6042" t="s">
        <v>4377</v>
      </c>
      <c r="G6042">
        <v>0.04</v>
      </c>
      <c r="H6042" s="2">
        <v>152320</v>
      </c>
      <c r="I6042" s="2">
        <v>6473.6</v>
      </c>
    </row>
    <row r="6043" spans="1:9" x14ac:dyDescent="0.25">
      <c r="A6043" t="s">
        <v>3283</v>
      </c>
      <c r="B6043" t="s">
        <v>3284</v>
      </c>
      <c r="C6043" t="s">
        <v>34</v>
      </c>
      <c r="D6043" t="s">
        <v>4062</v>
      </c>
      <c r="E6043" t="s">
        <v>7255</v>
      </c>
      <c r="F6043" t="s">
        <v>34</v>
      </c>
      <c r="G6043">
        <v>1.05</v>
      </c>
      <c r="H6043" s="2">
        <v>536690</v>
      </c>
      <c r="I6043" s="2">
        <v>563524.5</v>
      </c>
    </row>
    <row r="6044" spans="1:9" x14ac:dyDescent="0.25">
      <c r="A6044" t="s">
        <v>3283</v>
      </c>
      <c r="B6044" t="s">
        <v>3284</v>
      </c>
      <c r="C6044" t="s">
        <v>34</v>
      </c>
      <c r="D6044" t="s">
        <v>4062</v>
      </c>
      <c r="E6044" t="s">
        <v>7239</v>
      </c>
      <c r="F6044" t="s">
        <v>63</v>
      </c>
      <c r="G6044">
        <v>0.03</v>
      </c>
      <c r="H6044" s="2">
        <v>185957</v>
      </c>
      <c r="I6044" s="2">
        <v>5578.71</v>
      </c>
    </row>
    <row r="6045" spans="1:9" x14ac:dyDescent="0.25">
      <c r="A6045" t="s">
        <v>3283</v>
      </c>
      <c r="B6045" t="s">
        <v>3284</v>
      </c>
      <c r="C6045" t="s">
        <v>34</v>
      </c>
      <c r="D6045" t="s">
        <v>4049</v>
      </c>
      <c r="E6045" t="s">
        <v>4176</v>
      </c>
      <c r="F6045" t="s">
        <v>4177</v>
      </c>
      <c r="G6045">
        <v>0.8</v>
      </c>
      <c r="H6045" s="2">
        <v>72300.17</v>
      </c>
      <c r="I6045" s="2">
        <v>57840.14</v>
      </c>
    </row>
    <row r="6046" spans="1:9" x14ac:dyDescent="0.25">
      <c r="A6046" t="s">
        <v>3283</v>
      </c>
      <c r="B6046" t="s">
        <v>3284</v>
      </c>
      <c r="C6046" t="s">
        <v>34</v>
      </c>
      <c r="D6046" t="s">
        <v>4049</v>
      </c>
      <c r="E6046" t="s">
        <v>4313</v>
      </c>
      <c r="F6046" t="s">
        <v>4177</v>
      </c>
      <c r="G6046">
        <v>0.3</v>
      </c>
      <c r="H6046" s="2">
        <v>124137.15</v>
      </c>
      <c r="I6046" s="2">
        <v>37241.14</v>
      </c>
    </row>
    <row r="6047" spans="1:9" x14ac:dyDescent="0.25">
      <c r="A6047" t="s">
        <v>3283</v>
      </c>
      <c r="B6047" t="s">
        <v>3284</v>
      </c>
      <c r="C6047" t="s">
        <v>34</v>
      </c>
      <c r="D6047" t="s">
        <v>4052</v>
      </c>
      <c r="E6047" t="s">
        <v>7234</v>
      </c>
      <c r="F6047" t="s">
        <v>287</v>
      </c>
      <c r="G6047">
        <v>0.34</v>
      </c>
      <c r="H6047" s="2">
        <v>8800</v>
      </c>
      <c r="I6047" s="2">
        <v>2992</v>
      </c>
    </row>
    <row r="6048" spans="1:9" x14ac:dyDescent="0.25">
      <c r="A6048" t="s">
        <v>3283</v>
      </c>
      <c r="B6048" t="s">
        <v>3284</v>
      </c>
      <c r="C6048" t="s">
        <v>34</v>
      </c>
      <c r="D6048" t="s">
        <v>4052</v>
      </c>
      <c r="E6048" t="s">
        <v>7231</v>
      </c>
      <c r="F6048" t="s">
        <v>42</v>
      </c>
      <c r="G6048">
        <v>4</v>
      </c>
      <c r="H6048" s="2">
        <v>4905</v>
      </c>
      <c r="I6048" s="2">
        <v>19620</v>
      </c>
    </row>
    <row r="6049" spans="1:9" x14ac:dyDescent="0.25">
      <c r="A6049" t="s">
        <v>3283</v>
      </c>
      <c r="B6049" t="s">
        <v>3284</v>
      </c>
      <c r="C6049" t="s">
        <v>34</v>
      </c>
      <c r="D6049" t="s">
        <v>4052</v>
      </c>
      <c r="E6049" t="s">
        <v>4286</v>
      </c>
      <c r="F6049" t="s">
        <v>287</v>
      </c>
      <c r="G6049">
        <v>2.5</v>
      </c>
      <c r="H6049" s="2">
        <v>9375</v>
      </c>
      <c r="I6049" s="2">
        <v>23437.5</v>
      </c>
    </row>
    <row r="6050" spans="1:9" x14ac:dyDescent="0.25">
      <c r="A6050" t="s">
        <v>3283</v>
      </c>
      <c r="B6050" t="s">
        <v>3284</v>
      </c>
      <c r="C6050" t="s">
        <v>34</v>
      </c>
      <c r="D6050" t="s">
        <v>4052</v>
      </c>
      <c r="E6050" t="s">
        <v>4053</v>
      </c>
      <c r="F6050" t="s">
        <v>4054</v>
      </c>
      <c r="G6050">
        <v>1.3</v>
      </c>
      <c r="H6050" s="2">
        <v>95081.28</v>
      </c>
      <c r="I6050" s="2">
        <v>1236.06</v>
      </c>
    </row>
    <row r="6051" spans="1:9" x14ac:dyDescent="0.25">
      <c r="A6051" t="s">
        <v>3286</v>
      </c>
      <c r="B6051" t="s">
        <v>3287</v>
      </c>
      <c r="C6051" t="s">
        <v>34</v>
      </c>
      <c r="D6051" t="s">
        <v>4062</v>
      </c>
      <c r="E6051" t="s">
        <v>7237</v>
      </c>
      <c r="F6051" t="s">
        <v>42</v>
      </c>
      <c r="G6051">
        <v>4</v>
      </c>
      <c r="H6051" s="2">
        <v>771.12</v>
      </c>
      <c r="I6051" s="2">
        <v>3084.48</v>
      </c>
    </row>
    <row r="6052" spans="1:9" x14ac:dyDescent="0.25">
      <c r="A6052" t="s">
        <v>3286</v>
      </c>
      <c r="B6052" t="s">
        <v>3287</v>
      </c>
      <c r="C6052" t="s">
        <v>34</v>
      </c>
      <c r="D6052" t="s">
        <v>4062</v>
      </c>
      <c r="E6052" t="s">
        <v>7258</v>
      </c>
      <c r="F6052" t="s">
        <v>4377</v>
      </c>
      <c r="G6052">
        <v>0.04</v>
      </c>
      <c r="H6052" s="2">
        <v>152320</v>
      </c>
      <c r="I6052" s="2">
        <v>6473.6</v>
      </c>
    </row>
    <row r="6053" spans="1:9" x14ac:dyDescent="0.25">
      <c r="A6053" t="s">
        <v>3286</v>
      </c>
      <c r="B6053" t="s">
        <v>3287</v>
      </c>
      <c r="C6053" t="s">
        <v>34</v>
      </c>
      <c r="D6053" t="s">
        <v>4062</v>
      </c>
      <c r="E6053" t="s">
        <v>7259</v>
      </c>
      <c r="F6053" t="s">
        <v>34</v>
      </c>
      <c r="G6053">
        <v>1.05</v>
      </c>
      <c r="H6053" s="2">
        <v>542640</v>
      </c>
      <c r="I6053" s="2">
        <v>569772</v>
      </c>
    </row>
    <row r="6054" spans="1:9" x14ac:dyDescent="0.25">
      <c r="A6054" t="s">
        <v>3286</v>
      </c>
      <c r="B6054" t="s">
        <v>3287</v>
      </c>
      <c r="C6054" t="s">
        <v>34</v>
      </c>
      <c r="D6054" t="s">
        <v>4062</v>
      </c>
      <c r="E6054" t="s">
        <v>7239</v>
      </c>
      <c r="F6054" t="s">
        <v>63</v>
      </c>
      <c r="G6054">
        <v>0.03</v>
      </c>
      <c r="H6054" s="2">
        <v>185957</v>
      </c>
      <c r="I6054" s="2">
        <v>5578.71</v>
      </c>
    </row>
    <row r="6055" spans="1:9" x14ac:dyDescent="0.25">
      <c r="A6055" t="s">
        <v>3286</v>
      </c>
      <c r="B6055" t="s">
        <v>3287</v>
      </c>
      <c r="C6055" t="s">
        <v>34</v>
      </c>
      <c r="D6055" t="s">
        <v>4049</v>
      </c>
      <c r="E6055" t="s">
        <v>4176</v>
      </c>
      <c r="F6055" t="s">
        <v>4177</v>
      </c>
      <c r="G6055">
        <v>0.8</v>
      </c>
      <c r="H6055" s="2">
        <v>72300.17</v>
      </c>
      <c r="I6055" s="2">
        <v>57840.14</v>
      </c>
    </row>
    <row r="6056" spans="1:9" x14ac:dyDescent="0.25">
      <c r="A6056" t="s">
        <v>3286</v>
      </c>
      <c r="B6056" t="s">
        <v>3287</v>
      </c>
      <c r="C6056" t="s">
        <v>34</v>
      </c>
      <c r="D6056" t="s">
        <v>4049</v>
      </c>
      <c r="E6056" t="s">
        <v>4313</v>
      </c>
      <c r="F6056" t="s">
        <v>4177</v>
      </c>
      <c r="G6056">
        <v>0.3</v>
      </c>
      <c r="H6056" s="2">
        <v>124137.15</v>
      </c>
      <c r="I6056" s="2">
        <v>37241.14</v>
      </c>
    </row>
    <row r="6057" spans="1:9" x14ac:dyDescent="0.25">
      <c r="A6057" t="s">
        <v>3286</v>
      </c>
      <c r="B6057" t="s">
        <v>3287</v>
      </c>
      <c r="C6057" t="s">
        <v>34</v>
      </c>
      <c r="D6057" t="s">
        <v>4052</v>
      </c>
      <c r="E6057" t="s">
        <v>7234</v>
      </c>
      <c r="F6057" t="s">
        <v>287</v>
      </c>
      <c r="G6057">
        <v>0.34</v>
      </c>
      <c r="H6057" s="2">
        <v>8800</v>
      </c>
      <c r="I6057" s="2">
        <v>2992</v>
      </c>
    </row>
    <row r="6058" spans="1:9" x14ac:dyDescent="0.25">
      <c r="A6058" t="s">
        <v>3286</v>
      </c>
      <c r="B6058" t="s">
        <v>3287</v>
      </c>
      <c r="C6058" t="s">
        <v>34</v>
      </c>
      <c r="D6058" t="s">
        <v>4052</v>
      </c>
      <c r="E6058" t="s">
        <v>7231</v>
      </c>
      <c r="F6058" t="s">
        <v>42</v>
      </c>
      <c r="G6058">
        <v>4</v>
      </c>
      <c r="H6058" s="2">
        <v>4905</v>
      </c>
      <c r="I6058" s="2">
        <v>19620</v>
      </c>
    </row>
    <row r="6059" spans="1:9" x14ac:dyDescent="0.25">
      <c r="A6059" t="s">
        <v>3286</v>
      </c>
      <c r="B6059" t="s">
        <v>3287</v>
      </c>
      <c r="C6059" t="s">
        <v>34</v>
      </c>
      <c r="D6059" t="s">
        <v>4052</v>
      </c>
      <c r="E6059" t="s">
        <v>4286</v>
      </c>
      <c r="F6059" t="s">
        <v>287</v>
      </c>
      <c r="G6059">
        <v>2.5</v>
      </c>
      <c r="H6059" s="2">
        <v>9375</v>
      </c>
      <c r="I6059" s="2">
        <v>23437.5</v>
      </c>
    </row>
    <row r="6060" spans="1:9" x14ac:dyDescent="0.25">
      <c r="A6060" t="s">
        <v>3286</v>
      </c>
      <c r="B6060" t="s">
        <v>3287</v>
      </c>
      <c r="C6060" t="s">
        <v>34</v>
      </c>
      <c r="D6060" t="s">
        <v>4052</v>
      </c>
      <c r="E6060" t="s">
        <v>4053</v>
      </c>
      <c r="F6060" t="s">
        <v>4054</v>
      </c>
      <c r="G6060">
        <v>1.3</v>
      </c>
      <c r="H6060" s="2">
        <v>95081.28</v>
      </c>
      <c r="I6060" s="2">
        <v>1236.06</v>
      </c>
    </row>
    <row r="6061" spans="1:9" x14ac:dyDescent="0.25">
      <c r="A6061" t="s">
        <v>3289</v>
      </c>
      <c r="B6061" t="s">
        <v>3290</v>
      </c>
      <c r="C6061" t="s">
        <v>34</v>
      </c>
      <c r="D6061" t="s">
        <v>4062</v>
      </c>
      <c r="E6061" t="s">
        <v>7237</v>
      </c>
      <c r="F6061" t="s">
        <v>42</v>
      </c>
      <c r="G6061">
        <v>4</v>
      </c>
      <c r="H6061" s="2">
        <v>771.12</v>
      </c>
      <c r="I6061" s="2">
        <v>3084.48</v>
      </c>
    </row>
    <row r="6062" spans="1:9" x14ac:dyDescent="0.25">
      <c r="A6062" t="s">
        <v>3289</v>
      </c>
      <c r="B6062" t="s">
        <v>3290</v>
      </c>
      <c r="C6062" t="s">
        <v>34</v>
      </c>
      <c r="D6062" t="s">
        <v>4062</v>
      </c>
      <c r="E6062" t="s">
        <v>7262</v>
      </c>
      <c r="F6062" t="s">
        <v>4377</v>
      </c>
      <c r="G6062">
        <v>0.04</v>
      </c>
      <c r="H6062" s="2">
        <v>152320</v>
      </c>
      <c r="I6062" s="2">
        <v>6473.6</v>
      </c>
    </row>
    <row r="6063" spans="1:9" x14ac:dyDescent="0.25">
      <c r="A6063" t="s">
        <v>3289</v>
      </c>
      <c r="B6063" t="s">
        <v>3290</v>
      </c>
      <c r="C6063" t="s">
        <v>34</v>
      </c>
      <c r="D6063" t="s">
        <v>4062</v>
      </c>
      <c r="E6063" t="s">
        <v>7263</v>
      </c>
      <c r="F6063" t="s">
        <v>34</v>
      </c>
      <c r="G6063">
        <v>1.05</v>
      </c>
      <c r="H6063" s="2">
        <v>554540</v>
      </c>
      <c r="I6063" s="2">
        <v>582267</v>
      </c>
    </row>
    <row r="6064" spans="1:9" x14ac:dyDescent="0.25">
      <c r="A6064" t="s">
        <v>3289</v>
      </c>
      <c r="B6064" t="s">
        <v>3290</v>
      </c>
      <c r="C6064" t="s">
        <v>34</v>
      </c>
      <c r="D6064" t="s">
        <v>4062</v>
      </c>
      <c r="E6064" t="s">
        <v>7239</v>
      </c>
      <c r="F6064" t="s">
        <v>63</v>
      </c>
      <c r="G6064">
        <v>0.03</v>
      </c>
      <c r="H6064" s="2">
        <v>185957</v>
      </c>
      <c r="I6064" s="2">
        <v>5578.71</v>
      </c>
    </row>
    <row r="6065" spans="1:9" x14ac:dyDescent="0.25">
      <c r="A6065" t="s">
        <v>3289</v>
      </c>
      <c r="B6065" t="s">
        <v>3290</v>
      </c>
      <c r="C6065" t="s">
        <v>34</v>
      </c>
      <c r="D6065" t="s">
        <v>4049</v>
      </c>
      <c r="E6065" t="s">
        <v>4176</v>
      </c>
      <c r="F6065" t="s">
        <v>4177</v>
      </c>
      <c r="G6065">
        <v>0.8</v>
      </c>
      <c r="H6065" s="2">
        <v>72300.17</v>
      </c>
      <c r="I6065" s="2">
        <v>57840.14</v>
      </c>
    </row>
    <row r="6066" spans="1:9" x14ac:dyDescent="0.25">
      <c r="A6066" t="s">
        <v>3289</v>
      </c>
      <c r="B6066" t="s">
        <v>3290</v>
      </c>
      <c r="C6066" t="s">
        <v>34</v>
      </c>
      <c r="D6066" t="s">
        <v>4049</v>
      </c>
      <c r="E6066" t="s">
        <v>4313</v>
      </c>
      <c r="F6066" t="s">
        <v>4177</v>
      </c>
      <c r="G6066">
        <v>0.3</v>
      </c>
      <c r="H6066" s="2">
        <v>124137.15</v>
      </c>
      <c r="I6066" s="2">
        <v>37241.14</v>
      </c>
    </row>
    <row r="6067" spans="1:9" x14ac:dyDescent="0.25">
      <c r="A6067" t="s">
        <v>3289</v>
      </c>
      <c r="B6067" t="s">
        <v>3290</v>
      </c>
      <c r="C6067" t="s">
        <v>34</v>
      </c>
      <c r="D6067" t="s">
        <v>4052</v>
      </c>
      <c r="E6067" t="s">
        <v>7234</v>
      </c>
      <c r="F6067" t="s">
        <v>287</v>
      </c>
      <c r="G6067">
        <v>0.34</v>
      </c>
      <c r="H6067" s="2">
        <v>8800</v>
      </c>
      <c r="I6067" s="2">
        <v>2992</v>
      </c>
    </row>
    <row r="6068" spans="1:9" x14ac:dyDescent="0.25">
      <c r="A6068" t="s">
        <v>3289</v>
      </c>
      <c r="B6068" t="s">
        <v>3290</v>
      </c>
      <c r="C6068" t="s">
        <v>34</v>
      </c>
      <c r="D6068" t="s">
        <v>4052</v>
      </c>
      <c r="E6068" t="s">
        <v>7231</v>
      </c>
      <c r="F6068" t="s">
        <v>42</v>
      </c>
      <c r="G6068">
        <v>4</v>
      </c>
      <c r="H6068" s="2">
        <v>4905</v>
      </c>
      <c r="I6068" s="2">
        <v>19620</v>
      </c>
    </row>
    <row r="6069" spans="1:9" x14ac:dyDescent="0.25">
      <c r="A6069" t="s">
        <v>3289</v>
      </c>
      <c r="B6069" t="s">
        <v>3290</v>
      </c>
      <c r="C6069" t="s">
        <v>34</v>
      </c>
      <c r="D6069" t="s">
        <v>4052</v>
      </c>
      <c r="E6069" t="s">
        <v>4286</v>
      </c>
      <c r="F6069" t="s">
        <v>287</v>
      </c>
      <c r="G6069">
        <v>2.5</v>
      </c>
      <c r="H6069" s="2">
        <v>9375</v>
      </c>
      <c r="I6069" s="2">
        <v>23437.5</v>
      </c>
    </row>
    <row r="6070" spans="1:9" x14ac:dyDescent="0.25">
      <c r="A6070" t="s">
        <v>3289</v>
      </c>
      <c r="B6070" t="s">
        <v>3290</v>
      </c>
      <c r="C6070" t="s">
        <v>34</v>
      </c>
      <c r="D6070" t="s">
        <v>4052</v>
      </c>
      <c r="E6070" t="s">
        <v>4053</v>
      </c>
      <c r="F6070" t="s">
        <v>4054</v>
      </c>
      <c r="G6070">
        <v>1.3</v>
      </c>
      <c r="H6070" s="2">
        <v>95081.28</v>
      </c>
      <c r="I6070" s="2">
        <v>1236.06</v>
      </c>
    </row>
    <row r="6071" spans="1:9" x14ac:dyDescent="0.25">
      <c r="A6071" t="s">
        <v>3292</v>
      </c>
      <c r="B6071" t="s">
        <v>3293</v>
      </c>
      <c r="C6071" t="s">
        <v>34</v>
      </c>
      <c r="D6071" t="s">
        <v>4062</v>
      </c>
      <c r="E6071" t="s">
        <v>7237</v>
      </c>
      <c r="F6071" t="s">
        <v>42</v>
      </c>
      <c r="G6071">
        <v>4</v>
      </c>
      <c r="H6071" s="2">
        <v>771.12</v>
      </c>
      <c r="I6071" s="2">
        <v>3084.48</v>
      </c>
    </row>
    <row r="6072" spans="1:9" x14ac:dyDescent="0.25">
      <c r="A6072" t="s">
        <v>3292</v>
      </c>
      <c r="B6072" t="s">
        <v>3293</v>
      </c>
      <c r="C6072" t="s">
        <v>34</v>
      </c>
      <c r="D6072" t="s">
        <v>4062</v>
      </c>
      <c r="E6072" t="s">
        <v>7266</v>
      </c>
      <c r="F6072" t="s">
        <v>4377</v>
      </c>
      <c r="G6072">
        <v>0.04</v>
      </c>
      <c r="H6072" s="2">
        <v>152320</v>
      </c>
      <c r="I6072" s="2">
        <v>6473.6</v>
      </c>
    </row>
    <row r="6073" spans="1:9" x14ac:dyDescent="0.25">
      <c r="A6073" t="s">
        <v>3292</v>
      </c>
      <c r="B6073" t="s">
        <v>3293</v>
      </c>
      <c r="C6073" t="s">
        <v>34</v>
      </c>
      <c r="D6073" t="s">
        <v>4062</v>
      </c>
      <c r="E6073" t="s">
        <v>7267</v>
      </c>
      <c r="F6073" t="s">
        <v>34</v>
      </c>
      <c r="G6073">
        <v>1.05</v>
      </c>
      <c r="H6073" s="2">
        <v>566440</v>
      </c>
      <c r="I6073" s="2">
        <v>594762</v>
      </c>
    </row>
    <row r="6074" spans="1:9" x14ac:dyDescent="0.25">
      <c r="A6074" t="s">
        <v>3292</v>
      </c>
      <c r="B6074" t="s">
        <v>3293</v>
      </c>
      <c r="C6074" t="s">
        <v>34</v>
      </c>
      <c r="D6074" t="s">
        <v>4062</v>
      </c>
      <c r="E6074" t="s">
        <v>7239</v>
      </c>
      <c r="F6074" t="s">
        <v>63</v>
      </c>
      <c r="G6074">
        <v>0.03</v>
      </c>
      <c r="H6074" s="2">
        <v>185957</v>
      </c>
      <c r="I6074" s="2">
        <v>5578.71</v>
      </c>
    </row>
    <row r="6075" spans="1:9" x14ac:dyDescent="0.25">
      <c r="A6075" t="s">
        <v>3292</v>
      </c>
      <c r="B6075" t="s">
        <v>3293</v>
      </c>
      <c r="C6075" t="s">
        <v>34</v>
      </c>
      <c r="D6075" t="s">
        <v>4049</v>
      </c>
      <c r="E6075" t="s">
        <v>4176</v>
      </c>
      <c r="F6075" t="s">
        <v>4177</v>
      </c>
      <c r="G6075">
        <v>0.8</v>
      </c>
      <c r="H6075" s="2">
        <v>72300.17</v>
      </c>
      <c r="I6075" s="2">
        <v>57840.14</v>
      </c>
    </row>
    <row r="6076" spans="1:9" x14ac:dyDescent="0.25">
      <c r="A6076" t="s">
        <v>3292</v>
      </c>
      <c r="B6076" t="s">
        <v>3293</v>
      </c>
      <c r="C6076" t="s">
        <v>34</v>
      </c>
      <c r="D6076" t="s">
        <v>4049</v>
      </c>
      <c r="E6076" t="s">
        <v>4313</v>
      </c>
      <c r="F6076" t="s">
        <v>4177</v>
      </c>
      <c r="G6076">
        <v>0.3</v>
      </c>
      <c r="H6076" s="2">
        <v>124137.15</v>
      </c>
      <c r="I6076" s="2">
        <v>37241.14</v>
      </c>
    </row>
    <row r="6077" spans="1:9" x14ac:dyDescent="0.25">
      <c r="A6077" t="s">
        <v>3292</v>
      </c>
      <c r="B6077" t="s">
        <v>3293</v>
      </c>
      <c r="C6077" t="s">
        <v>34</v>
      </c>
      <c r="D6077" t="s">
        <v>4052</v>
      </c>
      <c r="E6077" t="s">
        <v>7234</v>
      </c>
      <c r="F6077" t="s">
        <v>287</v>
      </c>
      <c r="G6077">
        <v>0.34</v>
      </c>
      <c r="H6077" s="2">
        <v>8800</v>
      </c>
      <c r="I6077" s="2">
        <v>2992</v>
      </c>
    </row>
    <row r="6078" spans="1:9" x14ac:dyDescent="0.25">
      <c r="A6078" t="s">
        <v>3292</v>
      </c>
      <c r="B6078" t="s">
        <v>3293</v>
      </c>
      <c r="C6078" t="s">
        <v>34</v>
      </c>
      <c r="D6078" t="s">
        <v>4052</v>
      </c>
      <c r="E6078" t="s">
        <v>7231</v>
      </c>
      <c r="F6078" t="s">
        <v>42</v>
      </c>
      <c r="G6078">
        <v>4</v>
      </c>
      <c r="H6078" s="2">
        <v>4905</v>
      </c>
      <c r="I6078" s="2">
        <v>19620</v>
      </c>
    </row>
    <row r="6079" spans="1:9" x14ac:dyDescent="0.25">
      <c r="A6079" t="s">
        <v>3292</v>
      </c>
      <c r="B6079" t="s">
        <v>3293</v>
      </c>
      <c r="C6079" t="s">
        <v>34</v>
      </c>
      <c r="D6079" t="s">
        <v>4052</v>
      </c>
      <c r="E6079" t="s">
        <v>4286</v>
      </c>
      <c r="F6079" t="s">
        <v>287</v>
      </c>
      <c r="G6079">
        <v>2.5</v>
      </c>
      <c r="H6079" s="2">
        <v>9375</v>
      </c>
      <c r="I6079" s="2">
        <v>23437.5</v>
      </c>
    </row>
    <row r="6080" spans="1:9" x14ac:dyDescent="0.25">
      <c r="A6080" t="s">
        <v>3292</v>
      </c>
      <c r="B6080" t="s">
        <v>3293</v>
      </c>
      <c r="C6080" t="s">
        <v>34</v>
      </c>
      <c r="D6080" t="s">
        <v>4052</v>
      </c>
      <c r="E6080" t="s">
        <v>4053</v>
      </c>
      <c r="F6080" t="s">
        <v>4054</v>
      </c>
      <c r="G6080">
        <v>1.3</v>
      </c>
      <c r="H6080" s="2">
        <v>95081.28</v>
      </c>
      <c r="I6080" s="2">
        <v>1236.06</v>
      </c>
    </row>
    <row r="6081" spans="1:9" x14ac:dyDescent="0.25">
      <c r="A6081" t="s">
        <v>3295</v>
      </c>
      <c r="B6081" t="s">
        <v>3297</v>
      </c>
      <c r="C6081" t="s">
        <v>34</v>
      </c>
      <c r="D6081" t="s">
        <v>4062</v>
      </c>
      <c r="E6081" t="s">
        <v>3544</v>
      </c>
      <c r="F6081" t="s">
        <v>3545</v>
      </c>
      <c r="G6081">
        <v>1.2</v>
      </c>
      <c r="H6081" s="2">
        <v>1325</v>
      </c>
      <c r="I6081" s="2">
        <v>1590</v>
      </c>
    </row>
    <row r="6082" spans="1:9" x14ac:dyDescent="0.25">
      <c r="A6082" t="s">
        <v>3295</v>
      </c>
      <c r="B6082" t="s">
        <v>3297</v>
      </c>
      <c r="C6082" t="s">
        <v>34</v>
      </c>
      <c r="D6082" t="s">
        <v>4062</v>
      </c>
      <c r="E6082" t="s">
        <v>6947</v>
      </c>
      <c r="F6082" t="s">
        <v>63</v>
      </c>
      <c r="G6082">
        <v>0.02</v>
      </c>
      <c r="H6082" s="2">
        <v>185957</v>
      </c>
      <c r="I6082" s="2">
        <v>3719.14</v>
      </c>
    </row>
    <row r="6083" spans="1:9" x14ac:dyDescent="0.25">
      <c r="A6083" t="s">
        <v>3295</v>
      </c>
      <c r="B6083" t="s">
        <v>3297</v>
      </c>
      <c r="C6083" t="s">
        <v>34</v>
      </c>
      <c r="D6083" t="s">
        <v>4049</v>
      </c>
      <c r="E6083" t="s">
        <v>4176</v>
      </c>
      <c r="F6083" t="s">
        <v>4177</v>
      </c>
      <c r="G6083">
        <v>0.8</v>
      </c>
      <c r="H6083" s="2">
        <v>72300.17</v>
      </c>
      <c r="I6083" s="2">
        <v>57840.14</v>
      </c>
    </row>
    <row r="6084" spans="1:9" x14ac:dyDescent="0.25">
      <c r="A6084" t="s">
        <v>3295</v>
      </c>
      <c r="B6084" t="s">
        <v>3297</v>
      </c>
      <c r="C6084" t="s">
        <v>34</v>
      </c>
      <c r="D6084" t="s">
        <v>4052</v>
      </c>
      <c r="E6084" t="s">
        <v>4305</v>
      </c>
      <c r="F6084" t="s">
        <v>287</v>
      </c>
      <c r="G6084">
        <v>0.05</v>
      </c>
      <c r="H6084" s="2">
        <v>166043.14</v>
      </c>
      <c r="I6084" s="2">
        <v>8302.16</v>
      </c>
    </row>
    <row r="6085" spans="1:9" x14ac:dyDescent="0.25">
      <c r="A6085" t="s">
        <v>3295</v>
      </c>
      <c r="B6085" t="s">
        <v>3297</v>
      </c>
      <c r="C6085" t="s">
        <v>34</v>
      </c>
      <c r="D6085" t="s">
        <v>4052</v>
      </c>
      <c r="E6085" t="s">
        <v>6949</v>
      </c>
      <c r="F6085" t="s">
        <v>287</v>
      </c>
      <c r="G6085">
        <v>0.8</v>
      </c>
      <c r="H6085" s="2">
        <v>7872</v>
      </c>
      <c r="I6085" s="2">
        <v>6297.6</v>
      </c>
    </row>
    <row r="6086" spans="1:9" x14ac:dyDescent="0.25">
      <c r="A6086" t="s">
        <v>3295</v>
      </c>
      <c r="B6086" t="s">
        <v>3297</v>
      </c>
      <c r="C6086" t="s">
        <v>34</v>
      </c>
      <c r="D6086" t="s">
        <v>4052</v>
      </c>
      <c r="E6086" t="s">
        <v>4118</v>
      </c>
      <c r="F6086" t="s">
        <v>287</v>
      </c>
      <c r="G6086">
        <v>0.05</v>
      </c>
      <c r="H6086" s="2">
        <v>107433.33</v>
      </c>
      <c r="I6086" s="2">
        <v>5371.67</v>
      </c>
    </row>
    <row r="6087" spans="1:9" x14ac:dyDescent="0.25">
      <c r="A6087" t="s">
        <v>3295</v>
      </c>
      <c r="B6087" t="s">
        <v>3297</v>
      </c>
      <c r="C6087" t="s">
        <v>34</v>
      </c>
      <c r="D6087" t="s">
        <v>4052</v>
      </c>
      <c r="E6087" t="s">
        <v>4053</v>
      </c>
      <c r="F6087" t="s">
        <v>4054</v>
      </c>
      <c r="G6087">
        <v>3.3</v>
      </c>
      <c r="H6087" s="2">
        <v>57840.14</v>
      </c>
      <c r="I6087" s="2">
        <v>1908.72</v>
      </c>
    </row>
    <row r="6088" spans="1:9" x14ac:dyDescent="0.25">
      <c r="A6088" t="s">
        <v>3300</v>
      </c>
      <c r="B6088" t="s">
        <v>3301</v>
      </c>
      <c r="C6088" t="s">
        <v>21</v>
      </c>
      <c r="D6088" t="s">
        <v>4049</v>
      </c>
      <c r="E6088" t="s">
        <v>4176</v>
      </c>
      <c r="F6088" t="s">
        <v>4177</v>
      </c>
      <c r="G6088">
        <v>0.01</v>
      </c>
      <c r="H6088" s="2">
        <v>72300.17</v>
      </c>
      <c r="I6088" s="2">
        <v>723</v>
      </c>
    </row>
    <row r="6089" spans="1:9" x14ac:dyDescent="0.25">
      <c r="A6089" t="s">
        <v>3300</v>
      </c>
      <c r="B6089" t="s">
        <v>3301</v>
      </c>
      <c r="C6089" t="s">
        <v>21</v>
      </c>
      <c r="D6089" t="s">
        <v>4052</v>
      </c>
      <c r="E6089" t="s">
        <v>4123</v>
      </c>
      <c r="F6089" t="s">
        <v>287</v>
      </c>
      <c r="G6089">
        <v>0.02</v>
      </c>
      <c r="H6089" s="2">
        <v>62400</v>
      </c>
      <c r="I6089" s="2">
        <v>936</v>
      </c>
    </row>
    <row r="6090" spans="1:9" x14ac:dyDescent="0.25">
      <c r="A6090" t="s">
        <v>3300</v>
      </c>
      <c r="B6090" t="s">
        <v>3301</v>
      </c>
      <c r="C6090" t="s">
        <v>21</v>
      </c>
      <c r="D6090" t="s">
        <v>4052</v>
      </c>
      <c r="E6090" t="s">
        <v>4053</v>
      </c>
      <c r="F6090" t="s">
        <v>4054</v>
      </c>
      <c r="G6090">
        <v>3.3</v>
      </c>
      <c r="H6090" s="2">
        <v>723</v>
      </c>
      <c r="I6090" s="2">
        <v>23.86</v>
      </c>
    </row>
    <row r="6091" spans="1:9" x14ac:dyDescent="0.25">
      <c r="A6091" t="s">
        <v>3303</v>
      </c>
      <c r="B6091" t="s">
        <v>3304</v>
      </c>
      <c r="C6091" t="s">
        <v>34</v>
      </c>
      <c r="D6091" t="s">
        <v>4062</v>
      </c>
      <c r="E6091" t="s">
        <v>7275</v>
      </c>
      <c r="F6091" t="s">
        <v>34</v>
      </c>
      <c r="G6091">
        <v>1.26</v>
      </c>
      <c r="H6091" s="2">
        <v>380800</v>
      </c>
      <c r="I6091" s="2">
        <v>479808</v>
      </c>
    </row>
    <row r="6092" spans="1:9" x14ac:dyDescent="0.25">
      <c r="A6092" t="s">
        <v>3303</v>
      </c>
      <c r="B6092" t="s">
        <v>3304</v>
      </c>
      <c r="C6092" t="s">
        <v>34</v>
      </c>
      <c r="D6092" t="s">
        <v>4049</v>
      </c>
      <c r="E6092" t="s">
        <v>4176</v>
      </c>
      <c r="F6092" t="s">
        <v>4177</v>
      </c>
      <c r="G6092">
        <v>0.35</v>
      </c>
      <c r="H6092" s="2">
        <v>72300.17</v>
      </c>
      <c r="I6092" s="2">
        <v>25305.06</v>
      </c>
    </row>
    <row r="6093" spans="1:9" x14ac:dyDescent="0.25">
      <c r="A6093" t="s">
        <v>3303</v>
      </c>
      <c r="B6093" t="s">
        <v>3304</v>
      </c>
      <c r="C6093" t="s">
        <v>34</v>
      </c>
      <c r="D6093" t="s">
        <v>4049</v>
      </c>
      <c r="E6093" t="s">
        <v>4313</v>
      </c>
      <c r="F6093" t="s">
        <v>4177</v>
      </c>
      <c r="G6093">
        <v>0.06</v>
      </c>
      <c r="H6093" s="2">
        <v>124137.15</v>
      </c>
      <c r="I6093" s="2">
        <v>6988.92</v>
      </c>
    </row>
    <row r="6094" spans="1:9" x14ac:dyDescent="0.25">
      <c r="A6094" t="s">
        <v>3303</v>
      </c>
      <c r="B6094" t="s">
        <v>3304</v>
      </c>
      <c r="C6094" t="s">
        <v>34</v>
      </c>
      <c r="D6094" t="s">
        <v>4049</v>
      </c>
      <c r="E6094" t="s">
        <v>4304</v>
      </c>
      <c r="F6094" t="s">
        <v>4177</v>
      </c>
      <c r="G6094">
        <v>0.2</v>
      </c>
      <c r="H6094" s="2">
        <v>50188.55</v>
      </c>
      <c r="I6094" s="2">
        <v>10037.71</v>
      </c>
    </row>
    <row r="6095" spans="1:9" x14ac:dyDescent="0.25">
      <c r="A6095" t="s">
        <v>3303</v>
      </c>
      <c r="B6095" t="s">
        <v>3304</v>
      </c>
      <c r="C6095" t="s">
        <v>34</v>
      </c>
      <c r="D6095" t="s">
        <v>4052</v>
      </c>
      <c r="E6095" t="s">
        <v>7276</v>
      </c>
      <c r="F6095" t="s">
        <v>287</v>
      </c>
      <c r="G6095">
        <v>0.1</v>
      </c>
      <c r="H6095" s="2">
        <v>135912.95</v>
      </c>
      <c r="I6095" s="2">
        <v>13591.3</v>
      </c>
    </row>
    <row r="6096" spans="1:9" x14ac:dyDescent="0.25">
      <c r="A6096" t="s">
        <v>3303</v>
      </c>
      <c r="B6096" t="s">
        <v>3304</v>
      </c>
      <c r="C6096" t="s">
        <v>34</v>
      </c>
      <c r="D6096" t="s">
        <v>4052</v>
      </c>
      <c r="E6096" t="s">
        <v>7277</v>
      </c>
      <c r="F6096" t="s">
        <v>287</v>
      </c>
      <c r="G6096">
        <v>0.1</v>
      </c>
      <c r="H6096" s="2">
        <v>254122</v>
      </c>
      <c r="I6096" s="2">
        <v>25412.2</v>
      </c>
    </row>
    <row r="6097" spans="1:9" x14ac:dyDescent="0.25">
      <c r="A6097" t="s">
        <v>3303</v>
      </c>
      <c r="B6097" t="s">
        <v>3304</v>
      </c>
      <c r="C6097" t="s">
        <v>34</v>
      </c>
      <c r="D6097" t="s">
        <v>4052</v>
      </c>
      <c r="E6097" t="s">
        <v>4081</v>
      </c>
      <c r="F6097" t="s">
        <v>287</v>
      </c>
      <c r="G6097">
        <v>0.1</v>
      </c>
      <c r="H6097" s="2">
        <v>98968.79</v>
      </c>
      <c r="I6097" s="2">
        <v>9896.88</v>
      </c>
    </row>
    <row r="6098" spans="1:9" x14ac:dyDescent="0.25">
      <c r="A6098" t="s">
        <v>3303</v>
      </c>
      <c r="B6098" t="s">
        <v>3304</v>
      </c>
      <c r="C6098" t="s">
        <v>34</v>
      </c>
      <c r="D6098" t="s">
        <v>4052</v>
      </c>
      <c r="E6098" t="s">
        <v>4053</v>
      </c>
      <c r="F6098" t="s">
        <v>4054</v>
      </c>
      <c r="G6098">
        <v>5.03</v>
      </c>
      <c r="H6098" s="2">
        <v>42331.69</v>
      </c>
      <c r="I6098" s="2">
        <v>2129.28</v>
      </c>
    </row>
    <row r="6099" spans="1:9" x14ac:dyDescent="0.25">
      <c r="A6099" t="s">
        <v>3303</v>
      </c>
      <c r="B6099" t="s">
        <v>3304</v>
      </c>
      <c r="C6099" t="s">
        <v>34</v>
      </c>
      <c r="D6099" t="s">
        <v>4058</v>
      </c>
      <c r="E6099" t="s">
        <v>7278</v>
      </c>
      <c r="F6099" t="s">
        <v>3545</v>
      </c>
      <c r="G6099">
        <v>6.3</v>
      </c>
      <c r="H6099" s="2">
        <v>1537</v>
      </c>
      <c r="I6099" s="2">
        <v>9683.1</v>
      </c>
    </row>
    <row r="6100" spans="1:9" x14ac:dyDescent="0.25">
      <c r="A6100" t="s">
        <v>3306</v>
      </c>
      <c r="B6100" t="s">
        <v>3307</v>
      </c>
      <c r="C6100" t="s">
        <v>21</v>
      </c>
      <c r="D6100" t="s">
        <v>4062</v>
      </c>
      <c r="E6100" t="s">
        <v>7281</v>
      </c>
      <c r="F6100" t="s">
        <v>3963</v>
      </c>
      <c r="G6100">
        <v>3</v>
      </c>
      <c r="H6100" s="2">
        <v>1742.94</v>
      </c>
      <c r="I6100" s="2">
        <v>5228.82</v>
      </c>
    </row>
    <row r="6101" spans="1:9" x14ac:dyDescent="0.25">
      <c r="A6101" t="s">
        <v>3306</v>
      </c>
      <c r="B6101" t="s">
        <v>3307</v>
      </c>
      <c r="C6101" t="s">
        <v>21</v>
      </c>
      <c r="D6101" t="s">
        <v>4062</v>
      </c>
      <c r="E6101" t="s">
        <v>4369</v>
      </c>
      <c r="F6101" t="s">
        <v>34</v>
      </c>
      <c r="G6101">
        <v>0.04</v>
      </c>
      <c r="H6101" s="2">
        <v>89250</v>
      </c>
      <c r="I6101" s="2">
        <v>3570</v>
      </c>
    </row>
    <row r="6102" spans="1:9" x14ac:dyDescent="0.25">
      <c r="A6102" t="s">
        <v>3306</v>
      </c>
      <c r="B6102" t="s">
        <v>3307</v>
      </c>
      <c r="C6102" t="s">
        <v>21</v>
      </c>
      <c r="D6102" t="s">
        <v>4049</v>
      </c>
      <c r="E6102" t="s">
        <v>4176</v>
      </c>
      <c r="F6102" t="s">
        <v>4177</v>
      </c>
      <c r="G6102">
        <v>0.01</v>
      </c>
      <c r="H6102" s="2">
        <v>72300.17</v>
      </c>
      <c r="I6102" s="2">
        <v>361.5</v>
      </c>
    </row>
    <row r="6103" spans="1:9" x14ac:dyDescent="0.25">
      <c r="A6103" t="s">
        <v>3306</v>
      </c>
      <c r="B6103" t="s">
        <v>3307</v>
      </c>
      <c r="C6103" t="s">
        <v>21</v>
      </c>
      <c r="D6103" t="s">
        <v>4049</v>
      </c>
      <c r="E6103" t="s">
        <v>4313</v>
      </c>
      <c r="F6103" t="s">
        <v>4177</v>
      </c>
      <c r="G6103">
        <v>0.01</v>
      </c>
      <c r="H6103" s="2">
        <v>124137.15</v>
      </c>
      <c r="I6103" s="2">
        <v>868.96</v>
      </c>
    </row>
    <row r="6104" spans="1:9" x14ac:dyDescent="0.25">
      <c r="A6104" t="s">
        <v>3306</v>
      </c>
      <c r="B6104" t="s">
        <v>3307</v>
      </c>
      <c r="C6104" t="s">
        <v>21</v>
      </c>
      <c r="D6104" t="s">
        <v>4052</v>
      </c>
      <c r="E6104" t="s">
        <v>7276</v>
      </c>
      <c r="F6104" t="s">
        <v>287</v>
      </c>
      <c r="G6104">
        <v>0.02</v>
      </c>
      <c r="H6104" s="2">
        <v>135912.95</v>
      </c>
      <c r="I6104" s="2">
        <v>2718.26</v>
      </c>
    </row>
    <row r="6105" spans="1:9" x14ac:dyDescent="0.25">
      <c r="A6105" t="s">
        <v>3306</v>
      </c>
      <c r="B6105" t="s">
        <v>3307</v>
      </c>
      <c r="C6105" t="s">
        <v>21</v>
      </c>
      <c r="D6105" t="s">
        <v>4052</v>
      </c>
      <c r="E6105" t="s">
        <v>7282</v>
      </c>
      <c r="F6105" t="s">
        <v>287</v>
      </c>
      <c r="G6105">
        <v>0.02</v>
      </c>
      <c r="H6105" s="2">
        <v>55000</v>
      </c>
      <c r="I6105" s="2">
        <v>1100</v>
      </c>
    </row>
    <row r="6106" spans="1:9" x14ac:dyDescent="0.25">
      <c r="A6106" t="s">
        <v>3306</v>
      </c>
      <c r="B6106" t="s">
        <v>3307</v>
      </c>
      <c r="C6106" t="s">
        <v>21</v>
      </c>
      <c r="D6106" t="s">
        <v>4052</v>
      </c>
      <c r="E6106" t="s">
        <v>6149</v>
      </c>
      <c r="F6106" t="s">
        <v>287</v>
      </c>
      <c r="G6106">
        <v>0.02</v>
      </c>
      <c r="H6106" s="2">
        <v>90261</v>
      </c>
      <c r="I6106" s="2">
        <v>1805.22</v>
      </c>
    </row>
    <row r="6107" spans="1:9" x14ac:dyDescent="0.25">
      <c r="A6107" t="s">
        <v>3306</v>
      </c>
      <c r="B6107" t="s">
        <v>3307</v>
      </c>
      <c r="C6107" t="s">
        <v>21</v>
      </c>
      <c r="D6107" t="s">
        <v>4052</v>
      </c>
      <c r="E6107" t="s">
        <v>4053</v>
      </c>
      <c r="F6107" t="s">
        <v>4054</v>
      </c>
      <c r="G6107">
        <v>6.7</v>
      </c>
      <c r="H6107" s="2">
        <v>1230.46</v>
      </c>
      <c r="I6107" s="2">
        <v>82.44</v>
      </c>
    </row>
    <row r="6108" spans="1:9" x14ac:dyDescent="0.25">
      <c r="A6108" t="s">
        <v>3309</v>
      </c>
      <c r="B6108" t="s">
        <v>3310</v>
      </c>
      <c r="C6108" t="s">
        <v>21</v>
      </c>
      <c r="D6108" t="s">
        <v>4062</v>
      </c>
      <c r="E6108" t="s">
        <v>7281</v>
      </c>
      <c r="F6108" t="s">
        <v>3963</v>
      </c>
      <c r="G6108">
        <v>1.5</v>
      </c>
      <c r="H6108" s="2">
        <v>1742.94</v>
      </c>
      <c r="I6108" s="2">
        <v>2614.41</v>
      </c>
    </row>
    <row r="6109" spans="1:9" x14ac:dyDescent="0.25">
      <c r="A6109" t="s">
        <v>3309</v>
      </c>
      <c r="B6109" t="s">
        <v>3310</v>
      </c>
      <c r="C6109" t="s">
        <v>21</v>
      </c>
      <c r="D6109" t="s">
        <v>4062</v>
      </c>
      <c r="E6109" t="s">
        <v>4369</v>
      </c>
      <c r="F6109" t="s">
        <v>34</v>
      </c>
      <c r="G6109">
        <v>0.03</v>
      </c>
      <c r="H6109" s="2">
        <v>89250</v>
      </c>
      <c r="I6109" s="2">
        <v>2677.5</v>
      </c>
    </row>
    <row r="6110" spans="1:9" x14ac:dyDescent="0.25">
      <c r="A6110" t="s">
        <v>3309</v>
      </c>
      <c r="B6110" t="s">
        <v>3310</v>
      </c>
      <c r="C6110" t="s">
        <v>21</v>
      </c>
      <c r="D6110" t="s">
        <v>4049</v>
      </c>
      <c r="E6110" t="s">
        <v>4176</v>
      </c>
      <c r="F6110" t="s">
        <v>4177</v>
      </c>
      <c r="G6110">
        <v>0.01</v>
      </c>
      <c r="H6110" s="2">
        <v>72300.17</v>
      </c>
      <c r="I6110" s="2">
        <v>361.5</v>
      </c>
    </row>
    <row r="6111" spans="1:9" x14ac:dyDescent="0.25">
      <c r="A6111" t="s">
        <v>3309</v>
      </c>
      <c r="B6111" t="s">
        <v>3310</v>
      </c>
      <c r="C6111" t="s">
        <v>21</v>
      </c>
      <c r="D6111" t="s">
        <v>4049</v>
      </c>
      <c r="E6111" t="s">
        <v>4313</v>
      </c>
      <c r="F6111" t="s">
        <v>4177</v>
      </c>
      <c r="G6111">
        <v>0.01</v>
      </c>
      <c r="H6111" s="2">
        <v>124137.15</v>
      </c>
      <c r="I6111" s="2">
        <v>868.96</v>
      </c>
    </row>
    <row r="6112" spans="1:9" x14ac:dyDescent="0.25">
      <c r="A6112" t="s">
        <v>3309</v>
      </c>
      <c r="B6112" t="s">
        <v>3310</v>
      </c>
      <c r="C6112" t="s">
        <v>21</v>
      </c>
      <c r="D6112" t="s">
        <v>4052</v>
      </c>
      <c r="E6112" t="s">
        <v>7276</v>
      </c>
      <c r="F6112" t="s">
        <v>287</v>
      </c>
      <c r="G6112">
        <v>0.01</v>
      </c>
      <c r="H6112" s="2">
        <v>135912.95</v>
      </c>
      <c r="I6112" s="2">
        <v>1359.13</v>
      </c>
    </row>
    <row r="6113" spans="1:9" x14ac:dyDescent="0.25">
      <c r="A6113" t="s">
        <v>3309</v>
      </c>
      <c r="B6113" t="s">
        <v>3310</v>
      </c>
      <c r="C6113" t="s">
        <v>21</v>
      </c>
      <c r="D6113" t="s">
        <v>4052</v>
      </c>
      <c r="E6113" t="s">
        <v>7282</v>
      </c>
      <c r="F6113" t="s">
        <v>287</v>
      </c>
      <c r="G6113">
        <v>0.01</v>
      </c>
      <c r="H6113" s="2">
        <v>55000</v>
      </c>
      <c r="I6113" s="2">
        <v>550</v>
      </c>
    </row>
    <row r="6114" spans="1:9" x14ac:dyDescent="0.25">
      <c r="A6114" t="s">
        <v>3309</v>
      </c>
      <c r="B6114" t="s">
        <v>3310</v>
      </c>
      <c r="C6114" t="s">
        <v>21</v>
      </c>
      <c r="D6114" t="s">
        <v>4052</v>
      </c>
      <c r="E6114" t="s">
        <v>6149</v>
      </c>
      <c r="F6114" t="s">
        <v>287</v>
      </c>
      <c r="G6114">
        <v>0.01</v>
      </c>
      <c r="H6114" s="2">
        <v>90261</v>
      </c>
      <c r="I6114" s="2">
        <v>451.31</v>
      </c>
    </row>
    <row r="6115" spans="1:9" x14ac:dyDescent="0.25">
      <c r="A6115" t="s">
        <v>3309</v>
      </c>
      <c r="B6115" t="s">
        <v>3310</v>
      </c>
      <c r="C6115" t="s">
        <v>21</v>
      </c>
      <c r="D6115" t="s">
        <v>4052</v>
      </c>
      <c r="E6115" t="s">
        <v>4053</v>
      </c>
      <c r="F6115" t="s">
        <v>4054</v>
      </c>
      <c r="G6115">
        <v>6.7</v>
      </c>
      <c r="H6115" s="2">
        <v>1230.46</v>
      </c>
      <c r="I6115" s="2">
        <v>82.44</v>
      </c>
    </row>
    <row r="6116" spans="1:9" x14ac:dyDescent="0.25">
      <c r="A6116" t="s">
        <v>3312</v>
      </c>
      <c r="B6116" t="s">
        <v>3313</v>
      </c>
      <c r="C6116" t="s">
        <v>21</v>
      </c>
      <c r="D6116" t="s">
        <v>4049</v>
      </c>
      <c r="E6116" t="s">
        <v>4176</v>
      </c>
      <c r="F6116" t="s">
        <v>4177</v>
      </c>
      <c r="G6116">
        <v>0</v>
      </c>
      <c r="H6116" s="2">
        <v>72300.17</v>
      </c>
      <c r="I6116" s="2">
        <v>216.9</v>
      </c>
    </row>
    <row r="6117" spans="1:9" x14ac:dyDescent="0.25">
      <c r="A6117" t="s">
        <v>3312</v>
      </c>
      <c r="B6117" t="s">
        <v>3313</v>
      </c>
      <c r="C6117" t="s">
        <v>21</v>
      </c>
      <c r="D6117" t="s">
        <v>4049</v>
      </c>
      <c r="E6117" t="s">
        <v>4304</v>
      </c>
      <c r="F6117" t="s">
        <v>4177</v>
      </c>
      <c r="G6117">
        <v>0</v>
      </c>
      <c r="H6117" s="2">
        <v>50188.55</v>
      </c>
      <c r="I6117" s="2">
        <v>150.57</v>
      </c>
    </row>
    <row r="6118" spans="1:9" x14ac:dyDescent="0.25">
      <c r="A6118" t="s">
        <v>3312</v>
      </c>
      <c r="B6118" t="s">
        <v>3313</v>
      </c>
      <c r="C6118" t="s">
        <v>21</v>
      </c>
      <c r="D6118" t="s">
        <v>4049</v>
      </c>
      <c r="E6118" t="s">
        <v>4310</v>
      </c>
      <c r="F6118" t="s">
        <v>3545</v>
      </c>
      <c r="G6118">
        <v>0.65</v>
      </c>
      <c r="H6118" s="2">
        <v>1350</v>
      </c>
      <c r="I6118" s="2">
        <v>877.5</v>
      </c>
    </row>
    <row r="6119" spans="1:9" x14ac:dyDescent="0.25">
      <c r="A6119" t="s">
        <v>3312</v>
      </c>
      <c r="B6119" t="s">
        <v>3313</v>
      </c>
      <c r="C6119" t="s">
        <v>21</v>
      </c>
      <c r="D6119" t="s">
        <v>4052</v>
      </c>
      <c r="E6119" t="s">
        <v>7287</v>
      </c>
      <c r="F6119" t="s">
        <v>287</v>
      </c>
      <c r="G6119">
        <v>0.01</v>
      </c>
      <c r="H6119" s="2">
        <v>107426.42</v>
      </c>
      <c r="I6119" s="2">
        <v>1074.26</v>
      </c>
    </row>
    <row r="6120" spans="1:9" x14ac:dyDescent="0.25">
      <c r="A6120" t="s">
        <v>3312</v>
      </c>
      <c r="B6120" t="s">
        <v>3313</v>
      </c>
      <c r="C6120" t="s">
        <v>21</v>
      </c>
      <c r="D6120" t="s">
        <v>4052</v>
      </c>
      <c r="E6120" t="s">
        <v>4084</v>
      </c>
      <c r="F6120" t="s">
        <v>287</v>
      </c>
      <c r="G6120">
        <v>0.01</v>
      </c>
      <c r="H6120" s="2">
        <v>145366.67</v>
      </c>
      <c r="I6120" s="2">
        <v>1453.67</v>
      </c>
    </row>
    <row r="6121" spans="1:9" x14ac:dyDescent="0.25">
      <c r="A6121" t="s">
        <v>3312</v>
      </c>
      <c r="B6121" t="s">
        <v>3313</v>
      </c>
      <c r="C6121" t="s">
        <v>21</v>
      </c>
      <c r="D6121" t="s">
        <v>4052</v>
      </c>
      <c r="E6121" t="s">
        <v>7288</v>
      </c>
      <c r="F6121" t="s">
        <v>287</v>
      </c>
      <c r="G6121">
        <v>0.01</v>
      </c>
      <c r="H6121" s="2">
        <v>340213.06</v>
      </c>
      <c r="I6121" s="2">
        <v>3402.13</v>
      </c>
    </row>
    <row r="6122" spans="1:9" x14ac:dyDescent="0.25">
      <c r="A6122" t="s">
        <v>3315</v>
      </c>
      <c r="B6122" t="s">
        <v>3316</v>
      </c>
      <c r="C6122" t="s">
        <v>21</v>
      </c>
      <c r="D6122" t="s">
        <v>4049</v>
      </c>
      <c r="E6122" t="s">
        <v>4176</v>
      </c>
      <c r="F6122" t="s">
        <v>4177</v>
      </c>
      <c r="G6122">
        <v>0</v>
      </c>
      <c r="H6122" s="2">
        <v>72300.17</v>
      </c>
      <c r="I6122" s="2">
        <v>108.45</v>
      </c>
    </row>
    <row r="6123" spans="1:9" x14ac:dyDescent="0.25">
      <c r="A6123" t="s">
        <v>3315</v>
      </c>
      <c r="B6123" t="s">
        <v>3316</v>
      </c>
      <c r="C6123" t="s">
        <v>21</v>
      </c>
      <c r="D6123" t="s">
        <v>4049</v>
      </c>
      <c r="E6123" t="s">
        <v>4304</v>
      </c>
      <c r="F6123" t="s">
        <v>4177</v>
      </c>
      <c r="G6123">
        <v>0</v>
      </c>
      <c r="H6123" s="2">
        <v>50188.55</v>
      </c>
      <c r="I6123" s="2">
        <v>75.28</v>
      </c>
    </row>
    <row r="6124" spans="1:9" x14ac:dyDescent="0.25">
      <c r="A6124" t="s">
        <v>3315</v>
      </c>
      <c r="B6124" t="s">
        <v>3316</v>
      </c>
      <c r="C6124" t="s">
        <v>21</v>
      </c>
      <c r="D6124" t="s">
        <v>4049</v>
      </c>
      <c r="E6124" t="s">
        <v>4310</v>
      </c>
      <c r="F6124" t="s">
        <v>3545</v>
      </c>
      <c r="G6124">
        <v>0.35</v>
      </c>
      <c r="H6124" s="2">
        <v>1350</v>
      </c>
      <c r="I6124" s="2">
        <v>472.5</v>
      </c>
    </row>
    <row r="6125" spans="1:9" x14ac:dyDescent="0.25">
      <c r="A6125" t="s">
        <v>3315</v>
      </c>
      <c r="B6125" t="s">
        <v>3316</v>
      </c>
      <c r="C6125" t="s">
        <v>21</v>
      </c>
      <c r="D6125" t="s">
        <v>4052</v>
      </c>
      <c r="E6125" t="s">
        <v>7287</v>
      </c>
      <c r="F6125" t="s">
        <v>287</v>
      </c>
      <c r="G6125">
        <v>0.01</v>
      </c>
      <c r="H6125" s="2">
        <v>107426.42</v>
      </c>
      <c r="I6125" s="2">
        <v>698.27</v>
      </c>
    </row>
    <row r="6126" spans="1:9" x14ac:dyDescent="0.25">
      <c r="A6126" t="s">
        <v>3315</v>
      </c>
      <c r="B6126" t="s">
        <v>3316</v>
      </c>
      <c r="C6126" t="s">
        <v>21</v>
      </c>
      <c r="D6126" t="s">
        <v>4052</v>
      </c>
      <c r="E6126" t="s">
        <v>4084</v>
      </c>
      <c r="F6126" t="s">
        <v>287</v>
      </c>
      <c r="G6126">
        <v>0.01</v>
      </c>
      <c r="H6126" s="2">
        <v>145366.67</v>
      </c>
      <c r="I6126" s="2">
        <v>944.88</v>
      </c>
    </row>
    <row r="6127" spans="1:9" x14ac:dyDescent="0.25">
      <c r="A6127" t="s">
        <v>3315</v>
      </c>
      <c r="B6127" t="s">
        <v>3316</v>
      </c>
      <c r="C6127" t="s">
        <v>21</v>
      </c>
      <c r="D6127" t="s">
        <v>4052</v>
      </c>
      <c r="E6127" t="s">
        <v>7288</v>
      </c>
      <c r="F6127" t="s">
        <v>287</v>
      </c>
      <c r="G6127">
        <v>0.01</v>
      </c>
      <c r="H6127" s="2">
        <v>340213.06</v>
      </c>
      <c r="I6127" s="2">
        <v>2211.38</v>
      </c>
    </row>
    <row r="6128" spans="1:9" x14ac:dyDescent="0.25">
      <c r="A6128" t="s">
        <v>3318</v>
      </c>
      <c r="B6128" t="s">
        <v>3319</v>
      </c>
      <c r="C6128" t="s">
        <v>21</v>
      </c>
      <c r="D6128" t="s">
        <v>4062</v>
      </c>
      <c r="E6128" t="s">
        <v>7214</v>
      </c>
      <c r="F6128" t="s">
        <v>3963</v>
      </c>
      <c r="G6128">
        <v>1</v>
      </c>
      <c r="H6128" s="2">
        <v>2520</v>
      </c>
      <c r="I6128" s="2">
        <v>2520</v>
      </c>
    </row>
    <row r="6129" spans="1:9" x14ac:dyDescent="0.25">
      <c r="A6129" t="s">
        <v>3318</v>
      </c>
      <c r="B6129" t="s">
        <v>3319</v>
      </c>
      <c r="C6129" t="s">
        <v>21</v>
      </c>
      <c r="D6129" t="s">
        <v>4049</v>
      </c>
      <c r="E6129" t="s">
        <v>4176</v>
      </c>
      <c r="F6129" t="s">
        <v>4177</v>
      </c>
      <c r="G6129">
        <v>0</v>
      </c>
      <c r="H6129" s="2">
        <v>72300.17</v>
      </c>
      <c r="I6129" s="2">
        <v>289.2</v>
      </c>
    </row>
    <row r="6130" spans="1:9" x14ac:dyDescent="0.25">
      <c r="A6130" t="s">
        <v>3318</v>
      </c>
      <c r="B6130" t="s">
        <v>3319</v>
      </c>
      <c r="C6130" t="s">
        <v>21</v>
      </c>
      <c r="D6130" t="s">
        <v>4049</v>
      </c>
      <c r="E6130" t="s">
        <v>4313</v>
      </c>
      <c r="F6130" t="s">
        <v>4177</v>
      </c>
      <c r="G6130">
        <v>0</v>
      </c>
      <c r="H6130" s="2">
        <v>124137.15</v>
      </c>
      <c r="I6130" s="2">
        <v>124.14</v>
      </c>
    </row>
    <row r="6131" spans="1:9" x14ac:dyDescent="0.25">
      <c r="A6131" t="s">
        <v>3318</v>
      </c>
      <c r="B6131" t="s">
        <v>3319</v>
      </c>
      <c r="C6131" t="s">
        <v>21</v>
      </c>
      <c r="D6131" t="s">
        <v>4052</v>
      </c>
      <c r="E6131" t="s">
        <v>4123</v>
      </c>
      <c r="F6131" t="s">
        <v>287</v>
      </c>
      <c r="G6131">
        <v>0</v>
      </c>
      <c r="H6131" s="2">
        <v>62400</v>
      </c>
      <c r="I6131" s="2">
        <v>187.2</v>
      </c>
    </row>
    <row r="6132" spans="1:9" x14ac:dyDescent="0.25">
      <c r="A6132" t="s">
        <v>3318</v>
      </c>
      <c r="B6132" t="s">
        <v>3319</v>
      </c>
      <c r="C6132" t="s">
        <v>21</v>
      </c>
      <c r="D6132" t="s">
        <v>4052</v>
      </c>
      <c r="E6132" t="s">
        <v>6149</v>
      </c>
      <c r="F6132" t="s">
        <v>287</v>
      </c>
      <c r="G6132">
        <v>0</v>
      </c>
      <c r="H6132" s="2">
        <v>90261</v>
      </c>
      <c r="I6132" s="2">
        <v>270.78</v>
      </c>
    </row>
    <row r="6133" spans="1:9" x14ac:dyDescent="0.25">
      <c r="A6133" t="s">
        <v>3318</v>
      </c>
      <c r="B6133" t="s">
        <v>3319</v>
      </c>
      <c r="C6133" t="s">
        <v>21</v>
      </c>
      <c r="D6133" t="s">
        <v>4052</v>
      </c>
      <c r="E6133" t="s">
        <v>4053</v>
      </c>
      <c r="F6133" t="s">
        <v>4054</v>
      </c>
      <c r="G6133">
        <v>2</v>
      </c>
      <c r="H6133" s="2">
        <v>413.34</v>
      </c>
      <c r="I6133" s="2">
        <v>8.27</v>
      </c>
    </row>
    <row r="6134" spans="1:9" x14ac:dyDescent="0.25">
      <c r="A6134" t="s">
        <v>3321</v>
      </c>
      <c r="B6134" t="s">
        <v>3322</v>
      </c>
      <c r="C6134" t="s">
        <v>34</v>
      </c>
      <c r="D6134" t="s">
        <v>4062</v>
      </c>
      <c r="E6134" t="s">
        <v>6154</v>
      </c>
      <c r="F6134" t="s">
        <v>34</v>
      </c>
      <c r="G6134">
        <v>1.3</v>
      </c>
      <c r="H6134" s="2">
        <v>58706.67</v>
      </c>
      <c r="I6134" s="2">
        <v>76318.67</v>
      </c>
    </row>
    <row r="6135" spans="1:9" x14ac:dyDescent="0.25">
      <c r="A6135" t="s">
        <v>3321</v>
      </c>
      <c r="B6135" t="s">
        <v>3322</v>
      </c>
      <c r="C6135" t="s">
        <v>34</v>
      </c>
      <c r="D6135" t="s">
        <v>4062</v>
      </c>
      <c r="E6135" t="s">
        <v>4076</v>
      </c>
      <c r="F6135" t="s">
        <v>3963</v>
      </c>
      <c r="G6135">
        <v>24</v>
      </c>
      <c r="H6135" s="2">
        <v>21</v>
      </c>
      <c r="I6135" s="2">
        <v>504</v>
      </c>
    </row>
    <row r="6136" spans="1:9" x14ac:dyDescent="0.25">
      <c r="A6136" t="s">
        <v>3321</v>
      </c>
      <c r="B6136" t="s">
        <v>3322</v>
      </c>
      <c r="C6136" t="s">
        <v>34</v>
      </c>
      <c r="D6136" t="s">
        <v>4049</v>
      </c>
      <c r="E6136" t="s">
        <v>4176</v>
      </c>
      <c r="F6136" t="s">
        <v>4177</v>
      </c>
      <c r="G6136">
        <v>0.05</v>
      </c>
      <c r="H6136" s="2">
        <v>72300.17</v>
      </c>
      <c r="I6136" s="2">
        <v>3615.01</v>
      </c>
    </row>
    <row r="6137" spans="1:9" x14ac:dyDescent="0.25">
      <c r="A6137" t="s">
        <v>3321</v>
      </c>
      <c r="B6137" t="s">
        <v>3322</v>
      </c>
      <c r="C6137" t="s">
        <v>34</v>
      </c>
      <c r="D6137" t="s">
        <v>4049</v>
      </c>
      <c r="E6137" t="s">
        <v>7220</v>
      </c>
      <c r="F6137" t="s">
        <v>4177</v>
      </c>
      <c r="G6137">
        <v>0.01</v>
      </c>
      <c r="H6137" s="2">
        <v>130296.06</v>
      </c>
      <c r="I6137" s="2">
        <v>1302.96</v>
      </c>
    </row>
    <row r="6138" spans="1:9" x14ac:dyDescent="0.25">
      <c r="A6138" t="s">
        <v>3321</v>
      </c>
      <c r="B6138" t="s">
        <v>3322</v>
      </c>
      <c r="C6138" t="s">
        <v>34</v>
      </c>
      <c r="D6138" t="s">
        <v>4052</v>
      </c>
      <c r="E6138" t="s">
        <v>4077</v>
      </c>
      <c r="F6138" t="s">
        <v>287</v>
      </c>
      <c r="G6138">
        <v>0.03</v>
      </c>
      <c r="H6138" s="2">
        <v>74712.95</v>
      </c>
      <c r="I6138" s="2">
        <v>2241.39</v>
      </c>
    </row>
    <row r="6139" spans="1:9" x14ac:dyDescent="0.25">
      <c r="A6139" t="s">
        <v>3321</v>
      </c>
      <c r="B6139" t="s">
        <v>3322</v>
      </c>
      <c r="C6139" t="s">
        <v>34</v>
      </c>
      <c r="D6139" t="s">
        <v>4052</v>
      </c>
      <c r="E6139" t="s">
        <v>4078</v>
      </c>
      <c r="F6139" t="s">
        <v>287</v>
      </c>
      <c r="G6139">
        <v>0.04</v>
      </c>
      <c r="H6139" s="2">
        <v>157100</v>
      </c>
      <c r="I6139" s="2">
        <v>5498.5</v>
      </c>
    </row>
    <row r="6140" spans="1:9" x14ac:dyDescent="0.25">
      <c r="A6140" t="s">
        <v>3321</v>
      </c>
      <c r="B6140" t="s">
        <v>3322</v>
      </c>
      <c r="C6140" t="s">
        <v>34</v>
      </c>
      <c r="D6140" t="s">
        <v>4052</v>
      </c>
      <c r="E6140" t="s">
        <v>4081</v>
      </c>
      <c r="F6140" t="s">
        <v>287</v>
      </c>
      <c r="G6140">
        <v>0.05</v>
      </c>
      <c r="H6140" s="2">
        <v>98968.79</v>
      </c>
      <c r="I6140" s="2">
        <v>4948.44</v>
      </c>
    </row>
    <row r="6141" spans="1:9" x14ac:dyDescent="0.25">
      <c r="A6141" t="s">
        <v>3321</v>
      </c>
      <c r="B6141" t="s">
        <v>3322</v>
      </c>
      <c r="C6141" t="s">
        <v>34</v>
      </c>
      <c r="D6141" t="s">
        <v>4052</v>
      </c>
      <c r="E6141" t="s">
        <v>4342</v>
      </c>
      <c r="F6141" t="s">
        <v>287</v>
      </c>
      <c r="G6141">
        <v>0.1</v>
      </c>
      <c r="H6141" s="2">
        <v>8333.33</v>
      </c>
      <c r="I6141" s="2">
        <v>833.33</v>
      </c>
    </row>
    <row r="6142" spans="1:9" x14ac:dyDescent="0.25">
      <c r="A6142" t="s">
        <v>3321</v>
      </c>
      <c r="B6142" t="s">
        <v>3322</v>
      </c>
      <c r="C6142" t="s">
        <v>34</v>
      </c>
      <c r="D6142" t="s">
        <v>4058</v>
      </c>
      <c r="E6142" t="s">
        <v>4310</v>
      </c>
      <c r="F6142" t="s">
        <v>3545</v>
      </c>
      <c r="G6142">
        <v>6.5</v>
      </c>
      <c r="H6142" s="2">
        <v>1350</v>
      </c>
      <c r="I6142" s="2">
        <v>8775</v>
      </c>
    </row>
    <row r="6143" spans="1:9" x14ac:dyDescent="0.25">
      <c r="A6143" t="s">
        <v>3324</v>
      </c>
      <c r="B6143" t="s">
        <v>3325</v>
      </c>
      <c r="C6143" t="s">
        <v>21</v>
      </c>
      <c r="D6143" t="s">
        <v>4062</v>
      </c>
      <c r="E6143" t="s">
        <v>7297</v>
      </c>
      <c r="F6143" t="s">
        <v>3963</v>
      </c>
      <c r="G6143">
        <v>0.5</v>
      </c>
      <c r="H6143" s="2">
        <v>2134</v>
      </c>
      <c r="I6143" s="2">
        <v>1067</v>
      </c>
    </row>
    <row r="6144" spans="1:9" x14ac:dyDescent="0.25">
      <c r="A6144" t="s">
        <v>3324</v>
      </c>
      <c r="B6144" t="s">
        <v>3325</v>
      </c>
      <c r="C6144" t="s">
        <v>21</v>
      </c>
      <c r="D6144" t="s">
        <v>4049</v>
      </c>
      <c r="E6144" t="s">
        <v>4176</v>
      </c>
      <c r="F6144" t="s">
        <v>4177</v>
      </c>
      <c r="G6144">
        <v>0.01</v>
      </c>
      <c r="H6144" s="2">
        <v>72300.17</v>
      </c>
      <c r="I6144" s="2">
        <v>361.5</v>
      </c>
    </row>
    <row r="6145" spans="1:9" x14ac:dyDescent="0.25">
      <c r="A6145" t="s">
        <v>3324</v>
      </c>
      <c r="B6145" t="s">
        <v>3325</v>
      </c>
      <c r="C6145" t="s">
        <v>21</v>
      </c>
      <c r="D6145" t="s">
        <v>4052</v>
      </c>
      <c r="E6145" t="s">
        <v>4123</v>
      </c>
      <c r="F6145" t="s">
        <v>287</v>
      </c>
      <c r="G6145">
        <v>0.01</v>
      </c>
      <c r="H6145" s="2">
        <v>62400</v>
      </c>
      <c r="I6145" s="2">
        <v>312</v>
      </c>
    </row>
    <row r="6146" spans="1:9" x14ac:dyDescent="0.25">
      <c r="A6146" t="s">
        <v>3324</v>
      </c>
      <c r="B6146" t="s">
        <v>3325</v>
      </c>
      <c r="C6146" t="s">
        <v>21</v>
      </c>
      <c r="D6146" t="s">
        <v>4052</v>
      </c>
      <c r="E6146" t="s">
        <v>6149</v>
      </c>
      <c r="F6146" t="s">
        <v>287</v>
      </c>
      <c r="G6146">
        <v>0.01</v>
      </c>
      <c r="H6146" s="2">
        <v>90261</v>
      </c>
      <c r="I6146" s="2">
        <v>451.31</v>
      </c>
    </row>
    <row r="6147" spans="1:9" x14ac:dyDescent="0.25">
      <c r="A6147" t="s">
        <v>3324</v>
      </c>
      <c r="B6147" t="s">
        <v>3325</v>
      </c>
      <c r="C6147" t="s">
        <v>21</v>
      </c>
      <c r="D6147" t="s">
        <v>4052</v>
      </c>
      <c r="E6147" t="s">
        <v>4053</v>
      </c>
      <c r="F6147" t="s">
        <v>4054</v>
      </c>
      <c r="G6147">
        <v>0.2</v>
      </c>
      <c r="H6147" s="2">
        <v>361.5</v>
      </c>
      <c r="I6147" s="2">
        <v>0.72</v>
      </c>
    </row>
    <row r="6148" spans="1:9" x14ac:dyDescent="0.25">
      <c r="A6148" t="s">
        <v>3327</v>
      </c>
      <c r="B6148" t="s">
        <v>3328</v>
      </c>
      <c r="C6148" t="s">
        <v>21</v>
      </c>
      <c r="D6148" t="s">
        <v>4062</v>
      </c>
      <c r="E6148" t="s">
        <v>6870</v>
      </c>
      <c r="F6148" t="s">
        <v>34</v>
      </c>
      <c r="G6148">
        <v>0.01</v>
      </c>
      <c r="H6148" s="2">
        <v>80523.33</v>
      </c>
      <c r="I6148" s="2">
        <v>805.23</v>
      </c>
    </row>
    <row r="6149" spans="1:9" x14ac:dyDescent="0.25">
      <c r="A6149" t="s">
        <v>3327</v>
      </c>
      <c r="B6149" t="s">
        <v>3328</v>
      </c>
      <c r="C6149" t="s">
        <v>21</v>
      </c>
      <c r="D6149" t="s">
        <v>4062</v>
      </c>
      <c r="E6149" t="s">
        <v>7281</v>
      </c>
      <c r="F6149" t="s">
        <v>3963</v>
      </c>
      <c r="G6149">
        <v>1.25</v>
      </c>
      <c r="H6149" s="2">
        <v>1742.94</v>
      </c>
      <c r="I6149" s="2">
        <v>2178.68</v>
      </c>
    </row>
    <row r="6150" spans="1:9" x14ac:dyDescent="0.25">
      <c r="A6150" t="s">
        <v>3327</v>
      </c>
      <c r="B6150" t="s">
        <v>3328</v>
      </c>
      <c r="C6150" t="s">
        <v>21</v>
      </c>
      <c r="D6150" t="s">
        <v>4049</v>
      </c>
      <c r="E6150" t="s">
        <v>4176</v>
      </c>
      <c r="F6150" t="s">
        <v>4177</v>
      </c>
      <c r="G6150">
        <v>0</v>
      </c>
      <c r="H6150" s="2">
        <v>72300.17</v>
      </c>
      <c r="I6150" s="2">
        <v>86.76</v>
      </c>
    </row>
    <row r="6151" spans="1:9" x14ac:dyDescent="0.25">
      <c r="A6151" t="s">
        <v>3327</v>
      </c>
      <c r="B6151" t="s">
        <v>3328</v>
      </c>
      <c r="C6151" t="s">
        <v>21</v>
      </c>
      <c r="D6151" t="s">
        <v>4049</v>
      </c>
      <c r="E6151" t="s">
        <v>4313</v>
      </c>
      <c r="F6151" t="s">
        <v>4177</v>
      </c>
      <c r="G6151">
        <v>0</v>
      </c>
      <c r="H6151" s="2">
        <v>124137.15</v>
      </c>
      <c r="I6151" s="2">
        <v>37.24</v>
      </c>
    </row>
    <row r="6152" spans="1:9" x14ac:dyDescent="0.25">
      <c r="A6152" t="s">
        <v>3327</v>
      </c>
      <c r="B6152" t="s">
        <v>3328</v>
      </c>
      <c r="C6152" t="s">
        <v>21</v>
      </c>
      <c r="D6152" t="s">
        <v>4052</v>
      </c>
      <c r="E6152" t="s">
        <v>7300</v>
      </c>
      <c r="F6152" t="s">
        <v>287</v>
      </c>
      <c r="G6152">
        <v>0.01</v>
      </c>
      <c r="H6152" s="2">
        <v>47071</v>
      </c>
      <c r="I6152" s="2">
        <v>310.67</v>
      </c>
    </row>
    <row r="6153" spans="1:9" x14ac:dyDescent="0.25">
      <c r="A6153" t="s">
        <v>3327</v>
      </c>
      <c r="B6153" t="s">
        <v>3328</v>
      </c>
      <c r="C6153" t="s">
        <v>21</v>
      </c>
      <c r="D6153" t="s">
        <v>4052</v>
      </c>
      <c r="E6153" t="s">
        <v>6149</v>
      </c>
      <c r="F6153" t="s">
        <v>287</v>
      </c>
      <c r="G6153">
        <v>0.01</v>
      </c>
      <c r="H6153" s="2">
        <v>90261</v>
      </c>
      <c r="I6153" s="2">
        <v>595.72</v>
      </c>
    </row>
    <row r="6154" spans="1:9" x14ac:dyDescent="0.25">
      <c r="A6154" t="s">
        <v>3327</v>
      </c>
      <c r="B6154" t="s">
        <v>3328</v>
      </c>
      <c r="C6154" t="s">
        <v>21</v>
      </c>
      <c r="D6154" t="s">
        <v>4052</v>
      </c>
      <c r="E6154" t="s">
        <v>4081</v>
      </c>
      <c r="F6154" t="s">
        <v>287</v>
      </c>
      <c r="G6154">
        <v>0.01</v>
      </c>
      <c r="H6154" s="2">
        <v>98968.79</v>
      </c>
      <c r="I6154" s="2">
        <v>653.19</v>
      </c>
    </row>
    <row r="6155" spans="1:9" x14ac:dyDescent="0.25">
      <c r="A6155" t="s">
        <v>3327</v>
      </c>
      <c r="B6155" t="s">
        <v>3328</v>
      </c>
      <c r="C6155" t="s">
        <v>21</v>
      </c>
      <c r="D6155" t="s">
        <v>4052</v>
      </c>
      <c r="E6155" t="s">
        <v>4053</v>
      </c>
      <c r="F6155" t="s">
        <v>4054</v>
      </c>
      <c r="G6155">
        <v>1</v>
      </c>
      <c r="H6155" s="2">
        <v>124</v>
      </c>
      <c r="I6155" s="2">
        <v>1.24</v>
      </c>
    </row>
    <row r="6156" spans="1:9" x14ac:dyDescent="0.25">
      <c r="A6156" t="s">
        <v>3330</v>
      </c>
      <c r="B6156" t="s">
        <v>3331</v>
      </c>
      <c r="C6156" t="s">
        <v>34</v>
      </c>
      <c r="D6156" t="s">
        <v>4062</v>
      </c>
      <c r="E6156" t="s">
        <v>7303</v>
      </c>
      <c r="F6156" t="s">
        <v>34</v>
      </c>
      <c r="G6156">
        <v>1.35</v>
      </c>
      <c r="H6156" s="2">
        <v>216259</v>
      </c>
      <c r="I6156" s="2">
        <v>291949.65</v>
      </c>
    </row>
    <row r="6157" spans="1:9" x14ac:dyDescent="0.25">
      <c r="A6157" t="s">
        <v>3330</v>
      </c>
      <c r="B6157" t="s">
        <v>3331</v>
      </c>
      <c r="C6157" t="s">
        <v>34</v>
      </c>
      <c r="D6157" t="s">
        <v>4049</v>
      </c>
      <c r="E6157" t="s">
        <v>4176</v>
      </c>
      <c r="F6157" t="s">
        <v>4177</v>
      </c>
      <c r="G6157">
        <v>0.33</v>
      </c>
      <c r="H6157" s="2">
        <v>72300.17</v>
      </c>
      <c r="I6157" s="2">
        <v>24075.96</v>
      </c>
    </row>
    <row r="6158" spans="1:9" x14ac:dyDescent="0.25">
      <c r="A6158" t="s">
        <v>3330</v>
      </c>
      <c r="B6158" t="s">
        <v>3331</v>
      </c>
      <c r="C6158" t="s">
        <v>34</v>
      </c>
      <c r="D6158" t="s">
        <v>4049</v>
      </c>
      <c r="E6158" t="s">
        <v>4313</v>
      </c>
      <c r="F6158" t="s">
        <v>4177</v>
      </c>
      <c r="G6158">
        <v>0.03</v>
      </c>
      <c r="H6158" s="2">
        <v>124137.15</v>
      </c>
      <c r="I6158" s="2">
        <v>4133.77</v>
      </c>
    </row>
    <row r="6159" spans="1:9" x14ac:dyDescent="0.25">
      <c r="A6159" t="s">
        <v>3330</v>
      </c>
      <c r="B6159" t="s">
        <v>3331</v>
      </c>
      <c r="C6159" t="s">
        <v>34</v>
      </c>
      <c r="D6159" t="s">
        <v>4052</v>
      </c>
      <c r="E6159" t="s">
        <v>7304</v>
      </c>
      <c r="F6159" t="s">
        <v>287</v>
      </c>
      <c r="G6159">
        <v>0.1</v>
      </c>
      <c r="H6159" s="2">
        <v>102366.66</v>
      </c>
      <c r="I6159" s="2">
        <v>10236.67</v>
      </c>
    </row>
    <row r="6160" spans="1:9" x14ac:dyDescent="0.25">
      <c r="A6160" t="s">
        <v>3330</v>
      </c>
      <c r="B6160" t="s">
        <v>3331</v>
      </c>
      <c r="C6160" t="s">
        <v>34</v>
      </c>
      <c r="D6160" t="s">
        <v>4052</v>
      </c>
      <c r="E6160" t="s">
        <v>4078</v>
      </c>
      <c r="F6160" t="s">
        <v>287</v>
      </c>
      <c r="G6160">
        <v>0.1</v>
      </c>
      <c r="H6160" s="2">
        <v>157100</v>
      </c>
      <c r="I6160" s="2">
        <v>15710</v>
      </c>
    </row>
    <row r="6161" spans="1:9" x14ac:dyDescent="0.25">
      <c r="A6161" t="s">
        <v>3330</v>
      </c>
      <c r="B6161" t="s">
        <v>3331</v>
      </c>
      <c r="C6161" t="s">
        <v>34</v>
      </c>
      <c r="D6161" t="s">
        <v>4052</v>
      </c>
      <c r="E6161" t="s">
        <v>4053</v>
      </c>
      <c r="F6161" t="s">
        <v>4054</v>
      </c>
      <c r="G6161">
        <v>3.3</v>
      </c>
      <c r="H6161" s="2">
        <v>28209.73</v>
      </c>
      <c r="I6161" s="2">
        <v>930.92</v>
      </c>
    </row>
    <row r="6162" spans="1:9" x14ac:dyDescent="0.25">
      <c r="A6162" t="s">
        <v>3334</v>
      </c>
      <c r="B6162" t="s">
        <v>3335</v>
      </c>
      <c r="C6162" t="s">
        <v>21</v>
      </c>
      <c r="D6162" t="s">
        <v>4062</v>
      </c>
      <c r="E6162" t="s">
        <v>7307</v>
      </c>
      <c r="F6162" t="s">
        <v>34</v>
      </c>
      <c r="G6162">
        <v>0.01</v>
      </c>
      <c r="H6162" s="2">
        <v>80523.33</v>
      </c>
      <c r="I6162" s="2">
        <v>402.62</v>
      </c>
    </row>
    <row r="6163" spans="1:9" x14ac:dyDescent="0.25">
      <c r="A6163" t="s">
        <v>3334</v>
      </c>
      <c r="B6163" t="s">
        <v>3335</v>
      </c>
      <c r="C6163" t="s">
        <v>21</v>
      </c>
      <c r="D6163" t="s">
        <v>4062</v>
      </c>
      <c r="E6163" t="s">
        <v>7214</v>
      </c>
      <c r="F6163" t="s">
        <v>3963</v>
      </c>
      <c r="G6163">
        <v>1.51</v>
      </c>
      <c r="H6163" s="2">
        <v>2520</v>
      </c>
      <c r="I6163" s="2">
        <v>3816.29</v>
      </c>
    </row>
    <row r="6164" spans="1:9" x14ac:dyDescent="0.25">
      <c r="A6164" t="s">
        <v>3334</v>
      </c>
      <c r="B6164" t="s">
        <v>3335</v>
      </c>
      <c r="C6164" t="s">
        <v>21</v>
      </c>
      <c r="D6164" t="s">
        <v>4049</v>
      </c>
      <c r="E6164" t="s">
        <v>4176</v>
      </c>
      <c r="F6164" t="s">
        <v>4177</v>
      </c>
      <c r="G6164">
        <v>0.07</v>
      </c>
      <c r="H6164" s="2">
        <v>72300.17</v>
      </c>
      <c r="I6164" s="2">
        <v>5061.01</v>
      </c>
    </row>
    <row r="6165" spans="1:9" x14ac:dyDescent="0.25">
      <c r="A6165" t="s">
        <v>3334</v>
      </c>
      <c r="B6165" t="s">
        <v>3335</v>
      </c>
      <c r="C6165" t="s">
        <v>21</v>
      </c>
      <c r="D6165" t="s">
        <v>4052</v>
      </c>
      <c r="E6165" t="s">
        <v>7308</v>
      </c>
      <c r="F6165" t="s">
        <v>287</v>
      </c>
      <c r="G6165">
        <v>0.01</v>
      </c>
      <c r="H6165" s="2">
        <v>137509.34</v>
      </c>
      <c r="I6165" s="2">
        <v>962.57</v>
      </c>
    </row>
    <row r="6166" spans="1:9" x14ac:dyDescent="0.25">
      <c r="A6166" t="s">
        <v>3334</v>
      </c>
      <c r="B6166" t="s">
        <v>3335</v>
      </c>
      <c r="C6166" t="s">
        <v>21</v>
      </c>
      <c r="D6166" t="s">
        <v>4052</v>
      </c>
      <c r="E6166" t="s">
        <v>4077</v>
      </c>
      <c r="F6166" t="s">
        <v>287</v>
      </c>
      <c r="G6166">
        <v>0.01</v>
      </c>
      <c r="H6166" s="2">
        <v>74712.95</v>
      </c>
      <c r="I6166" s="2">
        <v>522.99</v>
      </c>
    </row>
    <row r="6167" spans="1:9" x14ac:dyDescent="0.25">
      <c r="A6167" t="s">
        <v>3334</v>
      </c>
      <c r="B6167" t="s">
        <v>3335</v>
      </c>
      <c r="C6167" t="s">
        <v>21</v>
      </c>
      <c r="D6167" t="s">
        <v>4052</v>
      </c>
      <c r="E6167" t="s">
        <v>4118</v>
      </c>
      <c r="F6167" t="s">
        <v>287</v>
      </c>
      <c r="G6167">
        <v>0.01</v>
      </c>
      <c r="H6167" s="2">
        <v>107433.33</v>
      </c>
      <c r="I6167" s="2">
        <v>752.03</v>
      </c>
    </row>
    <row r="6168" spans="1:9" x14ac:dyDescent="0.25">
      <c r="A6168" t="s">
        <v>3337</v>
      </c>
      <c r="B6168" t="s">
        <v>3338</v>
      </c>
      <c r="C6168" t="s">
        <v>21</v>
      </c>
      <c r="D6168" t="s">
        <v>4062</v>
      </c>
      <c r="E6168" t="s">
        <v>7307</v>
      </c>
      <c r="F6168" t="s">
        <v>34</v>
      </c>
      <c r="G6168">
        <v>0.01</v>
      </c>
      <c r="H6168" s="2">
        <v>80523.33</v>
      </c>
      <c r="I6168" s="2">
        <v>483.14</v>
      </c>
    </row>
    <row r="6169" spans="1:9" x14ac:dyDescent="0.25">
      <c r="A6169" t="s">
        <v>3337</v>
      </c>
      <c r="B6169" t="s">
        <v>3338</v>
      </c>
      <c r="C6169" t="s">
        <v>21</v>
      </c>
      <c r="D6169" t="s">
        <v>4062</v>
      </c>
      <c r="E6169" t="s">
        <v>7214</v>
      </c>
      <c r="F6169" t="s">
        <v>3963</v>
      </c>
      <c r="G6169">
        <v>2.27</v>
      </c>
      <c r="H6169" s="2">
        <v>2520</v>
      </c>
      <c r="I6169" s="2">
        <v>5724.43</v>
      </c>
    </row>
    <row r="6170" spans="1:9" x14ac:dyDescent="0.25">
      <c r="A6170" t="s">
        <v>3337</v>
      </c>
      <c r="B6170" t="s">
        <v>3338</v>
      </c>
      <c r="C6170" t="s">
        <v>21</v>
      </c>
      <c r="D6170" t="s">
        <v>4049</v>
      </c>
      <c r="E6170" t="s">
        <v>4176</v>
      </c>
      <c r="F6170" t="s">
        <v>4177</v>
      </c>
      <c r="G6170">
        <v>0.07</v>
      </c>
      <c r="H6170" s="2">
        <v>72300.17</v>
      </c>
      <c r="I6170" s="2">
        <v>5061.01</v>
      </c>
    </row>
    <row r="6171" spans="1:9" x14ac:dyDescent="0.25">
      <c r="A6171" t="s">
        <v>3337</v>
      </c>
      <c r="B6171" t="s">
        <v>3338</v>
      </c>
      <c r="C6171" t="s">
        <v>21</v>
      </c>
      <c r="D6171" t="s">
        <v>4052</v>
      </c>
      <c r="E6171" t="s">
        <v>7308</v>
      </c>
      <c r="F6171" t="s">
        <v>287</v>
      </c>
      <c r="G6171">
        <v>0.01</v>
      </c>
      <c r="H6171" s="2">
        <v>137509.34</v>
      </c>
      <c r="I6171" s="2">
        <v>962.57</v>
      </c>
    </row>
    <row r="6172" spans="1:9" x14ac:dyDescent="0.25">
      <c r="A6172" t="s">
        <v>3337</v>
      </c>
      <c r="B6172" t="s">
        <v>3338</v>
      </c>
      <c r="C6172" t="s">
        <v>21</v>
      </c>
      <c r="D6172" t="s">
        <v>4052</v>
      </c>
      <c r="E6172" t="s">
        <v>4077</v>
      </c>
      <c r="F6172" t="s">
        <v>287</v>
      </c>
      <c r="G6172">
        <v>0.01</v>
      </c>
      <c r="H6172" s="2">
        <v>74712.95</v>
      </c>
      <c r="I6172" s="2">
        <v>522.99</v>
      </c>
    </row>
    <row r="6173" spans="1:9" x14ac:dyDescent="0.25">
      <c r="A6173" t="s">
        <v>3337</v>
      </c>
      <c r="B6173" t="s">
        <v>3338</v>
      </c>
      <c r="C6173" t="s">
        <v>21</v>
      </c>
      <c r="D6173" t="s">
        <v>4052</v>
      </c>
      <c r="E6173" t="s">
        <v>4118</v>
      </c>
      <c r="F6173" t="s">
        <v>287</v>
      </c>
      <c r="G6173">
        <v>0.01</v>
      </c>
      <c r="H6173" s="2">
        <v>107433.33</v>
      </c>
      <c r="I6173" s="2">
        <v>752.03</v>
      </c>
    </row>
    <row r="6174" spans="1:9" x14ac:dyDescent="0.25">
      <c r="A6174" t="s">
        <v>3340</v>
      </c>
      <c r="B6174" t="s">
        <v>3341</v>
      </c>
      <c r="C6174" t="s">
        <v>21</v>
      </c>
      <c r="D6174" t="s">
        <v>4062</v>
      </c>
      <c r="E6174" t="s">
        <v>7307</v>
      </c>
      <c r="F6174" t="s">
        <v>34</v>
      </c>
      <c r="G6174">
        <v>0.01</v>
      </c>
      <c r="H6174" s="2">
        <v>80523.33</v>
      </c>
      <c r="I6174" s="2">
        <v>724.71</v>
      </c>
    </row>
    <row r="6175" spans="1:9" x14ac:dyDescent="0.25">
      <c r="A6175" t="s">
        <v>3340</v>
      </c>
      <c r="B6175" t="s">
        <v>3341</v>
      </c>
      <c r="C6175" t="s">
        <v>21</v>
      </c>
      <c r="D6175" t="s">
        <v>4062</v>
      </c>
      <c r="E6175" t="s">
        <v>7214</v>
      </c>
      <c r="F6175" t="s">
        <v>3963</v>
      </c>
      <c r="G6175">
        <v>3.74</v>
      </c>
      <c r="H6175" s="2">
        <v>2520</v>
      </c>
      <c r="I6175" s="2">
        <v>9424.8</v>
      </c>
    </row>
    <row r="6176" spans="1:9" x14ac:dyDescent="0.25">
      <c r="A6176" t="s">
        <v>3340</v>
      </c>
      <c r="B6176" t="s">
        <v>3341</v>
      </c>
      <c r="C6176" t="s">
        <v>21</v>
      </c>
      <c r="D6176" t="s">
        <v>4049</v>
      </c>
      <c r="E6176" t="s">
        <v>4176</v>
      </c>
      <c r="F6176" t="s">
        <v>4177</v>
      </c>
      <c r="G6176">
        <v>0.07</v>
      </c>
      <c r="H6176" s="2">
        <v>72300.17</v>
      </c>
      <c r="I6176" s="2">
        <v>5061.01</v>
      </c>
    </row>
    <row r="6177" spans="1:9" x14ac:dyDescent="0.25">
      <c r="A6177" t="s">
        <v>3340</v>
      </c>
      <c r="B6177" t="s">
        <v>3341</v>
      </c>
      <c r="C6177" t="s">
        <v>21</v>
      </c>
      <c r="D6177" t="s">
        <v>4052</v>
      </c>
      <c r="E6177" t="s">
        <v>7308</v>
      </c>
      <c r="F6177" t="s">
        <v>287</v>
      </c>
      <c r="G6177">
        <v>0.01</v>
      </c>
      <c r="H6177" s="2">
        <v>137509.34</v>
      </c>
      <c r="I6177" s="2">
        <v>962.57</v>
      </c>
    </row>
    <row r="6178" spans="1:9" x14ac:dyDescent="0.25">
      <c r="A6178" t="s">
        <v>3340</v>
      </c>
      <c r="B6178" t="s">
        <v>3341</v>
      </c>
      <c r="C6178" t="s">
        <v>21</v>
      </c>
      <c r="D6178" t="s">
        <v>4052</v>
      </c>
      <c r="E6178" t="s">
        <v>4077</v>
      </c>
      <c r="F6178" t="s">
        <v>287</v>
      </c>
      <c r="G6178">
        <v>0.01</v>
      </c>
      <c r="H6178" s="2">
        <v>74712.95</v>
      </c>
      <c r="I6178" s="2">
        <v>522.99</v>
      </c>
    </row>
    <row r="6179" spans="1:9" x14ac:dyDescent="0.25">
      <c r="A6179" t="s">
        <v>3340</v>
      </c>
      <c r="B6179" t="s">
        <v>3341</v>
      </c>
      <c r="C6179" t="s">
        <v>21</v>
      </c>
      <c r="D6179" t="s">
        <v>4052</v>
      </c>
      <c r="E6179" t="s">
        <v>4118</v>
      </c>
      <c r="F6179" t="s">
        <v>287</v>
      </c>
      <c r="G6179">
        <v>0.01</v>
      </c>
      <c r="H6179" s="2">
        <v>107433.33</v>
      </c>
      <c r="I6179" s="2">
        <v>752.03</v>
      </c>
    </row>
    <row r="6180" spans="1:9" x14ac:dyDescent="0.25">
      <c r="A6180" t="s">
        <v>3343</v>
      </c>
      <c r="B6180" t="s">
        <v>3344</v>
      </c>
      <c r="C6180" t="s">
        <v>34</v>
      </c>
      <c r="D6180" t="s">
        <v>4062</v>
      </c>
      <c r="E6180" t="s">
        <v>7275</v>
      </c>
      <c r="F6180" t="s">
        <v>34</v>
      </c>
      <c r="G6180">
        <v>1.2</v>
      </c>
      <c r="H6180" s="2">
        <v>380800</v>
      </c>
      <c r="I6180" s="2">
        <v>456960</v>
      </c>
    </row>
    <row r="6181" spans="1:9" x14ac:dyDescent="0.25">
      <c r="A6181" t="s">
        <v>3343</v>
      </c>
      <c r="B6181" t="s">
        <v>3344</v>
      </c>
      <c r="C6181" t="s">
        <v>34</v>
      </c>
      <c r="D6181" t="s">
        <v>4049</v>
      </c>
      <c r="E6181" t="s">
        <v>4176</v>
      </c>
      <c r="F6181" t="s">
        <v>4177</v>
      </c>
      <c r="G6181">
        <v>1</v>
      </c>
      <c r="H6181" s="2">
        <v>72300.17</v>
      </c>
      <c r="I6181" s="2">
        <v>72300.17</v>
      </c>
    </row>
    <row r="6182" spans="1:9" x14ac:dyDescent="0.25">
      <c r="A6182" t="s">
        <v>3343</v>
      </c>
      <c r="B6182" t="s">
        <v>3344</v>
      </c>
      <c r="C6182" t="s">
        <v>34</v>
      </c>
      <c r="D6182" t="s">
        <v>4049</v>
      </c>
      <c r="E6182" t="s">
        <v>4313</v>
      </c>
      <c r="F6182" t="s">
        <v>4177</v>
      </c>
      <c r="G6182">
        <v>0.1</v>
      </c>
      <c r="H6182" s="2">
        <v>124137.15</v>
      </c>
      <c r="I6182" s="2">
        <v>12413.72</v>
      </c>
    </row>
    <row r="6183" spans="1:9" x14ac:dyDescent="0.25">
      <c r="A6183" t="s">
        <v>3343</v>
      </c>
      <c r="B6183" t="s">
        <v>3344</v>
      </c>
      <c r="C6183" t="s">
        <v>34</v>
      </c>
      <c r="D6183" t="s">
        <v>4052</v>
      </c>
      <c r="E6183" t="s">
        <v>7276</v>
      </c>
      <c r="F6183" t="s">
        <v>287</v>
      </c>
      <c r="G6183">
        <v>0.1</v>
      </c>
      <c r="H6183" s="2">
        <v>135912.95</v>
      </c>
      <c r="I6183" s="2">
        <v>13591.3</v>
      </c>
    </row>
    <row r="6184" spans="1:9" x14ac:dyDescent="0.25">
      <c r="A6184" t="s">
        <v>3343</v>
      </c>
      <c r="B6184" t="s">
        <v>3344</v>
      </c>
      <c r="C6184" t="s">
        <v>34</v>
      </c>
      <c r="D6184" t="s">
        <v>4052</v>
      </c>
      <c r="E6184" t="s">
        <v>7277</v>
      </c>
      <c r="F6184" t="s">
        <v>287</v>
      </c>
      <c r="G6184">
        <v>0.1</v>
      </c>
      <c r="H6184" s="2">
        <v>254122</v>
      </c>
      <c r="I6184" s="2">
        <v>25412.2</v>
      </c>
    </row>
    <row r="6185" spans="1:9" x14ac:dyDescent="0.25">
      <c r="A6185" t="s">
        <v>3343</v>
      </c>
      <c r="B6185" t="s">
        <v>3344</v>
      </c>
      <c r="C6185" t="s">
        <v>34</v>
      </c>
      <c r="D6185" t="s">
        <v>4052</v>
      </c>
      <c r="E6185" t="s">
        <v>4081</v>
      </c>
      <c r="F6185" t="s">
        <v>287</v>
      </c>
      <c r="G6185">
        <v>0.1</v>
      </c>
      <c r="H6185" s="2">
        <v>98968.79</v>
      </c>
      <c r="I6185" s="2">
        <v>9896.88</v>
      </c>
    </row>
    <row r="6186" spans="1:9" x14ac:dyDescent="0.25">
      <c r="A6186" t="s">
        <v>3343</v>
      </c>
      <c r="B6186" t="s">
        <v>3344</v>
      </c>
      <c r="C6186" t="s">
        <v>34</v>
      </c>
      <c r="D6186" t="s">
        <v>4052</v>
      </c>
      <c r="E6186" t="s">
        <v>4053</v>
      </c>
      <c r="F6186" t="s">
        <v>4054</v>
      </c>
      <c r="G6186">
        <v>3.3</v>
      </c>
      <c r="H6186" s="2">
        <v>84713.89</v>
      </c>
      <c r="I6186" s="2">
        <v>2795.56</v>
      </c>
    </row>
    <row r="6187" spans="1:9" x14ac:dyDescent="0.25">
      <c r="A6187" t="s">
        <v>3343</v>
      </c>
      <c r="B6187" t="s">
        <v>3344</v>
      </c>
      <c r="C6187" t="s">
        <v>34</v>
      </c>
      <c r="D6187" t="s">
        <v>4058</v>
      </c>
      <c r="E6187" t="s">
        <v>4059</v>
      </c>
      <c r="F6187" t="s">
        <v>3545</v>
      </c>
      <c r="G6187">
        <v>6</v>
      </c>
      <c r="H6187" s="2">
        <v>1325</v>
      </c>
      <c r="I6187" s="2">
        <v>7950</v>
      </c>
    </row>
    <row r="6188" spans="1:9" x14ac:dyDescent="0.25">
      <c r="A6188" t="s">
        <v>3346</v>
      </c>
      <c r="B6188" t="s">
        <v>3348</v>
      </c>
      <c r="C6188" t="s">
        <v>42</v>
      </c>
      <c r="D6188" t="s">
        <v>4062</v>
      </c>
      <c r="E6188" t="s">
        <v>5821</v>
      </c>
      <c r="F6188" t="s">
        <v>34</v>
      </c>
      <c r="G6188">
        <v>0</v>
      </c>
      <c r="H6188" s="2">
        <v>93966.67</v>
      </c>
      <c r="I6188" s="2">
        <v>281.9</v>
      </c>
    </row>
    <row r="6189" spans="1:9" x14ac:dyDescent="0.25">
      <c r="A6189" t="s">
        <v>3346</v>
      </c>
      <c r="B6189" t="s">
        <v>3348</v>
      </c>
      <c r="C6189" t="s">
        <v>42</v>
      </c>
      <c r="D6189" t="s">
        <v>4062</v>
      </c>
      <c r="E6189" t="s">
        <v>7319</v>
      </c>
      <c r="F6189" t="s">
        <v>63</v>
      </c>
      <c r="G6189">
        <v>5</v>
      </c>
      <c r="H6189" s="2">
        <v>752</v>
      </c>
      <c r="I6189" s="2">
        <v>3760</v>
      </c>
    </row>
    <row r="6190" spans="1:9" x14ac:dyDescent="0.25">
      <c r="A6190" t="s">
        <v>3346</v>
      </c>
      <c r="B6190" t="s">
        <v>3348</v>
      </c>
      <c r="C6190" t="s">
        <v>42</v>
      </c>
      <c r="D6190" t="s">
        <v>4049</v>
      </c>
      <c r="E6190" t="s">
        <v>4176</v>
      </c>
      <c r="F6190" t="s">
        <v>4177</v>
      </c>
      <c r="G6190">
        <v>0.07</v>
      </c>
      <c r="H6190" s="2">
        <v>72300.17</v>
      </c>
      <c r="I6190" s="2">
        <v>5061.01</v>
      </c>
    </row>
    <row r="6191" spans="1:9" x14ac:dyDescent="0.25">
      <c r="A6191" t="s">
        <v>3346</v>
      </c>
      <c r="B6191" t="s">
        <v>3348</v>
      </c>
      <c r="C6191" t="s">
        <v>42</v>
      </c>
      <c r="D6191" t="s">
        <v>4049</v>
      </c>
      <c r="E6191" t="s">
        <v>4313</v>
      </c>
      <c r="F6191" t="s">
        <v>4177</v>
      </c>
      <c r="G6191">
        <v>0.03</v>
      </c>
      <c r="H6191" s="2">
        <v>124137.15</v>
      </c>
      <c r="I6191" s="2">
        <v>3103.43</v>
      </c>
    </row>
    <row r="6192" spans="1:9" x14ac:dyDescent="0.25">
      <c r="A6192" t="s">
        <v>3346</v>
      </c>
      <c r="B6192" t="s">
        <v>3348</v>
      </c>
      <c r="C6192" t="s">
        <v>42</v>
      </c>
      <c r="D6192" t="s">
        <v>4052</v>
      </c>
      <c r="E6192" t="s">
        <v>4053</v>
      </c>
      <c r="F6192" t="s">
        <v>4054</v>
      </c>
      <c r="G6192">
        <v>5</v>
      </c>
      <c r="H6192" s="2">
        <v>8164.44</v>
      </c>
      <c r="I6192" s="2">
        <v>408.22</v>
      </c>
    </row>
    <row r="6193" spans="1:9" x14ac:dyDescent="0.25">
      <c r="A6193" t="s">
        <v>3350</v>
      </c>
      <c r="B6193" t="s">
        <v>3351</v>
      </c>
      <c r="C6193" t="s">
        <v>21</v>
      </c>
      <c r="D6193" t="s">
        <v>4062</v>
      </c>
      <c r="E6193" t="s">
        <v>5821</v>
      </c>
      <c r="F6193" t="s">
        <v>34</v>
      </c>
      <c r="G6193">
        <v>0.05</v>
      </c>
      <c r="H6193" s="2">
        <v>93966.67</v>
      </c>
      <c r="I6193" s="2">
        <v>4698.33</v>
      </c>
    </row>
    <row r="6194" spans="1:9" x14ac:dyDescent="0.25">
      <c r="A6194" t="s">
        <v>3350</v>
      </c>
      <c r="B6194" t="s">
        <v>3351</v>
      </c>
      <c r="C6194" t="s">
        <v>21</v>
      </c>
      <c r="D6194" t="s">
        <v>4062</v>
      </c>
      <c r="E6194" t="s">
        <v>7322</v>
      </c>
      <c r="F6194" t="s">
        <v>21</v>
      </c>
      <c r="G6194">
        <v>1.03</v>
      </c>
      <c r="H6194" s="2">
        <v>47002</v>
      </c>
      <c r="I6194" s="2">
        <v>48412.06</v>
      </c>
    </row>
    <row r="6195" spans="1:9" x14ac:dyDescent="0.25">
      <c r="A6195" t="s">
        <v>3350</v>
      </c>
      <c r="B6195" t="s">
        <v>3351</v>
      </c>
      <c r="C6195" t="s">
        <v>21</v>
      </c>
      <c r="D6195" t="s">
        <v>4049</v>
      </c>
      <c r="E6195" t="s">
        <v>4176</v>
      </c>
      <c r="F6195" t="s">
        <v>4177</v>
      </c>
      <c r="G6195">
        <v>0.1</v>
      </c>
      <c r="H6195" s="2">
        <v>72300.17</v>
      </c>
      <c r="I6195" s="2">
        <v>7230.02</v>
      </c>
    </row>
    <row r="6196" spans="1:9" x14ac:dyDescent="0.25">
      <c r="A6196" t="s">
        <v>3350</v>
      </c>
      <c r="B6196" t="s">
        <v>3351</v>
      </c>
      <c r="C6196" t="s">
        <v>21</v>
      </c>
      <c r="D6196" t="s">
        <v>4049</v>
      </c>
      <c r="E6196" t="s">
        <v>4313</v>
      </c>
      <c r="F6196" t="s">
        <v>4177</v>
      </c>
      <c r="G6196">
        <v>0.1</v>
      </c>
      <c r="H6196" s="2">
        <v>124137.15</v>
      </c>
      <c r="I6196" s="2">
        <v>12413.72</v>
      </c>
    </row>
    <row r="6197" spans="1:9" x14ac:dyDescent="0.25">
      <c r="A6197" t="s">
        <v>3350</v>
      </c>
      <c r="B6197" t="s">
        <v>3351</v>
      </c>
      <c r="C6197" t="s">
        <v>21</v>
      </c>
      <c r="D6197" t="s">
        <v>4052</v>
      </c>
      <c r="E6197" t="s">
        <v>4342</v>
      </c>
      <c r="F6197" t="s">
        <v>287</v>
      </c>
      <c r="G6197">
        <v>0.03</v>
      </c>
      <c r="H6197" s="2">
        <v>8333.33</v>
      </c>
      <c r="I6197" s="2">
        <v>216.67</v>
      </c>
    </row>
    <row r="6198" spans="1:9" x14ac:dyDescent="0.25">
      <c r="A6198" t="s">
        <v>3350</v>
      </c>
      <c r="B6198" t="s">
        <v>3351</v>
      </c>
      <c r="C6198" t="s">
        <v>21</v>
      </c>
      <c r="D6198" t="s">
        <v>4052</v>
      </c>
      <c r="E6198" t="s">
        <v>4053</v>
      </c>
      <c r="F6198" t="s">
        <v>4054</v>
      </c>
      <c r="G6198">
        <v>6.7</v>
      </c>
      <c r="H6198" s="2">
        <v>19643.74</v>
      </c>
      <c r="I6198" s="2">
        <v>1316.13</v>
      </c>
    </row>
    <row r="6199" spans="1:9" x14ac:dyDescent="0.25">
      <c r="A6199" t="s">
        <v>3353</v>
      </c>
      <c r="B6199" t="s">
        <v>3354</v>
      </c>
      <c r="C6199" t="s">
        <v>21</v>
      </c>
      <c r="D6199" t="s">
        <v>4062</v>
      </c>
      <c r="E6199" t="s">
        <v>5821</v>
      </c>
      <c r="F6199" t="s">
        <v>34</v>
      </c>
      <c r="G6199">
        <v>0.05</v>
      </c>
      <c r="H6199" s="2">
        <v>93966.67</v>
      </c>
      <c r="I6199" s="2">
        <v>4698.33</v>
      </c>
    </row>
    <row r="6200" spans="1:9" x14ac:dyDescent="0.25">
      <c r="A6200" t="s">
        <v>3353</v>
      </c>
      <c r="B6200" t="s">
        <v>3354</v>
      </c>
      <c r="C6200" t="s">
        <v>21</v>
      </c>
      <c r="D6200" t="s">
        <v>4062</v>
      </c>
      <c r="E6200" t="s">
        <v>7325</v>
      </c>
      <c r="F6200" t="s">
        <v>21</v>
      </c>
      <c r="G6200">
        <v>1.03</v>
      </c>
      <c r="H6200" s="2">
        <v>25573.73</v>
      </c>
      <c r="I6200" s="2">
        <v>26340.94</v>
      </c>
    </row>
    <row r="6201" spans="1:9" x14ac:dyDescent="0.25">
      <c r="A6201" t="s">
        <v>3353</v>
      </c>
      <c r="B6201" t="s">
        <v>3354</v>
      </c>
      <c r="C6201" t="s">
        <v>21</v>
      </c>
      <c r="D6201" t="s">
        <v>4049</v>
      </c>
      <c r="E6201" t="s">
        <v>4176</v>
      </c>
      <c r="F6201" t="s">
        <v>4177</v>
      </c>
      <c r="G6201">
        <v>0.16</v>
      </c>
      <c r="H6201" s="2">
        <v>72300.17</v>
      </c>
      <c r="I6201" s="2">
        <v>11568.03</v>
      </c>
    </row>
    <row r="6202" spans="1:9" x14ac:dyDescent="0.25">
      <c r="A6202" t="s">
        <v>3353</v>
      </c>
      <c r="B6202" t="s">
        <v>3354</v>
      </c>
      <c r="C6202" t="s">
        <v>21</v>
      </c>
      <c r="D6202" t="s">
        <v>4049</v>
      </c>
      <c r="E6202" t="s">
        <v>4313</v>
      </c>
      <c r="F6202" t="s">
        <v>4177</v>
      </c>
      <c r="G6202">
        <v>0.16</v>
      </c>
      <c r="H6202" s="2">
        <v>124137.15</v>
      </c>
      <c r="I6202" s="2">
        <v>19861.94</v>
      </c>
    </row>
    <row r="6203" spans="1:9" x14ac:dyDescent="0.25">
      <c r="A6203" t="s">
        <v>3353</v>
      </c>
      <c r="B6203" t="s">
        <v>3354</v>
      </c>
      <c r="C6203" t="s">
        <v>21</v>
      </c>
      <c r="D6203" t="s">
        <v>4052</v>
      </c>
      <c r="E6203" t="s">
        <v>4342</v>
      </c>
      <c r="F6203" t="s">
        <v>287</v>
      </c>
      <c r="G6203">
        <v>0.03</v>
      </c>
      <c r="H6203" s="2">
        <v>8333.33</v>
      </c>
      <c r="I6203" s="2">
        <v>216.67</v>
      </c>
    </row>
    <row r="6204" spans="1:9" x14ac:dyDescent="0.25">
      <c r="A6204" t="s">
        <v>3353</v>
      </c>
      <c r="B6204" t="s">
        <v>3354</v>
      </c>
      <c r="C6204" t="s">
        <v>21</v>
      </c>
      <c r="D6204" t="s">
        <v>4052</v>
      </c>
      <c r="E6204" t="s">
        <v>4053</v>
      </c>
      <c r="F6204" t="s">
        <v>4054</v>
      </c>
      <c r="G6204">
        <v>6.7</v>
      </c>
      <c r="H6204" s="2">
        <v>31429.97</v>
      </c>
      <c r="I6204" s="2">
        <v>2105.81</v>
      </c>
    </row>
    <row r="6205" spans="1:9" x14ac:dyDescent="0.25">
      <c r="A6205" t="s">
        <v>3356</v>
      </c>
      <c r="B6205" t="s">
        <v>3358</v>
      </c>
      <c r="C6205" t="s">
        <v>63</v>
      </c>
      <c r="D6205" t="s">
        <v>4062</v>
      </c>
      <c r="E6205" t="s">
        <v>7329</v>
      </c>
      <c r="F6205" t="s">
        <v>63</v>
      </c>
      <c r="G6205">
        <v>1</v>
      </c>
      <c r="H6205" s="2">
        <v>86226.67</v>
      </c>
      <c r="I6205" s="2">
        <v>86226.67</v>
      </c>
    </row>
    <row r="6206" spans="1:9" x14ac:dyDescent="0.25">
      <c r="A6206" t="s">
        <v>3356</v>
      </c>
      <c r="B6206" t="s">
        <v>3358</v>
      </c>
      <c r="C6206" t="s">
        <v>63</v>
      </c>
      <c r="D6206" t="s">
        <v>4062</v>
      </c>
      <c r="E6206" t="s">
        <v>3995</v>
      </c>
      <c r="F6206" t="s">
        <v>34</v>
      </c>
      <c r="G6206">
        <v>0.01</v>
      </c>
      <c r="H6206" s="2">
        <v>378413.54</v>
      </c>
      <c r="I6206" s="2">
        <v>4540.96</v>
      </c>
    </row>
    <row r="6207" spans="1:9" x14ac:dyDescent="0.25">
      <c r="A6207" t="s">
        <v>3356</v>
      </c>
      <c r="B6207" t="s">
        <v>3358</v>
      </c>
      <c r="C6207" t="s">
        <v>63</v>
      </c>
      <c r="D6207" t="s">
        <v>4049</v>
      </c>
      <c r="E6207" t="s">
        <v>4050</v>
      </c>
      <c r="F6207" t="s">
        <v>4051</v>
      </c>
      <c r="G6207">
        <v>1.5</v>
      </c>
      <c r="H6207" s="2">
        <v>9037.33</v>
      </c>
      <c r="I6207" s="2">
        <v>13555.99</v>
      </c>
    </row>
    <row r="6208" spans="1:9" x14ac:dyDescent="0.25">
      <c r="A6208" t="s">
        <v>3356</v>
      </c>
      <c r="B6208" t="s">
        <v>3358</v>
      </c>
      <c r="C6208" t="s">
        <v>63</v>
      </c>
      <c r="D6208" t="s">
        <v>4049</v>
      </c>
      <c r="E6208" t="s">
        <v>4073</v>
      </c>
      <c r="F6208" t="s">
        <v>4051</v>
      </c>
      <c r="G6208">
        <v>1.5</v>
      </c>
      <c r="H6208" s="2">
        <v>15517.89</v>
      </c>
      <c r="I6208" s="2">
        <v>23276.83</v>
      </c>
    </row>
    <row r="6209" spans="1:9" x14ac:dyDescent="0.25">
      <c r="A6209" t="s">
        <v>3360</v>
      </c>
      <c r="B6209" t="s">
        <v>3361</v>
      </c>
      <c r="C6209" t="s">
        <v>63</v>
      </c>
      <c r="D6209" t="s">
        <v>4062</v>
      </c>
      <c r="E6209" t="s">
        <v>4012</v>
      </c>
      <c r="F6209" t="s">
        <v>34</v>
      </c>
      <c r="G6209">
        <v>0.03</v>
      </c>
      <c r="H6209" s="2">
        <v>475506.98</v>
      </c>
      <c r="I6209" s="2">
        <v>14265.21</v>
      </c>
    </row>
    <row r="6210" spans="1:9" x14ac:dyDescent="0.25">
      <c r="A6210" t="s">
        <v>3360</v>
      </c>
      <c r="B6210" t="s">
        <v>3361</v>
      </c>
      <c r="C6210" t="s">
        <v>63</v>
      </c>
      <c r="D6210" t="s">
        <v>4062</v>
      </c>
      <c r="E6210" t="s">
        <v>7332</v>
      </c>
      <c r="F6210" t="s">
        <v>63</v>
      </c>
      <c r="G6210">
        <v>1</v>
      </c>
      <c r="H6210" s="2">
        <v>170092</v>
      </c>
      <c r="I6210" s="2">
        <v>170092</v>
      </c>
    </row>
    <row r="6211" spans="1:9" x14ac:dyDescent="0.25">
      <c r="A6211" t="s">
        <v>3360</v>
      </c>
      <c r="B6211" t="s">
        <v>3361</v>
      </c>
      <c r="C6211" t="s">
        <v>63</v>
      </c>
      <c r="D6211" t="s">
        <v>4049</v>
      </c>
      <c r="E6211" t="s">
        <v>4050</v>
      </c>
      <c r="F6211" t="s">
        <v>4051</v>
      </c>
      <c r="G6211">
        <v>1</v>
      </c>
      <c r="H6211" s="2">
        <v>9037.33</v>
      </c>
      <c r="I6211" s="2">
        <v>9037.33</v>
      </c>
    </row>
    <row r="6212" spans="1:9" x14ac:dyDescent="0.25">
      <c r="A6212" t="s">
        <v>3360</v>
      </c>
      <c r="B6212" t="s">
        <v>3361</v>
      </c>
      <c r="C6212" t="s">
        <v>63</v>
      </c>
      <c r="D6212" t="s">
        <v>4049</v>
      </c>
      <c r="E6212" t="s">
        <v>4073</v>
      </c>
      <c r="F6212" t="s">
        <v>4051</v>
      </c>
      <c r="G6212">
        <v>1</v>
      </c>
      <c r="H6212" s="2">
        <v>15517.89</v>
      </c>
      <c r="I6212" s="2">
        <v>15517.89</v>
      </c>
    </row>
    <row r="6213" spans="1:9" x14ac:dyDescent="0.25">
      <c r="A6213" t="s">
        <v>3363</v>
      </c>
      <c r="B6213" t="s">
        <v>3364</v>
      </c>
      <c r="C6213" t="s">
        <v>63</v>
      </c>
      <c r="D6213" t="s">
        <v>4062</v>
      </c>
      <c r="E6213" t="s">
        <v>7335</v>
      </c>
      <c r="F6213" t="s">
        <v>63</v>
      </c>
      <c r="G6213">
        <v>1</v>
      </c>
      <c r="H6213" s="2">
        <v>87136.67</v>
      </c>
      <c r="I6213" s="2">
        <v>87136.67</v>
      </c>
    </row>
    <row r="6214" spans="1:9" x14ac:dyDescent="0.25">
      <c r="A6214" t="s">
        <v>3363</v>
      </c>
      <c r="B6214" t="s">
        <v>3364</v>
      </c>
      <c r="C6214" t="s">
        <v>63</v>
      </c>
      <c r="D6214" t="s">
        <v>4062</v>
      </c>
      <c r="E6214" t="s">
        <v>3995</v>
      </c>
      <c r="F6214" t="s">
        <v>34</v>
      </c>
      <c r="G6214">
        <v>0.01</v>
      </c>
      <c r="H6214" s="2">
        <v>378413.54</v>
      </c>
      <c r="I6214" s="2">
        <v>4540.96</v>
      </c>
    </row>
    <row r="6215" spans="1:9" x14ac:dyDescent="0.25">
      <c r="A6215" t="s">
        <v>3363</v>
      </c>
      <c r="B6215" t="s">
        <v>3364</v>
      </c>
      <c r="C6215" t="s">
        <v>63</v>
      </c>
      <c r="D6215" t="s">
        <v>4049</v>
      </c>
      <c r="E6215" t="s">
        <v>4050</v>
      </c>
      <c r="F6215" t="s">
        <v>4051</v>
      </c>
      <c r="G6215">
        <v>1</v>
      </c>
      <c r="H6215" s="2">
        <v>9037.33</v>
      </c>
      <c r="I6215" s="2">
        <v>9037.33</v>
      </c>
    </row>
    <row r="6216" spans="1:9" x14ac:dyDescent="0.25">
      <c r="A6216" t="s">
        <v>3363</v>
      </c>
      <c r="B6216" t="s">
        <v>3364</v>
      </c>
      <c r="C6216" t="s">
        <v>63</v>
      </c>
      <c r="D6216" t="s">
        <v>4049</v>
      </c>
      <c r="E6216" t="s">
        <v>4073</v>
      </c>
      <c r="F6216" t="s">
        <v>4051</v>
      </c>
      <c r="G6216">
        <v>1</v>
      </c>
      <c r="H6216" s="2">
        <v>15517.89</v>
      </c>
      <c r="I6216" s="2">
        <v>15517.89</v>
      </c>
    </row>
    <row r="6217" spans="1:9" x14ac:dyDescent="0.25">
      <c r="A6217" t="s">
        <v>3366</v>
      </c>
      <c r="B6217" t="s">
        <v>3367</v>
      </c>
      <c r="C6217" t="s">
        <v>63</v>
      </c>
      <c r="D6217" t="s">
        <v>4062</v>
      </c>
      <c r="E6217" t="s">
        <v>7338</v>
      </c>
      <c r="F6217" t="s">
        <v>63</v>
      </c>
      <c r="G6217">
        <v>1</v>
      </c>
      <c r="H6217" s="2">
        <v>170000</v>
      </c>
      <c r="I6217" s="2">
        <v>170000</v>
      </c>
    </row>
    <row r="6218" spans="1:9" x14ac:dyDescent="0.25">
      <c r="A6218" t="s">
        <v>3366</v>
      </c>
      <c r="B6218" t="s">
        <v>3367</v>
      </c>
      <c r="C6218" t="s">
        <v>63</v>
      </c>
      <c r="D6218" t="s">
        <v>4062</v>
      </c>
      <c r="E6218" t="s">
        <v>3995</v>
      </c>
      <c r="F6218" t="s">
        <v>34</v>
      </c>
      <c r="G6218">
        <v>0.06</v>
      </c>
      <c r="H6218" s="2">
        <v>378413.54</v>
      </c>
      <c r="I6218" s="2">
        <v>22704.81</v>
      </c>
    </row>
    <row r="6219" spans="1:9" x14ac:dyDescent="0.25">
      <c r="A6219" t="s">
        <v>3366</v>
      </c>
      <c r="B6219" t="s">
        <v>3367</v>
      </c>
      <c r="C6219" t="s">
        <v>63</v>
      </c>
      <c r="D6219" t="s">
        <v>4049</v>
      </c>
      <c r="E6219" t="s">
        <v>4050</v>
      </c>
      <c r="F6219" t="s">
        <v>4051</v>
      </c>
      <c r="G6219">
        <v>1.5</v>
      </c>
      <c r="H6219" s="2">
        <v>9037.33</v>
      </c>
      <c r="I6219" s="2">
        <v>13555.99</v>
      </c>
    </row>
    <row r="6220" spans="1:9" x14ac:dyDescent="0.25">
      <c r="A6220" t="s">
        <v>3366</v>
      </c>
      <c r="B6220" t="s">
        <v>3367</v>
      </c>
      <c r="C6220" t="s">
        <v>63</v>
      </c>
      <c r="D6220" t="s">
        <v>4049</v>
      </c>
      <c r="E6220" t="s">
        <v>4073</v>
      </c>
      <c r="F6220" t="s">
        <v>4051</v>
      </c>
      <c r="G6220">
        <v>1.5</v>
      </c>
      <c r="H6220" s="2">
        <v>15517.89</v>
      </c>
      <c r="I6220" s="2">
        <v>23276.83</v>
      </c>
    </row>
    <row r="6221" spans="1:9" x14ac:dyDescent="0.25">
      <c r="A6221" t="s">
        <v>3366</v>
      </c>
      <c r="B6221" t="s">
        <v>3367</v>
      </c>
      <c r="C6221" t="s">
        <v>63</v>
      </c>
      <c r="D6221" t="s">
        <v>4052</v>
      </c>
      <c r="E6221" t="s">
        <v>4251</v>
      </c>
      <c r="F6221" t="s">
        <v>287</v>
      </c>
      <c r="G6221">
        <v>0.2</v>
      </c>
      <c r="H6221" s="2">
        <v>48758.93</v>
      </c>
      <c r="I6221" s="2">
        <v>9751.79</v>
      </c>
    </row>
    <row r="6222" spans="1:9" x14ac:dyDescent="0.25">
      <c r="A6222" t="s">
        <v>3369</v>
      </c>
      <c r="B6222" t="s">
        <v>3370</v>
      </c>
      <c r="C6222" t="s">
        <v>42</v>
      </c>
      <c r="D6222" t="s">
        <v>4062</v>
      </c>
      <c r="E6222" t="s">
        <v>5905</v>
      </c>
      <c r="F6222" t="s">
        <v>42</v>
      </c>
      <c r="G6222">
        <v>1</v>
      </c>
      <c r="H6222" s="2">
        <v>20466.67</v>
      </c>
      <c r="I6222" s="2">
        <v>20466.67</v>
      </c>
    </row>
    <row r="6223" spans="1:9" x14ac:dyDescent="0.25">
      <c r="A6223" t="s">
        <v>3369</v>
      </c>
      <c r="B6223" t="s">
        <v>3370</v>
      </c>
      <c r="C6223" t="s">
        <v>42</v>
      </c>
      <c r="D6223" t="s">
        <v>4062</v>
      </c>
      <c r="E6223" t="s">
        <v>3978</v>
      </c>
      <c r="F6223" t="s">
        <v>34</v>
      </c>
      <c r="G6223">
        <v>0.04</v>
      </c>
      <c r="H6223" s="2">
        <v>409741.65</v>
      </c>
      <c r="I6223" s="2">
        <v>16389.67</v>
      </c>
    </row>
    <row r="6224" spans="1:9" x14ac:dyDescent="0.25">
      <c r="A6224" t="s">
        <v>3369</v>
      </c>
      <c r="B6224" t="s">
        <v>3370</v>
      </c>
      <c r="C6224" t="s">
        <v>42</v>
      </c>
      <c r="D6224" t="s">
        <v>4049</v>
      </c>
      <c r="E6224" t="s">
        <v>4050</v>
      </c>
      <c r="F6224" t="s">
        <v>4051</v>
      </c>
      <c r="G6224">
        <v>1</v>
      </c>
      <c r="H6224" s="2">
        <v>9037.33</v>
      </c>
      <c r="I6224" s="2">
        <v>9037.33</v>
      </c>
    </row>
    <row r="6225" spans="1:9" x14ac:dyDescent="0.25">
      <c r="A6225" t="s">
        <v>3369</v>
      </c>
      <c r="B6225" t="s">
        <v>3370</v>
      </c>
      <c r="C6225" t="s">
        <v>42</v>
      </c>
      <c r="D6225" t="s">
        <v>4049</v>
      </c>
      <c r="E6225" t="s">
        <v>4073</v>
      </c>
      <c r="F6225" t="s">
        <v>4051</v>
      </c>
      <c r="G6225">
        <v>1</v>
      </c>
      <c r="H6225" s="2">
        <v>15517.89</v>
      </c>
      <c r="I6225" s="2">
        <v>15517.89</v>
      </c>
    </row>
    <row r="6226" spans="1:9" x14ac:dyDescent="0.25">
      <c r="A6226" t="s">
        <v>3372</v>
      </c>
      <c r="B6226" t="s">
        <v>3373</v>
      </c>
      <c r="C6226" t="s">
        <v>42</v>
      </c>
      <c r="D6226" t="s">
        <v>4062</v>
      </c>
      <c r="E6226" t="s">
        <v>3373</v>
      </c>
      <c r="F6226" t="s">
        <v>63</v>
      </c>
      <c r="G6226">
        <v>1.25</v>
      </c>
      <c r="H6226" s="2">
        <v>127746.67</v>
      </c>
      <c r="I6226" s="2">
        <v>159683.34</v>
      </c>
    </row>
    <row r="6227" spans="1:9" x14ac:dyDescent="0.25">
      <c r="A6227" t="s">
        <v>3372</v>
      </c>
      <c r="B6227" t="s">
        <v>3373</v>
      </c>
      <c r="C6227" t="s">
        <v>42</v>
      </c>
      <c r="D6227" t="s">
        <v>4062</v>
      </c>
      <c r="E6227" t="s">
        <v>3978</v>
      </c>
      <c r="F6227" t="s">
        <v>34</v>
      </c>
      <c r="G6227">
        <v>0.02</v>
      </c>
      <c r="H6227" s="2">
        <v>409741.65</v>
      </c>
      <c r="I6227" s="2">
        <v>8194.83</v>
      </c>
    </row>
    <row r="6228" spans="1:9" x14ac:dyDescent="0.25">
      <c r="A6228" t="s">
        <v>3372</v>
      </c>
      <c r="B6228" t="s">
        <v>3373</v>
      </c>
      <c r="C6228" t="s">
        <v>42</v>
      </c>
      <c r="D6228" t="s">
        <v>4049</v>
      </c>
      <c r="E6228" t="s">
        <v>4050</v>
      </c>
      <c r="F6228" t="s">
        <v>4051</v>
      </c>
      <c r="G6228">
        <v>0.5</v>
      </c>
      <c r="H6228" s="2">
        <v>9037.33</v>
      </c>
      <c r="I6228" s="2">
        <v>4518.66</v>
      </c>
    </row>
    <row r="6229" spans="1:9" x14ac:dyDescent="0.25">
      <c r="A6229" t="s">
        <v>3372</v>
      </c>
      <c r="B6229" t="s">
        <v>3373</v>
      </c>
      <c r="C6229" t="s">
        <v>42</v>
      </c>
      <c r="D6229" t="s">
        <v>4049</v>
      </c>
      <c r="E6229" t="s">
        <v>4073</v>
      </c>
      <c r="F6229" t="s">
        <v>4051</v>
      </c>
      <c r="G6229">
        <v>0.5</v>
      </c>
      <c r="H6229" s="2">
        <v>15517.89</v>
      </c>
      <c r="I6229" s="2">
        <v>7758.94</v>
      </c>
    </row>
    <row r="6230" spans="1:9" x14ac:dyDescent="0.25">
      <c r="A6230" t="s">
        <v>3375</v>
      </c>
      <c r="B6230" t="s">
        <v>3376</v>
      </c>
      <c r="C6230" t="s">
        <v>42</v>
      </c>
      <c r="D6230" t="s">
        <v>4062</v>
      </c>
      <c r="E6230" t="s">
        <v>3373</v>
      </c>
      <c r="F6230" t="s">
        <v>63</v>
      </c>
      <c r="G6230">
        <v>1.25</v>
      </c>
      <c r="H6230" s="2">
        <v>127746.67</v>
      </c>
      <c r="I6230" s="2">
        <v>159683.34</v>
      </c>
    </row>
    <row r="6231" spans="1:9" x14ac:dyDescent="0.25">
      <c r="A6231" t="s">
        <v>3375</v>
      </c>
      <c r="B6231" t="s">
        <v>3376</v>
      </c>
      <c r="C6231" t="s">
        <v>42</v>
      </c>
      <c r="D6231" t="s">
        <v>4062</v>
      </c>
      <c r="E6231" t="s">
        <v>3978</v>
      </c>
      <c r="F6231" t="s">
        <v>34</v>
      </c>
      <c r="G6231">
        <v>0.02</v>
      </c>
      <c r="H6231" s="2">
        <v>409741.65</v>
      </c>
      <c r="I6231" s="2">
        <v>8194.83</v>
      </c>
    </row>
    <row r="6232" spans="1:9" x14ac:dyDescent="0.25">
      <c r="A6232" t="s">
        <v>3375</v>
      </c>
      <c r="B6232" t="s">
        <v>3376</v>
      </c>
      <c r="C6232" t="s">
        <v>42</v>
      </c>
      <c r="D6232" t="s">
        <v>4049</v>
      </c>
      <c r="E6232" t="s">
        <v>4050</v>
      </c>
      <c r="F6232" t="s">
        <v>4051</v>
      </c>
      <c r="G6232">
        <v>0.5</v>
      </c>
      <c r="H6232" s="2">
        <v>9037.33</v>
      </c>
      <c r="I6232" s="2">
        <v>4518.66</v>
      </c>
    </row>
    <row r="6233" spans="1:9" x14ac:dyDescent="0.25">
      <c r="A6233" t="s">
        <v>3375</v>
      </c>
      <c r="B6233" t="s">
        <v>3376</v>
      </c>
      <c r="C6233" t="s">
        <v>42</v>
      </c>
      <c r="D6233" t="s">
        <v>4049</v>
      </c>
      <c r="E6233" t="s">
        <v>4073</v>
      </c>
      <c r="F6233" t="s">
        <v>4051</v>
      </c>
      <c r="G6233">
        <v>0.5</v>
      </c>
      <c r="H6233" s="2">
        <v>15517.89</v>
      </c>
      <c r="I6233" s="2">
        <v>7758.94</v>
      </c>
    </row>
    <row r="6234" spans="1:9" x14ac:dyDescent="0.25">
      <c r="A6234" t="s">
        <v>3375</v>
      </c>
      <c r="B6234" t="s">
        <v>3376</v>
      </c>
      <c r="C6234" t="s">
        <v>42</v>
      </c>
      <c r="D6234" t="s">
        <v>4052</v>
      </c>
      <c r="E6234" t="s">
        <v>4251</v>
      </c>
      <c r="F6234" t="s">
        <v>287</v>
      </c>
      <c r="G6234">
        <v>0.1</v>
      </c>
      <c r="H6234" s="2">
        <v>48758.93</v>
      </c>
      <c r="I6234" s="2">
        <v>4875.89</v>
      </c>
    </row>
    <row r="6235" spans="1:9" x14ac:dyDescent="0.25">
      <c r="A6235" t="s">
        <v>3378</v>
      </c>
      <c r="B6235" t="s">
        <v>3379</v>
      </c>
      <c r="C6235" t="s">
        <v>42</v>
      </c>
      <c r="D6235" t="s">
        <v>4062</v>
      </c>
      <c r="E6235" t="s">
        <v>4001</v>
      </c>
      <c r="F6235" t="s">
        <v>34</v>
      </c>
      <c r="G6235">
        <v>0.01</v>
      </c>
      <c r="H6235" s="2">
        <v>450245.66</v>
      </c>
      <c r="I6235" s="2">
        <v>4502.46</v>
      </c>
    </row>
    <row r="6236" spans="1:9" x14ac:dyDescent="0.25">
      <c r="A6236" t="s">
        <v>3378</v>
      </c>
      <c r="B6236" t="s">
        <v>3379</v>
      </c>
      <c r="C6236" t="s">
        <v>42</v>
      </c>
      <c r="D6236" t="s">
        <v>4049</v>
      </c>
      <c r="E6236" t="s">
        <v>4050</v>
      </c>
      <c r="F6236" t="s">
        <v>4051</v>
      </c>
      <c r="G6236">
        <v>0.55</v>
      </c>
      <c r="H6236" s="2">
        <v>9037.33</v>
      </c>
      <c r="I6236" s="2">
        <v>4970.53</v>
      </c>
    </row>
    <row r="6237" spans="1:9" x14ac:dyDescent="0.25">
      <c r="A6237" t="s">
        <v>3378</v>
      </c>
      <c r="B6237" t="s">
        <v>3379</v>
      </c>
      <c r="C6237" t="s">
        <v>42</v>
      </c>
      <c r="D6237" t="s">
        <v>4049</v>
      </c>
      <c r="E6237" t="s">
        <v>4073</v>
      </c>
      <c r="F6237" t="s">
        <v>4051</v>
      </c>
      <c r="G6237">
        <v>0.55</v>
      </c>
      <c r="H6237" s="2">
        <v>15517.89</v>
      </c>
      <c r="I6237" s="2">
        <v>8534.84</v>
      </c>
    </row>
    <row r="6238" spans="1:9" x14ac:dyDescent="0.25">
      <c r="A6238" t="s">
        <v>3378</v>
      </c>
      <c r="B6238" t="s">
        <v>3379</v>
      </c>
      <c r="C6238" t="s">
        <v>42</v>
      </c>
      <c r="D6238" t="s">
        <v>4052</v>
      </c>
      <c r="E6238" t="s">
        <v>5857</v>
      </c>
      <c r="F6238" t="s">
        <v>4106</v>
      </c>
      <c r="G6238">
        <v>0.82</v>
      </c>
      <c r="H6238" s="2">
        <v>1250</v>
      </c>
      <c r="I6238" s="2">
        <v>1025</v>
      </c>
    </row>
    <row r="6239" spans="1:9" x14ac:dyDescent="0.25">
      <c r="A6239" t="s">
        <v>3381</v>
      </c>
      <c r="B6239" t="s">
        <v>3382</v>
      </c>
      <c r="C6239" t="s">
        <v>42</v>
      </c>
      <c r="D6239" t="s">
        <v>4062</v>
      </c>
      <c r="E6239" t="s">
        <v>4001</v>
      </c>
      <c r="F6239" t="s">
        <v>34</v>
      </c>
      <c r="G6239">
        <v>0.08</v>
      </c>
      <c r="H6239" s="2">
        <v>450245.66</v>
      </c>
      <c r="I6239" s="2">
        <v>36019.65</v>
      </c>
    </row>
    <row r="6240" spans="1:9" x14ac:dyDescent="0.25">
      <c r="A6240" t="s">
        <v>3381</v>
      </c>
      <c r="B6240" t="s">
        <v>3382</v>
      </c>
      <c r="C6240" t="s">
        <v>42</v>
      </c>
      <c r="D6240" t="s">
        <v>4049</v>
      </c>
      <c r="E6240" t="s">
        <v>4050</v>
      </c>
      <c r="F6240" t="s">
        <v>4051</v>
      </c>
      <c r="G6240">
        <v>0.79</v>
      </c>
      <c r="H6240" s="2">
        <v>9037.33</v>
      </c>
      <c r="I6240" s="2">
        <v>7139.49</v>
      </c>
    </row>
    <row r="6241" spans="1:9" x14ac:dyDescent="0.25">
      <c r="A6241" t="s">
        <v>3381</v>
      </c>
      <c r="B6241" t="s">
        <v>3382</v>
      </c>
      <c r="C6241" t="s">
        <v>42</v>
      </c>
      <c r="D6241" t="s">
        <v>4049</v>
      </c>
      <c r="E6241" t="s">
        <v>4073</v>
      </c>
      <c r="F6241" t="s">
        <v>4051</v>
      </c>
      <c r="G6241">
        <v>0.79</v>
      </c>
      <c r="H6241" s="2">
        <v>15517.89</v>
      </c>
      <c r="I6241" s="2">
        <v>12259.13</v>
      </c>
    </row>
    <row r="6242" spans="1:9" x14ac:dyDescent="0.25">
      <c r="A6242" t="s">
        <v>3381</v>
      </c>
      <c r="B6242" t="s">
        <v>3382</v>
      </c>
      <c r="C6242" t="s">
        <v>42</v>
      </c>
      <c r="D6242" t="s">
        <v>4052</v>
      </c>
      <c r="E6242" t="s">
        <v>5857</v>
      </c>
      <c r="F6242" t="s">
        <v>4106</v>
      </c>
      <c r="G6242">
        <v>0.82</v>
      </c>
      <c r="H6242" s="2">
        <v>1250</v>
      </c>
      <c r="I6242" s="2">
        <v>1025</v>
      </c>
    </row>
    <row r="6243" spans="1:9" x14ac:dyDescent="0.25">
      <c r="A6243" t="s">
        <v>3384</v>
      </c>
      <c r="B6243" t="s">
        <v>3385</v>
      </c>
      <c r="C6243" t="s">
        <v>42</v>
      </c>
      <c r="D6243" t="s">
        <v>4062</v>
      </c>
      <c r="E6243" t="s">
        <v>3984</v>
      </c>
      <c r="F6243" t="s">
        <v>34</v>
      </c>
      <c r="G6243">
        <v>0.01</v>
      </c>
      <c r="H6243" s="2">
        <v>336476.65</v>
      </c>
      <c r="I6243" s="2">
        <v>3364.77</v>
      </c>
    </row>
    <row r="6244" spans="1:9" x14ac:dyDescent="0.25">
      <c r="A6244" t="s">
        <v>3384</v>
      </c>
      <c r="B6244" t="s">
        <v>3385</v>
      </c>
      <c r="C6244" t="s">
        <v>42</v>
      </c>
      <c r="D6244" t="s">
        <v>4062</v>
      </c>
      <c r="E6244" t="s">
        <v>7351</v>
      </c>
      <c r="F6244" t="s">
        <v>63</v>
      </c>
      <c r="G6244">
        <v>1.25</v>
      </c>
      <c r="H6244" s="2">
        <v>25104</v>
      </c>
      <c r="I6244" s="2">
        <v>31380</v>
      </c>
    </row>
    <row r="6245" spans="1:9" x14ac:dyDescent="0.25">
      <c r="A6245" t="s">
        <v>3384</v>
      </c>
      <c r="B6245" t="s">
        <v>3385</v>
      </c>
      <c r="C6245" t="s">
        <v>42</v>
      </c>
      <c r="D6245" t="s">
        <v>4049</v>
      </c>
      <c r="E6245" t="s">
        <v>4050</v>
      </c>
      <c r="F6245" t="s">
        <v>4051</v>
      </c>
      <c r="G6245">
        <v>0.75</v>
      </c>
      <c r="H6245" s="2">
        <v>9037.33</v>
      </c>
      <c r="I6245" s="2">
        <v>6778</v>
      </c>
    </row>
    <row r="6246" spans="1:9" x14ac:dyDescent="0.25">
      <c r="A6246" t="s">
        <v>3384</v>
      </c>
      <c r="B6246" t="s">
        <v>3385</v>
      </c>
      <c r="C6246" t="s">
        <v>42</v>
      </c>
      <c r="D6246" t="s">
        <v>4049</v>
      </c>
      <c r="E6246" t="s">
        <v>4073</v>
      </c>
      <c r="F6246" t="s">
        <v>4051</v>
      </c>
      <c r="G6246">
        <v>0.75</v>
      </c>
      <c r="H6246" s="2">
        <v>15517.89</v>
      </c>
      <c r="I6246" s="2">
        <v>11638.42</v>
      </c>
    </row>
    <row r="6247" spans="1:9" x14ac:dyDescent="0.25">
      <c r="A6247" t="s">
        <v>3387</v>
      </c>
      <c r="B6247" t="s">
        <v>3388</v>
      </c>
      <c r="C6247" t="s">
        <v>34</v>
      </c>
      <c r="D6247" t="s">
        <v>4062</v>
      </c>
      <c r="E6247" t="s">
        <v>4298</v>
      </c>
      <c r="F6247" t="s">
        <v>42</v>
      </c>
      <c r="G6247">
        <v>0.3</v>
      </c>
      <c r="H6247" s="2">
        <v>6466.67</v>
      </c>
      <c r="I6247" s="2">
        <v>1940</v>
      </c>
    </row>
    <row r="6248" spans="1:9" x14ac:dyDescent="0.25">
      <c r="A6248" t="s">
        <v>3387</v>
      </c>
      <c r="B6248" t="s">
        <v>3388</v>
      </c>
      <c r="C6248" t="s">
        <v>34</v>
      </c>
      <c r="D6248" t="s">
        <v>4062</v>
      </c>
      <c r="E6248" t="s">
        <v>4001</v>
      </c>
      <c r="F6248" t="s">
        <v>34</v>
      </c>
      <c r="G6248">
        <v>1.03</v>
      </c>
      <c r="H6248" s="2">
        <v>450245.66</v>
      </c>
      <c r="I6248" s="2">
        <v>463753.03</v>
      </c>
    </row>
    <row r="6249" spans="1:9" x14ac:dyDescent="0.25">
      <c r="A6249" t="s">
        <v>3387</v>
      </c>
      <c r="B6249" t="s">
        <v>3388</v>
      </c>
      <c r="C6249" t="s">
        <v>34</v>
      </c>
      <c r="D6249" t="s">
        <v>4062</v>
      </c>
      <c r="E6249" t="s">
        <v>4072</v>
      </c>
      <c r="F6249" t="s">
        <v>4066</v>
      </c>
      <c r="G6249">
        <v>0.25</v>
      </c>
      <c r="H6249" s="2">
        <v>3150</v>
      </c>
      <c r="I6249" s="2">
        <v>787.5</v>
      </c>
    </row>
    <row r="6250" spans="1:9" x14ac:dyDescent="0.25">
      <c r="A6250" t="s">
        <v>3387</v>
      </c>
      <c r="B6250" t="s">
        <v>3388</v>
      </c>
      <c r="C6250" t="s">
        <v>34</v>
      </c>
      <c r="D6250" t="s">
        <v>4062</v>
      </c>
      <c r="E6250" t="s">
        <v>4322</v>
      </c>
      <c r="F6250" t="s">
        <v>42</v>
      </c>
      <c r="G6250">
        <v>5</v>
      </c>
      <c r="H6250" s="2">
        <v>5304</v>
      </c>
      <c r="I6250" s="2">
        <v>26520</v>
      </c>
    </row>
    <row r="6251" spans="1:9" x14ac:dyDescent="0.25">
      <c r="A6251" t="s">
        <v>3387</v>
      </c>
      <c r="B6251" t="s">
        <v>3388</v>
      </c>
      <c r="C6251" t="s">
        <v>34</v>
      </c>
      <c r="D6251" t="s">
        <v>4049</v>
      </c>
      <c r="E6251" t="s">
        <v>4176</v>
      </c>
      <c r="F6251" t="s">
        <v>4177</v>
      </c>
      <c r="G6251">
        <v>0.2</v>
      </c>
      <c r="H6251" s="2">
        <v>72300.17</v>
      </c>
      <c r="I6251" s="2">
        <v>14460.03</v>
      </c>
    </row>
    <row r="6252" spans="1:9" x14ac:dyDescent="0.25">
      <c r="A6252" t="s">
        <v>3387</v>
      </c>
      <c r="B6252" t="s">
        <v>3388</v>
      </c>
      <c r="C6252" t="s">
        <v>34</v>
      </c>
      <c r="D6252" t="s">
        <v>4049</v>
      </c>
      <c r="E6252" t="s">
        <v>4313</v>
      </c>
      <c r="F6252" t="s">
        <v>4177</v>
      </c>
      <c r="G6252">
        <v>0.1</v>
      </c>
      <c r="H6252" s="2">
        <v>124137.15</v>
      </c>
      <c r="I6252" s="2">
        <v>12413.72</v>
      </c>
    </row>
    <row r="6253" spans="1:9" x14ac:dyDescent="0.25">
      <c r="A6253" t="s">
        <v>3387</v>
      </c>
      <c r="B6253" t="s">
        <v>3388</v>
      </c>
      <c r="C6253" t="s">
        <v>34</v>
      </c>
      <c r="D6253" t="s">
        <v>4052</v>
      </c>
      <c r="E6253" t="s">
        <v>4053</v>
      </c>
      <c r="F6253" t="s">
        <v>4054</v>
      </c>
      <c r="G6253">
        <v>3.3</v>
      </c>
      <c r="H6253" s="2">
        <v>26873.75</v>
      </c>
      <c r="I6253" s="2">
        <v>886.83</v>
      </c>
    </row>
    <row r="6254" spans="1:9" x14ac:dyDescent="0.25">
      <c r="A6254" t="s">
        <v>3390</v>
      </c>
      <c r="B6254" t="s">
        <v>3391</v>
      </c>
      <c r="C6254" t="s">
        <v>34</v>
      </c>
      <c r="D6254" t="s">
        <v>4062</v>
      </c>
      <c r="E6254" t="s">
        <v>4001</v>
      </c>
      <c r="F6254" t="s">
        <v>34</v>
      </c>
      <c r="G6254">
        <v>1.03</v>
      </c>
      <c r="H6254" s="2">
        <v>450245.66</v>
      </c>
      <c r="I6254" s="2">
        <v>463753.03</v>
      </c>
    </row>
    <row r="6255" spans="1:9" x14ac:dyDescent="0.25">
      <c r="A6255" t="s">
        <v>3390</v>
      </c>
      <c r="B6255" t="s">
        <v>3391</v>
      </c>
      <c r="C6255" t="s">
        <v>34</v>
      </c>
      <c r="D6255" t="s">
        <v>4049</v>
      </c>
      <c r="E6255" t="s">
        <v>4176</v>
      </c>
      <c r="F6255" t="s">
        <v>4177</v>
      </c>
      <c r="G6255">
        <v>1</v>
      </c>
      <c r="H6255" s="2">
        <v>72300.17</v>
      </c>
      <c r="I6255" s="2">
        <v>72300.17</v>
      </c>
    </row>
    <row r="6256" spans="1:9" x14ac:dyDescent="0.25">
      <c r="A6256" t="s">
        <v>3390</v>
      </c>
      <c r="B6256" t="s">
        <v>3391</v>
      </c>
      <c r="C6256" t="s">
        <v>34</v>
      </c>
      <c r="D6256" t="s">
        <v>4049</v>
      </c>
      <c r="E6256" t="s">
        <v>4313</v>
      </c>
      <c r="F6256" t="s">
        <v>4177</v>
      </c>
      <c r="G6256">
        <v>0.25</v>
      </c>
      <c r="H6256" s="2">
        <v>124137.15</v>
      </c>
      <c r="I6256" s="2">
        <v>31034.29</v>
      </c>
    </row>
    <row r="6257" spans="1:9" x14ac:dyDescent="0.25">
      <c r="A6257" t="s">
        <v>3390</v>
      </c>
      <c r="B6257" t="s">
        <v>3391</v>
      </c>
      <c r="C6257" t="s">
        <v>34</v>
      </c>
      <c r="D6257" t="s">
        <v>4052</v>
      </c>
      <c r="E6257" t="s">
        <v>7356</v>
      </c>
      <c r="F6257" t="s">
        <v>42</v>
      </c>
      <c r="G6257">
        <v>12.5</v>
      </c>
      <c r="H6257" s="2">
        <v>2108.3</v>
      </c>
      <c r="I6257" s="2">
        <v>26353.75</v>
      </c>
    </row>
    <row r="6258" spans="1:9" x14ac:dyDescent="0.25">
      <c r="A6258" t="s">
        <v>3390</v>
      </c>
      <c r="B6258" t="s">
        <v>3391</v>
      </c>
      <c r="C6258" t="s">
        <v>34</v>
      </c>
      <c r="D6258" t="s">
        <v>4052</v>
      </c>
      <c r="E6258" t="s">
        <v>4053</v>
      </c>
      <c r="F6258" t="s">
        <v>4054</v>
      </c>
      <c r="G6258">
        <v>3.3</v>
      </c>
      <c r="H6258" s="2">
        <v>103334.46</v>
      </c>
      <c r="I6258" s="2">
        <v>3410.04</v>
      </c>
    </row>
    <row r="6259" spans="1:9" x14ac:dyDescent="0.25">
      <c r="A6259" t="s">
        <v>3393</v>
      </c>
      <c r="B6259" t="s">
        <v>3394</v>
      </c>
      <c r="C6259" t="s">
        <v>21</v>
      </c>
      <c r="D6259" t="s">
        <v>4062</v>
      </c>
      <c r="E6259" t="s">
        <v>5816</v>
      </c>
      <c r="F6259" t="s">
        <v>34</v>
      </c>
      <c r="G6259">
        <v>0.2</v>
      </c>
      <c r="H6259" s="2">
        <v>93966.67</v>
      </c>
      <c r="I6259" s="2">
        <v>18793.33</v>
      </c>
    </row>
    <row r="6260" spans="1:9" x14ac:dyDescent="0.25">
      <c r="A6260" t="s">
        <v>3393</v>
      </c>
      <c r="B6260" t="s">
        <v>3394</v>
      </c>
      <c r="C6260" t="s">
        <v>21</v>
      </c>
      <c r="D6260" t="s">
        <v>4062</v>
      </c>
      <c r="E6260" t="s">
        <v>7359</v>
      </c>
      <c r="F6260" t="s">
        <v>21</v>
      </c>
      <c r="G6260">
        <v>1</v>
      </c>
      <c r="H6260" s="2">
        <v>35333.33</v>
      </c>
      <c r="I6260" s="2">
        <v>35333.33</v>
      </c>
    </row>
    <row r="6261" spans="1:9" x14ac:dyDescent="0.25">
      <c r="A6261" t="s">
        <v>3393</v>
      </c>
      <c r="B6261" t="s">
        <v>3394</v>
      </c>
      <c r="C6261" t="s">
        <v>21</v>
      </c>
      <c r="D6261" t="s">
        <v>4062</v>
      </c>
      <c r="E6261" t="s">
        <v>3978</v>
      </c>
      <c r="F6261" t="s">
        <v>34</v>
      </c>
      <c r="G6261">
        <v>0.03</v>
      </c>
      <c r="H6261" s="2">
        <v>409741.65</v>
      </c>
      <c r="I6261" s="2">
        <v>12292.25</v>
      </c>
    </row>
    <row r="6262" spans="1:9" x14ac:dyDescent="0.25">
      <c r="A6262" t="s">
        <v>3393</v>
      </c>
      <c r="B6262" t="s">
        <v>3394</v>
      </c>
      <c r="C6262" t="s">
        <v>21</v>
      </c>
      <c r="D6262" t="s">
        <v>4049</v>
      </c>
      <c r="E6262" t="s">
        <v>4050</v>
      </c>
      <c r="F6262" t="s">
        <v>4051</v>
      </c>
      <c r="G6262">
        <v>0.6</v>
      </c>
      <c r="H6262" s="2">
        <v>9037.33</v>
      </c>
      <c r="I6262" s="2">
        <v>5422.4</v>
      </c>
    </row>
    <row r="6263" spans="1:9" x14ac:dyDescent="0.25">
      <c r="A6263" t="s">
        <v>3393</v>
      </c>
      <c r="B6263" t="s">
        <v>3394</v>
      </c>
      <c r="C6263" t="s">
        <v>21</v>
      </c>
      <c r="D6263" t="s">
        <v>4049</v>
      </c>
      <c r="E6263" t="s">
        <v>4073</v>
      </c>
      <c r="F6263" t="s">
        <v>4051</v>
      </c>
      <c r="G6263">
        <v>0.6</v>
      </c>
      <c r="H6263" s="2">
        <v>15517.89</v>
      </c>
      <c r="I6263" s="2">
        <v>9310.73</v>
      </c>
    </row>
    <row r="6264" spans="1:9" x14ac:dyDescent="0.25">
      <c r="A6264" t="s">
        <v>3396</v>
      </c>
      <c r="B6264" t="s">
        <v>3397</v>
      </c>
      <c r="C6264" t="s">
        <v>21</v>
      </c>
      <c r="D6264" t="s">
        <v>4062</v>
      </c>
      <c r="E6264" t="s">
        <v>4587</v>
      </c>
      <c r="F6264" t="s">
        <v>34</v>
      </c>
      <c r="G6264">
        <v>0.04</v>
      </c>
      <c r="H6264" s="2">
        <v>82125</v>
      </c>
      <c r="I6264" s="2">
        <v>3285</v>
      </c>
    </row>
    <row r="6265" spans="1:9" x14ac:dyDescent="0.25">
      <c r="A6265" t="s">
        <v>3396</v>
      </c>
      <c r="B6265" t="s">
        <v>3397</v>
      </c>
      <c r="C6265" t="s">
        <v>21</v>
      </c>
      <c r="D6265" t="s">
        <v>4062</v>
      </c>
      <c r="E6265" t="s">
        <v>7362</v>
      </c>
      <c r="F6265" t="s">
        <v>21</v>
      </c>
      <c r="G6265">
        <v>1</v>
      </c>
      <c r="H6265" s="2">
        <v>58649</v>
      </c>
      <c r="I6265" s="2">
        <v>58649</v>
      </c>
    </row>
    <row r="6266" spans="1:9" x14ac:dyDescent="0.25">
      <c r="A6266" t="s">
        <v>3396</v>
      </c>
      <c r="B6266" t="s">
        <v>3397</v>
      </c>
      <c r="C6266" t="s">
        <v>21</v>
      </c>
      <c r="D6266" t="s">
        <v>4062</v>
      </c>
      <c r="E6266" t="s">
        <v>3978</v>
      </c>
      <c r="F6266" t="s">
        <v>34</v>
      </c>
      <c r="G6266">
        <v>0.01</v>
      </c>
      <c r="H6266" s="2">
        <v>409741.65</v>
      </c>
      <c r="I6266" s="2">
        <v>4097.42</v>
      </c>
    </row>
    <row r="6267" spans="1:9" x14ac:dyDescent="0.25">
      <c r="A6267" t="s">
        <v>3396</v>
      </c>
      <c r="B6267" t="s">
        <v>3397</v>
      </c>
      <c r="C6267" t="s">
        <v>21</v>
      </c>
      <c r="D6267" t="s">
        <v>4049</v>
      </c>
      <c r="E6267" t="s">
        <v>4050</v>
      </c>
      <c r="F6267" t="s">
        <v>4051</v>
      </c>
      <c r="G6267">
        <v>0.7</v>
      </c>
      <c r="H6267" s="2">
        <v>9037.33</v>
      </c>
      <c r="I6267" s="2">
        <v>6326.13</v>
      </c>
    </row>
    <row r="6268" spans="1:9" x14ac:dyDescent="0.25">
      <c r="A6268" t="s">
        <v>3396</v>
      </c>
      <c r="B6268" t="s">
        <v>3397</v>
      </c>
      <c r="C6268" t="s">
        <v>21</v>
      </c>
      <c r="D6268" t="s">
        <v>4049</v>
      </c>
      <c r="E6268" t="s">
        <v>4073</v>
      </c>
      <c r="F6268" t="s">
        <v>4051</v>
      </c>
      <c r="G6268">
        <v>0.7</v>
      </c>
      <c r="H6268" s="2">
        <v>15517.89</v>
      </c>
      <c r="I6268" s="2">
        <v>10862.52</v>
      </c>
    </row>
    <row r="6269" spans="1:9" x14ac:dyDescent="0.25">
      <c r="A6269" t="s">
        <v>3399</v>
      </c>
      <c r="B6269" t="s">
        <v>3400</v>
      </c>
      <c r="C6269" t="s">
        <v>21</v>
      </c>
      <c r="D6269" t="s">
        <v>4062</v>
      </c>
      <c r="E6269" t="s">
        <v>4587</v>
      </c>
      <c r="F6269" t="s">
        <v>34</v>
      </c>
      <c r="G6269">
        <v>0.04</v>
      </c>
      <c r="H6269" s="2">
        <v>82125</v>
      </c>
      <c r="I6269" s="2">
        <v>3285</v>
      </c>
    </row>
    <row r="6270" spans="1:9" x14ac:dyDescent="0.25">
      <c r="A6270" t="s">
        <v>3399</v>
      </c>
      <c r="B6270" t="s">
        <v>3400</v>
      </c>
      <c r="C6270" t="s">
        <v>21</v>
      </c>
      <c r="D6270" t="s">
        <v>4062</v>
      </c>
      <c r="E6270" t="s">
        <v>7365</v>
      </c>
      <c r="F6270" t="s">
        <v>21</v>
      </c>
      <c r="G6270">
        <v>1</v>
      </c>
      <c r="H6270" s="2">
        <v>38958.33</v>
      </c>
      <c r="I6270" s="2">
        <v>38958.33</v>
      </c>
    </row>
    <row r="6271" spans="1:9" x14ac:dyDescent="0.25">
      <c r="A6271" t="s">
        <v>3399</v>
      </c>
      <c r="B6271" t="s">
        <v>3400</v>
      </c>
      <c r="C6271" t="s">
        <v>21</v>
      </c>
      <c r="D6271" t="s">
        <v>4062</v>
      </c>
      <c r="E6271" t="s">
        <v>3978</v>
      </c>
      <c r="F6271" t="s">
        <v>34</v>
      </c>
      <c r="G6271">
        <v>0.01</v>
      </c>
      <c r="H6271" s="2">
        <v>409741.65</v>
      </c>
      <c r="I6271" s="2">
        <v>4097.42</v>
      </c>
    </row>
    <row r="6272" spans="1:9" x14ac:dyDescent="0.25">
      <c r="A6272" t="s">
        <v>3399</v>
      </c>
      <c r="B6272" t="s">
        <v>3400</v>
      </c>
      <c r="C6272" t="s">
        <v>21</v>
      </c>
      <c r="D6272" t="s">
        <v>4049</v>
      </c>
      <c r="E6272" t="s">
        <v>4050</v>
      </c>
      <c r="F6272" t="s">
        <v>4051</v>
      </c>
      <c r="G6272">
        <v>0.6</v>
      </c>
      <c r="H6272" s="2">
        <v>9037.33</v>
      </c>
      <c r="I6272" s="2">
        <v>5422.4</v>
      </c>
    </row>
    <row r="6273" spans="1:9" x14ac:dyDescent="0.25">
      <c r="A6273" t="s">
        <v>3399</v>
      </c>
      <c r="B6273" t="s">
        <v>3400</v>
      </c>
      <c r="C6273" t="s">
        <v>21</v>
      </c>
      <c r="D6273" t="s">
        <v>4049</v>
      </c>
      <c r="E6273" t="s">
        <v>4073</v>
      </c>
      <c r="F6273" t="s">
        <v>4051</v>
      </c>
      <c r="G6273">
        <v>0.6</v>
      </c>
      <c r="H6273" s="2">
        <v>15517.89</v>
      </c>
      <c r="I6273" s="2">
        <v>9310.73</v>
      </c>
    </row>
    <row r="6274" spans="1:9" x14ac:dyDescent="0.25">
      <c r="A6274" t="s">
        <v>3402</v>
      </c>
      <c r="B6274" t="s">
        <v>3403</v>
      </c>
      <c r="C6274" t="s">
        <v>21</v>
      </c>
      <c r="D6274" t="s">
        <v>4062</v>
      </c>
      <c r="E6274" t="s">
        <v>4587</v>
      </c>
      <c r="F6274" t="s">
        <v>34</v>
      </c>
      <c r="G6274">
        <v>0.04</v>
      </c>
      <c r="H6274" s="2">
        <v>82125</v>
      </c>
      <c r="I6274" s="2">
        <v>3285</v>
      </c>
    </row>
    <row r="6275" spans="1:9" x14ac:dyDescent="0.25">
      <c r="A6275" t="s">
        <v>3402</v>
      </c>
      <c r="B6275" t="s">
        <v>3403</v>
      </c>
      <c r="C6275" t="s">
        <v>21</v>
      </c>
      <c r="D6275" t="s">
        <v>4062</v>
      </c>
      <c r="E6275" t="s">
        <v>7368</v>
      </c>
      <c r="F6275" t="s">
        <v>21</v>
      </c>
      <c r="G6275">
        <v>1</v>
      </c>
      <c r="H6275" s="2">
        <v>40906</v>
      </c>
      <c r="I6275" s="2">
        <v>40906</v>
      </c>
    </row>
    <row r="6276" spans="1:9" x14ac:dyDescent="0.25">
      <c r="A6276" t="s">
        <v>3402</v>
      </c>
      <c r="B6276" t="s">
        <v>3403</v>
      </c>
      <c r="C6276" t="s">
        <v>21</v>
      </c>
      <c r="D6276" t="s">
        <v>4062</v>
      </c>
      <c r="E6276" t="s">
        <v>3978</v>
      </c>
      <c r="F6276" t="s">
        <v>34</v>
      </c>
      <c r="G6276">
        <v>0.01</v>
      </c>
      <c r="H6276" s="2">
        <v>409741.65</v>
      </c>
      <c r="I6276" s="2">
        <v>4097.42</v>
      </c>
    </row>
    <row r="6277" spans="1:9" x14ac:dyDescent="0.25">
      <c r="A6277" t="s">
        <v>3402</v>
      </c>
      <c r="B6277" t="s">
        <v>3403</v>
      </c>
      <c r="C6277" t="s">
        <v>21</v>
      </c>
      <c r="D6277" t="s">
        <v>4049</v>
      </c>
      <c r="E6277" t="s">
        <v>4050</v>
      </c>
      <c r="F6277" t="s">
        <v>4051</v>
      </c>
      <c r="G6277">
        <v>0.5</v>
      </c>
      <c r="H6277" s="2">
        <v>9037.33</v>
      </c>
      <c r="I6277" s="2">
        <v>4518.66</v>
      </c>
    </row>
    <row r="6278" spans="1:9" x14ac:dyDescent="0.25">
      <c r="A6278" t="s">
        <v>3402</v>
      </c>
      <c r="B6278" t="s">
        <v>3403</v>
      </c>
      <c r="C6278" t="s">
        <v>21</v>
      </c>
      <c r="D6278" t="s">
        <v>4049</v>
      </c>
      <c r="E6278" t="s">
        <v>4073</v>
      </c>
      <c r="F6278" t="s">
        <v>4051</v>
      </c>
      <c r="G6278">
        <v>0.5</v>
      </c>
      <c r="H6278" s="2">
        <v>15517.89</v>
      </c>
      <c r="I6278" s="2">
        <v>7758.94</v>
      </c>
    </row>
    <row r="6279" spans="1:9" x14ac:dyDescent="0.25">
      <c r="A6279" t="s">
        <v>3405</v>
      </c>
      <c r="B6279" t="s">
        <v>3406</v>
      </c>
      <c r="C6279" t="s">
        <v>63</v>
      </c>
      <c r="D6279" t="s">
        <v>4062</v>
      </c>
      <c r="E6279" t="s">
        <v>5816</v>
      </c>
      <c r="F6279" t="s">
        <v>34</v>
      </c>
      <c r="G6279">
        <v>0.24</v>
      </c>
      <c r="H6279" s="2">
        <v>93966.67</v>
      </c>
      <c r="I6279" s="2">
        <v>22552</v>
      </c>
    </row>
    <row r="6280" spans="1:9" x14ac:dyDescent="0.25">
      <c r="A6280" t="s">
        <v>3405</v>
      </c>
      <c r="B6280" t="s">
        <v>3406</v>
      </c>
      <c r="C6280" t="s">
        <v>63</v>
      </c>
      <c r="D6280" t="s">
        <v>4062</v>
      </c>
      <c r="E6280" t="s">
        <v>7368</v>
      </c>
      <c r="F6280" t="s">
        <v>21</v>
      </c>
      <c r="G6280">
        <v>3.38</v>
      </c>
      <c r="H6280" s="2">
        <v>40906</v>
      </c>
      <c r="I6280" s="2">
        <v>138262.28</v>
      </c>
    </row>
    <row r="6281" spans="1:9" x14ac:dyDescent="0.25">
      <c r="A6281" t="s">
        <v>3405</v>
      </c>
      <c r="B6281" t="s">
        <v>3406</v>
      </c>
      <c r="C6281" t="s">
        <v>63</v>
      </c>
      <c r="D6281" t="s">
        <v>4062</v>
      </c>
      <c r="E6281" t="s">
        <v>5823</v>
      </c>
      <c r="F6281" t="s">
        <v>42</v>
      </c>
      <c r="G6281">
        <v>5.8</v>
      </c>
      <c r="H6281" s="2">
        <v>15765</v>
      </c>
      <c r="I6281" s="2">
        <v>91437</v>
      </c>
    </row>
    <row r="6282" spans="1:9" x14ac:dyDescent="0.25">
      <c r="A6282" t="s">
        <v>3405</v>
      </c>
      <c r="B6282" t="s">
        <v>3406</v>
      </c>
      <c r="C6282" t="s">
        <v>63</v>
      </c>
      <c r="D6282" t="s">
        <v>4062</v>
      </c>
      <c r="E6282" t="s">
        <v>3978</v>
      </c>
      <c r="F6282" t="s">
        <v>34</v>
      </c>
      <c r="G6282">
        <v>0.11</v>
      </c>
      <c r="H6282" s="2">
        <v>409741.65</v>
      </c>
      <c r="I6282" s="2">
        <v>45071.58</v>
      </c>
    </row>
    <row r="6283" spans="1:9" x14ac:dyDescent="0.25">
      <c r="A6283" t="s">
        <v>3405</v>
      </c>
      <c r="B6283" t="s">
        <v>3406</v>
      </c>
      <c r="C6283" t="s">
        <v>63</v>
      </c>
      <c r="D6283" t="s">
        <v>4062</v>
      </c>
      <c r="E6283" t="s">
        <v>7371</v>
      </c>
      <c r="F6283" t="s">
        <v>63</v>
      </c>
      <c r="G6283">
        <v>2</v>
      </c>
      <c r="H6283" s="2">
        <v>28234.67</v>
      </c>
      <c r="I6283" s="2">
        <v>56469.34</v>
      </c>
    </row>
    <row r="6284" spans="1:9" x14ac:dyDescent="0.25">
      <c r="A6284" t="s">
        <v>3405</v>
      </c>
      <c r="B6284" t="s">
        <v>3406</v>
      </c>
      <c r="C6284" t="s">
        <v>63</v>
      </c>
      <c r="D6284" t="s">
        <v>4062</v>
      </c>
      <c r="E6284" t="s">
        <v>7372</v>
      </c>
      <c r="F6284" t="s">
        <v>63</v>
      </c>
      <c r="G6284">
        <v>2</v>
      </c>
      <c r="H6284" s="2">
        <v>24401.33</v>
      </c>
      <c r="I6284" s="2">
        <v>48802.66</v>
      </c>
    </row>
    <row r="6285" spans="1:9" x14ac:dyDescent="0.25">
      <c r="A6285" t="s">
        <v>3405</v>
      </c>
      <c r="B6285" t="s">
        <v>3406</v>
      </c>
      <c r="C6285" t="s">
        <v>63</v>
      </c>
      <c r="D6285" t="s">
        <v>4062</v>
      </c>
      <c r="E6285" t="s">
        <v>7373</v>
      </c>
      <c r="F6285" t="s">
        <v>63</v>
      </c>
      <c r="G6285">
        <v>2.5</v>
      </c>
      <c r="H6285" s="2">
        <v>24202</v>
      </c>
      <c r="I6285" s="2">
        <v>60505</v>
      </c>
    </row>
    <row r="6286" spans="1:9" x14ac:dyDescent="0.25">
      <c r="A6286" t="s">
        <v>3405</v>
      </c>
      <c r="B6286" t="s">
        <v>3406</v>
      </c>
      <c r="C6286" t="s">
        <v>63</v>
      </c>
      <c r="D6286" t="s">
        <v>4049</v>
      </c>
      <c r="E6286" t="s">
        <v>4050</v>
      </c>
      <c r="F6286" t="s">
        <v>4051</v>
      </c>
      <c r="G6286">
        <v>7</v>
      </c>
      <c r="H6286" s="2">
        <v>9037.33</v>
      </c>
      <c r="I6286" s="2">
        <v>63261.31</v>
      </c>
    </row>
    <row r="6287" spans="1:9" x14ac:dyDescent="0.25">
      <c r="A6287" t="s">
        <v>3405</v>
      </c>
      <c r="B6287" t="s">
        <v>3406</v>
      </c>
      <c r="C6287" t="s">
        <v>63</v>
      </c>
      <c r="D6287" t="s">
        <v>4049</v>
      </c>
      <c r="E6287" t="s">
        <v>4073</v>
      </c>
      <c r="F6287" t="s">
        <v>4051</v>
      </c>
      <c r="G6287">
        <v>7</v>
      </c>
      <c r="H6287" s="2">
        <v>15517.89</v>
      </c>
      <c r="I6287" s="2">
        <v>108625.23</v>
      </c>
    </row>
    <row r="6288" spans="1:9" x14ac:dyDescent="0.25">
      <c r="A6288" t="s">
        <v>3405</v>
      </c>
      <c r="B6288" t="s">
        <v>3406</v>
      </c>
      <c r="C6288" t="s">
        <v>63</v>
      </c>
      <c r="D6288" t="s">
        <v>4052</v>
      </c>
      <c r="E6288" t="s">
        <v>4342</v>
      </c>
      <c r="F6288" t="s">
        <v>4106</v>
      </c>
      <c r="G6288">
        <v>0.14</v>
      </c>
      <c r="H6288" s="2">
        <v>66666.67</v>
      </c>
      <c r="I6288" s="2">
        <v>9333.33</v>
      </c>
    </row>
    <row r="6289" spans="1:9" x14ac:dyDescent="0.25">
      <c r="A6289" t="s">
        <v>3408</v>
      </c>
      <c r="B6289" t="s">
        <v>3409</v>
      </c>
      <c r="C6289" t="s">
        <v>42</v>
      </c>
      <c r="D6289" t="s">
        <v>4062</v>
      </c>
      <c r="E6289" t="s">
        <v>4492</v>
      </c>
      <c r="F6289" t="s">
        <v>34</v>
      </c>
      <c r="G6289">
        <v>0.06</v>
      </c>
      <c r="H6289" s="2">
        <v>68425</v>
      </c>
      <c r="I6289" s="2">
        <v>4105.5</v>
      </c>
    </row>
    <row r="6290" spans="1:9" x14ac:dyDescent="0.25">
      <c r="A6290" t="s">
        <v>3408</v>
      </c>
      <c r="B6290" t="s">
        <v>3409</v>
      </c>
      <c r="C6290" t="s">
        <v>42</v>
      </c>
      <c r="D6290" t="s">
        <v>4062</v>
      </c>
      <c r="E6290" t="s">
        <v>5823</v>
      </c>
      <c r="F6290" t="s">
        <v>63</v>
      </c>
      <c r="G6290">
        <v>1</v>
      </c>
      <c r="H6290" s="2">
        <v>22857.06</v>
      </c>
      <c r="I6290" s="2">
        <v>22857.06</v>
      </c>
    </row>
    <row r="6291" spans="1:9" x14ac:dyDescent="0.25">
      <c r="A6291" t="s">
        <v>3408</v>
      </c>
      <c r="B6291" t="s">
        <v>3409</v>
      </c>
      <c r="C6291" t="s">
        <v>42</v>
      </c>
      <c r="D6291" t="s">
        <v>4062</v>
      </c>
      <c r="E6291" t="s">
        <v>4475</v>
      </c>
      <c r="F6291" t="s">
        <v>231</v>
      </c>
      <c r="G6291">
        <v>6.5</v>
      </c>
      <c r="H6291" s="2">
        <v>730</v>
      </c>
      <c r="I6291" s="2">
        <v>4745</v>
      </c>
    </row>
    <row r="6292" spans="1:9" x14ac:dyDescent="0.25">
      <c r="A6292" t="s">
        <v>3408</v>
      </c>
      <c r="B6292" t="s">
        <v>3409</v>
      </c>
      <c r="C6292" t="s">
        <v>42</v>
      </c>
      <c r="D6292" t="s">
        <v>4062</v>
      </c>
      <c r="E6292" t="s">
        <v>4076</v>
      </c>
      <c r="F6292" t="s">
        <v>3963</v>
      </c>
      <c r="G6292">
        <v>2</v>
      </c>
      <c r="H6292" s="2">
        <v>21</v>
      </c>
      <c r="I6292" s="2">
        <v>42</v>
      </c>
    </row>
    <row r="6293" spans="1:9" x14ac:dyDescent="0.25">
      <c r="A6293" t="s">
        <v>3408</v>
      </c>
      <c r="B6293" t="s">
        <v>3409</v>
      </c>
      <c r="C6293" t="s">
        <v>42</v>
      </c>
      <c r="D6293" t="s">
        <v>4049</v>
      </c>
      <c r="E6293" t="s">
        <v>4050</v>
      </c>
      <c r="F6293" t="s">
        <v>4051</v>
      </c>
      <c r="G6293">
        <v>0.48</v>
      </c>
      <c r="H6293" s="2">
        <v>9037.33</v>
      </c>
      <c r="I6293" s="2">
        <v>4337.92</v>
      </c>
    </row>
    <row r="6294" spans="1:9" x14ac:dyDescent="0.25">
      <c r="A6294" t="s">
        <v>3408</v>
      </c>
      <c r="B6294" t="s">
        <v>3409</v>
      </c>
      <c r="C6294" t="s">
        <v>42</v>
      </c>
      <c r="D6294" t="s">
        <v>4049</v>
      </c>
      <c r="E6294" t="s">
        <v>4073</v>
      </c>
      <c r="F6294" t="s">
        <v>4051</v>
      </c>
      <c r="G6294">
        <v>0.48</v>
      </c>
      <c r="H6294" s="2">
        <v>15517.89</v>
      </c>
      <c r="I6294" s="2">
        <v>7448.59</v>
      </c>
    </row>
    <row r="6295" spans="1:9" x14ac:dyDescent="0.25">
      <c r="A6295" t="s">
        <v>3411</v>
      </c>
      <c r="B6295" t="s">
        <v>3412</v>
      </c>
      <c r="C6295" t="s">
        <v>42</v>
      </c>
      <c r="D6295" t="s">
        <v>4062</v>
      </c>
      <c r="E6295" t="s">
        <v>3972</v>
      </c>
      <c r="F6295" t="s">
        <v>34</v>
      </c>
      <c r="G6295">
        <v>0.01</v>
      </c>
      <c r="H6295" s="2">
        <v>470829.15</v>
      </c>
      <c r="I6295" s="2">
        <v>3531.22</v>
      </c>
    </row>
    <row r="6296" spans="1:9" x14ac:dyDescent="0.25">
      <c r="A6296" t="s">
        <v>3411</v>
      </c>
      <c r="B6296" t="s">
        <v>3412</v>
      </c>
      <c r="C6296" t="s">
        <v>42</v>
      </c>
      <c r="D6296" t="s">
        <v>4062</v>
      </c>
      <c r="E6296" t="s">
        <v>7378</v>
      </c>
      <c r="F6296" t="s">
        <v>42</v>
      </c>
      <c r="G6296">
        <v>1.25</v>
      </c>
      <c r="H6296" s="2">
        <v>31780</v>
      </c>
      <c r="I6296" s="2">
        <v>39725</v>
      </c>
    </row>
    <row r="6297" spans="1:9" x14ac:dyDescent="0.25">
      <c r="A6297" t="s">
        <v>3411</v>
      </c>
      <c r="B6297" t="s">
        <v>3412</v>
      </c>
      <c r="C6297" t="s">
        <v>42</v>
      </c>
      <c r="D6297" t="s">
        <v>4049</v>
      </c>
      <c r="E6297" t="s">
        <v>4176</v>
      </c>
      <c r="F6297" t="s">
        <v>4177</v>
      </c>
      <c r="G6297">
        <v>0.08</v>
      </c>
      <c r="H6297" s="2">
        <v>72300.17</v>
      </c>
      <c r="I6297" s="2">
        <v>5784.01</v>
      </c>
    </row>
    <row r="6298" spans="1:9" x14ac:dyDescent="0.25">
      <c r="A6298" t="s">
        <v>3411</v>
      </c>
      <c r="B6298" t="s">
        <v>3412</v>
      </c>
      <c r="C6298" t="s">
        <v>42</v>
      </c>
      <c r="D6298" t="s">
        <v>4049</v>
      </c>
      <c r="E6298" t="s">
        <v>4313</v>
      </c>
      <c r="F6298" t="s">
        <v>4177</v>
      </c>
      <c r="G6298">
        <v>0.02</v>
      </c>
      <c r="H6298" s="2">
        <v>124137.15</v>
      </c>
      <c r="I6298" s="2">
        <v>2482.74</v>
      </c>
    </row>
    <row r="6299" spans="1:9" x14ac:dyDescent="0.25">
      <c r="A6299" t="s">
        <v>3411</v>
      </c>
      <c r="B6299" t="s">
        <v>3412</v>
      </c>
      <c r="C6299" t="s">
        <v>42</v>
      </c>
      <c r="D6299" t="s">
        <v>4052</v>
      </c>
      <c r="E6299" t="s">
        <v>4053</v>
      </c>
      <c r="F6299" t="s">
        <v>4054</v>
      </c>
      <c r="G6299">
        <v>3.3</v>
      </c>
      <c r="H6299" s="2">
        <v>8266.75</v>
      </c>
      <c r="I6299" s="2">
        <v>272.8</v>
      </c>
    </row>
    <row r="6300" spans="1:9" x14ac:dyDescent="0.25">
      <c r="A6300" t="s">
        <v>3414</v>
      </c>
      <c r="B6300" t="s">
        <v>3415</v>
      </c>
      <c r="C6300" t="s">
        <v>21</v>
      </c>
      <c r="D6300" t="s">
        <v>4062</v>
      </c>
      <c r="E6300" t="s">
        <v>4587</v>
      </c>
      <c r="F6300" t="s">
        <v>34</v>
      </c>
      <c r="G6300">
        <v>0.04</v>
      </c>
      <c r="H6300" s="2">
        <v>82125</v>
      </c>
      <c r="I6300" s="2">
        <v>3285</v>
      </c>
    </row>
    <row r="6301" spans="1:9" x14ac:dyDescent="0.25">
      <c r="A6301" t="s">
        <v>3414</v>
      </c>
      <c r="B6301" t="s">
        <v>3415</v>
      </c>
      <c r="C6301" t="s">
        <v>21</v>
      </c>
      <c r="D6301" t="s">
        <v>4062</v>
      </c>
      <c r="E6301" t="s">
        <v>7381</v>
      </c>
      <c r="F6301" t="s">
        <v>21</v>
      </c>
      <c r="G6301">
        <v>1</v>
      </c>
      <c r="H6301" s="2">
        <v>52978.5</v>
      </c>
      <c r="I6301" s="2">
        <v>52978.5</v>
      </c>
    </row>
    <row r="6302" spans="1:9" x14ac:dyDescent="0.25">
      <c r="A6302" t="s">
        <v>3414</v>
      </c>
      <c r="B6302" t="s">
        <v>3415</v>
      </c>
      <c r="C6302" t="s">
        <v>21</v>
      </c>
      <c r="D6302" t="s">
        <v>4062</v>
      </c>
      <c r="E6302" t="s">
        <v>3978</v>
      </c>
      <c r="F6302" t="s">
        <v>34</v>
      </c>
      <c r="G6302">
        <v>0.01</v>
      </c>
      <c r="H6302" s="2">
        <v>409741.65</v>
      </c>
      <c r="I6302" s="2">
        <v>4097.42</v>
      </c>
    </row>
    <row r="6303" spans="1:9" x14ac:dyDescent="0.25">
      <c r="A6303" t="s">
        <v>3414</v>
      </c>
      <c r="B6303" t="s">
        <v>3415</v>
      </c>
      <c r="C6303" t="s">
        <v>21</v>
      </c>
      <c r="D6303" t="s">
        <v>4049</v>
      </c>
      <c r="E6303" t="s">
        <v>4050</v>
      </c>
      <c r="F6303" t="s">
        <v>4051</v>
      </c>
      <c r="G6303">
        <v>0.5</v>
      </c>
      <c r="H6303" s="2">
        <v>9037.33</v>
      </c>
      <c r="I6303" s="2">
        <v>4518.66</v>
      </c>
    </row>
    <row r="6304" spans="1:9" x14ac:dyDescent="0.25">
      <c r="A6304" t="s">
        <v>3414</v>
      </c>
      <c r="B6304" t="s">
        <v>3415</v>
      </c>
      <c r="C6304" t="s">
        <v>21</v>
      </c>
      <c r="D6304" t="s">
        <v>4049</v>
      </c>
      <c r="E6304" t="s">
        <v>4073</v>
      </c>
      <c r="F6304" t="s">
        <v>4051</v>
      </c>
      <c r="G6304">
        <v>0.5</v>
      </c>
      <c r="H6304" s="2">
        <v>15517.89</v>
      </c>
      <c r="I6304" s="2">
        <v>7758.94</v>
      </c>
    </row>
    <row r="6305" spans="1:9" x14ac:dyDescent="0.25">
      <c r="A6305" t="s">
        <v>3417</v>
      </c>
      <c r="B6305" t="s">
        <v>3418</v>
      </c>
      <c r="C6305" t="s">
        <v>21</v>
      </c>
      <c r="D6305" t="s">
        <v>4062</v>
      </c>
      <c r="E6305" t="s">
        <v>4587</v>
      </c>
      <c r="F6305" t="s">
        <v>34</v>
      </c>
      <c r="G6305">
        <v>0.04</v>
      </c>
      <c r="H6305" s="2">
        <v>82125</v>
      </c>
      <c r="I6305" s="2">
        <v>3285</v>
      </c>
    </row>
    <row r="6306" spans="1:9" x14ac:dyDescent="0.25">
      <c r="A6306" t="s">
        <v>3417</v>
      </c>
      <c r="B6306" t="s">
        <v>3418</v>
      </c>
      <c r="C6306" t="s">
        <v>21</v>
      </c>
      <c r="D6306" t="s">
        <v>4062</v>
      </c>
      <c r="E6306" t="s">
        <v>7384</v>
      </c>
      <c r="F6306" t="s">
        <v>21</v>
      </c>
      <c r="G6306">
        <v>1</v>
      </c>
      <c r="H6306" s="2">
        <v>56103.5</v>
      </c>
      <c r="I6306" s="2">
        <v>56103.5</v>
      </c>
    </row>
    <row r="6307" spans="1:9" x14ac:dyDescent="0.25">
      <c r="A6307" t="s">
        <v>3417</v>
      </c>
      <c r="B6307" t="s">
        <v>3418</v>
      </c>
      <c r="C6307" t="s">
        <v>21</v>
      </c>
      <c r="D6307" t="s">
        <v>4062</v>
      </c>
      <c r="E6307" t="s">
        <v>3978</v>
      </c>
      <c r="F6307" t="s">
        <v>34</v>
      </c>
      <c r="G6307">
        <v>0.01</v>
      </c>
      <c r="H6307" s="2">
        <v>409741.65</v>
      </c>
      <c r="I6307" s="2">
        <v>4097.42</v>
      </c>
    </row>
    <row r="6308" spans="1:9" x14ac:dyDescent="0.25">
      <c r="A6308" t="s">
        <v>3417</v>
      </c>
      <c r="B6308" t="s">
        <v>3418</v>
      </c>
      <c r="C6308" t="s">
        <v>21</v>
      </c>
      <c r="D6308" t="s">
        <v>4049</v>
      </c>
      <c r="E6308" t="s">
        <v>4050</v>
      </c>
      <c r="F6308" t="s">
        <v>4051</v>
      </c>
      <c r="G6308">
        <v>0.5</v>
      </c>
      <c r="H6308" s="2">
        <v>9037.33</v>
      </c>
      <c r="I6308" s="2">
        <v>4518.66</v>
      </c>
    </row>
    <row r="6309" spans="1:9" x14ac:dyDescent="0.25">
      <c r="A6309" t="s">
        <v>3417</v>
      </c>
      <c r="B6309" t="s">
        <v>3418</v>
      </c>
      <c r="C6309" t="s">
        <v>21</v>
      </c>
      <c r="D6309" t="s">
        <v>4049</v>
      </c>
      <c r="E6309" t="s">
        <v>4073</v>
      </c>
      <c r="F6309" t="s">
        <v>4051</v>
      </c>
      <c r="G6309">
        <v>0.5</v>
      </c>
      <c r="H6309" s="2">
        <v>15517.89</v>
      </c>
      <c r="I6309" s="2">
        <v>7758.94</v>
      </c>
    </row>
    <row r="6310" spans="1:9" x14ac:dyDescent="0.25">
      <c r="A6310" t="s">
        <v>3420</v>
      </c>
      <c r="B6310" t="s">
        <v>3422</v>
      </c>
      <c r="C6310" t="s">
        <v>42</v>
      </c>
      <c r="D6310" t="s">
        <v>4062</v>
      </c>
      <c r="E6310" t="s">
        <v>7389</v>
      </c>
      <c r="F6310" t="s">
        <v>63</v>
      </c>
      <c r="G6310">
        <v>0</v>
      </c>
      <c r="H6310" s="2">
        <v>31066.67</v>
      </c>
      <c r="I6310" s="2">
        <v>124.27</v>
      </c>
    </row>
    <row r="6311" spans="1:9" x14ac:dyDescent="0.25">
      <c r="A6311" t="s">
        <v>3420</v>
      </c>
      <c r="B6311" t="s">
        <v>3422</v>
      </c>
      <c r="C6311" t="s">
        <v>42</v>
      </c>
      <c r="D6311" t="s">
        <v>4062</v>
      </c>
      <c r="E6311" t="s">
        <v>7390</v>
      </c>
      <c r="F6311" t="s">
        <v>4377</v>
      </c>
      <c r="G6311">
        <v>0</v>
      </c>
      <c r="H6311" s="2">
        <v>82633</v>
      </c>
      <c r="I6311" s="2">
        <v>165.27</v>
      </c>
    </row>
    <row r="6312" spans="1:9" x14ac:dyDescent="0.25">
      <c r="A6312" t="s">
        <v>3420</v>
      </c>
      <c r="B6312" t="s">
        <v>3422</v>
      </c>
      <c r="C6312" t="s">
        <v>42</v>
      </c>
      <c r="D6312" t="s">
        <v>4049</v>
      </c>
      <c r="E6312" t="s">
        <v>5067</v>
      </c>
      <c r="F6312" t="s">
        <v>4051</v>
      </c>
      <c r="G6312">
        <v>0.14</v>
      </c>
      <c r="H6312" s="2">
        <v>10392.41</v>
      </c>
      <c r="I6312" s="2">
        <v>1454.94</v>
      </c>
    </row>
    <row r="6313" spans="1:9" x14ac:dyDescent="0.25">
      <c r="A6313" t="s">
        <v>3420</v>
      </c>
      <c r="B6313" t="s">
        <v>3422</v>
      </c>
      <c r="C6313" t="s">
        <v>42</v>
      </c>
      <c r="D6313" t="s">
        <v>4049</v>
      </c>
      <c r="E6313" t="s">
        <v>5068</v>
      </c>
      <c r="F6313" t="s">
        <v>4051</v>
      </c>
      <c r="G6313">
        <v>0.07</v>
      </c>
      <c r="H6313" s="2">
        <v>17845.35</v>
      </c>
      <c r="I6313" s="2">
        <v>1249.17</v>
      </c>
    </row>
    <row r="6314" spans="1:9" x14ac:dyDescent="0.25">
      <c r="A6314" t="s">
        <v>3420</v>
      </c>
      <c r="B6314" t="s">
        <v>3422</v>
      </c>
      <c r="C6314" t="s">
        <v>42</v>
      </c>
      <c r="D6314" t="s">
        <v>4052</v>
      </c>
      <c r="E6314" t="s">
        <v>4053</v>
      </c>
      <c r="F6314" t="s">
        <v>4054</v>
      </c>
      <c r="G6314">
        <v>3</v>
      </c>
      <c r="H6314" s="2">
        <v>2704.11</v>
      </c>
      <c r="I6314" s="2">
        <v>81.12</v>
      </c>
    </row>
    <row r="6315" spans="1:9" x14ac:dyDescent="0.25">
      <c r="A6315" t="s">
        <v>3424</v>
      </c>
      <c r="B6315" t="s">
        <v>3425</v>
      </c>
      <c r="C6315" t="s">
        <v>63</v>
      </c>
      <c r="D6315" t="s">
        <v>4062</v>
      </c>
      <c r="E6315" t="s">
        <v>7393</v>
      </c>
      <c r="F6315" t="s">
        <v>63</v>
      </c>
      <c r="G6315">
        <v>1</v>
      </c>
      <c r="H6315" s="2">
        <v>14518</v>
      </c>
      <c r="I6315" s="2">
        <v>14518</v>
      </c>
    </row>
    <row r="6316" spans="1:9" x14ac:dyDescent="0.25">
      <c r="A6316" t="s">
        <v>3424</v>
      </c>
      <c r="B6316" t="s">
        <v>3425</v>
      </c>
      <c r="C6316" t="s">
        <v>63</v>
      </c>
      <c r="D6316" t="s">
        <v>4049</v>
      </c>
      <c r="E6316" t="s">
        <v>4050</v>
      </c>
      <c r="F6316" t="s">
        <v>4051</v>
      </c>
      <c r="G6316">
        <v>0.15</v>
      </c>
      <c r="H6316" s="2">
        <v>9037.33</v>
      </c>
      <c r="I6316" s="2">
        <v>1355.6</v>
      </c>
    </row>
    <row r="6317" spans="1:9" x14ac:dyDescent="0.25">
      <c r="A6317" t="s">
        <v>3424</v>
      </c>
      <c r="B6317" t="s">
        <v>3425</v>
      </c>
      <c r="C6317" t="s">
        <v>63</v>
      </c>
      <c r="D6317" t="s">
        <v>4052</v>
      </c>
      <c r="E6317" t="s">
        <v>286</v>
      </c>
      <c r="F6317" t="s">
        <v>287</v>
      </c>
      <c r="G6317">
        <v>0.05</v>
      </c>
      <c r="H6317" s="2">
        <v>57796.26</v>
      </c>
      <c r="I6317" s="2">
        <v>2889.81</v>
      </c>
    </row>
    <row r="6318" spans="1:9" x14ac:dyDescent="0.25">
      <c r="A6318" t="s">
        <v>3427</v>
      </c>
      <c r="B6318" t="s">
        <v>3428</v>
      </c>
      <c r="C6318" t="s">
        <v>63</v>
      </c>
      <c r="D6318" t="s">
        <v>4062</v>
      </c>
      <c r="E6318" t="s">
        <v>7389</v>
      </c>
      <c r="F6318" t="s">
        <v>63</v>
      </c>
      <c r="G6318">
        <v>0</v>
      </c>
      <c r="H6318" s="2">
        <v>31066.67</v>
      </c>
      <c r="I6318" s="2">
        <v>124.27</v>
      </c>
    </row>
    <row r="6319" spans="1:9" x14ac:dyDescent="0.25">
      <c r="A6319" t="s">
        <v>3427</v>
      </c>
      <c r="B6319" t="s">
        <v>3428</v>
      </c>
      <c r="C6319" t="s">
        <v>63</v>
      </c>
      <c r="D6319" t="s">
        <v>4062</v>
      </c>
      <c r="E6319" t="s">
        <v>7396</v>
      </c>
      <c r="F6319" t="s">
        <v>63</v>
      </c>
      <c r="G6319">
        <v>1</v>
      </c>
      <c r="H6319" s="2">
        <v>2578.33</v>
      </c>
      <c r="I6319" s="2">
        <v>2578.33</v>
      </c>
    </row>
    <row r="6320" spans="1:9" x14ac:dyDescent="0.25">
      <c r="A6320" t="s">
        <v>3427</v>
      </c>
      <c r="B6320" t="s">
        <v>3428</v>
      </c>
      <c r="C6320" t="s">
        <v>63</v>
      </c>
      <c r="D6320" t="s">
        <v>4062</v>
      </c>
      <c r="E6320" t="s">
        <v>7397</v>
      </c>
      <c r="F6320" t="s">
        <v>63</v>
      </c>
      <c r="G6320">
        <v>0.06</v>
      </c>
      <c r="H6320" s="2">
        <v>35601</v>
      </c>
      <c r="I6320" s="2">
        <v>2136.06</v>
      </c>
    </row>
    <row r="6321" spans="1:9" x14ac:dyDescent="0.25">
      <c r="A6321" t="s">
        <v>3427</v>
      </c>
      <c r="B6321" t="s">
        <v>3428</v>
      </c>
      <c r="C6321" t="s">
        <v>63</v>
      </c>
      <c r="D6321" t="s">
        <v>4049</v>
      </c>
      <c r="E6321" t="s">
        <v>5067</v>
      </c>
      <c r="F6321" t="s">
        <v>4051</v>
      </c>
      <c r="G6321">
        <v>0.07</v>
      </c>
      <c r="H6321" s="2">
        <v>10392.41</v>
      </c>
      <c r="I6321" s="2">
        <v>727.47</v>
      </c>
    </row>
    <row r="6322" spans="1:9" x14ac:dyDescent="0.25">
      <c r="A6322" t="s">
        <v>3427</v>
      </c>
      <c r="B6322" t="s">
        <v>3428</v>
      </c>
      <c r="C6322" t="s">
        <v>63</v>
      </c>
      <c r="D6322" t="s">
        <v>4049</v>
      </c>
      <c r="E6322" t="s">
        <v>5068</v>
      </c>
      <c r="F6322" t="s">
        <v>4051</v>
      </c>
      <c r="G6322">
        <v>0.05</v>
      </c>
      <c r="H6322" s="2">
        <v>17845.35</v>
      </c>
      <c r="I6322" s="2">
        <v>892.27</v>
      </c>
    </row>
    <row r="6323" spans="1:9" x14ac:dyDescent="0.25">
      <c r="A6323" t="s">
        <v>3427</v>
      </c>
      <c r="B6323" t="s">
        <v>3428</v>
      </c>
      <c r="C6323" t="s">
        <v>63</v>
      </c>
      <c r="D6323" t="s">
        <v>4052</v>
      </c>
      <c r="E6323" t="s">
        <v>4053</v>
      </c>
      <c r="F6323" t="s">
        <v>4054</v>
      </c>
      <c r="G6323">
        <v>5</v>
      </c>
      <c r="H6323" s="2">
        <v>1619.74</v>
      </c>
      <c r="I6323" s="2">
        <v>80.99</v>
      </c>
    </row>
    <row r="6324" spans="1:9" x14ac:dyDescent="0.25">
      <c r="A6324" t="s">
        <v>3430</v>
      </c>
      <c r="B6324" t="s">
        <v>3431</v>
      </c>
      <c r="C6324" t="s">
        <v>21</v>
      </c>
      <c r="D6324" t="s">
        <v>4062</v>
      </c>
      <c r="E6324" t="s">
        <v>7400</v>
      </c>
      <c r="F6324" t="s">
        <v>21</v>
      </c>
      <c r="G6324">
        <v>1.05</v>
      </c>
      <c r="H6324" s="2">
        <v>30484.57</v>
      </c>
      <c r="I6324" s="2">
        <v>32008.8</v>
      </c>
    </row>
    <row r="6325" spans="1:9" x14ac:dyDescent="0.25">
      <c r="A6325" t="s">
        <v>3430</v>
      </c>
      <c r="B6325" t="s">
        <v>3431</v>
      </c>
      <c r="C6325" t="s">
        <v>21</v>
      </c>
      <c r="D6325" t="s">
        <v>4049</v>
      </c>
      <c r="E6325" t="s">
        <v>5067</v>
      </c>
      <c r="F6325" t="s">
        <v>4051</v>
      </c>
      <c r="G6325">
        <v>0.5</v>
      </c>
      <c r="H6325" s="2">
        <v>10392.41</v>
      </c>
      <c r="I6325" s="2">
        <v>5196.2</v>
      </c>
    </row>
    <row r="6326" spans="1:9" x14ac:dyDescent="0.25">
      <c r="A6326" t="s">
        <v>3430</v>
      </c>
      <c r="B6326" t="s">
        <v>3431</v>
      </c>
      <c r="C6326" t="s">
        <v>21</v>
      </c>
      <c r="D6326" t="s">
        <v>4049</v>
      </c>
      <c r="E6326" t="s">
        <v>5068</v>
      </c>
      <c r="F6326" t="s">
        <v>4051</v>
      </c>
      <c r="G6326">
        <v>0.5</v>
      </c>
      <c r="H6326" s="2">
        <v>17845.35</v>
      </c>
      <c r="I6326" s="2">
        <v>8922.67</v>
      </c>
    </row>
    <row r="6327" spans="1:9" x14ac:dyDescent="0.25">
      <c r="A6327" t="s">
        <v>3430</v>
      </c>
      <c r="B6327" t="s">
        <v>3431</v>
      </c>
      <c r="C6327" t="s">
        <v>21</v>
      </c>
      <c r="D6327" t="s">
        <v>4052</v>
      </c>
      <c r="E6327" t="s">
        <v>4251</v>
      </c>
      <c r="F6327" t="s">
        <v>287</v>
      </c>
      <c r="G6327">
        <v>0.1</v>
      </c>
      <c r="H6327" s="2">
        <v>48758.93</v>
      </c>
      <c r="I6327" s="2">
        <v>4875.89</v>
      </c>
    </row>
    <row r="6328" spans="1:9" x14ac:dyDescent="0.25">
      <c r="A6328" t="s">
        <v>3430</v>
      </c>
      <c r="B6328" t="s">
        <v>3431</v>
      </c>
      <c r="C6328" t="s">
        <v>21</v>
      </c>
      <c r="D6328" t="s">
        <v>4052</v>
      </c>
      <c r="E6328" t="s">
        <v>4053</v>
      </c>
      <c r="F6328" t="s">
        <v>4054</v>
      </c>
      <c r="G6328">
        <v>5</v>
      </c>
      <c r="H6328" s="2">
        <v>14118.87</v>
      </c>
      <c r="I6328" s="2">
        <v>705.94</v>
      </c>
    </row>
    <row r="6329" spans="1:9" x14ac:dyDescent="0.25">
      <c r="A6329" t="s">
        <v>3433</v>
      </c>
      <c r="B6329" t="s">
        <v>3434</v>
      </c>
      <c r="C6329" t="s">
        <v>63</v>
      </c>
      <c r="D6329" t="s">
        <v>4062</v>
      </c>
      <c r="E6329" t="s">
        <v>4001</v>
      </c>
      <c r="F6329" t="s">
        <v>34</v>
      </c>
      <c r="G6329">
        <v>0.07</v>
      </c>
      <c r="H6329" s="2">
        <v>450245.66</v>
      </c>
      <c r="I6329" s="2">
        <v>29265.97</v>
      </c>
    </row>
    <row r="6330" spans="1:9" x14ac:dyDescent="0.25">
      <c r="A6330" t="s">
        <v>3433</v>
      </c>
      <c r="B6330" t="s">
        <v>3434</v>
      </c>
      <c r="C6330" t="s">
        <v>63</v>
      </c>
      <c r="D6330" t="s">
        <v>4062</v>
      </c>
      <c r="E6330" t="s">
        <v>7403</v>
      </c>
      <c r="F6330" t="s">
        <v>63</v>
      </c>
      <c r="G6330">
        <v>1</v>
      </c>
      <c r="H6330" s="2">
        <v>398250</v>
      </c>
      <c r="I6330" s="2">
        <v>398250</v>
      </c>
    </row>
    <row r="6331" spans="1:9" x14ac:dyDescent="0.25">
      <c r="A6331" t="s">
        <v>3433</v>
      </c>
      <c r="B6331" t="s">
        <v>3434</v>
      </c>
      <c r="C6331" t="s">
        <v>63</v>
      </c>
      <c r="D6331" t="s">
        <v>4049</v>
      </c>
      <c r="E6331" t="s">
        <v>4050</v>
      </c>
      <c r="F6331" t="s">
        <v>4051</v>
      </c>
      <c r="G6331">
        <v>2.8</v>
      </c>
      <c r="H6331" s="2">
        <v>9037.33</v>
      </c>
      <c r="I6331" s="2">
        <v>25304.52</v>
      </c>
    </row>
    <row r="6332" spans="1:9" x14ac:dyDescent="0.25">
      <c r="A6332" t="s">
        <v>3433</v>
      </c>
      <c r="B6332" t="s">
        <v>3434</v>
      </c>
      <c r="C6332" t="s">
        <v>63</v>
      </c>
      <c r="D6332" t="s">
        <v>4049</v>
      </c>
      <c r="E6332" t="s">
        <v>4073</v>
      </c>
      <c r="F6332" t="s">
        <v>4051</v>
      </c>
      <c r="G6332">
        <v>1.2</v>
      </c>
      <c r="H6332" s="2">
        <v>15517.89</v>
      </c>
      <c r="I6332" s="2">
        <v>18621.47</v>
      </c>
    </row>
    <row r="6333" spans="1:9" x14ac:dyDescent="0.25">
      <c r="A6333" t="s">
        <v>3433</v>
      </c>
      <c r="B6333" t="s">
        <v>3434</v>
      </c>
      <c r="C6333" t="s">
        <v>63</v>
      </c>
      <c r="D6333" t="s">
        <v>4052</v>
      </c>
      <c r="E6333" t="s">
        <v>4251</v>
      </c>
      <c r="F6333" t="s">
        <v>287</v>
      </c>
      <c r="G6333">
        <v>1</v>
      </c>
      <c r="H6333" s="2">
        <v>48758.93</v>
      </c>
      <c r="I6333" s="2">
        <v>48758.93</v>
      </c>
    </row>
    <row r="6334" spans="1:9" x14ac:dyDescent="0.25">
      <c r="A6334" t="s">
        <v>3433</v>
      </c>
      <c r="B6334" t="s">
        <v>3434</v>
      </c>
      <c r="C6334" t="s">
        <v>63</v>
      </c>
      <c r="D6334" t="s">
        <v>4052</v>
      </c>
      <c r="E6334" t="s">
        <v>4053</v>
      </c>
      <c r="F6334" t="s">
        <v>4054</v>
      </c>
      <c r="G6334">
        <v>5</v>
      </c>
      <c r="H6334" s="2">
        <v>43925.99</v>
      </c>
      <c r="I6334" s="2">
        <v>2196.3</v>
      </c>
    </row>
    <row r="6335" spans="1:9" x14ac:dyDescent="0.25">
      <c r="A6335" t="s">
        <v>3436</v>
      </c>
      <c r="B6335" t="s">
        <v>3437</v>
      </c>
      <c r="C6335" t="s">
        <v>63</v>
      </c>
      <c r="D6335" t="s">
        <v>4062</v>
      </c>
      <c r="E6335" t="s">
        <v>4001</v>
      </c>
      <c r="F6335" t="s">
        <v>34</v>
      </c>
      <c r="G6335">
        <v>0.01</v>
      </c>
      <c r="H6335" s="2">
        <v>450245.66</v>
      </c>
      <c r="I6335" s="2">
        <v>4502.46</v>
      </c>
    </row>
    <row r="6336" spans="1:9" x14ac:dyDescent="0.25">
      <c r="A6336" t="s">
        <v>3436</v>
      </c>
      <c r="B6336" t="s">
        <v>3437</v>
      </c>
      <c r="C6336" t="s">
        <v>63</v>
      </c>
      <c r="D6336" t="s">
        <v>4062</v>
      </c>
      <c r="E6336" t="s">
        <v>7406</v>
      </c>
      <c r="F6336" t="s">
        <v>63</v>
      </c>
      <c r="G6336">
        <v>1</v>
      </c>
      <c r="H6336" s="2">
        <v>198158.33</v>
      </c>
      <c r="I6336" s="2">
        <v>198158.33</v>
      </c>
    </row>
    <row r="6337" spans="1:9" x14ac:dyDescent="0.25">
      <c r="A6337" t="s">
        <v>3436</v>
      </c>
      <c r="B6337" t="s">
        <v>3437</v>
      </c>
      <c r="C6337" t="s">
        <v>63</v>
      </c>
      <c r="D6337" t="s">
        <v>4049</v>
      </c>
      <c r="E6337" t="s">
        <v>4050</v>
      </c>
      <c r="F6337" t="s">
        <v>4051</v>
      </c>
      <c r="G6337">
        <v>1.3</v>
      </c>
      <c r="H6337" s="2">
        <v>9037.33</v>
      </c>
      <c r="I6337" s="2">
        <v>11748.53</v>
      </c>
    </row>
    <row r="6338" spans="1:9" x14ac:dyDescent="0.25">
      <c r="A6338" t="s">
        <v>3436</v>
      </c>
      <c r="B6338" t="s">
        <v>3437</v>
      </c>
      <c r="C6338" t="s">
        <v>63</v>
      </c>
      <c r="D6338" t="s">
        <v>4049</v>
      </c>
      <c r="E6338" t="s">
        <v>4073</v>
      </c>
      <c r="F6338" t="s">
        <v>4051</v>
      </c>
      <c r="G6338">
        <v>0.65</v>
      </c>
      <c r="H6338" s="2">
        <v>15517.89</v>
      </c>
      <c r="I6338" s="2">
        <v>10086.63</v>
      </c>
    </row>
    <row r="6339" spans="1:9" x14ac:dyDescent="0.25">
      <c r="A6339" t="s">
        <v>3436</v>
      </c>
      <c r="B6339" t="s">
        <v>3437</v>
      </c>
      <c r="C6339" t="s">
        <v>63</v>
      </c>
      <c r="D6339" t="s">
        <v>4052</v>
      </c>
      <c r="E6339" t="s">
        <v>4053</v>
      </c>
      <c r="F6339" t="s">
        <v>4054</v>
      </c>
      <c r="G6339">
        <v>5</v>
      </c>
      <c r="H6339" s="2">
        <v>21835.16</v>
      </c>
      <c r="I6339" s="2">
        <v>1091.76</v>
      </c>
    </row>
    <row r="6340" spans="1:9" x14ac:dyDescent="0.25">
      <c r="A6340" t="s">
        <v>3439</v>
      </c>
      <c r="B6340" t="s">
        <v>3440</v>
      </c>
      <c r="C6340" t="s">
        <v>42</v>
      </c>
      <c r="D6340" t="s">
        <v>4062</v>
      </c>
      <c r="E6340" t="s">
        <v>7409</v>
      </c>
      <c r="F6340" t="s">
        <v>63</v>
      </c>
      <c r="G6340">
        <v>0.2</v>
      </c>
      <c r="H6340" s="2">
        <v>37163.24</v>
      </c>
      <c r="I6340" s="2">
        <v>7432.65</v>
      </c>
    </row>
    <row r="6341" spans="1:9" x14ac:dyDescent="0.25">
      <c r="A6341" t="s">
        <v>3439</v>
      </c>
      <c r="B6341" t="s">
        <v>3440</v>
      </c>
      <c r="C6341" t="s">
        <v>42</v>
      </c>
      <c r="D6341" t="s">
        <v>4062</v>
      </c>
      <c r="E6341" t="s">
        <v>7410</v>
      </c>
      <c r="F6341" t="s">
        <v>63</v>
      </c>
      <c r="G6341">
        <v>0.26</v>
      </c>
      <c r="H6341" s="2">
        <v>86958.46</v>
      </c>
      <c r="I6341" s="2">
        <v>22783.12</v>
      </c>
    </row>
    <row r="6342" spans="1:9" x14ac:dyDescent="0.25">
      <c r="A6342" t="s">
        <v>3439</v>
      </c>
      <c r="B6342" t="s">
        <v>3440</v>
      </c>
      <c r="C6342" t="s">
        <v>42</v>
      </c>
      <c r="D6342" t="s">
        <v>4062</v>
      </c>
      <c r="E6342" t="s">
        <v>7393</v>
      </c>
      <c r="F6342" t="s">
        <v>63</v>
      </c>
      <c r="G6342">
        <v>0.26</v>
      </c>
      <c r="H6342" s="2">
        <v>14518</v>
      </c>
      <c r="I6342" s="2">
        <v>3803.72</v>
      </c>
    </row>
    <row r="6343" spans="1:9" x14ac:dyDescent="0.25">
      <c r="A6343" t="s">
        <v>3439</v>
      </c>
      <c r="B6343" t="s">
        <v>3440</v>
      </c>
      <c r="C6343" t="s">
        <v>42</v>
      </c>
      <c r="D6343" t="s">
        <v>4062</v>
      </c>
      <c r="E6343" t="s">
        <v>7411</v>
      </c>
      <c r="F6343" t="s">
        <v>42</v>
      </c>
      <c r="G6343">
        <v>1</v>
      </c>
      <c r="H6343" s="2">
        <v>100783.07</v>
      </c>
      <c r="I6343" s="2">
        <v>100783.07</v>
      </c>
    </row>
    <row r="6344" spans="1:9" x14ac:dyDescent="0.25">
      <c r="A6344" t="s">
        <v>3439</v>
      </c>
      <c r="B6344" t="s">
        <v>3440</v>
      </c>
      <c r="C6344" t="s">
        <v>42</v>
      </c>
      <c r="D6344" t="s">
        <v>4062</v>
      </c>
      <c r="E6344" t="s">
        <v>7412</v>
      </c>
      <c r="F6344" t="s">
        <v>63</v>
      </c>
      <c r="G6344">
        <v>0.26</v>
      </c>
      <c r="H6344" s="2">
        <v>144736.52</v>
      </c>
      <c r="I6344" s="2">
        <v>37920.97</v>
      </c>
    </row>
    <row r="6345" spans="1:9" x14ac:dyDescent="0.25">
      <c r="A6345" t="s">
        <v>3439</v>
      </c>
      <c r="B6345" t="s">
        <v>3440</v>
      </c>
      <c r="C6345" t="s">
        <v>42</v>
      </c>
      <c r="D6345" t="s">
        <v>4049</v>
      </c>
      <c r="E6345" t="s">
        <v>4176</v>
      </c>
      <c r="F6345" t="s">
        <v>4177</v>
      </c>
      <c r="G6345">
        <v>0.08</v>
      </c>
      <c r="H6345" s="2">
        <v>72300.17</v>
      </c>
      <c r="I6345" s="2">
        <v>5784.01</v>
      </c>
    </row>
    <row r="6346" spans="1:9" x14ac:dyDescent="0.25">
      <c r="A6346" t="s">
        <v>3439</v>
      </c>
      <c r="B6346" t="s">
        <v>3440</v>
      </c>
      <c r="C6346" t="s">
        <v>42</v>
      </c>
      <c r="D6346" t="s">
        <v>4049</v>
      </c>
      <c r="E6346" t="s">
        <v>4313</v>
      </c>
      <c r="F6346" t="s">
        <v>4177</v>
      </c>
      <c r="G6346">
        <v>0.02</v>
      </c>
      <c r="H6346" s="2">
        <v>124137.15</v>
      </c>
      <c r="I6346" s="2">
        <v>2482.74</v>
      </c>
    </row>
    <row r="6347" spans="1:9" x14ac:dyDescent="0.25">
      <c r="A6347" t="s">
        <v>3439</v>
      </c>
      <c r="B6347" t="s">
        <v>3440</v>
      </c>
      <c r="C6347" t="s">
        <v>42</v>
      </c>
      <c r="D6347" t="s">
        <v>4052</v>
      </c>
      <c r="E6347" t="s">
        <v>4254</v>
      </c>
      <c r="F6347" t="s">
        <v>287</v>
      </c>
      <c r="G6347">
        <v>0.13</v>
      </c>
      <c r="H6347" s="2">
        <v>54539.62</v>
      </c>
      <c r="I6347" s="2">
        <v>7155.6</v>
      </c>
    </row>
    <row r="6348" spans="1:9" x14ac:dyDescent="0.25">
      <c r="A6348" t="s">
        <v>3439</v>
      </c>
      <c r="B6348" t="s">
        <v>3440</v>
      </c>
      <c r="C6348" t="s">
        <v>42</v>
      </c>
      <c r="D6348" t="s">
        <v>4052</v>
      </c>
      <c r="E6348" t="s">
        <v>4053</v>
      </c>
      <c r="F6348" t="s">
        <v>4054</v>
      </c>
      <c r="G6348">
        <v>5</v>
      </c>
      <c r="H6348" s="2">
        <v>8266.75</v>
      </c>
      <c r="I6348" s="2">
        <v>413.34</v>
      </c>
    </row>
    <row r="6349" spans="1:9" x14ac:dyDescent="0.25">
      <c r="A6349" t="s">
        <v>3442</v>
      </c>
      <c r="B6349" t="s">
        <v>3443</v>
      </c>
      <c r="C6349" t="s">
        <v>63</v>
      </c>
      <c r="D6349" t="s">
        <v>4062</v>
      </c>
      <c r="E6349" t="s">
        <v>7415</v>
      </c>
      <c r="F6349" t="s">
        <v>63</v>
      </c>
      <c r="G6349">
        <v>1</v>
      </c>
      <c r="H6349" s="2">
        <v>208250</v>
      </c>
      <c r="I6349" s="2">
        <v>208250</v>
      </c>
    </row>
    <row r="6350" spans="1:9" x14ac:dyDescent="0.25">
      <c r="A6350" t="s">
        <v>3442</v>
      </c>
      <c r="B6350" t="s">
        <v>3443</v>
      </c>
      <c r="C6350" t="s">
        <v>63</v>
      </c>
      <c r="D6350" t="s">
        <v>4049</v>
      </c>
      <c r="E6350" t="s">
        <v>4050</v>
      </c>
      <c r="F6350" t="s">
        <v>4051</v>
      </c>
      <c r="G6350">
        <v>1</v>
      </c>
      <c r="H6350" s="2">
        <v>9037.33</v>
      </c>
      <c r="I6350" s="2">
        <v>9037.33</v>
      </c>
    </row>
    <row r="6351" spans="1:9" x14ac:dyDescent="0.25">
      <c r="A6351" t="s">
        <v>3442</v>
      </c>
      <c r="B6351" t="s">
        <v>3443</v>
      </c>
      <c r="C6351" t="s">
        <v>63</v>
      </c>
      <c r="D6351" t="s">
        <v>4049</v>
      </c>
      <c r="E6351" t="s">
        <v>4073</v>
      </c>
      <c r="F6351" t="s">
        <v>4051</v>
      </c>
      <c r="G6351">
        <v>1</v>
      </c>
      <c r="H6351" s="2">
        <v>15517.89</v>
      </c>
      <c r="I6351" s="2">
        <v>15517.89</v>
      </c>
    </row>
    <row r="6352" spans="1:9" x14ac:dyDescent="0.25">
      <c r="A6352" t="s">
        <v>3442</v>
      </c>
      <c r="B6352" t="s">
        <v>3443</v>
      </c>
      <c r="C6352" t="s">
        <v>63</v>
      </c>
      <c r="D6352" t="s">
        <v>4052</v>
      </c>
      <c r="E6352" t="s">
        <v>4053</v>
      </c>
      <c r="F6352" t="s">
        <v>4054</v>
      </c>
      <c r="G6352">
        <v>5</v>
      </c>
      <c r="H6352" s="2">
        <v>24555.22</v>
      </c>
      <c r="I6352" s="2">
        <v>1227.76</v>
      </c>
    </row>
    <row r="6353" spans="1:9" x14ac:dyDescent="0.25">
      <c r="A6353" t="s">
        <v>3445</v>
      </c>
      <c r="B6353" t="s">
        <v>3446</v>
      </c>
      <c r="C6353" t="s">
        <v>63</v>
      </c>
      <c r="D6353" t="s">
        <v>4062</v>
      </c>
      <c r="E6353" t="s">
        <v>4001</v>
      </c>
      <c r="F6353" t="s">
        <v>34</v>
      </c>
      <c r="G6353">
        <v>0.06</v>
      </c>
      <c r="H6353" s="2">
        <v>450245.66</v>
      </c>
      <c r="I6353" s="2">
        <v>27014.74</v>
      </c>
    </row>
    <row r="6354" spans="1:9" x14ac:dyDescent="0.25">
      <c r="A6354" t="s">
        <v>3445</v>
      </c>
      <c r="B6354" t="s">
        <v>3446</v>
      </c>
      <c r="C6354" t="s">
        <v>63</v>
      </c>
      <c r="D6354" t="s">
        <v>4062</v>
      </c>
      <c r="E6354" t="s">
        <v>7418</v>
      </c>
      <c r="F6354" t="s">
        <v>63</v>
      </c>
      <c r="G6354">
        <v>1</v>
      </c>
      <c r="H6354" s="2">
        <v>88714</v>
      </c>
      <c r="I6354" s="2">
        <v>88714</v>
      </c>
    </row>
    <row r="6355" spans="1:9" x14ac:dyDescent="0.25">
      <c r="A6355" t="s">
        <v>3445</v>
      </c>
      <c r="B6355" t="s">
        <v>3446</v>
      </c>
      <c r="C6355" t="s">
        <v>63</v>
      </c>
      <c r="D6355" t="s">
        <v>4049</v>
      </c>
      <c r="E6355" t="s">
        <v>4176</v>
      </c>
      <c r="F6355" t="s">
        <v>4177</v>
      </c>
      <c r="G6355">
        <v>0.35</v>
      </c>
      <c r="H6355" s="2">
        <v>72300.17</v>
      </c>
      <c r="I6355" s="2">
        <v>25305.06</v>
      </c>
    </row>
    <row r="6356" spans="1:9" x14ac:dyDescent="0.25">
      <c r="A6356" t="s">
        <v>3445</v>
      </c>
      <c r="B6356" t="s">
        <v>3446</v>
      </c>
      <c r="C6356" t="s">
        <v>63</v>
      </c>
      <c r="D6356" t="s">
        <v>4052</v>
      </c>
      <c r="E6356" t="s">
        <v>4053</v>
      </c>
      <c r="F6356" t="s">
        <v>4054</v>
      </c>
      <c r="G6356">
        <v>3.3</v>
      </c>
      <c r="H6356" s="2">
        <v>25305.06</v>
      </c>
      <c r="I6356" s="2">
        <v>835.07</v>
      </c>
    </row>
    <row r="6357" spans="1:9" x14ac:dyDescent="0.25">
      <c r="A6357" t="s">
        <v>3448</v>
      </c>
      <c r="B6357" t="s">
        <v>3449</v>
      </c>
      <c r="C6357" t="s">
        <v>63</v>
      </c>
      <c r="D6357" t="s">
        <v>4062</v>
      </c>
      <c r="E6357" t="s">
        <v>4001</v>
      </c>
      <c r="F6357" t="s">
        <v>34</v>
      </c>
      <c r="G6357">
        <v>0.01</v>
      </c>
      <c r="H6357" s="2">
        <v>450245.66</v>
      </c>
      <c r="I6357" s="2">
        <v>4502.46</v>
      </c>
    </row>
    <row r="6358" spans="1:9" x14ac:dyDescent="0.25">
      <c r="A6358" t="s">
        <v>3448</v>
      </c>
      <c r="B6358" t="s">
        <v>3449</v>
      </c>
      <c r="C6358" t="s">
        <v>63</v>
      </c>
      <c r="D6358" t="s">
        <v>4062</v>
      </c>
      <c r="E6358" t="s">
        <v>7421</v>
      </c>
      <c r="F6358" t="s">
        <v>63</v>
      </c>
      <c r="G6358">
        <v>1</v>
      </c>
      <c r="H6358" s="2">
        <v>42959</v>
      </c>
      <c r="I6358" s="2">
        <v>42959</v>
      </c>
    </row>
    <row r="6359" spans="1:9" x14ac:dyDescent="0.25">
      <c r="A6359" t="s">
        <v>3448</v>
      </c>
      <c r="B6359" t="s">
        <v>3449</v>
      </c>
      <c r="C6359" t="s">
        <v>63</v>
      </c>
      <c r="D6359" t="s">
        <v>4062</v>
      </c>
      <c r="E6359" t="s">
        <v>7422</v>
      </c>
      <c r="F6359" t="s">
        <v>63</v>
      </c>
      <c r="G6359">
        <v>1</v>
      </c>
      <c r="H6359" s="2">
        <v>277746</v>
      </c>
      <c r="I6359" s="2">
        <v>277746</v>
      </c>
    </row>
    <row r="6360" spans="1:9" x14ac:dyDescent="0.25">
      <c r="A6360" t="s">
        <v>3448</v>
      </c>
      <c r="B6360" t="s">
        <v>3449</v>
      </c>
      <c r="C6360" t="s">
        <v>63</v>
      </c>
      <c r="D6360" t="s">
        <v>4049</v>
      </c>
      <c r="E6360" t="s">
        <v>4050</v>
      </c>
      <c r="F6360" t="s">
        <v>4051</v>
      </c>
      <c r="G6360">
        <v>1</v>
      </c>
      <c r="H6360" s="2">
        <v>9037.33</v>
      </c>
      <c r="I6360" s="2">
        <v>9037.33</v>
      </c>
    </row>
    <row r="6361" spans="1:9" x14ac:dyDescent="0.25">
      <c r="A6361" t="s">
        <v>3448</v>
      </c>
      <c r="B6361" t="s">
        <v>3449</v>
      </c>
      <c r="C6361" t="s">
        <v>63</v>
      </c>
      <c r="D6361" t="s">
        <v>4049</v>
      </c>
      <c r="E6361" t="s">
        <v>4073</v>
      </c>
      <c r="F6361" t="s">
        <v>4051</v>
      </c>
      <c r="G6361">
        <v>1</v>
      </c>
      <c r="H6361" s="2">
        <v>15517.89</v>
      </c>
      <c r="I6361" s="2">
        <v>15517.89</v>
      </c>
    </row>
    <row r="6362" spans="1:9" x14ac:dyDescent="0.25">
      <c r="A6362" t="s">
        <v>3448</v>
      </c>
      <c r="B6362" t="s">
        <v>3449</v>
      </c>
      <c r="C6362" t="s">
        <v>63</v>
      </c>
      <c r="D6362" t="s">
        <v>4052</v>
      </c>
      <c r="E6362" t="s">
        <v>4053</v>
      </c>
      <c r="F6362" t="s">
        <v>4054</v>
      </c>
      <c r="G6362">
        <v>5</v>
      </c>
      <c r="H6362" s="2">
        <v>24555.22</v>
      </c>
      <c r="I6362" s="2">
        <v>1227.76</v>
      </c>
    </row>
    <row r="6363" spans="1:9" x14ac:dyDescent="0.25">
      <c r="A6363" t="s">
        <v>3451</v>
      </c>
      <c r="B6363" t="s">
        <v>3452</v>
      </c>
      <c r="C6363" t="s">
        <v>63</v>
      </c>
      <c r="D6363" t="s">
        <v>4062</v>
      </c>
      <c r="E6363" t="s">
        <v>4001</v>
      </c>
      <c r="F6363" t="s">
        <v>34</v>
      </c>
      <c r="G6363">
        <v>0.01</v>
      </c>
      <c r="H6363" s="2">
        <v>450245.66</v>
      </c>
      <c r="I6363" s="2">
        <v>4502.46</v>
      </c>
    </row>
    <row r="6364" spans="1:9" x14ac:dyDescent="0.25">
      <c r="A6364" t="s">
        <v>3451</v>
      </c>
      <c r="B6364" t="s">
        <v>3452</v>
      </c>
      <c r="C6364" t="s">
        <v>63</v>
      </c>
      <c r="D6364" t="s">
        <v>4062</v>
      </c>
      <c r="E6364" t="s">
        <v>7425</v>
      </c>
      <c r="F6364" t="s">
        <v>63</v>
      </c>
      <c r="G6364">
        <v>1</v>
      </c>
      <c r="H6364" s="2">
        <v>33354.88</v>
      </c>
      <c r="I6364" s="2">
        <v>33354.88</v>
      </c>
    </row>
    <row r="6365" spans="1:9" x14ac:dyDescent="0.25">
      <c r="A6365" t="s">
        <v>3451</v>
      </c>
      <c r="B6365" t="s">
        <v>3452</v>
      </c>
      <c r="C6365" t="s">
        <v>63</v>
      </c>
      <c r="D6365" t="s">
        <v>4062</v>
      </c>
      <c r="E6365" t="s">
        <v>7422</v>
      </c>
      <c r="F6365" t="s">
        <v>63</v>
      </c>
      <c r="G6365">
        <v>1</v>
      </c>
      <c r="H6365" s="2">
        <v>277746</v>
      </c>
      <c r="I6365" s="2">
        <v>277746</v>
      </c>
    </row>
    <row r="6366" spans="1:9" x14ac:dyDescent="0.25">
      <c r="A6366" t="s">
        <v>3451</v>
      </c>
      <c r="B6366" t="s">
        <v>3452</v>
      </c>
      <c r="C6366" t="s">
        <v>63</v>
      </c>
      <c r="D6366" t="s">
        <v>4049</v>
      </c>
      <c r="E6366" t="s">
        <v>4050</v>
      </c>
      <c r="F6366" t="s">
        <v>4051</v>
      </c>
      <c r="G6366">
        <v>1</v>
      </c>
      <c r="H6366" s="2">
        <v>9037.33</v>
      </c>
      <c r="I6366" s="2">
        <v>9037.33</v>
      </c>
    </row>
    <row r="6367" spans="1:9" x14ac:dyDescent="0.25">
      <c r="A6367" t="s">
        <v>3451</v>
      </c>
      <c r="B6367" t="s">
        <v>3452</v>
      </c>
      <c r="C6367" t="s">
        <v>63</v>
      </c>
      <c r="D6367" t="s">
        <v>4049</v>
      </c>
      <c r="E6367" t="s">
        <v>4073</v>
      </c>
      <c r="F6367" t="s">
        <v>4051</v>
      </c>
      <c r="G6367">
        <v>1</v>
      </c>
      <c r="H6367" s="2">
        <v>15517.89</v>
      </c>
      <c r="I6367" s="2">
        <v>15517.89</v>
      </c>
    </row>
    <row r="6368" spans="1:9" x14ac:dyDescent="0.25">
      <c r="A6368" t="s">
        <v>3451</v>
      </c>
      <c r="B6368" t="s">
        <v>3452</v>
      </c>
      <c r="C6368" t="s">
        <v>63</v>
      </c>
      <c r="D6368" t="s">
        <v>4052</v>
      </c>
      <c r="E6368" t="s">
        <v>4053</v>
      </c>
      <c r="F6368" t="s">
        <v>4054</v>
      </c>
      <c r="G6368">
        <v>5</v>
      </c>
      <c r="H6368" s="2">
        <v>24555.22</v>
      </c>
      <c r="I6368" s="2">
        <v>1227.76</v>
      </c>
    </row>
    <row r="6369" spans="1:9" x14ac:dyDescent="0.25">
      <c r="A6369" t="s">
        <v>3454</v>
      </c>
      <c r="B6369" t="s">
        <v>3455</v>
      </c>
      <c r="C6369" t="s">
        <v>63</v>
      </c>
      <c r="D6369" t="s">
        <v>4062</v>
      </c>
      <c r="E6369" t="s">
        <v>4001</v>
      </c>
      <c r="F6369" t="s">
        <v>34</v>
      </c>
      <c r="G6369">
        <v>0.01</v>
      </c>
      <c r="H6369" s="2">
        <v>450245.66</v>
      </c>
      <c r="I6369" s="2">
        <v>4502.46</v>
      </c>
    </row>
    <row r="6370" spans="1:9" x14ac:dyDescent="0.25">
      <c r="A6370" t="s">
        <v>3454</v>
      </c>
      <c r="B6370" t="s">
        <v>3455</v>
      </c>
      <c r="C6370" t="s">
        <v>63</v>
      </c>
      <c r="D6370" t="s">
        <v>4062</v>
      </c>
      <c r="E6370" t="s">
        <v>7428</v>
      </c>
      <c r="F6370" t="s">
        <v>63</v>
      </c>
      <c r="G6370">
        <v>1</v>
      </c>
      <c r="H6370" s="2">
        <v>61979.33</v>
      </c>
      <c r="I6370" s="2">
        <v>61979.33</v>
      </c>
    </row>
    <row r="6371" spans="1:9" x14ac:dyDescent="0.25">
      <c r="A6371" t="s">
        <v>3454</v>
      </c>
      <c r="B6371" t="s">
        <v>3455</v>
      </c>
      <c r="C6371" t="s">
        <v>63</v>
      </c>
      <c r="D6371" t="s">
        <v>4062</v>
      </c>
      <c r="E6371" t="s">
        <v>7422</v>
      </c>
      <c r="F6371" t="s">
        <v>63</v>
      </c>
      <c r="G6371">
        <v>1</v>
      </c>
      <c r="H6371" s="2">
        <v>277746</v>
      </c>
      <c r="I6371" s="2">
        <v>277746</v>
      </c>
    </row>
    <row r="6372" spans="1:9" x14ac:dyDescent="0.25">
      <c r="A6372" t="s">
        <v>3454</v>
      </c>
      <c r="B6372" t="s">
        <v>3455</v>
      </c>
      <c r="C6372" t="s">
        <v>63</v>
      </c>
      <c r="D6372" t="s">
        <v>4049</v>
      </c>
      <c r="E6372" t="s">
        <v>4050</v>
      </c>
      <c r="F6372" t="s">
        <v>4051</v>
      </c>
      <c r="G6372">
        <v>1</v>
      </c>
      <c r="H6372" s="2">
        <v>9037.33</v>
      </c>
      <c r="I6372" s="2">
        <v>9037.33</v>
      </c>
    </row>
    <row r="6373" spans="1:9" x14ac:dyDescent="0.25">
      <c r="A6373" t="s">
        <v>3454</v>
      </c>
      <c r="B6373" t="s">
        <v>3455</v>
      </c>
      <c r="C6373" t="s">
        <v>63</v>
      </c>
      <c r="D6373" t="s">
        <v>4049</v>
      </c>
      <c r="E6373" t="s">
        <v>4073</v>
      </c>
      <c r="F6373" t="s">
        <v>4051</v>
      </c>
      <c r="G6373">
        <v>1</v>
      </c>
      <c r="H6373" s="2">
        <v>15517.89</v>
      </c>
      <c r="I6373" s="2">
        <v>15517.89</v>
      </c>
    </row>
    <row r="6374" spans="1:9" x14ac:dyDescent="0.25">
      <c r="A6374" t="s">
        <v>3454</v>
      </c>
      <c r="B6374" t="s">
        <v>3455</v>
      </c>
      <c r="C6374" t="s">
        <v>63</v>
      </c>
      <c r="D6374" t="s">
        <v>4052</v>
      </c>
      <c r="E6374" t="s">
        <v>4053</v>
      </c>
      <c r="F6374" t="s">
        <v>4054</v>
      </c>
      <c r="G6374">
        <v>5</v>
      </c>
      <c r="H6374" s="2">
        <v>24555.22</v>
      </c>
      <c r="I6374" s="2">
        <v>1227.76</v>
      </c>
    </row>
    <row r="6375" spans="1:9" x14ac:dyDescent="0.25">
      <c r="A6375" t="s">
        <v>3457</v>
      </c>
      <c r="B6375" t="s">
        <v>3458</v>
      </c>
      <c r="C6375" t="s">
        <v>63</v>
      </c>
      <c r="D6375" t="s">
        <v>4062</v>
      </c>
      <c r="E6375" t="s">
        <v>7431</v>
      </c>
      <c r="F6375" t="s">
        <v>63</v>
      </c>
      <c r="G6375">
        <v>1</v>
      </c>
      <c r="H6375" s="2">
        <v>5796.5</v>
      </c>
      <c r="I6375" s="2">
        <v>5796.5</v>
      </c>
    </row>
    <row r="6376" spans="1:9" x14ac:dyDescent="0.25">
      <c r="A6376" t="s">
        <v>3457</v>
      </c>
      <c r="B6376" t="s">
        <v>3458</v>
      </c>
      <c r="C6376" t="s">
        <v>63</v>
      </c>
      <c r="D6376" t="s">
        <v>4062</v>
      </c>
      <c r="E6376" t="s">
        <v>7432</v>
      </c>
      <c r="F6376" t="s">
        <v>231</v>
      </c>
      <c r="G6376">
        <v>0.02</v>
      </c>
      <c r="H6376" s="2">
        <v>7179.78</v>
      </c>
      <c r="I6376" s="2">
        <v>143.6</v>
      </c>
    </row>
    <row r="6377" spans="1:9" x14ac:dyDescent="0.25">
      <c r="A6377" t="s">
        <v>3457</v>
      </c>
      <c r="B6377" t="s">
        <v>3458</v>
      </c>
      <c r="C6377" t="s">
        <v>63</v>
      </c>
      <c r="D6377" t="s">
        <v>4049</v>
      </c>
      <c r="E6377" t="s">
        <v>4050</v>
      </c>
      <c r="F6377" t="s">
        <v>4051</v>
      </c>
      <c r="G6377">
        <v>0.1</v>
      </c>
      <c r="H6377" s="2">
        <v>9037.33</v>
      </c>
      <c r="I6377" s="2">
        <v>903.73</v>
      </c>
    </row>
    <row r="6378" spans="1:9" x14ac:dyDescent="0.25">
      <c r="A6378" t="s">
        <v>3457</v>
      </c>
      <c r="B6378" t="s">
        <v>3458</v>
      </c>
      <c r="C6378" t="s">
        <v>63</v>
      </c>
      <c r="D6378" t="s">
        <v>4049</v>
      </c>
      <c r="E6378" t="s">
        <v>4073</v>
      </c>
      <c r="F6378" t="s">
        <v>4051</v>
      </c>
      <c r="G6378">
        <v>0.04</v>
      </c>
      <c r="H6378" s="2">
        <v>15517.89</v>
      </c>
      <c r="I6378" s="2">
        <v>620.72</v>
      </c>
    </row>
    <row r="6379" spans="1:9" x14ac:dyDescent="0.25">
      <c r="A6379" t="s">
        <v>3457</v>
      </c>
      <c r="B6379" t="s">
        <v>3458</v>
      </c>
      <c r="C6379" t="s">
        <v>63</v>
      </c>
      <c r="D6379" t="s">
        <v>4052</v>
      </c>
      <c r="E6379" t="s">
        <v>4251</v>
      </c>
      <c r="F6379" t="s">
        <v>287</v>
      </c>
      <c r="G6379">
        <v>0.01</v>
      </c>
      <c r="H6379" s="2">
        <v>48758.93</v>
      </c>
      <c r="I6379" s="2">
        <v>390.07</v>
      </c>
    </row>
    <row r="6380" spans="1:9" x14ac:dyDescent="0.25">
      <c r="A6380" t="s">
        <v>3457</v>
      </c>
      <c r="B6380" t="s">
        <v>3458</v>
      </c>
      <c r="C6380" t="s">
        <v>63</v>
      </c>
      <c r="D6380" t="s">
        <v>4052</v>
      </c>
      <c r="E6380" t="s">
        <v>7433</v>
      </c>
      <c r="F6380" t="s">
        <v>287</v>
      </c>
      <c r="G6380">
        <v>0.01</v>
      </c>
      <c r="H6380" s="2">
        <v>21290</v>
      </c>
      <c r="I6380" s="2">
        <v>170.32</v>
      </c>
    </row>
    <row r="6381" spans="1:9" x14ac:dyDescent="0.25">
      <c r="A6381" t="s">
        <v>3457</v>
      </c>
      <c r="B6381" t="s">
        <v>3458</v>
      </c>
      <c r="C6381" t="s">
        <v>63</v>
      </c>
      <c r="D6381" t="s">
        <v>4052</v>
      </c>
      <c r="E6381" t="s">
        <v>4053</v>
      </c>
      <c r="F6381" t="s">
        <v>4054</v>
      </c>
      <c r="G6381">
        <v>1</v>
      </c>
      <c r="H6381" s="2">
        <v>1524.45</v>
      </c>
      <c r="I6381" s="2">
        <v>15.24</v>
      </c>
    </row>
    <row r="6382" spans="1:9" x14ac:dyDescent="0.25">
      <c r="A6382" t="s">
        <v>3460</v>
      </c>
      <c r="B6382" t="s">
        <v>3461</v>
      </c>
      <c r="C6382" t="s">
        <v>63</v>
      </c>
      <c r="D6382" t="s">
        <v>4062</v>
      </c>
      <c r="E6382" t="s">
        <v>4001</v>
      </c>
      <c r="F6382" t="s">
        <v>34</v>
      </c>
      <c r="G6382">
        <v>0.03</v>
      </c>
      <c r="H6382" s="2">
        <v>450245.66</v>
      </c>
      <c r="I6382" s="2">
        <v>13507.37</v>
      </c>
    </row>
    <row r="6383" spans="1:9" x14ac:dyDescent="0.25">
      <c r="A6383" t="s">
        <v>3460</v>
      </c>
      <c r="B6383" t="s">
        <v>3461</v>
      </c>
      <c r="C6383" t="s">
        <v>63</v>
      </c>
      <c r="D6383" t="s">
        <v>4062</v>
      </c>
      <c r="E6383" t="s">
        <v>7436</v>
      </c>
      <c r="F6383" t="s">
        <v>63</v>
      </c>
      <c r="G6383">
        <v>1</v>
      </c>
      <c r="H6383" s="2">
        <v>450000</v>
      </c>
      <c r="I6383" s="2">
        <v>450000</v>
      </c>
    </row>
    <row r="6384" spans="1:9" x14ac:dyDescent="0.25">
      <c r="A6384" t="s">
        <v>3460</v>
      </c>
      <c r="B6384" t="s">
        <v>3461</v>
      </c>
      <c r="C6384" t="s">
        <v>63</v>
      </c>
      <c r="D6384" t="s">
        <v>4049</v>
      </c>
      <c r="E6384" t="s">
        <v>4050</v>
      </c>
      <c r="F6384" t="s">
        <v>4051</v>
      </c>
      <c r="G6384">
        <v>1</v>
      </c>
      <c r="H6384" s="2">
        <v>9037.33</v>
      </c>
      <c r="I6384" s="2">
        <v>9037.33</v>
      </c>
    </row>
    <row r="6385" spans="1:9" x14ac:dyDescent="0.25">
      <c r="A6385" t="s">
        <v>3460</v>
      </c>
      <c r="B6385" t="s">
        <v>3461</v>
      </c>
      <c r="C6385" t="s">
        <v>63</v>
      </c>
      <c r="D6385" t="s">
        <v>4049</v>
      </c>
      <c r="E6385" t="s">
        <v>4073</v>
      </c>
      <c r="F6385" t="s">
        <v>4051</v>
      </c>
      <c r="G6385">
        <v>1</v>
      </c>
      <c r="H6385" s="2">
        <v>15517.89</v>
      </c>
      <c r="I6385" s="2">
        <v>15517.89</v>
      </c>
    </row>
    <row r="6386" spans="1:9" x14ac:dyDescent="0.25">
      <c r="A6386" t="s">
        <v>3460</v>
      </c>
      <c r="B6386" t="s">
        <v>3461</v>
      </c>
      <c r="C6386" t="s">
        <v>63</v>
      </c>
      <c r="D6386" t="s">
        <v>4052</v>
      </c>
      <c r="E6386" t="s">
        <v>4053</v>
      </c>
      <c r="F6386" t="s">
        <v>4054</v>
      </c>
      <c r="G6386">
        <v>5</v>
      </c>
      <c r="H6386" s="2">
        <v>24555.22</v>
      </c>
      <c r="I6386" s="2">
        <v>1227.76</v>
      </c>
    </row>
    <row r="6387" spans="1:9" x14ac:dyDescent="0.25">
      <c r="A6387" t="s">
        <v>3463</v>
      </c>
      <c r="B6387" t="s">
        <v>3464</v>
      </c>
      <c r="C6387" t="s">
        <v>63</v>
      </c>
      <c r="D6387" t="s">
        <v>4062</v>
      </c>
      <c r="E6387" t="s">
        <v>4001</v>
      </c>
      <c r="F6387" t="s">
        <v>34</v>
      </c>
      <c r="G6387">
        <v>0.03</v>
      </c>
      <c r="H6387" s="2">
        <v>450245.66</v>
      </c>
      <c r="I6387" s="2">
        <v>13507.37</v>
      </c>
    </row>
    <row r="6388" spans="1:9" x14ac:dyDescent="0.25">
      <c r="A6388" t="s">
        <v>3463</v>
      </c>
      <c r="B6388" t="s">
        <v>3464</v>
      </c>
      <c r="C6388" t="s">
        <v>63</v>
      </c>
      <c r="D6388" t="s">
        <v>4062</v>
      </c>
      <c r="E6388" t="s">
        <v>7439</v>
      </c>
      <c r="F6388" t="s">
        <v>63</v>
      </c>
      <c r="G6388">
        <v>1</v>
      </c>
      <c r="H6388" s="2">
        <v>206041.67</v>
      </c>
      <c r="I6388" s="2">
        <v>206041.67</v>
      </c>
    </row>
    <row r="6389" spans="1:9" x14ac:dyDescent="0.25">
      <c r="A6389" t="s">
        <v>3463</v>
      </c>
      <c r="B6389" t="s">
        <v>3464</v>
      </c>
      <c r="C6389" t="s">
        <v>63</v>
      </c>
      <c r="D6389" t="s">
        <v>4049</v>
      </c>
      <c r="E6389" t="s">
        <v>4050</v>
      </c>
      <c r="F6389" t="s">
        <v>4051</v>
      </c>
      <c r="G6389">
        <v>1</v>
      </c>
      <c r="H6389" s="2">
        <v>9037.33</v>
      </c>
      <c r="I6389" s="2">
        <v>9037.33</v>
      </c>
    </row>
    <row r="6390" spans="1:9" x14ac:dyDescent="0.25">
      <c r="A6390" t="s">
        <v>3463</v>
      </c>
      <c r="B6390" t="s">
        <v>3464</v>
      </c>
      <c r="C6390" t="s">
        <v>63</v>
      </c>
      <c r="D6390" t="s">
        <v>4049</v>
      </c>
      <c r="E6390" t="s">
        <v>4073</v>
      </c>
      <c r="F6390" t="s">
        <v>4051</v>
      </c>
      <c r="G6390">
        <v>1</v>
      </c>
      <c r="H6390" s="2">
        <v>15517.89</v>
      </c>
      <c r="I6390" s="2">
        <v>15517.89</v>
      </c>
    </row>
    <row r="6391" spans="1:9" x14ac:dyDescent="0.25">
      <c r="A6391" t="s">
        <v>3463</v>
      </c>
      <c r="B6391" t="s">
        <v>3464</v>
      </c>
      <c r="C6391" t="s">
        <v>63</v>
      </c>
      <c r="D6391" t="s">
        <v>4052</v>
      </c>
      <c r="E6391" t="s">
        <v>4053</v>
      </c>
      <c r="F6391" t="s">
        <v>4054</v>
      </c>
      <c r="G6391">
        <v>5</v>
      </c>
      <c r="H6391" s="2">
        <v>24555.22</v>
      </c>
      <c r="I6391" s="2">
        <v>1227.76</v>
      </c>
    </row>
    <row r="6392" spans="1:9" x14ac:dyDescent="0.25">
      <c r="A6392" t="s">
        <v>3466</v>
      </c>
      <c r="B6392" t="s">
        <v>3467</v>
      </c>
      <c r="C6392" t="s">
        <v>63</v>
      </c>
      <c r="D6392" t="s">
        <v>4062</v>
      </c>
      <c r="E6392" t="s">
        <v>4001</v>
      </c>
      <c r="F6392" t="s">
        <v>34</v>
      </c>
      <c r="G6392">
        <v>0.03</v>
      </c>
      <c r="H6392" s="2">
        <v>450245.66</v>
      </c>
      <c r="I6392" s="2">
        <v>13507.37</v>
      </c>
    </row>
    <row r="6393" spans="1:9" x14ac:dyDescent="0.25">
      <c r="A6393" t="s">
        <v>3466</v>
      </c>
      <c r="B6393" t="s">
        <v>3467</v>
      </c>
      <c r="C6393" t="s">
        <v>63</v>
      </c>
      <c r="D6393" t="s">
        <v>4062</v>
      </c>
      <c r="E6393" t="s">
        <v>7422</v>
      </c>
      <c r="F6393" t="s">
        <v>63</v>
      </c>
      <c r="G6393">
        <v>1</v>
      </c>
      <c r="H6393" s="2">
        <v>277746</v>
      </c>
      <c r="I6393" s="2">
        <v>277746</v>
      </c>
    </row>
    <row r="6394" spans="1:9" x14ac:dyDescent="0.25">
      <c r="A6394" t="s">
        <v>3466</v>
      </c>
      <c r="B6394" t="s">
        <v>3467</v>
      </c>
      <c r="C6394" t="s">
        <v>63</v>
      </c>
      <c r="D6394" t="s">
        <v>4049</v>
      </c>
      <c r="E6394" t="s">
        <v>4050</v>
      </c>
      <c r="F6394" t="s">
        <v>4051</v>
      </c>
      <c r="G6394">
        <v>1</v>
      </c>
      <c r="H6394" s="2">
        <v>9037.33</v>
      </c>
      <c r="I6394" s="2">
        <v>9037.33</v>
      </c>
    </row>
    <row r="6395" spans="1:9" x14ac:dyDescent="0.25">
      <c r="A6395" t="s">
        <v>3466</v>
      </c>
      <c r="B6395" t="s">
        <v>3467</v>
      </c>
      <c r="C6395" t="s">
        <v>63</v>
      </c>
      <c r="D6395" t="s">
        <v>4049</v>
      </c>
      <c r="E6395" t="s">
        <v>4073</v>
      </c>
      <c r="F6395" t="s">
        <v>4051</v>
      </c>
      <c r="G6395">
        <v>1</v>
      </c>
      <c r="H6395" s="2">
        <v>15517.89</v>
      </c>
      <c r="I6395" s="2">
        <v>15517.89</v>
      </c>
    </row>
    <row r="6396" spans="1:9" x14ac:dyDescent="0.25">
      <c r="A6396" t="s">
        <v>3466</v>
      </c>
      <c r="B6396" t="s">
        <v>3467</v>
      </c>
      <c r="C6396" t="s">
        <v>63</v>
      </c>
      <c r="D6396" t="s">
        <v>4052</v>
      </c>
      <c r="E6396" t="s">
        <v>4053</v>
      </c>
      <c r="F6396" t="s">
        <v>4054</v>
      </c>
      <c r="G6396">
        <v>5</v>
      </c>
      <c r="H6396" s="2">
        <v>24555.22</v>
      </c>
      <c r="I6396" s="2">
        <v>1227.76</v>
      </c>
    </row>
    <row r="6397" spans="1:9" x14ac:dyDescent="0.25">
      <c r="A6397" t="s">
        <v>3469</v>
      </c>
      <c r="B6397" t="s">
        <v>3470</v>
      </c>
      <c r="C6397" t="s">
        <v>42</v>
      </c>
      <c r="D6397" t="s">
        <v>4062</v>
      </c>
      <c r="E6397" t="s">
        <v>5073</v>
      </c>
      <c r="F6397" t="s">
        <v>4377</v>
      </c>
      <c r="G6397">
        <v>0</v>
      </c>
      <c r="H6397" s="2">
        <v>20966.67</v>
      </c>
      <c r="I6397" s="2">
        <v>8.39</v>
      </c>
    </row>
    <row r="6398" spans="1:9" x14ac:dyDescent="0.25">
      <c r="A6398" t="s">
        <v>3469</v>
      </c>
      <c r="B6398" t="s">
        <v>3470</v>
      </c>
      <c r="C6398" t="s">
        <v>42</v>
      </c>
      <c r="D6398" t="s">
        <v>4062</v>
      </c>
      <c r="E6398" t="s">
        <v>7444</v>
      </c>
      <c r="F6398" t="s">
        <v>231</v>
      </c>
      <c r="G6398">
        <v>0.05</v>
      </c>
      <c r="H6398" s="2">
        <v>3589.03</v>
      </c>
      <c r="I6398" s="2">
        <v>179.45</v>
      </c>
    </row>
    <row r="6399" spans="1:9" x14ac:dyDescent="0.25">
      <c r="A6399" t="s">
        <v>3469</v>
      </c>
      <c r="B6399" t="s">
        <v>3470</v>
      </c>
      <c r="C6399" t="s">
        <v>42</v>
      </c>
      <c r="D6399" t="s">
        <v>4062</v>
      </c>
      <c r="E6399" t="s">
        <v>5880</v>
      </c>
      <c r="F6399" t="s">
        <v>4377</v>
      </c>
      <c r="G6399">
        <v>0.02</v>
      </c>
      <c r="H6399" s="2">
        <v>87340</v>
      </c>
      <c r="I6399" s="2">
        <v>1746.8</v>
      </c>
    </row>
    <row r="6400" spans="1:9" x14ac:dyDescent="0.25">
      <c r="A6400" t="s">
        <v>3469</v>
      </c>
      <c r="B6400" t="s">
        <v>3470</v>
      </c>
      <c r="C6400" t="s">
        <v>42</v>
      </c>
      <c r="D6400" t="s">
        <v>4049</v>
      </c>
      <c r="E6400" t="s">
        <v>4176</v>
      </c>
      <c r="F6400" t="s">
        <v>4177</v>
      </c>
      <c r="G6400">
        <v>0</v>
      </c>
      <c r="H6400" s="2">
        <v>72300.17</v>
      </c>
      <c r="I6400" s="2">
        <v>115.68</v>
      </c>
    </row>
    <row r="6401" spans="1:9" x14ac:dyDescent="0.25">
      <c r="A6401" t="s">
        <v>3469</v>
      </c>
      <c r="B6401" t="s">
        <v>3470</v>
      </c>
      <c r="C6401" t="s">
        <v>42</v>
      </c>
      <c r="D6401" t="s">
        <v>4049</v>
      </c>
      <c r="E6401" t="s">
        <v>4313</v>
      </c>
      <c r="F6401" t="s">
        <v>4177</v>
      </c>
      <c r="G6401">
        <v>0</v>
      </c>
      <c r="H6401" s="2">
        <v>124137.15</v>
      </c>
      <c r="I6401" s="2">
        <v>99.31</v>
      </c>
    </row>
    <row r="6402" spans="1:9" x14ac:dyDescent="0.25">
      <c r="A6402" t="s">
        <v>3469</v>
      </c>
      <c r="B6402" t="s">
        <v>3470</v>
      </c>
      <c r="C6402" t="s">
        <v>42</v>
      </c>
      <c r="D6402" t="s">
        <v>4052</v>
      </c>
      <c r="E6402" t="s">
        <v>4251</v>
      </c>
      <c r="F6402" t="s">
        <v>287</v>
      </c>
      <c r="G6402">
        <v>0</v>
      </c>
      <c r="H6402" s="2">
        <v>48758.93</v>
      </c>
      <c r="I6402" s="2">
        <v>39.01</v>
      </c>
    </row>
    <row r="6403" spans="1:9" x14ac:dyDescent="0.25">
      <c r="A6403" t="s">
        <v>3469</v>
      </c>
      <c r="B6403" t="s">
        <v>3470</v>
      </c>
      <c r="C6403" t="s">
        <v>42</v>
      </c>
      <c r="D6403" t="s">
        <v>4052</v>
      </c>
      <c r="E6403" t="s">
        <v>7445</v>
      </c>
      <c r="F6403" t="s">
        <v>287</v>
      </c>
      <c r="G6403">
        <v>0</v>
      </c>
      <c r="H6403" s="2">
        <v>107382.63</v>
      </c>
      <c r="I6403" s="2">
        <v>128.86</v>
      </c>
    </row>
    <row r="6404" spans="1:9" x14ac:dyDescent="0.25">
      <c r="A6404" t="s">
        <v>3469</v>
      </c>
      <c r="B6404" t="s">
        <v>3470</v>
      </c>
      <c r="C6404" t="s">
        <v>42</v>
      </c>
      <c r="D6404" t="s">
        <v>4052</v>
      </c>
      <c r="E6404" t="s">
        <v>4053</v>
      </c>
      <c r="F6404" t="s">
        <v>4054</v>
      </c>
      <c r="G6404">
        <v>5</v>
      </c>
      <c r="H6404" s="2">
        <v>214.99</v>
      </c>
      <c r="I6404" s="2">
        <v>10.75</v>
      </c>
    </row>
    <row r="6405" spans="1:9" x14ac:dyDescent="0.25">
      <c r="A6405" t="s">
        <v>3472</v>
      </c>
      <c r="B6405" t="s">
        <v>3474</v>
      </c>
      <c r="C6405" t="s">
        <v>34</v>
      </c>
      <c r="D6405" t="s">
        <v>4062</v>
      </c>
      <c r="E6405" t="s">
        <v>4390</v>
      </c>
      <c r="F6405" t="s">
        <v>231</v>
      </c>
      <c r="G6405">
        <v>2</v>
      </c>
      <c r="H6405" s="2">
        <v>4155</v>
      </c>
      <c r="I6405" s="2">
        <v>8310</v>
      </c>
    </row>
    <row r="6406" spans="1:9" x14ac:dyDescent="0.25">
      <c r="A6406" t="s">
        <v>3472</v>
      </c>
      <c r="B6406" t="s">
        <v>3474</v>
      </c>
      <c r="C6406" t="s">
        <v>34</v>
      </c>
      <c r="D6406" t="s">
        <v>4062</v>
      </c>
      <c r="E6406" t="s">
        <v>4391</v>
      </c>
      <c r="F6406" t="s">
        <v>231</v>
      </c>
      <c r="G6406">
        <v>83.52</v>
      </c>
      <c r="H6406" s="2">
        <v>2930</v>
      </c>
      <c r="I6406" s="2">
        <v>244713.6</v>
      </c>
    </row>
    <row r="6407" spans="1:9" x14ac:dyDescent="0.25">
      <c r="A6407" t="s">
        <v>3472</v>
      </c>
      <c r="B6407" t="s">
        <v>3474</v>
      </c>
      <c r="C6407" t="s">
        <v>34</v>
      </c>
      <c r="D6407" t="s">
        <v>4062</v>
      </c>
      <c r="E6407" t="s">
        <v>4261</v>
      </c>
      <c r="F6407" t="s">
        <v>231</v>
      </c>
      <c r="G6407">
        <v>85.02</v>
      </c>
      <c r="H6407" s="2">
        <v>2982</v>
      </c>
      <c r="I6407" s="2">
        <v>253529.64</v>
      </c>
    </row>
    <row r="6408" spans="1:9" x14ac:dyDescent="0.25">
      <c r="A6408" t="s">
        <v>3472</v>
      </c>
      <c r="B6408" t="s">
        <v>3474</v>
      </c>
      <c r="C6408" t="s">
        <v>34</v>
      </c>
      <c r="D6408" t="s">
        <v>4062</v>
      </c>
      <c r="E6408" t="s">
        <v>4012</v>
      </c>
      <c r="F6408" t="s">
        <v>34</v>
      </c>
      <c r="G6408">
        <v>1.05</v>
      </c>
      <c r="H6408" s="2">
        <v>475506.98</v>
      </c>
      <c r="I6408" s="2">
        <v>499282.33</v>
      </c>
    </row>
    <row r="6409" spans="1:9" x14ac:dyDescent="0.25">
      <c r="A6409" t="s">
        <v>3472</v>
      </c>
      <c r="B6409" t="s">
        <v>3474</v>
      </c>
      <c r="C6409" t="s">
        <v>34</v>
      </c>
      <c r="D6409" t="s">
        <v>4062</v>
      </c>
      <c r="E6409" t="s">
        <v>4320</v>
      </c>
      <c r="F6409" t="s">
        <v>42</v>
      </c>
      <c r="G6409">
        <v>33.3</v>
      </c>
      <c r="H6409" s="2">
        <v>6222.23</v>
      </c>
      <c r="I6409" s="2">
        <v>207200.26</v>
      </c>
    </row>
    <row r="6410" spans="1:9" x14ac:dyDescent="0.25">
      <c r="A6410" t="s">
        <v>3472</v>
      </c>
      <c r="B6410" t="s">
        <v>3474</v>
      </c>
      <c r="C6410" t="s">
        <v>34</v>
      </c>
      <c r="D6410" t="s">
        <v>4062</v>
      </c>
      <c r="E6410" t="s">
        <v>4065</v>
      </c>
      <c r="F6410" t="s">
        <v>4066</v>
      </c>
      <c r="G6410">
        <v>8</v>
      </c>
      <c r="H6410" s="2">
        <v>3433</v>
      </c>
      <c r="I6410" s="2">
        <v>27464</v>
      </c>
    </row>
    <row r="6411" spans="1:9" x14ac:dyDescent="0.25">
      <c r="A6411" t="s">
        <v>3472</v>
      </c>
      <c r="B6411" t="s">
        <v>3474</v>
      </c>
      <c r="C6411" t="s">
        <v>34</v>
      </c>
      <c r="D6411" t="s">
        <v>4062</v>
      </c>
      <c r="E6411" t="s">
        <v>4406</v>
      </c>
      <c r="F6411" t="s">
        <v>42</v>
      </c>
      <c r="G6411">
        <v>25</v>
      </c>
      <c r="H6411" s="2">
        <v>9483.5</v>
      </c>
      <c r="I6411" s="2">
        <v>237087.5</v>
      </c>
    </row>
    <row r="6412" spans="1:9" x14ac:dyDescent="0.25">
      <c r="A6412" t="s">
        <v>3472</v>
      </c>
      <c r="B6412" t="s">
        <v>3474</v>
      </c>
      <c r="C6412" t="s">
        <v>34</v>
      </c>
      <c r="D6412" t="s">
        <v>4049</v>
      </c>
      <c r="E6412" t="s">
        <v>4176</v>
      </c>
      <c r="F6412" t="s">
        <v>4177</v>
      </c>
      <c r="G6412">
        <v>2</v>
      </c>
      <c r="H6412" s="2">
        <v>72300.17</v>
      </c>
      <c r="I6412" s="2">
        <v>144600.34</v>
      </c>
    </row>
    <row r="6413" spans="1:9" x14ac:dyDescent="0.25">
      <c r="A6413" t="s">
        <v>3472</v>
      </c>
      <c r="B6413" t="s">
        <v>3474</v>
      </c>
      <c r="C6413" t="s">
        <v>34</v>
      </c>
      <c r="D6413" t="s">
        <v>4049</v>
      </c>
      <c r="E6413" t="s">
        <v>4313</v>
      </c>
      <c r="F6413" t="s">
        <v>4177</v>
      </c>
      <c r="G6413">
        <v>1</v>
      </c>
      <c r="H6413" s="2">
        <v>124137.15</v>
      </c>
      <c r="I6413" s="2">
        <v>124137.15</v>
      </c>
    </row>
    <row r="6414" spans="1:9" x14ac:dyDescent="0.25">
      <c r="A6414" t="s">
        <v>3472</v>
      </c>
      <c r="B6414" t="s">
        <v>3474</v>
      </c>
      <c r="C6414" t="s">
        <v>34</v>
      </c>
      <c r="D6414" t="s">
        <v>4052</v>
      </c>
      <c r="E6414" t="s">
        <v>4286</v>
      </c>
      <c r="F6414" t="s">
        <v>287</v>
      </c>
      <c r="G6414">
        <v>0.3</v>
      </c>
      <c r="H6414" s="2">
        <v>9375</v>
      </c>
      <c r="I6414" s="2">
        <v>2812.5</v>
      </c>
    </row>
    <row r="6415" spans="1:9" x14ac:dyDescent="0.25">
      <c r="A6415" t="s">
        <v>3472</v>
      </c>
      <c r="B6415" t="s">
        <v>3474</v>
      </c>
      <c r="C6415" t="s">
        <v>34</v>
      </c>
      <c r="D6415" t="s">
        <v>4052</v>
      </c>
      <c r="E6415" t="s">
        <v>4053</v>
      </c>
      <c r="F6415" t="s">
        <v>4054</v>
      </c>
      <c r="G6415">
        <v>0.2</v>
      </c>
      <c r="H6415" s="2">
        <v>268737.49</v>
      </c>
      <c r="I6415" s="2">
        <v>537.47</v>
      </c>
    </row>
    <row r="6416" spans="1:9" x14ac:dyDescent="0.25">
      <c r="A6416" t="s">
        <v>3477</v>
      </c>
      <c r="B6416" t="s">
        <v>3478</v>
      </c>
      <c r="C6416" t="s">
        <v>34</v>
      </c>
      <c r="D6416" t="s">
        <v>4062</v>
      </c>
      <c r="E6416" t="s">
        <v>4009</v>
      </c>
      <c r="F6416" t="s">
        <v>34</v>
      </c>
      <c r="G6416">
        <v>1.05</v>
      </c>
      <c r="H6416" s="2">
        <v>543324.7</v>
      </c>
      <c r="I6416" s="2">
        <v>570490.94</v>
      </c>
    </row>
    <row r="6417" spans="1:9" x14ac:dyDescent="0.25">
      <c r="A6417" t="s">
        <v>3477</v>
      </c>
      <c r="B6417" t="s">
        <v>3478</v>
      </c>
      <c r="C6417" t="s">
        <v>34</v>
      </c>
      <c r="D6417" t="s">
        <v>4062</v>
      </c>
      <c r="E6417" t="s">
        <v>7451</v>
      </c>
      <c r="F6417" t="s">
        <v>4377</v>
      </c>
      <c r="G6417">
        <v>1</v>
      </c>
      <c r="H6417" s="2">
        <v>89220.79</v>
      </c>
      <c r="I6417" s="2">
        <v>89220.79</v>
      </c>
    </row>
    <row r="6418" spans="1:9" x14ac:dyDescent="0.25">
      <c r="A6418" t="s">
        <v>3477</v>
      </c>
      <c r="B6418" t="s">
        <v>3478</v>
      </c>
      <c r="C6418" t="s">
        <v>34</v>
      </c>
      <c r="D6418" t="s">
        <v>4049</v>
      </c>
      <c r="E6418" t="s">
        <v>4176</v>
      </c>
      <c r="F6418" t="s">
        <v>4177</v>
      </c>
      <c r="G6418">
        <v>3.7</v>
      </c>
      <c r="H6418" s="2">
        <v>72300.17</v>
      </c>
      <c r="I6418" s="2">
        <v>267510.63</v>
      </c>
    </row>
    <row r="6419" spans="1:9" x14ac:dyDescent="0.25">
      <c r="A6419" t="s">
        <v>3477</v>
      </c>
      <c r="B6419" t="s">
        <v>3478</v>
      </c>
      <c r="C6419" t="s">
        <v>34</v>
      </c>
      <c r="D6419" t="s">
        <v>4049</v>
      </c>
      <c r="E6419" t="s">
        <v>4313</v>
      </c>
      <c r="F6419" t="s">
        <v>4177</v>
      </c>
      <c r="G6419">
        <v>0.56</v>
      </c>
      <c r="H6419" s="2">
        <v>124137.15</v>
      </c>
      <c r="I6419" s="2">
        <v>69516.8</v>
      </c>
    </row>
    <row r="6420" spans="1:9" x14ac:dyDescent="0.25">
      <c r="A6420" t="s">
        <v>3477</v>
      </c>
      <c r="B6420" t="s">
        <v>3478</v>
      </c>
      <c r="C6420" t="s">
        <v>34</v>
      </c>
      <c r="D6420" t="s">
        <v>4052</v>
      </c>
      <c r="E6420" t="s">
        <v>4286</v>
      </c>
      <c r="F6420" t="s">
        <v>287</v>
      </c>
      <c r="G6420">
        <v>1</v>
      </c>
      <c r="H6420" s="2">
        <v>9375</v>
      </c>
      <c r="I6420" s="2">
        <v>9375</v>
      </c>
    </row>
    <row r="6421" spans="1:9" x14ac:dyDescent="0.25">
      <c r="A6421" t="s">
        <v>3477</v>
      </c>
      <c r="B6421" t="s">
        <v>3478</v>
      </c>
      <c r="C6421" t="s">
        <v>34</v>
      </c>
      <c r="D6421" t="s">
        <v>4052</v>
      </c>
      <c r="E6421" t="s">
        <v>4053</v>
      </c>
      <c r="F6421" t="s">
        <v>4054</v>
      </c>
      <c r="G6421">
        <v>3.3</v>
      </c>
      <c r="H6421" s="2">
        <v>337027.43</v>
      </c>
      <c r="I6421" s="2">
        <v>11121.91</v>
      </c>
    </row>
    <row r="6422" spans="1:9" x14ac:dyDescent="0.25">
      <c r="A6422" t="s">
        <v>3480</v>
      </c>
      <c r="B6422" t="s">
        <v>3481</v>
      </c>
      <c r="C6422" t="s">
        <v>34</v>
      </c>
      <c r="D6422" t="s">
        <v>4062</v>
      </c>
      <c r="E6422" t="s">
        <v>4009</v>
      </c>
      <c r="F6422" t="s">
        <v>34</v>
      </c>
      <c r="G6422">
        <v>1.05</v>
      </c>
      <c r="H6422" s="2">
        <v>543324.7</v>
      </c>
      <c r="I6422" s="2">
        <v>570490.94</v>
      </c>
    </row>
    <row r="6423" spans="1:9" x14ac:dyDescent="0.25">
      <c r="A6423" t="s">
        <v>3480</v>
      </c>
      <c r="B6423" t="s">
        <v>3481</v>
      </c>
      <c r="C6423" t="s">
        <v>34</v>
      </c>
      <c r="D6423" t="s">
        <v>4062</v>
      </c>
      <c r="E6423" t="s">
        <v>7454</v>
      </c>
      <c r="F6423" t="s">
        <v>4377</v>
      </c>
      <c r="G6423">
        <v>1</v>
      </c>
      <c r="H6423" s="2">
        <v>52683.31</v>
      </c>
      <c r="I6423" s="2">
        <v>52683.31</v>
      </c>
    </row>
    <row r="6424" spans="1:9" x14ac:dyDescent="0.25">
      <c r="A6424" t="s">
        <v>3480</v>
      </c>
      <c r="B6424" t="s">
        <v>3481</v>
      </c>
      <c r="C6424" t="s">
        <v>34</v>
      </c>
      <c r="D6424" t="s">
        <v>4049</v>
      </c>
      <c r="E6424" t="s">
        <v>4176</v>
      </c>
      <c r="F6424" t="s">
        <v>4177</v>
      </c>
      <c r="G6424">
        <v>2.8</v>
      </c>
      <c r="H6424" s="2">
        <v>72300.17</v>
      </c>
      <c r="I6424" s="2">
        <v>202440.48</v>
      </c>
    </row>
    <row r="6425" spans="1:9" x14ac:dyDescent="0.25">
      <c r="A6425" t="s">
        <v>3480</v>
      </c>
      <c r="B6425" t="s">
        <v>3481</v>
      </c>
      <c r="C6425" t="s">
        <v>34</v>
      </c>
      <c r="D6425" t="s">
        <v>4049</v>
      </c>
      <c r="E6425" t="s">
        <v>4313</v>
      </c>
      <c r="F6425" t="s">
        <v>4177</v>
      </c>
      <c r="G6425">
        <v>0.42</v>
      </c>
      <c r="H6425" s="2">
        <v>124137.15</v>
      </c>
      <c r="I6425" s="2">
        <v>51727.95</v>
      </c>
    </row>
    <row r="6426" spans="1:9" x14ac:dyDescent="0.25">
      <c r="A6426" t="s">
        <v>3480</v>
      </c>
      <c r="B6426" t="s">
        <v>3481</v>
      </c>
      <c r="C6426" t="s">
        <v>34</v>
      </c>
      <c r="D6426" t="s">
        <v>4052</v>
      </c>
      <c r="E6426" t="s">
        <v>4286</v>
      </c>
      <c r="F6426" t="s">
        <v>287</v>
      </c>
      <c r="G6426">
        <v>0.5</v>
      </c>
      <c r="H6426" s="2">
        <v>9375</v>
      </c>
      <c r="I6426" s="2">
        <v>4687.5</v>
      </c>
    </row>
    <row r="6427" spans="1:9" x14ac:dyDescent="0.25">
      <c r="A6427" t="s">
        <v>3480</v>
      </c>
      <c r="B6427" t="s">
        <v>3481</v>
      </c>
      <c r="C6427" t="s">
        <v>34</v>
      </c>
      <c r="D6427" t="s">
        <v>4052</v>
      </c>
      <c r="E6427" t="s">
        <v>4053</v>
      </c>
      <c r="F6427" t="s">
        <v>4054</v>
      </c>
      <c r="G6427">
        <v>3.3</v>
      </c>
      <c r="H6427" s="2">
        <v>254168.43</v>
      </c>
      <c r="I6427" s="2">
        <v>8387.56</v>
      </c>
    </row>
    <row r="6428" spans="1:9" x14ac:dyDescent="0.25">
      <c r="A6428" t="s">
        <v>3483</v>
      </c>
      <c r="B6428" t="s">
        <v>3484</v>
      </c>
      <c r="C6428" t="s">
        <v>34</v>
      </c>
      <c r="D6428" t="s">
        <v>4062</v>
      </c>
      <c r="E6428" t="s">
        <v>4009</v>
      </c>
      <c r="F6428" t="s">
        <v>34</v>
      </c>
      <c r="G6428">
        <v>1.05</v>
      </c>
      <c r="H6428" s="2">
        <v>543324.7</v>
      </c>
      <c r="I6428" s="2">
        <v>570490.94</v>
      </c>
    </row>
    <row r="6429" spans="1:9" x14ac:dyDescent="0.25">
      <c r="A6429" t="s">
        <v>3483</v>
      </c>
      <c r="B6429" t="s">
        <v>3484</v>
      </c>
      <c r="C6429" t="s">
        <v>34</v>
      </c>
      <c r="D6429" t="s">
        <v>4062</v>
      </c>
      <c r="E6429" t="s">
        <v>7457</v>
      </c>
      <c r="F6429" t="s">
        <v>4377</v>
      </c>
      <c r="G6429">
        <v>1</v>
      </c>
      <c r="H6429" s="2">
        <v>60287.87</v>
      </c>
      <c r="I6429" s="2">
        <v>60287.87</v>
      </c>
    </row>
    <row r="6430" spans="1:9" x14ac:dyDescent="0.25">
      <c r="A6430" t="s">
        <v>3483</v>
      </c>
      <c r="B6430" t="s">
        <v>3484</v>
      </c>
      <c r="C6430" t="s">
        <v>34</v>
      </c>
      <c r="D6430" t="s">
        <v>4049</v>
      </c>
      <c r="E6430" t="s">
        <v>4176</v>
      </c>
      <c r="F6430" t="s">
        <v>4177</v>
      </c>
      <c r="G6430">
        <v>3.8</v>
      </c>
      <c r="H6430" s="2">
        <v>72300.17</v>
      </c>
      <c r="I6430" s="2">
        <v>274740.65</v>
      </c>
    </row>
    <row r="6431" spans="1:9" x14ac:dyDescent="0.25">
      <c r="A6431" t="s">
        <v>3483</v>
      </c>
      <c r="B6431" t="s">
        <v>3484</v>
      </c>
      <c r="C6431" t="s">
        <v>34</v>
      </c>
      <c r="D6431" t="s">
        <v>4049</v>
      </c>
      <c r="E6431" t="s">
        <v>4313</v>
      </c>
      <c r="F6431" t="s">
        <v>4177</v>
      </c>
      <c r="G6431">
        <v>0.5</v>
      </c>
      <c r="H6431" s="2">
        <v>124137.15</v>
      </c>
      <c r="I6431" s="2">
        <v>62068.57</v>
      </c>
    </row>
    <row r="6432" spans="1:9" x14ac:dyDescent="0.25">
      <c r="A6432" t="s">
        <v>3483</v>
      </c>
      <c r="B6432" t="s">
        <v>3484</v>
      </c>
      <c r="C6432" t="s">
        <v>34</v>
      </c>
      <c r="D6432" t="s">
        <v>4052</v>
      </c>
      <c r="E6432" t="s">
        <v>4286</v>
      </c>
      <c r="F6432" t="s">
        <v>287</v>
      </c>
      <c r="G6432">
        <v>0.5</v>
      </c>
      <c r="H6432" s="2">
        <v>9375</v>
      </c>
      <c r="I6432" s="2">
        <v>4687.5</v>
      </c>
    </row>
    <row r="6433" spans="1:9" x14ac:dyDescent="0.25">
      <c r="A6433" t="s">
        <v>3483</v>
      </c>
      <c r="B6433" t="s">
        <v>3484</v>
      </c>
      <c r="C6433" t="s">
        <v>34</v>
      </c>
      <c r="D6433" t="s">
        <v>4052</v>
      </c>
      <c r="E6433" t="s">
        <v>4053</v>
      </c>
      <c r="F6433" t="s">
        <v>4054</v>
      </c>
      <c r="G6433">
        <v>3.3</v>
      </c>
      <c r="H6433" s="2">
        <v>336809.22</v>
      </c>
      <c r="I6433" s="2">
        <v>11114.7</v>
      </c>
    </row>
    <row r="6434" spans="1:9" x14ac:dyDescent="0.25">
      <c r="A6434" t="s">
        <v>3486</v>
      </c>
      <c r="B6434" t="s">
        <v>3487</v>
      </c>
      <c r="C6434" t="s">
        <v>34</v>
      </c>
      <c r="D6434" t="s">
        <v>4062</v>
      </c>
      <c r="E6434" t="s">
        <v>4009</v>
      </c>
      <c r="F6434" t="s">
        <v>34</v>
      </c>
      <c r="G6434">
        <v>1.05</v>
      </c>
      <c r="H6434" s="2">
        <v>543324.7</v>
      </c>
      <c r="I6434" s="2">
        <v>570490.94</v>
      </c>
    </row>
    <row r="6435" spans="1:9" x14ac:dyDescent="0.25">
      <c r="A6435" t="s">
        <v>3486</v>
      </c>
      <c r="B6435" t="s">
        <v>3487</v>
      </c>
      <c r="C6435" t="s">
        <v>34</v>
      </c>
      <c r="D6435" t="s">
        <v>4062</v>
      </c>
      <c r="E6435" t="s">
        <v>4400</v>
      </c>
      <c r="F6435" t="s">
        <v>42</v>
      </c>
      <c r="G6435">
        <v>1.47</v>
      </c>
      <c r="H6435" s="2">
        <v>5286.26</v>
      </c>
      <c r="I6435" s="2">
        <v>7770.8</v>
      </c>
    </row>
    <row r="6436" spans="1:9" x14ac:dyDescent="0.25">
      <c r="A6436" t="s">
        <v>3486</v>
      </c>
      <c r="B6436" t="s">
        <v>3487</v>
      </c>
      <c r="C6436" t="s">
        <v>34</v>
      </c>
      <c r="D6436" t="s">
        <v>4062</v>
      </c>
      <c r="E6436" t="s">
        <v>4070</v>
      </c>
      <c r="F6436" t="s">
        <v>42</v>
      </c>
      <c r="G6436">
        <v>3.23</v>
      </c>
      <c r="H6436" s="2">
        <v>7381.08</v>
      </c>
      <c r="I6436" s="2">
        <v>23840.89</v>
      </c>
    </row>
    <row r="6437" spans="1:9" x14ac:dyDescent="0.25">
      <c r="A6437" t="s">
        <v>3486</v>
      </c>
      <c r="B6437" t="s">
        <v>3487</v>
      </c>
      <c r="C6437" t="s">
        <v>34</v>
      </c>
      <c r="D6437" t="s">
        <v>4062</v>
      </c>
      <c r="E6437" t="s">
        <v>4071</v>
      </c>
      <c r="F6437" t="s">
        <v>42</v>
      </c>
      <c r="G6437">
        <v>1.91</v>
      </c>
      <c r="H6437" s="2">
        <v>2555</v>
      </c>
      <c r="I6437" s="2">
        <v>4880.05</v>
      </c>
    </row>
    <row r="6438" spans="1:9" x14ac:dyDescent="0.25">
      <c r="A6438" t="s">
        <v>3486</v>
      </c>
      <c r="B6438" t="s">
        <v>3487</v>
      </c>
      <c r="C6438" t="s">
        <v>34</v>
      </c>
      <c r="D6438" t="s">
        <v>4062</v>
      </c>
      <c r="E6438" t="s">
        <v>4065</v>
      </c>
      <c r="F6438" t="s">
        <v>4066</v>
      </c>
      <c r="G6438">
        <v>1.58</v>
      </c>
      <c r="H6438" s="2">
        <v>3433</v>
      </c>
      <c r="I6438" s="2">
        <v>5424.14</v>
      </c>
    </row>
    <row r="6439" spans="1:9" x14ac:dyDescent="0.25">
      <c r="A6439" t="s">
        <v>3486</v>
      </c>
      <c r="B6439" t="s">
        <v>3487</v>
      </c>
      <c r="C6439" t="s">
        <v>34</v>
      </c>
      <c r="D6439" t="s">
        <v>4049</v>
      </c>
      <c r="E6439" t="s">
        <v>4176</v>
      </c>
      <c r="F6439" t="s">
        <v>4177</v>
      </c>
      <c r="G6439">
        <v>1</v>
      </c>
      <c r="H6439" s="2">
        <v>72300.17</v>
      </c>
      <c r="I6439" s="2">
        <v>72300.17</v>
      </c>
    </row>
    <row r="6440" spans="1:9" x14ac:dyDescent="0.25">
      <c r="A6440" t="s">
        <v>3486</v>
      </c>
      <c r="B6440" t="s">
        <v>3487</v>
      </c>
      <c r="C6440" t="s">
        <v>34</v>
      </c>
      <c r="D6440" t="s">
        <v>4049</v>
      </c>
      <c r="E6440" t="s">
        <v>4073</v>
      </c>
      <c r="F6440" t="s">
        <v>4051</v>
      </c>
      <c r="G6440">
        <v>0.5</v>
      </c>
      <c r="H6440" s="2">
        <v>15517.89</v>
      </c>
      <c r="I6440" s="2">
        <v>7758.94</v>
      </c>
    </row>
    <row r="6441" spans="1:9" x14ac:dyDescent="0.25">
      <c r="A6441" t="s">
        <v>3486</v>
      </c>
      <c r="B6441" t="s">
        <v>3487</v>
      </c>
      <c r="C6441" t="s">
        <v>34</v>
      </c>
      <c r="D6441" t="s">
        <v>4052</v>
      </c>
      <c r="E6441" t="s">
        <v>4053</v>
      </c>
      <c r="F6441" t="s">
        <v>4054</v>
      </c>
      <c r="G6441">
        <v>3.3</v>
      </c>
      <c r="H6441" s="2">
        <v>80059.11</v>
      </c>
      <c r="I6441" s="2">
        <v>2641.95</v>
      </c>
    </row>
    <row r="6442" spans="1:9" x14ac:dyDescent="0.25">
      <c r="A6442" t="s">
        <v>3490</v>
      </c>
      <c r="B6442" t="s">
        <v>3491</v>
      </c>
      <c r="C6442" t="s">
        <v>42</v>
      </c>
      <c r="D6442" t="s">
        <v>4062</v>
      </c>
      <c r="E6442" t="s">
        <v>7462</v>
      </c>
      <c r="F6442" t="s">
        <v>42</v>
      </c>
      <c r="G6442">
        <v>1</v>
      </c>
      <c r="H6442" s="2">
        <v>287.24</v>
      </c>
      <c r="I6442" s="2">
        <v>287.24</v>
      </c>
    </row>
    <row r="6443" spans="1:9" x14ac:dyDescent="0.25">
      <c r="A6443" t="s">
        <v>3490</v>
      </c>
      <c r="B6443" t="s">
        <v>3491</v>
      </c>
      <c r="C6443" t="s">
        <v>42</v>
      </c>
      <c r="D6443" t="s">
        <v>4062</v>
      </c>
      <c r="E6443" t="s">
        <v>7463</v>
      </c>
      <c r="F6443" t="s">
        <v>63</v>
      </c>
      <c r="G6443">
        <v>0.03</v>
      </c>
      <c r="H6443" s="2">
        <v>44079</v>
      </c>
      <c r="I6443" s="2">
        <v>1322.37</v>
      </c>
    </row>
    <row r="6444" spans="1:9" x14ac:dyDescent="0.25">
      <c r="A6444" t="s">
        <v>3490</v>
      </c>
      <c r="B6444" t="s">
        <v>3491</v>
      </c>
      <c r="C6444" t="s">
        <v>42</v>
      </c>
      <c r="D6444" t="s">
        <v>4049</v>
      </c>
      <c r="E6444" t="s">
        <v>4050</v>
      </c>
      <c r="F6444" t="s">
        <v>4051</v>
      </c>
      <c r="G6444">
        <v>0.4</v>
      </c>
      <c r="H6444" s="2">
        <v>9037.33</v>
      </c>
      <c r="I6444" s="2">
        <v>3614.93</v>
      </c>
    </row>
    <row r="6445" spans="1:9" x14ac:dyDescent="0.25">
      <c r="A6445" t="s">
        <v>3490</v>
      </c>
      <c r="B6445" t="s">
        <v>3491</v>
      </c>
      <c r="C6445" t="s">
        <v>42</v>
      </c>
      <c r="D6445" t="s">
        <v>4049</v>
      </c>
      <c r="E6445" t="s">
        <v>4073</v>
      </c>
      <c r="F6445" t="s">
        <v>4051</v>
      </c>
      <c r="G6445">
        <v>0.4</v>
      </c>
      <c r="H6445" s="2">
        <v>15517.89</v>
      </c>
      <c r="I6445" s="2">
        <v>6207.16</v>
      </c>
    </row>
    <row r="6446" spans="1:9" x14ac:dyDescent="0.25">
      <c r="A6446" t="s">
        <v>3490</v>
      </c>
      <c r="B6446" t="s">
        <v>3491</v>
      </c>
      <c r="C6446" t="s">
        <v>42</v>
      </c>
      <c r="D6446" t="s">
        <v>4052</v>
      </c>
      <c r="E6446" t="s">
        <v>4053</v>
      </c>
      <c r="F6446" t="s">
        <v>4054</v>
      </c>
      <c r="G6446">
        <v>7</v>
      </c>
      <c r="H6446" s="2">
        <v>9822.09</v>
      </c>
      <c r="I6446" s="2">
        <v>687.55</v>
      </c>
    </row>
    <row r="6447" spans="1:9" x14ac:dyDescent="0.25">
      <c r="A6447" t="s">
        <v>3494</v>
      </c>
      <c r="B6447" t="s">
        <v>3495</v>
      </c>
      <c r="C6447" t="s">
        <v>42</v>
      </c>
      <c r="D6447" t="s">
        <v>4062</v>
      </c>
      <c r="E6447" t="s">
        <v>5929</v>
      </c>
      <c r="F6447" t="s">
        <v>42</v>
      </c>
      <c r="G6447">
        <v>4</v>
      </c>
      <c r="H6447" s="2">
        <v>9479</v>
      </c>
      <c r="I6447" s="2">
        <v>37916</v>
      </c>
    </row>
    <row r="6448" spans="1:9" x14ac:dyDescent="0.25">
      <c r="A6448" t="s">
        <v>3494</v>
      </c>
      <c r="B6448" t="s">
        <v>3495</v>
      </c>
      <c r="C6448" t="s">
        <v>42</v>
      </c>
      <c r="D6448" t="s">
        <v>4062</v>
      </c>
      <c r="E6448" t="s">
        <v>7466</v>
      </c>
      <c r="F6448" t="s">
        <v>4171</v>
      </c>
      <c r="G6448">
        <v>1.5</v>
      </c>
      <c r="H6448" s="2">
        <v>66150</v>
      </c>
      <c r="I6448" s="2">
        <v>99225</v>
      </c>
    </row>
    <row r="6449" spans="1:9" x14ac:dyDescent="0.25">
      <c r="A6449" t="s">
        <v>3494</v>
      </c>
      <c r="B6449" t="s">
        <v>3495</v>
      </c>
      <c r="C6449" t="s">
        <v>42</v>
      </c>
      <c r="D6449" t="s">
        <v>4062</v>
      </c>
      <c r="E6449" t="s">
        <v>5013</v>
      </c>
      <c r="F6449" t="s">
        <v>231</v>
      </c>
      <c r="G6449">
        <v>0.5</v>
      </c>
      <c r="H6449" s="2">
        <v>11906</v>
      </c>
      <c r="I6449" s="2">
        <v>5953</v>
      </c>
    </row>
    <row r="6450" spans="1:9" x14ac:dyDescent="0.25">
      <c r="A6450" t="s">
        <v>3494</v>
      </c>
      <c r="B6450" t="s">
        <v>3495</v>
      </c>
      <c r="C6450" t="s">
        <v>42</v>
      </c>
      <c r="D6450" t="s">
        <v>4049</v>
      </c>
      <c r="E6450" t="s">
        <v>4176</v>
      </c>
      <c r="F6450" t="s">
        <v>4177</v>
      </c>
      <c r="G6450">
        <v>0.5</v>
      </c>
      <c r="H6450" s="2">
        <v>72300.17</v>
      </c>
      <c r="I6450" s="2">
        <v>36150.08</v>
      </c>
    </row>
    <row r="6451" spans="1:9" x14ac:dyDescent="0.25">
      <c r="A6451" t="s">
        <v>3494</v>
      </c>
      <c r="B6451" t="s">
        <v>3495</v>
      </c>
      <c r="C6451" t="s">
        <v>42</v>
      </c>
      <c r="D6451" t="s">
        <v>4049</v>
      </c>
      <c r="E6451" t="s">
        <v>4313</v>
      </c>
      <c r="F6451" t="s">
        <v>4177</v>
      </c>
      <c r="G6451">
        <v>0.5</v>
      </c>
      <c r="H6451" s="2">
        <v>124137.15</v>
      </c>
      <c r="I6451" s="2">
        <v>62068.57</v>
      </c>
    </row>
    <row r="6452" spans="1:9" x14ac:dyDescent="0.25">
      <c r="A6452" t="s">
        <v>3494</v>
      </c>
      <c r="B6452" t="s">
        <v>3495</v>
      </c>
      <c r="C6452" t="s">
        <v>42</v>
      </c>
      <c r="D6452" t="s">
        <v>4049</v>
      </c>
      <c r="E6452" t="s">
        <v>5474</v>
      </c>
      <c r="F6452" t="s">
        <v>4177</v>
      </c>
      <c r="G6452">
        <v>0.5</v>
      </c>
      <c r="H6452" s="2">
        <v>148967.85</v>
      </c>
      <c r="I6452" s="2">
        <v>74483.93</v>
      </c>
    </row>
    <row r="6453" spans="1:9" x14ac:dyDescent="0.25">
      <c r="A6453" t="s">
        <v>3494</v>
      </c>
      <c r="B6453" t="s">
        <v>3495</v>
      </c>
      <c r="C6453" t="s">
        <v>42</v>
      </c>
      <c r="D6453" t="s">
        <v>4052</v>
      </c>
      <c r="E6453" t="s">
        <v>7467</v>
      </c>
      <c r="F6453" t="s">
        <v>4106</v>
      </c>
      <c r="G6453">
        <v>0</v>
      </c>
      <c r="H6453" s="2">
        <v>99264</v>
      </c>
      <c r="I6453" s="2">
        <v>148.9</v>
      </c>
    </row>
    <row r="6454" spans="1:9" x14ac:dyDescent="0.25">
      <c r="A6454" t="s">
        <v>3494</v>
      </c>
      <c r="B6454" t="s">
        <v>3495</v>
      </c>
      <c r="C6454" t="s">
        <v>42</v>
      </c>
      <c r="D6454" t="s">
        <v>4052</v>
      </c>
      <c r="E6454" t="s">
        <v>4124</v>
      </c>
      <c r="F6454" t="s">
        <v>287</v>
      </c>
      <c r="G6454">
        <v>0.5</v>
      </c>
      <c r="H6454" s="2">
        <v>13993</v>
      </c>
      <c r="I6454" s="2">
        <v>6996.5</v>
      </c>
    </row>
    <row r="6455" spans="1:9" x14ac:dyDescent="0.25">
      <c r="A6455" t="s">
        <v>3494</v>
      </c>
      <c r="B6455" t="s">
        <v>3495</v>
      </c>
      <c r="C6455" t="s">
        <v>42</v>
      </c>
      <c r="D6455" t="s">
        <v>4052</v>
      </c>
      <c r="E6455" t="s">
        <v>4053</v>
      </c>
      <c r="F6455" t="s">
        <v>4054</v>
      </c>
      <c r="G6455">
        <v>5</v>
      </c>
      <c r="H6455" s="2">
        <v>172702.58</v>
      </c>
      <c r="I6455" s="2">
        <v>8635.13</v>
      </c>
    </row>
    <row r="6456" spans="1:9" x14ac:dyDescent="0.25">
      <c r="A6456" t="s">
        <v>3498</v>
      </c>
      <c r="B6456" t="s">
        <v>3499</v>
      </c>
      <c r="C6456" t="s">
        <v>21</v>
      </c>
      <c r="D6456" t="s">
        <v>4062</v>
      </c>
      <c r="E6456" t="s">
        <v>7470</v>
      </c>
      <c r="F6456" t="s">
        <v>21</v>
      </c>
      <c r="G6456">
        <v>1.1</v>
      </c>
      <c r="H6456" s="2">
        <v>263918.1</v>
      </c>
      <c r="I6456" s="2">
        <v>290309.91</v>
      </c>
    </row>
    <row r="6457" spans="1:9" x14ac:dyDescent="0.25">
      <c r="A6457" t="s">
        <v>3498</v>
      </c>
      <c r="B6457" t="s">
        <v>3499</v>
      </c>
      <c r="C6457" t="s">
        <v>21</v>
      </c>
      <c r="D6457" t="s">
        <v>4049</v>
      </c>
      <c r="E6457" t="s">
        <v>4313</v>
      </c>
      <c r="F6457" t="s">
        <v>4177</v>
      </c>
      <c r="G6457">
        <v>0.33</v>
      </c>
      <c r="H6457" s="2">
        <v>124137.15</v>
      </c>
      <c r="I6457" s="2">
        <v>41374.91</v>
      </c>
    </row>
    <row r="6458" spans="1:9" x14ac:dyDescent="0.25">
      <c r="A6458" t="s">
        <v>3498</v>
      </c>
      <c r="B6458" t="s">
        <v>3499</v>
      </c>
      <c r="C6458" t="s">
        <v>21</v>
      </c>
      <c r="D6458" t="s">
        <v>4052</v>
      </c>
      <c r="E6458" t="s">
        <v>4053</v>
      </c>
      <c r="F6458" t="s">
        <v>4054</v>
      </c>
      <c r="G6458">
        <v>0.7</v>
      </c>
      <c r="H6458" s="2">
        <v>41374.91</v>
      </c>
      <c r="I6458" s="2">
        <v>289.62</v>
      </c>
    </row>
    <row r="6459" spans="1:9" x14ac:dyDescent="0.25">
      <c r="A6459" t="s">
        <v>3502</v>
      </c>
      <c r="B6459" t="s">
        <v>3503</v>
      </c>
      <c r="C6459" t="s">
        <v>42</v>
      </c>
      <c r="D6459" t="s">
        <v>4062</v>
      </c>
      <c r="E6459" t="s">
        <v>7473</v>
      </c>
      <c r="F6459" t="s">
        <v>42</v>
      </c>
      <c r="G6459">
        <v>1</v>
      </c>
      <c r="H6459" s="2">
        <v>16665</v>
      </c>
      <c r="I6459" s="2">
        <v>16665</v>
      </c>
    </row>
    <row r="6460" spans="1:9" x14ac:dyDescent="0.25">
      <c r="A6460" t="s">
        <v>3502</v>
      </c>
      <c r="B6460" t="s">
        <v>3503</v>
      </c>
      <c r="C6460" t="s">
        <v>42</v>
      </c>
      <c r="D6460" t="s">
        <v>4062</v>
      </c>
      <c r="E6460" t="s">
        <v>4659</v>
      </c>
      <c r="F6460" t="s">
        <v>4377</v>
      </c>
      <c r="G6460">
        <v>0.02</v>
      </c>
      <c r="H6460" s="2">
        <v>31500</v>
      </c>
      <c r="I6460" s="2">
        <v>504</v>
      </c>
    </row>
    <row r="6461" spans="1:9" x14ac:dyDescent="0.25">
      <c r="A6461" t="s">
        <v>3502</v>
      </c>
      <c r="B6461" t="s">
        <v>3503</v>
      </c>
      <c r="C6461" t="s">
        <v>42</v>
      </c>
      <c r="D6461" t="s">
        <v>4062</v>
      </c>
      <c r="E6461" t="s">
        <v>4376</v>
      </c>
      <c r="F6461" t="s">
        <v>4377</v>
      </c>
      <c r="G6461">
        <v>0.02</v>
      </c>
      <c r="H6461" s="2">
        <v>72237.67</v>
      </c>
      <c r="I6461" s="2">
        <v>1155.8</v>
      </c>
    </row>
    <row r="6462" spans="1:9" x14ac:dyDescent="0.25">
      <c r="A6462" t="s">
        <v>3502</v>
      </c>
      <c r="B6462" t="s">
        <v>3503</v>
      </c>
      <c r="C6462" t="s">
        <v>42</v>
      </c>
      <c r="D6462" t="s">
        <v>4049</v>
      </c>
      <c r="E6462" t="s">
        <v>4176</v>
      </c>
      <c r="F6462" t="s">
        <v>4177</v>
      </c>
      <c r="G6462">
        <v>0.1</v>
      </c>
      <c r="H6462" s="2">
        <v>72300.17</v>
      </c>
      <c r="I6462" s="2">
        <v>7230.02</v>
      </c>
    </row>
    <row r="6463" spans="1:9" x14ac:dyDescent="0.25">
      <c r="A6463" t="s">
        <v>3502</v>
      </c>
      <c r="B6463" t="s">
        <v>3503</v>
      </c>
      <c r="C6463" t="s">
        <v>42</v>
      </c>
      <c r="D6463" t="s">
        <v>4052</v>
      </c>
      <c r="E6463" t="s">
        <v>4053</v>
      </c>
      <c r="F6463" t="s">
        <v>4054</v>
      </c>
      <c r="G6463">
        <v>0.65</v>
      </c>
      <c r="H6463" s="2">
        <v>7230.02</v>
      </c>
      <c r="I6463" s="2">
        <v>47</v>
      </c>
    </row>
    <row r="6464" spans="1:9" x14ac:dyDescent="0.25">
      <c r="A6464" t="s">
        <v>3505</v>
      </c>
      <c r="B6464" t="s">
        <v>3506</v>
      </c>
      <c r="C6464" t="s">
        <v>42</v>
      </c>
      <c r="D6464" t="s">
        <v>4062</v>
      </c>
      <c r="E6464" t="s">
        <v>7476</v>
      </c>
      <c r="F6464" t="s">
        <v>42</v>
      </c>
      <c r="G6464">
        <v>2</v>
      </c>
      <c r="H6464" s="2">
        <v>46856.73</v>
      </c>
      <c r="I6464" s="2">
        <v>93713.46</v>
      </c>
    </row>
    <row r="6465" spans="1:9" x14ac:dyDescent="0.25">
      <c r="A6465" t="s">
        <v>3505</v>
      </c>
      <c r="B6465" t="s">
        <v>3506</v>
      </c>
      <c r="C6465" t="s">
        <v>42</v>
      </c>
      <c r="D6465" t="s">
        <v>4062</v>
      </c>
      <c r="E6465" t="s">
        <v>3513</v>
      </c>
      <c r="F6465" t="s">
        <v>231</v>
      </c>
      <c r="G6465">
        <v>4</v>
      </c>
      <c r="H6465" s="2">
        <v>4427.28</v>
      </c>
      <c r="I6465" s="2">
        <v>17709.12</v>
      </c>
    </row>
    <row r="6466" spans="1:9" x14ac:dyDescent="0.25">
      <c r="A6466" t="s">
        <v>3505</v>
      </c>
      <c r="B6466" t="s">
        <v>3506</v>
      </c>
      <c r="C6466" t="s">
        <v>42</v>
      </c>
      <c r="D6466" t="s">
        <v>4062</v>
      </c>
      <c r="E6466" t="s">
        <v>7477</v>
      </c>
      <c r="F6466" t="s">
        <v>42</v>
      </c>
      <c r="G6466">
        <v>1.05</v>
      </c>
      <c r="H6466" s="2">
        <v>54866.67</v>
      </c>
      <c r="I6466" s="2">
        <v>57610</v>
      </c>
    </row>
    <row r="6467" spans="1:9" x14ac:dyDescent="0.25">
      <c r="A6467" t="s">
        <v>3505</v>
      </c>
      <c r="B6467" t="s">
        <v>3506</v>
      </c>
      <c r="C6467" t="s">
        <v>42</v>
      </c>
      <c r="D6467" t="s">
        <v>4062</v>
      </c>
      <c r="E6467" t="s">
        <v>7478</v>
      </c>
      <c r="F6467" t="s">
        <v>63</v>
      </c>
      <c r="G6467">
        <v>2</v>
      </c>
      <c r="H6467" s="2">
        <v>19704.89</v>
      </c>
      <c r="I6467" s="2">
        <v>39409.78</v>
      </c>
    </row>
    <row r="6468" spans="1:9" x14ac:dyDescent="0.25">
      <c r="A6468" t="s">
        <v>3505</v>
      </c>
      <c r="B6468" t="s">
        <v>3506</v>
      </c>
      <c r="C6468" t="s">
        <v>42</v>
      </c>
      <c r="D6468" t="s">
        <v>4049</v>
      </c>
      <c r="E6468" t="s">
        <v>4176</v>
      </c>
      <c r="F6468" t="s">
        <v>4177</v>
      </c>
      <c r="G6468">
        <v>1</v>
      </c>
      <c r="H6468" s="2">
        <v>72300.17</v>
      </c>
      <c r="I6468" s="2">
        <v>72300.17</v>
      </c>
    </row>
    <row r="6469" spans="1:9" x14ac:dyDescent="0.25">
      <c r="A6469" t="s">
        <v>3505</v>
      </c>
      <c r="B6469" t="s">
        <v>3506</v>
      </c>
      <c r="C6469" t="s">
        <v>42</v>
      </c>
      <c r="D6469" t="s">
        <v>4049</v>
      </c>
      <c r="E6469" t="s">
        <v>4313</v>
      </c>
      <c r="F6469" t="s">
        <v>4177</v>
      </c>
      <c r="G6469">
        <v>0.5</v>
      </c>
      <c r="H6469" s="2">
        <v>124137.15</v>
      </c>
      <c r="I6469" s="2">
        <v>62068.57</v>
      </c>
    </row>
    <row r="6470" spans="1:9" x14ac:dyDescent="0.25">
      <c r="A6470" t="s">
        <v>3505</v>
      </c>
      <c r="B6470" t="s">
        <v>3506</v>
      </c>
      <c r="C6470" t="s">
        <v>42</v>
      </c>
      <c r="D6470" t="s">
        <v>4049</v>
      </c>
      <c r="E6470" t="s">
        <v>5474</v>
      </c>
      <c r="F6470" t="s">
        <v>4177</v>
      </c>
      <c r="G6470">
        <v>0.5</v>
      </c>
      <c r="H6470" s="2">
        <v>148967.85</v>
      </c>
      <c r="I6470" s="2">
        <v>74483.93</v>
      </c>
    </row>
    <row r="6471" spans="1:9" x14ac:dyDescent="0.25">
      <c r="A6471" t="s">
        <v>3505</v>
      </c>
      <c r="B6471" t="s">
        <v>3506</v>
      </c>
      <c r="C6471" t="s">
        <v>42</v>
      </c>
      <c r="D6471" t="s">
        <v>4052</v>
      </c>
      <c r="E6471" t="s">
        <v>4124</v>
      </c>
      <c r="F6471" t="s">
        <v>287</v>
      </c>
      <c r="G6471">
        <v>0.6</v>
      </c>
      <c r="H6471" s="2">
        <v>13993</v>
      </c>
      <c r="I6471" s="2">
        <v>8395.8</v>
      </c>
    </row>
    <row r="6472" spans="1:9" x14ac:dyDescent="0.25">
      <c r="A6472" t="s">
        <v>3505</v>
      </c>
      <c r="B6472" t="s">
        <v>3506</v>
      </c>
      <c r="C6472" t="s">
        <v>42</v>
      </c>
      <c r="D6472" t="s">
        <v>4052</v>
      </c>
      <c r="E6472" t="s">
        <v>4053</v>
      </c>
      <c r="F6472" t="s">
        <v>4054</v>
      </c>
      <c r="G6472">
        <v>3.3</v>
      </c>
      <c r="H6472" s="2">
        <v>208852.67</v>
      </c>
      <c r="I6472" s="2">
        <v>6892.14</v>
      </c>
    </row>
    <row r="6473" spans="1:9" x14ac:dyDescent="0.25">
      <c r="A6473" t="s">
        <v>3509</v>
      </c>
      <c r="B6473" t="s">
        <v>3510</v>
      </c>
      <c r="C6473" t="s">
        <v>231</v>
      </c>
      <c r="D6473" t="s">
        <v>4062</v>
      </c>
      <c r="E6473" t="s">
        <v>4390</v>
      </c>
      <c r="F6473" t="s">
        <v>231</v>
      </c>
      <c r="G6473">
        <v>0.03</v>
      </c>
      <c r="H6473" s="2">
        <v>4155</v>
      </c>
      <c r="I6473" s="2">
        <v>124.65</v>
      </c>
    </row>
    <row r="6474" spans="1:9" x14ac:dyDescent="0.25">
      <c r="A6474" t="s">
        <v>3509</v>
      </c>
      <c r="B6474" t="s">
        <v>3510</v>
      </c>
      <c r="C6474" t="s">
        <v>231</v>
      </c>
      <c r="D6474" t="s">
        <v>4062</v>
      </c>
      <c r="E6474" t="s">
        <v>4391</v>
      </c>
      <c r="F6474" t="s">
        <v>231</v>
      </c>
      <c r="G6474">
        <v>1.05</v>
      </c>
      <c r="H6474" s="2">
        <v>2930</v>
      </c>
      <c r="I6474" s="2">
        <v>3076.5</v>
      </c>
    </row>
    <row r="6475" spans="1:9" x14ac:dyDescent="0.25">
      <c r="A6475" t="s">
        <v>3509</v>
      </c>
      <c r="B6475" t="s">
        <v>3510</v>
      </c>
      <c r="C6475" t="s">
        <v>231</v>
      </c>
      <c r="D6475" t="s">
        <v>4062</v>
      </c>
      <c r="E6475" t="s">
        <v>4392</v>
      </c>
      <c r="F6475" t="s">
        <v>63</v>
      </c>
      <c r="G6475">
        <v>0.03</v>
      </c>
      <c r="H6475" s="2">
        <v>3159.98</v>
      </c>
      <c r="I6475" s="2">
        <v>94.8</v>
      </c>
    </row>
    <row r="6476" spans="1:9" x14ac:dyDescent="0.25">
      <c r="A6476" t="s">
        <v>3509</v>
      </c>
      <c r="B6476" t="s">
        <v>3510</v>
      </c>
      <c r="C6476" t="s">
        <v>231</v>
      </c>
      <c r="D6476" t="s">
        <v>4049</v>
      </c>
      <c r="E6476" t="s">
        <v>4050</v>
      </c>
      <c r="F6476" t="s">
        <v>4051</v>
      </c>
      <c r="G6476">
        <v>0.05</v>
      </c>
      <c r="H6476" s="2">
        <v>9037.33</v>
      </c>
      <c r="I6476" s="2">
        <v>448.25</v>
      </c>
    </row>
    <row r="6477" spans="1:9" x14ac:dyDescent="0.25">
      <c r="A6477" t="s">
        <v>3509</v>
      </c>
      <c r="B6477" t="s">
        <v>3510</v>
      </c>
      <c r="C6477" t="s">
        <v>231</v>
      </c>
      <c r="D6477" t="s">
        <v>4049</v>
      </c>
      <c r="E6477" t="s">
        <v>4073</v>
      </c>
      <c r="F6477" t="s">
        <v>4051</v>
      </c>
      <c r="G6477">
        <v>0.02</v>
      </c>
      <c r="H6477" s="2">
        <v>15517.89</v>
      </c>
      <c r="I6477" s="2">
        <v>384.84</v>
      </c>
    </row>
    <row r="6478" spans="1:9" x14ac:dyDescent="0.25">
      <c r="A6478" t="s">
        <v>3509</v>
      </c>
      <c r="B6478" t="s">
        <v>3510</v>
      </c>
      <c r="C6478" t="s">
        <v>231</v>
      </c>
      <c r="D6478" t="s">
        <v>4052</v>
      </c>
      <c r="E6478" t="s">
        <v>4053</v>
      </c>
      <c r="F6478" t="s">
        <v>4054</v>
      </c>
      <c r="G6478">
        <v>5</v>
      </c>
      <c r="H6478" s="2">
        <v>833.09</v>
      </c>
      <c r="I6478" s="2">
        <v>41.65</v>
      </c>
    </row>
    <row r="6479" spans="1:9" x14ac:dyDescent="0.25">
      <c r="A6479" t="s">
        <v>3512</v>
      </c>
      <c r="B6479" t="s">
        <v>3513</v>
      </c>
      <c r="C6479" t="s">
        <v>231</v>
      </c>
      <c r="D6479" t="s">
        <v>4062</v>
      </c>
      <c r="E6479" t="s">
        <v>4390</v>
      </c>
      <c r="F6479" t="s">
        <v>231</v>
      </c>
      <c r="G6479">
        <v>0.03</v>
      </c>
      <c r="H6479" s="2">
        <v>4155</v>
      </c>
      <c r="I6479" s="2">
        <v>124.65</v>
      </c>
    </row>
    <row r="6480" spans="1:9" x14ac:dyDescent="0.25">
      <c r="A6480" t="s">
        <v>3512</v>
      </c>
      <c r="B6480" t="s">
        <v>3513</v>
      </c>
      <c r="C6480" t="s">
        <v>231</v>
      </c>
      <c r="D6480" t="s">
        <v>4062</v>
      </c>
      <c r="E6480" t="s">
        <v>4261</v>
      </c>
      <c r="F6480" t="s">
        <v>231</v>
      </c>
      <c r="G6480">
        <v>1.05</v>
      </c>
      <c r="H6480" s="2">
        <v>2982</v>
      </c>
      <c r="I6480" s="2">
        <v>3131.1</v>
      </c>
    </row>
    <row r="6481" spans="1:9" x14ac:dyDescent="0.25">
      <c r="A6481" t="s">
        <v>3512</v>
      </c>
      <c r="B6481" t="s">
        <v>3513</v>
      </c>
      <c r="C6481" t="s">
        <v>231</v>
      </c>
      <c r="D6481" t="s">
        <v>4062</v>
      </c>
      <c r="E6481" t="s">
        <v>4392</v>
      </c>
      <c r="F6481" t="s">
        <v>63</v>
      </c>
      <c r="G6481">
        <v>0.03</v>
      </c>
      <c r="H6481" s="2">
        <v>3159.98</v>
      </c>
      <c r="I6481" s="2">
        <v>94.8</v>
      </c>
    </row>
    <row r="6482" spans="1:9" x14ac:dyDescent="0.25">
      <c r="A6482" t="s">
        <v>3512</v>
      </c>
      <c r="B6482" t="s">
        <v>3513</v>
      </c>
      <c r="C6482" t="s">
        <v>231</v>
      </c>
      <c r="D6482" t="s">
        <v>4049</v>
      </c>
      <c r="E6482" t="s">
        <v>4050</v>
      </c>
      <c r="F6482" t="s">
        <v>4051</v>
      </c>
      <c r="G6482">
        <v>0.06</v>
      </c>
      <c r="H6482" s="2">
        <v>9037.33</v>
      </c>
      <c r="I6482" s="2">
        <v>540.43</v>
      </c>
    </row>
    <row r="6483" spans="1:9" x14ac:dyDescent="0.25">
      <c r="A6483" t="s">
        <v>3512</v>
      </c>
      <c r="B6483" t="s">
        <v>3513</v>
      </c>
      <c r="C6483" t="s">
        <v>231</v>
      </c>
      <c r="D6483" t="s">
        <v>4049</v>
      </c>
      <c r="E6483" t="s">
        <v>4073</v>
      </c>
      <c r="F6483" t="s">
        <v>4051</v>
      </c>
      <c r="G6483">
        <v>0.03</v>
      </c>
      <c r="H6483" s="2">
        <v>15517.89</v>
      </c>
      <c r="I6483" s="2">
        <v>463.98</v>
      </c>
    </row>
    <row r="6484" spans="1:9" x14ac:dyDescent="0.25">
      <c r="A6484" t="s">
        <v>3512</v>
      </c>
      <c r="B6484" t="s">
        <v>3513</v>
      </c>
      <c r="C6484" t="s">
        <v>231</v>
      </c>
      <c r="D6484" t="s">
        <v>4052</v>
      </c>
      <c r="E6484" t="s">
        <v>4053</v>
      </c>
      <c r="F6484" t="s">
        <v>4054</v>
      </c>
      <c r="G6484">
        <v>7.2</v>
      </c>
      <c r="H6484" s="2">
        <v>1004.41</v>
      </c>
      <c r="I6484" s="2">
        <v>72.32</v>
      </c>
    </row>
    <row r="6485" spans="1:9" x14ac:dyDescent="0.25">
      <c r="A6485" t="s">
        <v>3514</v>
      </c>
      <c r="B6485" t="s">
        <v>3516</v>
      </c>
      <c r="C6485" t="s">
        <v>3047</v>
      </c>
      <c r="D6485" t="s">
        <v>4052</v>
      </c>
      <c r="E6485" t="s">
        <v>4078</v>
      </c>
      <c r="F6485" t="s">
        <v>287</v>
      </c>
      <c r="G6485">
        <v>4</v>
      </c>
      <c r="H6485" s="2">
        <v>157100</v>
      </c>
      <c r="I6485" s="2">
        <v>628400</v>
      </c>
    </row>
    <row r="6486" spans="1:9" x14ac:dyDescent="0.25">
      <c r="A6486" t="s">
        <v>3519</v>
      </c>
      <c r="B6486" t="s">
        <v>3520</v>
      </c>
      <c r="C6486" t="s">
        <v>3047</v>
      </c>
      <c r="D6486" t="s">
        <v>4049</v>
      </c>
      <c r="E6486" t="s">
        <v>4176</v>
      </c>
      <c r="F6486" t="s">
        <v>4177</v>
      </c>
      <c r="G6486">
        <v>1</v>
      </c>
      <c r="H6486" s="2">
        <v>72300.17</v>
      </c>
      <c r="I6486" s="2">
        <v>72300.17</v>
      </c>
    </row>
    <row r="6487" spans="1:9" x14ac:dyDescent="0.25">
      <c r="A6487" t="s">
        <v>3519</v>
      </c>
      <c r="B6487" t="s">
        <v>3520</v>
      </c>
      <c r="C6487" t="s">
        <v>3047</v>
      </c>
      <c r="D6487" t="s">
        <v>4052</v>
      </c>
      <c r="E6487" t="s">
        <v>4077</v>
      </c>
      <c r="F6487" t="s">
        <v>287</v>
      </c>
      <c r="G6487">
        <v>18.18</v>
      </c>
      <c r="H6487" s="2">
        <v>74712.95</v>
      </c>
      <c r="I6487" s="2">
        <v>1358415.91</v>
      </c>
    </row>
    <row r="6488" spans="1:9" x14ac:dyDescent="0.25">
      <c r="A6488" t="s">
        <v>3519</v>
      </c>
      <c r="B6488" t="s">
        <v>3520</v>
      </c>
      <c r="C6488" t="s">
        <v>3047</v>
      </c>
      <c r="D6488" t="s">
        <v>4052</v>
      </c>
      <c r="E6488" t="s">
        <v>4078</v>
      </c>
      <c r="F6488" t="s">
        <v>287</v>
      </c>
      <c r="G6488">
        <v>18.18</v>
      </c>
      <c r="H6488" s="2">
        <v>157100</v>
      </c>
      <c r="I6488" s="2">
        <v>2856360.78</v>
      </c>
    </row>
    <row r="6489" spans="1:9" x14ac:dyDescent="0.25">
      <c r="A6489" t="s">
        <v>3519</v>
      </c>
      <c r="B6489" t="s">
        <v>3520</v>
      </c>
      <c r="C6489" t="s">
        <v>3047</v>
      </c>
      <c r="D6489" t="s">
        <v>4052</v>
      </c>
      <c r="E6489" t="s">
        <v>4081</v>
      </c>
      <c r="F6489" t="s">
        <v>287</v>
      </c>
      <c r="G6489">
        <v>18.18</v>
      </c>
      <c r="H6489" s="2">
        <v>98968.79</v>
      </c>
      <c r="I6489" s="2">
        <v>1799430.75</v>
      </c>
    </row>
    <row r="6490" spans="1:9" x14ac:dyDescent="0.25">
      <c r="A6490" t="s">
        <v>3522</v>
      </c>
      <c r="B6490" t="s">
        <v>3523</v>
      </c>
      <c r="C6490" t="s">
        <v>63</v>
      </c>
      <c r="D6490" t="s">
        <v>4049</v>
      </c>
      <c r="E6490" t="s">
        <v>4176</v>
      </c>
      <c r="F6490" t="s">
        <v>4177</v>
      </c>
      <c r="G6490">
        <v>3</v>
      </c>
      <c r="H6490" s="2">
        <v>72300.17</v>
      </c>
      <c r="I6490" s="2">
        <v>216900.51</v>
      </c>
    </row>
    <row r="6491" spans="1:9" x14ac:dyDescent="0.25">
      <c r="A6491" t="s">
        <v>3522</v>
      </c>
      <c r="B6491" t="s">
        <v>3523</v>
      </c>
      <c r="C6491" t="s">
        <v>63</v>
      </c>
      <c r="D6491" t="s">
        <v>4052</v>
      </c>
      <c r="E6491" t="s">
        <v>4053</v>
      </c>
      <c r="F6491" t="s">
        <v>4054</v>
      </c>
      <c r="G6491">
        <v>3.3</v>
      </c>
      <c r="H6491" s="2">
        <v>216900.51</v>
      </c>
      <c r="I6491" s="2">
        <v>7157.72</v>
      </c>
    </row>
    <row r="6492" spans="1:9" x14ac:dyDescent="0.25">
      <c r="A6492" t="s">
        <v>3525</v>
      </c>
      <c r="B6492" t="s">
        <v>3526</v>
      </c>
      <c r="C6492" t="s">
        <v>42</v>
      </c>
      <c r="D6492" t="s">
        <v>4049</v>
      </c>
      <c r="E6492" t="s">
        <v>4176</v>
      </c>
      <c r="F6492" t="s">
        <v>4177</v>
      </c>
      <c r="G6492">
        <v>0.08</v>
      </c>
      <c r="H6492" s="2">
        <v>72300.17</v>
      </c>
      <c r="I6492" s="2">
        <v>5422.51</v>
      </c>
    </row>
    <row r="6493" spans="1:9" x14ac:dyDescent="0.25">
      <c r="A6493" t="s">
        <v>3525</v>
      </c>
      <c r="B6493" t="s">
        <v>3526</v>
      </c>
      <c r="C6493" t="s">
        <v>42</v>
      </c>
      <c r="D6493" t="s">
        <v>4052</v>
      </c>
      <c r="E6493" t="s">
        <v>4053</v>
      </c>
      <c r="F6493" t="s">
        <v>4054</v>
      </c>
      <c r="G6493">
        <v>3.3</v>
      </c>
      <c r="H6493" s="2">
        <v>5422.51</v>
      </c>
      <c r="I6493" s="2">
        <v>178.94</v>
      </c>
    </row>
    <row r="6494" spans="1:9" x14ac:dyDescent="0.25">
      <c r="A6494" t="s">
        <v>3528</v>
      </c>
      <c r="B6494" t="s">
        <v>3529</v>
      </c>
      <c r="C6494" t="s">
        <v>42</v>
      </c>
      <c r="D6494" t="s">
        <v>4049</v>
      </c>
      <c r="E6494" t="s">
        <v>4176</v>
      </c>
      <c r="F6494" t="s">
        <v>4177</v>
      </c>
      <c r="G6494">
        <v>0.04</v>
      </c>
      <c r="H6494" s="2">
        <v>72300.17</v>
      </c>
      <c r="I6494" s="2">
        <v>2711.26</v>
      </c>
    </row>
    <row r="6495" spans="1:9" x14ac:dyDescent="0.25">
      <c r="A6495" t="s">
        <v>3528</v>
      </c>
      <c r="B6495" t="s">
        <v>3529</v>
      </c>
      <c r="C6495" t="s">
        <v>42</v>
      </c>
      <c r="D6495" t="s">
        <v>4052</v>
      </c>
      <c r="E6495" t="s">
        <v>4053</v>
      </c>
      <c r="F6495" t="s">
        <v>4054</v>
      </c>
      <c r="G6495">
        <v>3.3</v>
      </c>
      <c r="H6495" s="2">
        <v>2711.26</v>
      </c>
      <c r="I6495" s="2">
        <v>89.47</v>
      </c>
    </row>
    <row r="6496" spans="1:9" x14ac:dyDescent="0.25">
      <c r="A6496" t="s">
        <v>3531</v>
      </c>
      <c r="B6496" t="s">
        <v>3532</v>
      </c>
      <c r="C6496" t="s">
        <v>3533</v>
      </c>
      <c r="D6496" t="s">
        <v>4049</v>
      </c>
      <c r="E6496" t="s">
        <v>4176</v>
      </c>
      <c r="F6496" t="s">
        <v>4177</v>
      </c>
      <c r="G6496">
        <v>3.53</v>
      </c>
      <c r="H6496" s="2">
        <v>72300.17</v>
      </c>
      <c r="I6496" s="2">
        <v>255183.45</v>
      </c>
    </row>
    <row r="6497" spans="1:9" x14ac:dyDescent="0.25">
      <c r="A6497" t="s">
        <v>3531</v>
      </c>
      <c r="B6497" t="s">
        <v>3532</v>
      </c>
      <c r="C6497" t="s">
        <v>3533</v>
      </c>
      <c r="D6497" t="s">
        <v>4052</v>
      </c>
      <c r="E6497" t="s">
        <v>4053</v>
      </c>
      <c r="F6497" t="s">
        <v>4054</v>
      </c>
      <c r="G6497">
        <v>3.3</v>
      </c>
      <c r="H6497" s="2">
        <v>255183.45</v>
      </c>
      <c r="I6497" s="2">
        <v>8421.05</v>
      </c>
    </row>
    <row r="6498" spans="1:9" x14ac:dyDescent="0.25">
      <c r="A6498" t="s">
        <v>3535</v>
      </c>
      <c r="B6498" t="s">
        <v>3536</v>
      </c>
      <c r="C6498" t="s">
        <v>3065</v>
      </c>
      <c r="D6498" t="s">
        <v>4049</v>
      </c>
      <c r="E6498" t="s">
        <v>4176</v>
      </c>
      <c r="F6498" t="s">
        <v>4177</v>
      </c>
      <c r="G6498">
        <v>3.48</v>
      </c>
      <c r="H6498" s="2">
        <v>72300.17</v>
      </c>
      <c r="I6498" s="2">
        <v>251604.59</v>
      </c>
    </row>
    <row r="6499" spans="1:9" x14ac:dyDescent="0.25">
      <c r="A6499" t="s">
        <v>3535</v>
      </c>
      <c r="B6499" t="s">
        <v>3536</v>
      </c>
      <c r="C6499" t="s">
        <v>3065</v>
      </c>
      <c r="D6499" t="s">
        <v>4052</v>
      </c>
      <c r="E6499" t="s">
        <v>7085</v>
      </c>
      <c r="F6499" t="s">
        <v>287</v>
      </c>
      <c r="G6499">
        <v>26.67</v>
      </c>
      <c r="H6499" s="2">
        <v>7226.17</v>
      </c>
      <c r="I6499" s="2">
        <v>192693.05</v>
      </c>
    </row>
    <row r="6500" spans="1:9" x14ac:dyDescent="0.25">
      <c r="A6500" t="s">
        <v>3535</v>
      </c>
      <c r="B6500" t="s">
        <v>3536</v>
      </c>
      <c r="C6500" t="s">
        <v>3065</v>
      </c>
      <c r="D6500" t="s">
        <v>4052</v>
      </c>
      <c r="E6500" t="s">
        <v>4053</v>
      </c>
      <c r="F6500" t="s">
        <v>4054</v>
      </c>
      <c r="G6500">
        <v>3.3</v>
      </c>
      <c r="H6500" s="2">
        <v>251604.59</v>
      </c>
      <c r="I6500" s="2">
        <v>8302.95</v>
      </c>
    </row>
    <row r="6501" spans="1:9" x14ac:dyDescent="0.25">
      <c r="A6501" t="s">
        <v>3535</v>
      </c>
      <c r="B6501" t="s">
        <v>3536</v>
      </c>
      <c r="C6501" t="s">
        <v>3065</v>
      </c>
      <c r="D6501" t="s">
        <v>4058</v>
      </c>
      <c r="E6501" t="s">
        <v>4059</v>
      </c>
      <c r="F6501" t="s">
        <v>3545</v>
      </c>
      <c r="G6501">
        <v>25</v>
      </c>
      <c r="H6501" s="2">
        <v>1325</v>
      </c>
      <c r="I6501" s="2">
        <v>33125</v>
      </c>
    </row>
    <row r="6502" spans="1:9" x14ac:dyDescent="0.25">
      <c r="A6502" t="s">
        <v>3538</v>
      </c>
      <c r="B6502" t="s">
        <v>3540</v>
      </c>
      <c r="C6502" t="s">
        <v>34</v>
      </c>
      <c r="D6502" t="s">
        <v>4052</v>
      </c>
      <c r="E6502" t="s">
        <v>4118</v>
      </c>
      <c r="F6502" t="s">
        <v>287</v>
      </c>
      <c r="G6502">
        <v>0.03</v>
      </c>
      <c r="H6502" s="2">
        <v>107433.33</v>
      </c>
      <c r="I6502" s="2">
        <v>3577.53</v>
      </c>
    </row>
    <row r="6503" spans="1:9" x14ac:dyDescent="0.25">
      <c r="A6503" t="s">
        <v>3538</v>
      </c>
      <c r="B6503" t="s">
        <v>3540</v>
      </c>
      <c r="C6503" t="s">
        <v>34</v>
      </c>
      <c r="D6503" t="s">
        <v>4058</v>
      </c>
      <c r="E6503" t="s">
        <v>4059</v>
      </c>
      <c r="F6503" t="s">
        <v>3545</v>
      </c>
      <c r="G6503">
        <v>1</v>
      </c>
      <c r="H6503" s="2">
        <v>1325</v>
      </c>
      <c r="I6503" s="2">
        <v>1325</v>
      </c>
    </row>
    <row r="6504" spans="1:9" x14ac:dyDescent="0.25">
      <c r="A6504" t="s">
        <v>3543</v>
      </c>
      <c r="B6504" t="s">
        <v>3544</v>
      </c>
      <c r="C6504" t="s">
        <v>3545</v>
      </c>
      <c r="D6504" t="s">
        <v>4058</v>
      </c>
      <c r="E6504" t="s">
        <v>4059</v>
      </c>
      <c r="F6504" t="s">
        <v>3545</v>
      </c>
      <c r="G6504">
        <v>1</v>
      </c>
      <c r="H6504" s="2">
        <v>1325</v>
      </c>
      <c r="I6504" s="2">
        <v>1325</v>
      </c>
    </row>
    <row r="6505" spans="1:9" x14ac:dyDescent="0.25">
      <c r="A6505" t="s">
        <v>3548</v>
      </c>
      <c r="B6505" t="s">
        <v>3549</v>
      </c>
      <c r="C6505" t="s">
        <v>3545</v>
      </c>
      <c r="D6505" t="s">
        <v>4058</v>
      </c>
      <c r="E6505" t="s">
        <v>4059</v>
      </c>
      <c r="F6505" t="s">
        <v>3545</v>
      </c>
      <c r="G6505">
        <v>1.25</v>
      </c>
      <c r="H6505" s="2">
        <v>1325</v>
      </c>
      <c r="I6505" s="2">
        <v>1656.25</v>
      </c>
    </row>
    <row r="6506" spans="1:9" x14ac:dyDescent="0.25">
      <c r="A6506" t="s">
        <v>3551</v>
      </c>
      <c r="B6506" t="s">
        <v>3552</v>
      </c>
      <c r="C6506" t="s">
        <v>34</v>
      </c>
      <c r="D6506" t="s">
        <v>4058</v>
      </c>
      <c r="E6506" t="s">
        <v>4059</v>
      </c>
      <c r="F6506" t="s">
        <v>3545</v>
      </c>
      <c r="G6506">
        <v>1.25</v>
      </c>
      <c r="H6506" s="2">
        <v>1325</v>
      </c>
      <c r="I6506" s="2">
        <v>1656.25</v>
      </c>
    </row>
    <row r="6507" spans="1:9" x14ac:dyDescent="0.25">
      <c r="A6507" t="s">
        <v>3554</v>
      </c>
      <c r="B6507" t="s">
        <v>3555</v>
      </c>
      <c r="C6507" t="s">
        <v>3545</v>
      </c>
      <c r="D6507" t="s">
        <v>4058</v>
      </c>
      <c r="E6507" t="s">
        <v>7278</v>
      </c>
      <c r="F6507" t="s">
        <v>3545</v>
      </c>
      <c r="G6507">
        <v>1.25</v>
      </c>
      <c r="H6507" s="2">
        <v>1537</v>
      </c>
      <c r="I6507" s="2">
        <v>1921.25</v>
      </c>
    </row>
    <row r="6508" spans="1:9" x14ac:dyDescent="0.25">
      <c r="A6508" t="s">
        <v>3557</v>
      </c>
      <c r="B6508" t="s">
        <v>3558</v>
      </c>
      <c r="C6508" t="s">
        <v>231</v>
      </c>
      <c r="D6508" t="s">
        <v>4058</v>
      </c>
      <c r="E6508" t="s">
        <v>7097</v>
      </c>
      <c r="F6508" t="s">
        <v>7098</v>
      </c>
      <c r="G6508">
        <v>1</v>
      </c>
      <c r="H6508" s="2">
        <v>146.18</v>
      </c>
      <c r="I6508" s="2">
        <v>146.18</v>
      </c>
    </row>
    <row r="6509" spans="1:9" x14ac:dyDescent="0.25">
      <c r="A6509" t="s">
        <v>3560</v>
      </c>
      <c r="B6509" t="s">
        <v>3562</v>
      </c>
      <c r="C6509" t="s">
        <v>3563</v>
      </c>
      <c r="D6509" t="s">
        <v>4062</v>
      </c>
      <c r="E6509" t="s">
        <v>4390</v>
      </c>
      <c r="F6509" t="s">
        <v>231</v>
      </c>
      <c r="G6509">
        <v>0.02</v>
      </c>
      <c r="H6509" s="2">
        <v>4155</v>
      </c>
      <c r="I6509" s="2">
        <v>83.1</v>
      </c>
    </row>
    <row r="6510" spans="1:9" x14ac:dyDescent="0.25">
      <c r="A6510" t="s">
        <v>3560</v>
      </c>
      <c r="B6510" t="s">
        <v>3562</v>
      </c>
      <c r="C6510" t="s">
        <v>3563</v>
      </c>
      <c r="D6510" t="s">
        <v>4062</v>
      </c>
      <c r="E6510" t="s">
        <v>7515</v>
      </c>
      <c r="F6510" t="s">
        <v>63</v>
      </c>
      <c r="G6510">
        <v>0</v>
      </c>
      <c r="H6510" s="2">
        <v>20035</v>
      </c>
      <c r="I6510" s="2">
        <v>80.14</v>
      </c>
    </row>
    <row r="6511" spans="1:9" x14ac:dyDescent="0.25">
      <c r="A6511" t="s">
        <v>3560</v>
      </c>
      <c r="B6511" t="s">
        <v>3562</v>
      </c>
      <c r="C6511" t="s">
        <v>3563</v>
      </c>
      <c r="D6511" t="s">
        <v>4062</v>
      </c>
      <c r="E6511" t="s">
        <v>7516</v>
      </c>
      <c r="F6511" t="s">
        <v>231</v>
      </c>
      <c r="G6511">
        <v>0.09</v>
      </c>
      <c r="H6511" s="2">
        <v>6479</v>
      </c>
      <c r="I6511" s="2">
        <v>550.72</v>
      </c>
    </row>
    <row r="6512" spans="1:9" x14ac:dyDescent="0.25">
      <c r="A6512" t="s">
        <v>3560</v>
      </c>
      <c r="B6512" t="s">
        <v>3562</v>
      </c>
      <c r="C6512" t="s">
        <v>3563</v>
      </c>
      <c r="D6512" t="s">
        <v>4062</v>
      </c>
      <c r="E6512" t="s">
        <v>7517</v>
      </c>
      <c r="F6512" t="s">
        <v>231</v>
      </c>
      <c r="G6512">
        <v>0</v>
      </c>
      <c r="H6512" s="2">
        <v>67691</v>
      </c>
      <c r="I6512" s="2">
        <v>67.69</v>
      </c>
    </row>
    <row r="6513" spans="1:9" x14ac:dyDescent="0.25">
      <c r="A6513" t="s">
        <v>3560</v>
      </c>
      <c r="B6513" t="s">
        <v>3562</v>
      </c>
      <c r="C6513" t="s">
        <v>3563</v>
      </c>
      <c r="D6513" t="s">
        <v>4062</v>
      </c>
      <c r="E6513" t="s">
        <v>3962</v>
      </c>
      <c r="F6513" t="s">
        <v>3963</v>
      </c>
      <c r="G6513">
        <v>0.07</v>
      </c>
      <c r="H6513" s="2">
        <v>315.67</v>
      </c>
      <c r="I6513" s="2">
        <v>22.1</v>
      </c>
    </row>
    <row r="6514" spans="1:9" x14ac:dyDescent="0.25">
      <c r="A6514" t="s">
        <v>3560</v>
      </c>
      <c r="B6514" t="s">
        <v>3562</v>
      </c>
      <c r="C6514" t="s">
        <v>3563</v>
      </c>
      <c r="D6514" t="s">
        <v>4062</v>
      </c>
      <c r="E6514" t="s">
        <v>7518</v>
      </c>
      <c r="F6514" t="s">
        <v>42</v>
      </c>
      <c r="G6514">
        <v>0.06</v>
      </c>
      <c r="H6514" s="2">
        <v>11489.66</v>
      </c>
      <c r="I6514" s="2">
        <v>689.38</v>
      </c>
    </row>
    <row r="6515" spans="1:9" x14ac:dyDescent="0.25">
      <c r="A6515" t="s">
        <v>3560</v>
      </c>
      <c r="B6515" t="s">
        <v>3562</v>
      </c>
      <c r="C6515" t="s">
        <v>3563</v>
      </c>
      <c r="D6515" t="s">
        <v>4049</v>
      </c>
      <c r="E6515" t="s">
        <v>4176</v>
      </c>
      <c r="F6515" t="s">
        <v>4177</v>
      </c>
      <c r="G6515">
        <v>0</v>
      </c>
      <c r="H6515" s="2">
        <v>72300.17</v>
      </c>
      <c r="I6515" s="2">
        <v>216.9</v>
      </c>
    </row>
    <row r="6516" spans="1:9" x14ac:dyDescent="0.25">
      <c r="A6516" t="s">
        <v>3560</v>
      </c>
      <c r="B6516" t="s">
        <v>3562</v>
      </c>
      <c r="C6516" t="s">
        <v>3563</v>
      </c>
      <c r="D6516" t="s">
        <v>4049</v>
      </c>
      <c r="E6516" t="s">
        <v>4313</v>
      </c>
      <c r="F6516" t="s">
        <v>4177</v>
      </c>
      <c r="G6516">
        <v>0</v>
      </c>
      <c r="H6516" s="2">
        <v>124137.15</v>
      </c>
      <c r="I6516" s="2">
        <v>186.21</v>
      </c>
    </row>
    <row r="6517" spans="1:9" x14ac:dyDescent="0.25">
      <c r="A6517" t="s">
        <v>3560</v>
      </c>
      <c r="B6517" t="s">
        <v>3562</v>
      </c>
      <c r="C6517" t="s">
        <v>3563</v>
      </c>
      <c r="D6517" t="s">
        <v>4052</v>
      </c>
      <c r="E6517" t="s">
        <v>7519</v>
      </c>
      <c r="F6517" t="s">
        <v>287</v>
      </c>
      <c r="G6517">
        <v>0</v>
      </c>
      <c r="H6517" s="2">
        <v>26653</v>
      </c>
      <c r="I6517" s="2">
        <v>39.98</v>
      </c>
    </row>
    <row r="6518" spans="1:9" x14ac:dyDescent="0.25">
      <c r="A6518" t="s">
        <v>3560</v>
      </c>
      <c r="B6518" t="s">
        <v>3562</v>
      </c>
      <c r="C6518" t="s">
        <v>3563</v>
      </c>
      <c r="D6518" t="s">
        <v>4052</v>
      </c>
      <c r="E6518" t="s">
        <v>7520</v>
      </c>
      <c r="F6518" t="s">
        <v>287</v>
      </c>
      <c r="G6518">
        <v>0</v>
      </c>
      <c r="H6518" s="2">
        <v>47892</v>
      </c>
      <c r="I6518" s="2">
        <v>71.84</v>
      </c>
    </row>
    <row r="6519" spans="1:9" x14ac:dyDescent="0.25">
      <c r="A6519" t="s">
        <v>3560</v>
      </c>
      <c r="B6519" t="s">
        <v>3562</v>
      </c>
      <c r="C6519" t="s">
        <v>3563</v>
      </c>
      <c r="D6519" t="s">
        <v>4052</v>
      </c>
      <c r="E6519" t="s">
        <v>7521</v>
      </c>
      <c r="F6519" t="s">
        <v>287</v>
      </c>
      <c r="G6519">
        <v>0</v>
      </c>
      <c r="H6519" s="2">
        <v>153968</v>
      </c>
      <c r="I6519" s="2">
        <v>230.95</v>
      </c>
    </row>
    <row r="6520" spans="1:9" x14ac:dyDescent="0.25">
      <c r="A6520" t="s">
        <v>3560</v>
      </c>
      <c r="B6520" t="s">
        <v>3562</v>
      </c>
      <c r="C6520" t="s">
        <v>3563</v>
      </c>
      <c r="D6520" t="s">
        <v>4052</v>
      </c>
      <c r="E6520" t="s">
        <v>4053</v>
      </c>
      <c r="F6520" t="s">
        <v>4054</v>
      </c>
      <c r="G6520">
        <v>1.3</v>
      </c>
      <c r="H6520" s="2">
        <v>403.11</v>
      </c>
      <c r="I6520" s="2">
        <v>5.24</v>
      </c>
    </row>
    <row r="6521" spans="1:9" x14ac:dyDescent="0.25">
      <c r="A6521" t="s">
        <v>3567</v>
      </c>
      <c r="B6521" t="s">
        <v>3568</v>
      </c>
      <c r="C6521" t="s">
        <v>3563</v>
      </c>
      <c r="D6521" t="s">
        <v>4062</v>
      </c>
      <c r="E6521" t="s">
        <v>4390</v>
      </c>
      <c r="F6521" t="s">
        <v>231</v>
      </c>
      <c r="G6521">
        <v>0.05</v>
      </c>
      <c r="H6521" s="2">
        <v>4155</v>
      </c>
      <c r="I6521" s="2">
        <v>207.75</v>
      </c>
    </row>
    <row r="6522" spans="1:9" x14ac:dyDescent="0.25">
      <c r="A6522" t="s">
        <v>3567</v>
      </c>
      <c r="B6522" t="s">
        <v>3568</v>
      </c>
      <c r="C6522" t="s">
        <v>3563</v>
      </c>
      <c r="D6522" t="s">
        <v>4062</v>
      </c>
      <c r="E6522" t="s">
        <v>7524</v>
      </c>
      <c r="F6522" t="s">
        <v>63</v>
      </c>
      <c r="G6522">
        <v>0.1</v>
      </c>
      <c r="H6522" s="2">
        <v>1345.33</v>
      </c>
      <c r="I6522" s="2">
        <v>134.53</v>
      </c>
    </row>
    <row r="6523" spans="1:9" x14ac:dyDescent="0.25">
      <c r="A6523" t="s">
        <v>3567</v>
      </c>
      <c r="B6523" t="s">
        <v>3568</v>
      </c>
      <c r="C6523" t="s">
        <v>3563</v>
      </c>
      <c r="D6523" t="s">
        <v>4062</v>
      </c>
      <c r="E6523" t="s">
        <v>7516</v>
      </c>
      <c r="F6523" t="s">
        <v>231</v>
      </c>
      <c r="G6523">
        <v>3</v>
      </c>
      <c r="H6523" s="2">
        <v>6479</v>
      </c>
      <c r="I6523" s="2">
        <v>19437</v>
      </c>
    </row>
    <row r="6524" spans="1:9" x14ac:dyDescent="0.25">
      <c r="A6524" t="s">
        <v>3567</v>
      </c>
      <c r="B6524" t="s">
        <v>3568</v>
      </c>
      <c r="C6524" t="s">
        <v>3563</v>
      </c>
      <c r="D6524" t="s">
        <v>4062</v>
      </c>
      <c r="E6524" t="s">
        <v>7525</v>
      </c>
      <c r="F6524" t="s">
        <v>42</v>
      </c>
      <c r="G6524">
        <v>0.55</v>
      </c>
      <c r="H6524" s="2">
        <v>41687.5</v>
      </c>
      <c r="I6524" s="2">
        <v>22928.13</v>
      </c>
    </row>
    <row r="6525" spans="1:9" x14ac:dyDescent="0.25">
      <c r="A6525" t="s">
        <v>3567</v>
      </c>
      <c r="B6525" t="s">
        <v>3568</v>
      </c>
      <c r="C6525" t="s">
        <v>3563</v>
      </c>
      <c r="D6525" t="s">
        <v>4062</v>
      </c>
      <c r="E6525" t="s">
        <v>7526</v>
      </c>
      <c r="F6525" t="s">
        <v>63</v>
      </c>
      <c r="G6525">
        <v>0.1</v>
      </c>
      <c r="H6525" s="2">
        <v>594</v>
      </c>
      <c r="I6525" s="2">
        <v>59.4</v>
      </c>
    </row>
    <row r="6526" spans="1:9" x14ac:dyDescent="0.25">
      <c r="A6526" t="s">
        <v>3567</v>
      </c>
      <c r="B6526" t="s">
        <v>3568</v>
      </c>
      <c r="C6526" t="s">
        <v>3563</v>
      </c>
      <c r="D6526" t="s">
        <v>4062</v>
      </c>
      <c r="E6526" t="s">
        <v>6195</v>
      </c>
      <c r="F6526" t="s">
        <v>42</v>
      </c>
      <c r="G6526">
        <v>1</v>
      </c>
      <c r="H6526" s="2">
        <v>4451</v>
      </c>
      <c r="I6526" s="2">
        <v>4451</v>
      </c>
    </row>
    <row r="6527" spans="1:9" x14ac:dyDescent="0.25">
      <c r="A6527" t="s">
        <v>3567</v>
      </c>
      <c r="B6527" t="s">
        <v>3568</v>
      </c>
      <c r="C6527" t="s">
        <v>3563</v>
      </c>
      <c r="D6527" t="s">
        <v>4062</v>
      </c>
      <c r="E6527" t="s">
        <v>4475</v>
      </c>
      <c r="F6527" t="s">
        <v>231</v>
      </c>
      <c r="G6527">
        <v>17.79</v>
      </c>
      <c r="H6527" s="2">
        <v>730</v>
      </c>
      <c r="I6527" s="2">
        <v>12983.05</v>
      </c>
    </row>
    <row r="6528" spans="1:9" x14ac:dyDescent="0.25">
      <c r="A6528" t="s">
        <v>3567</v>
      </c>
      <c r="B6528" t="s">
        <v>3568</v>
      </c>
      <c r="C6528" t="s">
        <v>3563</v>
      </c>
      <c r="D6528" t="s">
        <v>4062</v>
      </c>
      <c r="E6528" t="s">
        <v>4659</v>
      </c>
      <c r="F6528" t="s">
        <v>4377</v>
      </c>
      <c r="G6528">
        <v>0.02</v>
      </c>
      <c r="H6528" s="2">
        <v>31500</v>
      </c>
      <c r="I6528" s="2">
        <v>630</v>
      </c>
    </row>
    <row r="6529" spans="1:9" x14ac:dyDescent="0.25">
      <c r="A6529" t="s">
        <v>3567</v>
      </c>
      <c r="B6529" t="s">
        <v>3568</v>
      </c>
      <c r="C6529" t="s">
        <v>3563</v>
      </c>
      <c r="D6529" t="s">
        <v>4062</v>
      </c>
      <c r="E6529" t="s">
        <v>7527</v>
      </c>
      <c r="F6529" t="s">
        <v>4532</v>
      </c>
      <c r="G6529">
        <v>0.02</v>
      </c>
      <c r="H6529" s="2">
        <v>243000</v>
      </c>
      <c r="I6529" s="2">
        <v>4860</v>
      </c>
    </row>
    <row r="6530" spans="1:9" x14ac:dyDescent="0.25">
      <c r="A6530" t="s">
        <v>3567</v>
      </c>
      <c r="B6530" t="s">
        <v>3568</v>
      </c>
      <c r="C6530" t="s">
        <v>3563</v>
      </c>
      <c r="D6530" t="s">
        <v>4062</v>
      </c>
      <c r="E6530" t="s">
        <v>5673</v>
      </c>
      <c r="F6530" t="s">
        <v>4377</v>
      </c>
      <c r="G6530">
        <v>0.02</v>
      </c>
      <c r="H6530" s="2">
        <v>38633</v>
      </c>
      <c r="I6530" s="2">
        <v>579.5</v>
      </c>
    </row>
    <row r="6531" spans="1:9" x14ac:dyDescent="0.25">
      <c r="A6531" t="s">
        <v>3567</v>
      </c>
      <c r="B6531" t="s">
        <v>3568</v>
      </c>
      <c r="C6531" t="s">
        <v>3563</v>
      </c>
      <c r="D6531" t="s">
        <v>4062</v>
      </c>
      <c r="E6531" t="s">
        <v>4076</v>
      </c>
      <c r="F6531" t="s">
        <v>3963</v>
      </c>
      <c r="G6531">
        <v>100</v>
      </c>
      <c r="H6531" s="2">
        <v>21</v>
      </c>
      <c r="I6531" s="2">
        <v>2100</v>
      </c>
    </row>
    <row r="6532" spans="1:9" x14ac:dyDescent="0.25">
      <c r="A6532" t="s">
        <v>3567</v>
      </c>
      <c r="B6532" t="s">
        <v>3568</v>
      </c>
      <c r="C6532" t="s">
        <v>3563</v>
      </c>
      <c r="D6532" t="s">
        <v>4062</v>
      </c>
      <c r="E6532" t="s">
        <v>4376</v>
      </c>
      <c r="F6532" t="s">
        <v>4377</v>
      </c>
      <c r="G6532">
        <v>0.01</v>
      </c>
      <c r="H6532" s="2">
        <v>72237.67</v>
      </c>
      <c r="I6532" s="2">
        <v>650.14</v>
      </c>
    </row>
    <row r="6533" spans="1:9" x14ac:dyDescent="0.25">
      <c r="A6533" t="s">
        <v>3567</v>
      </c>
      <c r="B6533" t="s">
        <v>3568</v>
      </c>
      <c r="C6533" t="s">
        <v>3563</v>
      </c>
      <c r="D6533" t="s">
        <v>4049</v>
      </c>
      <c r="E6533" t="s">
        <v>4176</v>
      </c>
      <c r="F6533" t="s">
        <v>4177</v>
      </c>
      <c r="G6533">
        <v>0.29</v>
      </c>
      <c r="H6533" s="2">
        <v>72300.17</v>
      </c>
      <c r="I6533" s="2">
        <v>20663.39</v>
      </c>
    </row>
    <row r="6534" spans="1:9" x14ac:dyDescent="0.25">
      <c r="A6534" t="s">
        <v>3567</v>
      </c>
      <c r="B6534" t="s">
        <v>3568</v>
      </c>
      <c r="C6534" t="s">
        <v>3563</v>
      </c>
      <c r="D6534" t="s">
        <v>4052</v>
      </c>
      <c r="E6534" t="s">
        <v>7519</v>
      </c>
      <c r="F6534" t="s">
        <v>287</v>
      </c>
      <c r="G6534">
        <v>0.08</v>
      </c>
      <c r="H6534" s="2">
        <v>26653</v>
      </c>
      <c r="I6534" s="2">
        <v>2220.19</v>
      </c>
    </row>
    <row r="6535" spans="1:9" x14ac:dyDescent="0.25">
      <c r="A6535" t="s">
        <v>3567</v>
      </c>
      <c r="B6535" t="s">
        <v>3568</v>
      </c>
      <c r="C6535" t="s">
        <v>3563</v>
      </c>
      <c r="D6535" t="s">
        <v>4052</v>
      </c>
      <c r="E6535" t="s">
        <v>7520</v>
      </c>
      <c r="F6535" t="s">
        <v>287</v>
      </c>
      <c r="G6535">
        <v>0.08</v>
      </c>
      <c r="H6535" s="2">
        <v>47892</v>
      </c>
      <c r="I6535" s="2">
        <v>3989.4</v>
      </c>
    </row>
    <row r="6536" spans="1:9" x14ac:dyDescent="0.25">
      <c r="A6536" t="s">
        <v>3567</v>
      </c>
      <c r="B6536" t="s">
        <v>3568</v>
      </c>
      <c r="C6536" t="s">
        <v>3563</v>
      </c>
      <c r="D6536" t="s">
        <v>4052</v>
      </c>
      <c r="E6536" t="s">
        <v>7528</v>
      </c>
      <c r="F6536" t="s">
        <v>287</v>
      </c>
      <c r="G6536">
        <v>1.25</v>
      </c>
      <c r="H6536" s="2">
        <v>93400</v>
      </c>
      <c r="I6536" s="2">
        <v>116750</v>
      </c>
    </row>
    <row r="6537" spans="1:9" x14ac:dyDescent="0.25">
      <c r="A6537" t="s">
        <v>3567</v>
      </c>
      <c r="B6537" t="s">
        <v>3568</v>
      </c>
      <c r="C6537" t="s">
        <v>3563</v>
      </c>
      <c r="D6537" t="s">
        <v>4052</v>
      </c>
      <c r="E6537" t="s">
        <v>7166</v>
      </c>
      <c r="F6537" t="s">
        <v>287</v>
      </c>
      <c r="G6537">
        <v>1.25</v>
      </c>
      <c r="H6537" s="2">
        <v>181997</v>
      </c>
      <c r="I6537" s="2">
        <v>227496.25</v>
      </c>
    </row>
    <row r="6538" spans="1:9" x14ac:dyDescent="0.25">
      <c r="A6538" t="s">
        <v>3567</v>
      </c>
      <c r="B6538" t="s">
        <v>3568</v>
      </c>
      <c r="C6538" t="s">
        <v>3563</v>
      </c>
      <c r="D6538" t="s">
        <v>4052</v>
      </c>
      <c r="E6538" t="s">
        <v>7521</v>
      </c>
      <c r="F6538" t="s">
        <v>287</v>
      </c>
      <c r="G6538">
        <v>0.4</v>
      </c>
      <c r="H6538" s="2">
        <v>153968</v>
      </c>
      <c r="I6538" s="2">
        <v>61156.09</v>
      </c>
    </row>
    <row r="6539" spans="1:9" x14ac:dyDescent="0.25">
      <c r="A6539" t="s">
        <v>3567</v>
      </c>
      <c r="B6539" t="s">
        <v>3568</v>
      </c>
      <c r="C6539" t="s">
        <v>3563</v>
      </c>
      <c r="D6539" t="s">
        <v>4052</v>
      </c>
      <c r="E6539" t="s">
        <v>4053</v>
      </c>
      <c r="F6539" t="s">
        <v>4054</v>
      </c>
      <c r="G6539">
        <v>3.3</v>
      </c>
      <c r="H6539" s="2">
        <v>20663.39</v>
      </c>
      <c r="I6539" s="2">
        <v>681.89</v>
      </c>
    </row>
    <row r="6540" spans="1:9" x14ac:dyDescent="0.25">
      <c r="A6540" t="s">
        <v>3570</v>
      </c>
      <c r="B6540" t="s">
        <v>3571</v>
      </c>
      <c r="C6540" t="s">
        <v>34</v>
      </c>
      <c r="D6540" t="s">
        <v>4062</v>
      </c>
      <c r="E6540" t="s">
        <v>4261</v>
      </c>
      <c r="F6540" t="s">
        <v>231</v>
      </c>
      <c r="G6540">
        <v>42</v>
      </c>
      <c r="H6540" s="2">
        <v>2982</v>
      </c>
      <c r="I6540" s="2">
        <v>125244</v>
      </c>
    </row>
    <row r="6541" spans="1:9" x14ac:dyDescent="0.25">
      <c r="A6541" t="s">
        <v>3570</v>
      </c>
      <c r="B6541" t="s">
        <v>3571</v>
      </c>
      <c r="C6541" t="s">
        <v>34</v>
      </c>
      <c r="D6541" t="s">
        <v>4062</v>
      </c>
      <c r="E6541" t="s">
        <v>4009</v>
      </c>
      <c r="F6541" t="s">
        <v>34</v>
      </c>
      <c r="G6541">
        <v>1</v>
      </c>
      <c r="H6541" s="2">
        <v>543324.7</v>
      </c>
      <c r="I6541" s="2">
        <v>543324.7</v>
      </c>
    </row>
    <row r="6542" spans="1:9" x14ac:dyDescent="0.25">
      <c r="A6542" t="s">
        <v>3570</v>
      </c>
      <c r="B6542" t="s">
        <v>3571</v>
      </c>
      <c r="C6542" t="s">
        <v>34</v>
      </c>
      <c r="D6542" t="s">
        <v>4062</v>
      </c>
      <c r="E6542" t="s">
        <v>7531</v>
      </c>
      <c r="F6542" t="s">
        <v>63</v>
      </c>
      <c r="G6542">
        <v>1</v>
      </c>
      <c r="H6542" s="2">
        <v>973</v>
      </c>
      <c r="I6542" s="2">
        <v>973</v>
      </c>
    </row>
    <row r="6543" spans="1:9" x14ac:dyDescent="0.25">
      <c r="A6543" t="s">
        <v>3570</v>
      </c>
      <c r="B6543" t="s">
        <v>3571</v>
      </c>
      <c r="C6543" t="s">
        <v>34</v>
      </c>
      <c r="D6543" t="s">
        <v>4062</v>
      </c>
      <c r="E6543" t="s">
        <v>7118</v>
      </c>
      <c r="F6543" t="s">
        <v>231</v>
      </c>
      <c r="G6543">
        <v>0.1</v>
      </c>
      <c r="H6543" s="2">
        <v>13756</v>
      </c>
      <c r="I6543" s="2">
        <v>1375.6</v>
      </c>
    </row>
    <row r="6544" spans="1:9" x14ac:dyDescent="0.25">
      <c r="A6544" t="s">
        <v>3570</v>
      </c>
      <c r="B6544" t="s">
        <v>3571</v>
      </c>
      <c r="C6544" t="s">
        <v>34</v>
      </c>
      <c r="D6544" t="s">
        <v>4062</v>
      </c>
      <c r="E6544" t="s">
        <v>7128</v>
      </c>
      <c r="F6544" t="s">
        <v>42</v>
      </c>
      <c r="G6544">
        <v>0.5</v>
      </c>
      <c r="H6544" s="2">
        <v>761.5</v>
      </c>
      <c r="I6544" s="2">
        <v>380.75</v>
      </c>
    </row>
    <row r="6545" spans="1:9" x14ac:dyDescent="0.25">
      <c r="A6545" t="s">
        <v>3570</v>
      </c>
      <c r="B6545" t="s">
        <v>3571</v>
      </c>
      <c r="C6545" t="s">
        <v>34</v>
      </c>
      <c r="D6545" t="s">
        <v>4049</v>
      </c>
      <c r="E6545" t="s">
        <v>4176</v>
      </c>
      <c r="F6545" t="s">
        <v>4177</v>
      </c>
      <c r="G6545">
        <v>3.5</v>
      </c>
      <c r="H6545" s="2">
        <v>72300.17</v>
      </c>
      <c r="I6545" s="2">
        <v>253050.6</v>
      </c>
    </row>
    <row r="6546" spans="1:9" x14ac:dyDescent="0.25">
      <c r="A6546" t="s">
        <v>3570</v>
      </c>
      <c r="B6546" t="s">
        <v>3571</v>
      </c>
      <c r="C6546" t="s">
        <v>34</v>
      </c>
      <c r="D6546" t="s">
        <v>4049</v>
      </c>
      <c r="E6546" t="s">
        <v>4313</v>
      </c>
      <c r="F6546" t="s">
        <v>4177</v>
      </c>
      <c r="G6546">
        <v>0.9</v>
      </c>
      <c r="H6546" s="2">
        <v>124137.15</v>
      </c>
      <c r="I6546" s="2">
        <v>111723.43</v>
      </c>
    </row>
    <row r="6547" spans="1:9" x14ac:dyDescent="0.25">
      <c r="A6547" t="s">
        <v>3570</v>
      </c>
      <c r="B6547" t="s">
        <v>3571</v>
      </c>
      <c r="C6547" t="s">
        <v>34</v>
      </c>
      <c r="D6547" t="s">
        <v>4052</v>
      </c>
      <c r="E6547" t="s">
        <v>4123</v>
      </c>
      <c r="F6547" t="s">
        <v>287</v>
      </c>
      <c r="G6547">
        <v>6.25</v>
      </c>
      <c r="H6547" s="2">
        <v>62400</v>
      </c>
      <c r="I6547" s="2">
        <v>390000</v>
      </c>
    </row>
    <row r="6548" spans="1:9" x14ac:dyDescent="0.25">
      <c r="A6548" t="s">
        <v>3570</v>
      </c>
      <c r="B6548" t="s">
        <v>3571</v>
      </c>
      <c r="C6548" t="s">
        <v>34</v>
      </c>
      <c r="D6548" t="s">
        <v>4052</v>
      </c>
      <c r="E6548" t="s">
        <v>7129</v>
      </c>
      <c r="F6548" t="s">
        <v>287</v>
      </c>
      <c r="G6548">
        <v>6.25</v>
      </c>
      <c r="H6548" s="2">
        <v>9929.67</v>
      </c>
      <c r="I6548" s="2">
        <v>62060.44</v>
      </c>
    </row>
    <row r="6549" spans="1:9" x14ac:dyDescent="0.25">
      <c r="A6549" t="s">
        <v>3570</v>
      </c>
      <c r="B6549" t="s">
        <v>3571</v>
      </c>
      <c r="C6549" t="s">
        <v>34</v>
      </c>
      <c r="D6549" t="s">
        <v>4052</v>
      </c>
      <c r="E6549" t="s">
        <v>4053</v>
      </c>
      <c r="F6549" t="s">
        <v>4054</v>
      </c>
      <c r="G6549">
        <v>5</v>
      </c>
      <c r="H6549" s="2">
        <v>364774.03</v>
      </c>
      <c r="I6549" s="2">
        <v>18238.7</v>
      </c>
    </row>
    <row r="6550" spans="1:9" x14ac:dyDescent="0.25">
      <c r="A6550" t="s">
        <v>3573</v>
      </c>
      <c r="B6550" t="s">
        <v>3574</v>
      </c>
      <c r="C6550" t="s">
        <v>34</v>
      </c>
      <c r="D6550" t="s">
        <v>4062</v>
      </c>
      <c r="E6550" t="s">
        <v>4001</v>
      </c>
      <c r="F6550" t="s">
        <v>34</v>
      </c>
      <c r="G6550">
        <v>1</v>
      </c>
      <c r="H6550" s="2">
        <v>450245.66</v>
      </c>
      <c r="I6550" s="2">
        <v>450245.66</v>
      </c>
    </row>
    <row r="6551" spans="1:9" x14ac:dyDescent="0.25">
      <c r="A6551" t="s">
        <v>3573</v>
      </c>
      <c r="B6551" t="s">
        <v>3574</v>
      </c>
      <c r="C6551" t="s">
        <v>34</v>
      </c>
      <c r="D6551" t="s">
        <v>4062</v>
      </c>
      <c r="E6551" t="s">
        <v>7534</v>
      </c>
      <c r="F6551" t="s">
        <v>63</v>
      </c>
      <c r="G6551">
        <v>1</v>
      </c>
      <c r="H6551" s="2">
        <v>27458.22</v>
      </c>
      <c r="I6551" s="2">
        <v>27458.22</v>
      </c>
    </row>
    <row r="6552" spans="1:9" x14ac:dyDescent="0.25">
      <c r="A6552" t="s">
        <v>3573</v>
      </c>
      <c r="B6552" t="s">
        <v>3574</v>
      </c>
      <c r="C6552" t="s">
        <v>34</v>
      </c>
      <c r="D6552" t="s">
        <v>4049</v>
      </c>
      <c r="E6552" t="s">
        <v>4176</v>
      </c>
      <c r="F6552" t="s">
        <v>4177</v>
      </c>
      <c r="G6552">
        <v>0.45</v>
      </c>
      <c r="H6552" s="2">
        <v>72300.17</v>
      </c>
      <c r="I6552" s="2">
        <v>32535.08</v>
      </c>
    </row>
    <row r="6553" spans="1:9" x14ac:dyDescent="0.25">
      <c r="A6553" t="s">
        <v>3573</v>
      </c>
      <c r="B6553" t="s">
        <v>3574</v>
      </c>
      <c r="C6553" t="s">
        <v>34</v>
      </c>
      <c r="D6553" t="s">
        <v>4049</v>
      </c>
      <c r="E6553" t="s">
        <v>4313</v>
      </c>
      <c r="F6553" t="s">
        <v>4177</v>
      </c>
      <c r="G6553">
        <v>0.1</v>
      </c>
      <c r="H6553" s="2">
        <v>124137.15</v>
      </c>
      <c r="I6553" s="2">
        <v>12413.72</v>
      </c>
    </row>
    <row r="6554" spans="1:9" x14ac:dyDescent="0.25">
      <c r="A6554" t="s">
        <v>3576</v>
      </c>
      <c r="B6554" t="s">
        <v>3577</v>
      </c>
      <c r="C6554" t="s">
        <v>42</v>
      </c>
      <c r="D6554" t="s">
        <v>4062</v>
      </c>
      <c r="E6554" t="s">
        <v>4012</v>
      </c>
      <c r="F6554" t="s">
        <v>34</v>
      </c>
      <c r="G6554">
        <v>0.36</v>
      </c>
      <c r="H6554" s="2">
        <v>475506.98</v>
      </c>
      <c r="I6554" s="2">
        <v>168804.98</v>
      </c>
    </row>
    <row r="6555" spans="1:9" x14ac:dyDescent="0.25">
      <c r="A6555" t="s">
        <v>3576</v>
      </c>
      <c r="B6555" t="s">
        <v>3577</v>
      </c>
      <c r="C6555" t="s">
        <v>42</v>
      </c>
      <c r="D6555" t="s">
        <v>4049</v>
      </c>
      <c r="E6555" t="s">
        <v>4176</v>
      </c>
      <c r="F6555" t="s">
        <v>4177</v>
      </c>
      <c r="G6555">
        <v>0.38</v>
      </c>
      <c r="H6555" s="2">
        <v>72300.17</v>
      </c>
      <c r="I6555" s="2">
        <v>27112.56</v>
      </c>
    </row>
    <row r="6556" spans="1:9" x14ac:dyDescent="0.25">
      <c r="A6556" t="s">
        <v>3576</v>
      </c>
      <c r="B6556" t="s">
        <v>3577</v>
      </c>
      <c r="C6556" t="s">
        <v>42</v>
      </c>
      <c r="D6556" t="s">
        <v>4049</v>
      </c>
      <c r="E6556" t="s">
        <v>4313</v>
      </c>
      <c r="F6556" t="s">
        <v>4177</v>
      </c>
      <c r="G6556">
        <v>0.13</v>
      </c>
      <c r="H6556" s="2">
        <v>124137.15</v>
      </c>
      <c r="I6556" s="2">
        <v>15517.14</v>
      </c>
    </row>
    <row r="6557" spans="1:9" x14ac:dyDescent="0.25">
      <c r="A6557" t="s">
        <v>3576</v>
      </c>
      <c r="B6557" t="s">
        <v>3577</v>
      </c>
      <c r="C6557" t="s">
        <v>42</v>
      </c>
      <c r="D6557" t="s">
        <v>4052</v>
      </c>
      <c r="E6557" t="s">
        <v>7537</v>
      </c>
      <c r="F6557" t="s">
        <v>287</v>
      </c>
      <c r="G6557">
        <v>1</v>
      </c>
      <c r="H6557" s="2">
        <v>18923.83</v>
      </c>
      <c r="I6557" s="2">
        <v>18923.83</v>
      </c>
    </row>
    <row r="6558" spans="1:9" x14ac:dyDescent="0.25">
      <c r="A6558" t="s">
        <v>3576</v>
      </c>
      <c r="B6558" t="s">
        <v>3577</v>
      </c>
      <c r="C6558" t="s">
        <v>42</v>
      </c>
      <c r="D6558" t="s">
        <v>4052</v>
      </c>
      <c r="E6558" t="s">
        <v>4053</v>
      </c>
      <c r="F6558" t="s">
        <v>4054</v>
      </c>
      <c r="G6558">
        <v>5</v>
      </c>
      <c r="H6558" s="2">
        <v>42629.7</v>
      </c>
      <c r="I6558" s="2">
        <v>2131.49</v>
      </c>
    </row>
    <row r="6559" spans="1:9" x14ac:dyDescent="0.25">
      <c r="A6559" t="s">
        <v>3579</v>
      </c>
      <c r="B6559" t="s">
        <v>3580</v>
      </c>
      <c r="C6559" t="s">
        <v>42</v>
      </c>
      <c r="D6559" t="s">
        <v>4062</v>
      </c>
      <c r="E6559" t="s">
        <v>4614</v>
      </c>
      <c r="F6559" t="s">
        <v>231</v>
      </c>
      <c r="G6559">
        <v>0.09</v>
      </c>
      <c r="H6559" s="2">
        <v>4706</v>
      </c>
      <c r="I6559" s="2">
        <v>423.54</v>
      </c>
    </row>
    <row r="6560" spans="1:9" x14ac:dyDescent="0.25">
      <c r="A6560" t="s">
        <v>3579</v>
      </c>
      <c r="B6560" t="s">
        <v>3580</v>
      </c>
      <c r="C6560" t="s">
        <v>42</v>
      </c>
      <c r="D6560" t="s">
        <v>4062</v>
      </c>
      <c r="E6560" t="s">
        <v>4063</v>
      </c>
      <c r="F6560" t="s">
        <v>231</v>
      </c>
      <c r="G6560">
        <v>0.15</v>
      </c>
      <c r="H6560" s="2">
        <v>7400</v>
      </c>
      <c r="I6560" s="2">
        <v>1110</v>
      </c>
    </row>
    <row r="6561" spans="1:9" x14ac:dyDescent="0.25">
      <c r="A6561" t="s">
        <v>3579</v>
      </c>
      <c r="B6561" t="s">
        <v>3580</v>
      </c>
      <c r="C6561" t="s">
        <v>42</v>
      </c>
      <c r="D6561" t="s">
        <v>4062</v>
      </c>
      <c r="E6561" t="s">
        <v>7540</v>
      </c>
      <c r="F6561" t="s">
        <v>63</v>
      </c>
      <c r="G6561">
        <v>0.5</v>
      </c>
      <c r="H6561" s="2">
        <v>25542.61</v>
      </c>
      <c r="I6561" s="2">
        <v>12771.31</v>
      </c>
    </row>
    <row r="6562" spans="1:9" x14ac:dyDescent="0.25">
      <c r="A6562" t="s">
        <v>3579</v>
      </c>
      <c r="B6562" t="s">
        <v>3580</v>
      </c>
      <c r="C6562" t="s">
        <v>42</v>
      </c>
      <c r="D6562" t="s">
        <v>4062</v>
      </c>
      <c r="E6562" t="s">
        <v>4067</v>
      </c>
      <c r="F6562" t="s">
        <v>231</v>
      </c>
      <c r="G6562">
        <v>0.6</v>
      </c>
      <c r="H6562" s="2">
        <v>7080</v>
      </c>
      <c r="I6562" s="2">
        <v>4248</v>
      </c>
    </row>
    <row r="6563" spans="1:9" x14ac:dyDescent="0.25">
      <c r="A6563" t="s">
        <v>3579</v>
      </c>
      <c r="B6563" t="s">
        <v>3580</v>
      </c>
      <c r="C6563" t="s">
        <v>42</v>
      </c>
      <c r="D6563" t="s">
        <v>4049</v>
      </c>
      <c r="E6563" t="s">
        <v>4050</v>
      </c>
      <c r="F6563" t="s">
        <v>4051</v>
      </c>
      <c r="G6563">
        <v>0.8</v>
      </c>
      <c r="H6563" s="2">
        <v>9037.33</v>
      </c>
      <c r="I6563" s="2">
        <v>7229.86</v>
      </c>
    </row>
    <row r="6564" spans="1:9" x14ac:dyDescent="0.25">
      <c r="A6564" t="s">
        <v>3579</v>
      </c>
      <c r="B6564" t="s">
        <v>3580</v>
      </c>
      <c r="C6564" t="s">
        <v>42</v>
      </c>
      <c r="D6564" t="s">
        <v>4049</v>
      </c>
      <c r="E6564" t="s">
        <v>4073</v>
      </c>
      <c r="F6564" t="s">
        <v>4051</v>
      </c>
      <c r="G6564">
        <v>0.7</v>
      </c>
      <c r="H6564" s="2">
        <v>15517.89</v>
      </c>
      <c r="I6564" s="2">
        <v>10862.52</v>
      </c>
    </row>
    <row r="6565" spans="1:9" x14ac:dyDescent="0.25">
      <c r="A6565" t="s">
        <v>3579</v>
      </c>
      <c r="B6565" t="s">
        <v>3580</v>
      </c>
      <c r="C6565" t="s">
        <v>42</v>
      </c>
      <c r="D6565" t="s">
        <v>4052</v>
      </c>
      <c r="E6565" t="s">
        <v>4053</v>
      </c>
      <c r="F6565" t="s">
        <v>4054</v>
      </c>
      <c r="G6565">
        <v>5</v>
      </c>
      <c r="H6565" s="2">
        <v>18092.38</v>
      </c>
      <c r="I6565" s="2">
        <v>904.62</v>
      </c>
    </row>
    <row r="6566" spans="1:9" x14ac:dyDescent="0.25">
      <c r="A6566" t="s">
        <v>3582</v>
      </c>
      <c r="B6566" t="s">
        <v>1922</v>
      </c>
      <c r="C6566" t="s">
        <v>42</v>
      </c>
      <c r="D6566" t="s">
        <v>4062</v>
      </c>
      <c r="E6566" t="s">
        <v>4063</v>
      </c>
      <c r="F6566" t="s">
        <v>231</v>
      </c>
      <c r="G6566">
        <v>0.05</v>
      </c>
      <c r="H6566" s="2">
        <v>7400</v>
      </c>
      <c r="I6566" s="2">
        <v>370</v>
      </c>
    </row>
    <row r="6567" spans="1:9" x14ac:dyDescent="0.25">
      <c r="A6567" t="s">
        <v>3582</v>
      </c>
      <c r="B6567" t="s">
        <v>1922</v>
      </c>
      <c r="C6567" t="s">
        <v>42</v>
      </c>
      <c r="D6567" t="s">
        <v>4062</v>
      </c>
      <c r="E6567" t="s">
        <v>4064</v>
      </c>
      <c r="F6567" t="s">
        <v>63</v>
      </c>
      <c r="G6567">
        <v>0.5</v>
      </c>
      <c r="H6567" s="2">
        <v>17200</v>
      </c>
      <c r="I6567" s="2">
        <v>8600</v>
      </c>
    </row>
    <row r="6568" spans="1:9" x14ac:dyDescent="0.25">
      <c r="A6568" t="s">
        <v>3582</v>
      </c>
      <c r="B6568" t="s">
        <v>1922</v>
      </c>
      <c r="C6568" t="s">
        <v>42</v>
      </c>
      <c r="D6568" t="s">
        <v>4062</v>
      </c>
      <c r="E6568" t="s">
        <v>4067</v>
      </c>
      <c r="F6568" t="s">
        <v>231</v>
      </c>
      <c r="G6568">
        <v>0.6</v>
      </c>
      <c r="H6568" s="2">
        <v>7080</v>
      </c>
      <c r="I6568" s="2">
        <v>4248</v>
      </c>
    </row>
    <row r="6569" spans="1:9" x14ac:dyDescent="0.25">
      <c r="A6569" t="s">
        <v>3582</v>
      </c>
      <c r="B6569" t="s">
        <v>1922</v>
      </c>
      <c r="C6569" t="s">
        <v>42</v>
      </c>
      <c r="D6569" t="s">
        <v>4049</v>
      </c>
      <c r="E6569" t="s">
        <v>4050</v>
      </c>
      <c r="F6569" t="s">
        <v>4051</v>
      </c>
      <c r="G6569">
        <v>0.7</v>
      </c>
      <c r="H6569" s="2">
        <v>9037.33</v>
      </c>
      <c r="I6569" s="2">
        <v>6326.13</v>
      </c>
    </row>
    <row r="6570" spans="1:9" x14ac:dyDescent="0.25">
      <c r="A6570" t="s">
        <v>3582</v>
      </c>
      <c r="B6570" t="s">
        <v>1922</v>
      </c>
      <c r="C6570" t="s">
        <v>42</v>
      </c>
      <c r="D6570" t="s">
        <v>4049</v>
      </c>
      <c r="E6570" t="s">
        <v>4073</v>
      </c>
      <c r="F6570" t="s">
        <v>4051</v>
      </c>
      <c r="G6570">
        <v>0.7</v>
      </c>
      <c r="H6570" s="2">
        <v>15517.89</v>
      </c>
      <c r="I6570" s="2">
        <v>10862.52</v>
      </c>
    </row>
    <row r="6571" spans="1:9" x14ac:dyDescent="0.25">
      <c r="A6571" t="s">
        <v>3582</v>
      </c>
      <c r="B6571" t="s">
        <v>1922</v>
      </c>
      <c r="C6571" t="s">
        <v>42</v>
      </c>
      <c r="D6571" t="s">
        <v>4052</v>
      </c>
      <c r="E6571" t="s">
        <v>4053</v>
      </c>
      <c r="F6571" t="s">
        <v>4054</v>
      </c>
      <c r="G6571">
        <v>5</v>
      </c>
      <c r="H6571" s="2">
        <v>17188.65</v>
      </c>
      <c r="I6571" s="2">
        <v>859.43</v>
      </c>
    </row>
    <row r="6572" spans="1:9" x14ac:dyDescent="0.25">
      <c r="A6572" t="s">
        <v>3583</v>
      </c>
      <c r="B6572" t="s">
        <v>3584</v>
      </c>
      <c r="C6572" t="s">
        <v>42</v>
      </c>
      <c r="D6572" t="s">
        <v>4062</v>
      </c>
      <c r="E6572" t="s">
        <v>4614</v>
      </c>
      <c r="F6572" t="s">
        <v>231</v>
      </c>
      <c r="G6572">
        <v>0.18</v>
      </c>
      <c r="H6572" s="2">
        <v>4706</v>
      </c>
      <c r="I6572" s="2">
        <v>847.08</v>
      </c>
    </row>
    <row r="6573" spans="1:9" x14ac:dyDescent="0.25">
      <c r="A6573" t="s">
        <v>3583</v>
      </c>
      <c r="B6573" t="s">
        <v>3584</v>
      </c>
      <c r="C6573" t="s">
        <v>42</v>
      </c>
      <c r="D6573" t="s">
        <v>4062</v>
      </c>
      <c r="E6573" t="s">
        <v>7545</v>
      </c>
      <c r="F6573" t="s">
        <v>4532</v>
      </c>
      <c r="G6573">
        <v>0.03</v>
      </c>
      <c r="H6573" s="2">
        <v>453214.67</v>
      </c>
      <c r="I6573" s="2">
        <v>12554.05</v>
      </c>
    </row>
    <row r="6574" spans="1:9" x14ac:dyDescent="0.25">
      <c r="A6574" t="s">
        <v>3583</v>
      </c>
      <c r="B6574" t="s">
        <v>3584</v>
      </c>
      <c r="C6574" t="s">
        <v>42</v>
      </c>
      <c r="D6574" t="s">
        <v>4062</v>
      </c>
      <c r="E6574" t="s">
        <v>7540</v>
      </c>
      <c r="F6574" t="s">
        <v>63</v>
      </c>
      <c r="G6574">
        <v>0.5</v>
      </c>
      <c r="H6574" s="2">
        <v>25542.61</v>
      </c>
      <c r="I6574" s="2">
        <v>12771.31</v>
      </c>
    </row>
    <row r="6575" spans="1:9" x14ac:dyDescent="0.25">
      <c r="A6575" t="s">
        <v>3583</v>
      </c>
      <c r="B6575" t="s">
        <v>3584</v>
      </c>
      <c r="C6575" t="s">
        <v>42</v>
      </c>
      <c r="D6575" t="s">
        <v>4049</v>
      </c>
      <c r="E6575" t="s">
        <v>4050</v>
      </c>
      <c r="F6575" t="s">
        <v>4051</v>
      </c>
      <c r="G6575">
        <v>2.02</v>
      </c>
      <c r="H6575" s="2">
        <v>9037.33</v>
      </c>
      <c r="I6575" s="2">
        <v>18255.41</v>
      </c>
    </row>
    <row r="6576" spans="1:9" x14ac:dyDescent="0.25">
      <c r="A6576" t="s">
        <v>3583</v>
      </c>
      <c r="B6576" t="s">
        <v>3584</v>
      </c>
      <c r="C6576" t="s">
        <v>42</v>
      </c>
      <c r="D6576" t="s">
        <v>4052</v>
      </c>
      <c r="E6576" t="s">
        <v>4053</v>
      </c>
      <c r="F6576" t="s">
        <v>4054</v>
      </c>
      <c r="G6576">
        <v>5</v>
      </c>
      <c r="H6576" s="2">
        <v>18255.41</v>
      </c>
      <c r="I6576" s="2">
        <v>912.77</v>
      </c>
    </row>
    <row r="6577" spans="1:9" x14ac:dyDescent="0.25">
      <c r="A6577" t="s">
        <v>3586</v>
      </c>
      <c r="B6577" t="s">
        <v>3587</v>
      </c>
      <c r="C6577" t="s">
        <v>42</v>
      </c>
      <c r="D6577" t="s">
        <v>4062</v>
      </c>
      <c r="E6577" t="s">
        <v>7548</v>
      </c>
      <c r="F6577" t="s">
        <v>42</v>
      </c>
      <c r="G6577">
        <v>1</v>
      </c>
      <c r="H6577" s="2">
        <v>1899.67</v>
      </c>
      <c r="I6577" s="2">
        <v>1899.67</v>
      </c>
    </row>
    <row r="6578" spans="1:9" x14ac:dyDescent="0.25">
      <c r="A6578" t="s">
        <v>3586</v>
      </c>
      <c r="B6578" t="s">
        <v>3587</v>
      </c>
      <c r="C6578" t="s">
        <v>42</v>
      </c>
      <c r="D6578" t="s">
        <v>4062</v>
      </c>
      <c r="E6578" t="s">
        <v>6140</v>
      </c>
      <c r="F6578" t="s">
        <v>42</v>
      </c>
      <c r="G6578">
        <v>2</v>
      </c>
      <c r="H6578" s="2">
        <v>13966.67</v>
      </c>
      <c r="I6578" s="2">
        <v>27933.34</v>
      </c>
    </row>
    <row r="6579" spans="1:9" x14ac:dyDescent="0.25">
      <c r="A6579" t="s">
        <v>3586</v>
      </c>
      <c r="B6579" t="s">
        <v>3587</v>
      </c>
      <c r="C6579" t="s">
        <v>42</v>
      </c>
      <c r="D6579" t="s">
        <v>4062</v>
      </c>
      <c r="E6579" t="s">
        <v>4071</v>
      </c>
      <c r="F6579" t="s">
        <v>42</v>
      </c>
      <c r="G6579">
        <v>0.5</v>
      </c>
      <c r="H6579" s="2">
        <v>2555</v>
      </c>
      <c r="I6579" s="2">
        <v>1277.5</v>
      </c>
    </row>
    <row r="6580" spans="1:9" x14ac:dyDescent="0.25">
      <c r="A6580" t="s">
        <v>3586</v>
      </c>
      <c r="B6580" t="s">
        <v>3587</v>
      </c>
      <c r="C6580" t="s">
        <v>42</v>
      </c>
      <c r="D6580" t="s">
        <v>4062</v>
      </c>
      <c r="E6580" t="s">
        <v>4065</v>
      </c>
      <c r="F6580" t="s">
        <v>4066</v>
      </c>
      <c r="G6580">
        <v>0.03</v>
      </c>
      <c r="H6580" s="2">
        <v>3433</v>
      </c>
      <c r="I6580" s="2">
        <v>102.99</v>
      </c>
    </row>
    <row r="6581" spans="1:9" x14ac:dyDescent="0.25">
      <c r="A6581" t="s">
        <v>3586</v>
      </c>
      <c r="B6581" t="s">
        <v>3587</v>
      </c>
      <c r="C6581" t="s">
        <v>42</v>
      </c>
      <c r="D6581" t="s">
        <v>4049</v>
      </c>
      <c r="E6581" t="s">
        <v>4050</v>
      </c>
      <c r="F6581" t="s">
        <v>4051</v>
      </c>
      <c r="G6581">
        <v>0.6</v>
      </c>
      <c r="H6581" s="2">
        <v>9037.33</v>
      </c>
      <c r="I6581" s="2">
        <v>5422.4</v>
      </c>
    </row>
    <row r="6582" spans="1:9" x14ac:dyDescent="0.25">
      <c r="A6582" t="s">
        <v>3586</v>
      </c>
      <c r="B6582" t="s">
        <v>3587</v>
      </c>
      <c r="C6582" t="s">
        <v>42</v>
      </c>
      <c r="D6582" t="s">
        <v>4049</v>
      </c>
      <c r="E6582" t="s">
        <v>4073</v>
      </c>
      <c r="F6582" t="s">
        <v>4051</v>
      </c>
      <c r="G6582">
        <v>0.3</v>
      </c>
      <c r="H6582" s="2">
        <v>15517.89</v>
      </c>
      <c r="I6582" s="2">
        <v>4655.37</v>
      </c>
    </row>
    <row r="6583" spans="1:9" x14ac:dyDescent="0.25">
      <c r="A6583" t="s">
        <v>3586</v>
      </c>
      <c r="B6583" t="s">
        <v>3587</v>
      </c>
      <c r="C6583" t="s">
        <v>42</v>
      </c>
      <c r="D6583" t="s">
        <v>4052</v>
      </c>
      <c r="E6583" t="s">
        <v>4053</v>
      </c>
      <c r="F6583" t="s">
        <v>4054</v>
      </c>
      <c r="G6583">
        <v>5</v>
      </c>
      <c r="H6583" s="2">
        <v>10077.77</v>
      </c>
      <c r="I6583" s="2">
        <v>503.89</v>
      </c>
    </row>
    <row r="6584" spans="1:9" x14ac:dyDescent="0.25">
      <c r="A6584" t="s">
        <v>3589</v>
      </c>
      <c r="B6584" t="s">
        <v>3590</v>
      </c>
      <c r="C6584" t="s">
        <v>42</v>
      </c>
      <c r="D6584" t="s">
        <v>4062</v>
      </c>
      <c r="E6584" t="s">
        <v>7551</v>
      </c>
      <c r="F6584" t="s">
        <v>42</v>
      </c>
      <c r="G6584">
        <v>1</v>
      </c>
      <c r="H6584" s="2">
        <v>12618</v>
      </c>
      <c r="I6584" s="2">
        <v>12618</v>
      </c>
    </row>
    <row r="6585" spans="1:9" x14ac:dyDescent="0.25">
      <c r="A6585" t="s">
        <v>3589</v>
      </c>
      <c r="B6585" t="s">
        <v>3590</v>
      </c>
      <c r="C6585" t="s">
        <v>42</v>
      </c>
      <c r="D6585" t="s">
        <v>4049</v>
      </c>
      <c r="E6585" t="s">
        <v>4176</v>
      </c>
      <c r="F6585" t="s">
        <v>4177</v>
      </c>
      <c r="G6585">
        <v>0.01</v>
      </c>
      <c r="H6585" s="2">
        <v>72300.17</v>
      </c>
      <c r="I6585" s="2">
        <v>361.5</v>
      </c>
    </row>
    <row r="6586" spans="1:9" x14ac:dyDescent="0.25">
      <c r="A6586" t="s">
        <v>3589</v>
      </c>
      <c r="B6586" t="s">
        <v>3590</v>
      </c>
      <c r="C6586" t="s">
        <v>42</v>
      </c>
      <c r="D6586" t="s">
        <v>4049</v>
      </c>
      <c r="E6586" t="s">
        <v>4313</v>
      </c>
      <c r="F6586" t="s">
        <v>4177</v>
      </c>
      <c r="G6586">
        <v>0.01</v>
      </c>
      <c r="H6586" s="2">
        <v>124137.15</v>
      </c>
      <c r="I6586" s="2">
        <v>620.69</v>
      </c>
    </row>
    <row r="6587" spans="1:9" x14ac:dyDescent="0.25">
      <c r="A6587" t="s">
        <v>3589</v>
      </c>
      <c r="B6587" t="s">
        <v>3590</v>
      </c>
      <c r="C6587" t="s">
        <v>42</v>
      </c>
      <c r="D6587" t="s">
        <v>4052</v>
      </c>
      <c r="E6587" t="s">
        <v>4053</v>
      </c>
      <c r="F6587" t="s">
        <v>4054</v>
      </c>
      <c r="G6587">
        <v>5</v>
      </c>
      <c r="H6587" s="2">
        <v>982.19</v>
      </c>
      <c r="I6587" s="2">
        <v>49.11</v>
      </c>
    </row>
    <row r="6588" spans="1:9" x14ac:dyDescent="0.25">
      <c r="A6588" t="s">
        <v>3593</v>
      </c>
      <c r="B6588" t="s">
        <v>3594</v>
      </c>
      <c r="C6588" t="s">
        <v>42</v>
      </c>
      <c r="D6588" t="s">
        <v>4062</v>
      </c>
      <c r="E6588" t="s">
        <v>7554</v>
      </c>
      <c r="F6588" t="s">
        <v>42</v>
      </c>
      <c r="G6588">
        <v>1</v>
      </c>
      <c r="H6588" s="2">
        <v>22043</v>
      </c>
      <c r="I6588" s="2">
        <v>22043</v>
      </c>
    </row>
    <row r="6589" spans="1:9" x14ac:dyDescent="0.25">
      <c r="A6589" t="s">
        <v>3593</v>
      </c>
      <c r="B6589" t="s">
        <v>3594</v>
      </c>
      <c r="C6589" t="s">
        <v>42</v>
      </c>
      <c r="D6589" t="s">
        <v>4049</v>
      </c>
      <c r="E6589" t="s">
        <v>4176</v>
      </c>
      <c r="F6589" t="s">
        <v>4177</v>
      </c>
      <c r="G6589">
        <v>0.01</v>
      </c>
      <c r="H6589" s="2">
        <v>72300.17</v>
      </c>
      <c r="I6589" s="2">
        <v>404.88</v>
      </c>
    </row>
    <row r="6590" spans="1:9" x14ac:dyDescent="0.25">
      <c r="A6590" t="s">
        <v>3593</v>
      </c>
      <c r="B6590" t="s">
        <v>3594</v>
      </c>
      <c r="C6590" t="s">
        <v>42</v>
      </c>
      <c r="D6590" t="s">
        <v>4049</v>
      </c>
      <c r="E6590" t="s">
        <v>4313</v>
      </c>
      <c r="F6590" t="s">
        <v>4177</v>
      </c>
      <c r="G6590">
        <v>0.01</v>
      </c>
      <c r="H6590" s="2">
        <v>124137.15</v>
      </c>
      <c r="I6590" s="2">
        <v>695.17</v>
      </c>
    </row>
    <row r="6591" spans="1:9" x14ac:dyDescent="0.25">
      <c r="A6591" t="s">
        <v>3593</v>
      </c>
      <c r="B6591" t="s">
        <v>3594</v>
      </c>
      <c r="C6591" t="s">
        <v>42</v>
      </c>
      <c r="D6591" t="s">
        <v>4052</v>
      </c>
      <c r="E6591" t="s">
        <v>4053</v>
      </c>
      <c r="F6591" t="s">
        <v>4054</v>
      </c>
      <c r="G6591">
        <v>5</v>
      </c>
      <c r="H6591" s="2">
        <v>1100.05</v>
      </c>
      <c r="I6591" s="2">
        <v>55</v>
      </c>
    </row>
    <row r="6592" spans="1:9" x14ac:dyDescent="0.25">
      <c r="A6592" t="s">
        <v>3596</v>
      </c>
      <c r="B6592" t="s">
        <v>3597</v>
      </c>
      <c r="C6592" t="s">
        <v>42</v>
      </c>
      <c r="D6592" t="s">
        <v>4062</v>
      </c>
      <c r="E6592" t="s">
        <v>7557</v>
      </c>
      <c r="F6592" t="s">
        <v>42</v>
      </c>
      <c r="G6592">
        <v>1</v>
      </c>
      <c r="H6592" s="2">
        <v>34354.07</v>
      </c>
      <c r="I6592" s="2">
        <v>34354.07</v>
      </c>
    </row>
    <row r="6593" spans="1:9" x14ac:dyDescent="0.25">
      <c r="A6593" t="s">
        <v>3596</v>
      </c>
      <c r="B6593" t="s">
        <v>3597</v>
      </c>
      <c r="C6593" t="s">
        <v>42</v>
      </c>
      <c r="D6593" t="s">
        <v>4049</v>
      </c>
      <c r="E6593" t="s">
        <v>4176</v>
      </c>
      <c r="F6593" t="s">
        <v>4177</v>
      </c>
      <c r="G6593">
        <v>0.01</v>
      </c>
      <c r="H6593" s="2">
        <v>72300.17</v>
      </c>
      <c r="I6593" s="2">
        <v>426.57</v>
      </c>
    </row>
    <row r="6594" spans="1:9" x14ac:dyDescent="0.25">
      <c r="A6594" t="s">
        <v>3596</v>
      </c>
      <c r="B6594" t="s">
        <v>3597</v>
      </c>
      <c r="C6594" t="s">
        <v>42</v>
      </c>
      <c r="D6594" t="s">
        <v>4049</v>
      </c>
      <c r="E6594" t="s">
        <v>4313</v>
      </c>
      <c r="F6594" t="s">
        <v>4177</v>
      </c>
      <c r="G6594">
        <v>0.01</v>
      </c>
      <c r="H6594" s="2">
        <v>124137.15</v>
      </c>
      <c r="I6594" s="2">
        <v>732.41</v>
      </c>
    </row>
    <row r="6595" spans="1:9" x14ac:dyDescent="0.25">
      <c r="A6595" t="s">
        <v>3596</v>
      </c>
      <c r="B6595" t="s">
        <v>3597</v>
      </c>
      <c r="C6595" t="s">
        <v>42</v>
      </c>
      <c r="D6595" t="s">
        <v>4052</v>
      </c>
      <c r="E6595" t="s">
        <v>4053</v>
      </c>
      <c r="F6595" t="s">
        <v>4054</v>
      </c>
      <c r="G6595">
        <v>5</v>
      </c>
      <c r="H6595" s="2">
        <v>1158.98</v>
      </c>
      <c r="I6595" s="2">
        <v>57.95</v>
      </c>
    </row>
    <row r="6596" spans="1:9" x14ac:dyDescent="0.25">
      <c r="A6596" t="s">
        <v>3599</v>
      </c>
      <c r="B6596" t="s">
        <v>3600</v>
      </c>
      <c r="C6596" t="s">
        <v>42</v>
      </c>
      <c r="D6596" t="s">
        <v>4062</v>
      </c>
      <c r="E6596" t="s">
        <v>7560</v>
      </c>
      <c r="F6596" t="s">
        <v>231</v>
      </c>
      <c r="G6596">
        <v>40</v>
      </c>
      <c r="H6596" s="2">
        <v>4800</v>
      </c>
      <c r="I6596" s="2">
        <v>192000</v>
      </c>
    </row>
    <row r="6597" spans="1:9" x14ac:dyDescent="0.25">
      <c r="A6597" t="s">
        <v>3599</v>
      </c>
      <c r="B6597" t="s">
        <v>3600</v>
      </c>
      <c r="C6597" t="s">
        <v>42</v>
      </c>
      <c r="D6597" t="s">
        <v>4062</v>
      </c>
      <c r="E6597" t="s">
        <v>7561</v>
      </c>
      <c r="F6597" t="s">
        <v>4066</v>
      </c>
      <c r="G6597">
        <v>0.5</v>
      </c>
      <c r="H6597" s="2">
        <v>1669</v>
      </c>
      <c r="I6597" s="2">
        <v>834.5</v>
      </c>
    </row>
    <row r="6598" spans="1:9" x14ac:dyDescent="0.25">
      <c r="A6598" t="s">
        <v>3599</v>
      </c>
      <c r="B6598" t="s">
        <v>3600</v>
      </c>
      <c r="C6598" t="s">
        <v>42</v>
      </c>
      <c r="D6598" t="s">
        <v>4062</v>
      </c>
      <c r="E6598" t="s">
        <v>4369</v>
      </c>
      <c r="F6598" t="s">
        <v>34</v>
      </c>
      <c r="G6598">
        <v>0.15</v>
      </c>
      <c r="H6598" s="2">
        <v>89250</v>
      </c>
      <c r="I6598" s="2">
        <v>13387.5</v>
      </c>
    </row>
    <row r="6599" spans="1:9" x14ac:dyDescent="0.25">
      <c r="A6599" t="s">
        <v>3599</v>
      </c>
      <c r="B6599" t="s">
        <v>3600</v>
      </c>
      <c r="C6599" t="s">
        <v>42</v>
      </c>
      <c r="D6599" t="s">
        <v>4062</v>
      </c>
      <c r="E6599" t="s">
        <v>7562</v>
      </c>
      <c r="F6599" t="s">
        <v>42</v>
      </c>
      <c r="G6599">
        <v>1</v>
      </c>
      <c r="H6599" s="2">
        <v>38306.18</v>
      </c>
      <c r="I6599" s="2">
        <v>38306.18</v>
      </c>
    </row>
    <row r="6600" spans="1:9" x14ac:dyDescent="0.25">
      <c r="A6600" t="s">
        <v>3599</v>
      </c>
      <c r="B6600" t="s">
        <v>3600</v>
      </c>
      <c r="C6600" t="s">
        <v>42</v>
      </c>
      <c r="D6600" t="s">
        <v>4062</v>
      </c>
      <c r="E6600" t="s">
        <v>7563</v>
      </c>
      <c r="F6600" t="s">
        <v>231</v>
      </c>
      <c r="G6600">
        <v>0.09</v>
      </c>
      <c r="H6600" s="2">
        <v>4807.18</v>
      </c>
      <c r="I6600" s="2">
        <v>432.65</v>
      </c>
    </row>
    <row r="6601" spans="1:9" x14ac:dyDescent="0.25">
      <c r="A6601" t="s">
        <v>3599</v>
      </c>
      <c r="B6601" t="s">
        <v>3600</v>
      </c>
      <c r="C6601" t="s">
        <v>42</v>
      </c>
      <c r="D6601" t="s">
        <v>4062</v>
      </c>
      <c r="E6601" t="s">
        <v>7564</v>
      </c>
      <c r="F6601" t="s">
        <v>21</v>
      </c>
      <c r="G6601">
        <v>4.59</v>
      </c>
      <c r="H6601" s="2">
        <v>3399.59</v>
      </c>
      <c r="I6601" s="2">
        <v>15613.98</v>
      </c>
    </row>
    <row r="6602" spans="1:9" x14ac:dyDescent="0.25">
      <c r="A6602" t="s">
        <v>3599</v>
      </c>
      <c r="B6602" t="s">
        <v>3600</v>
      </c>
      <c r="C6602" t="s">
        <v>42</v>
      </c>
      <c r="D6602" t="s">
        <v>4049</v>
      </c>
      <c r="E6602" t="s">
        <v>4176</v>
      </c>
      <c r="F6602" t="s">
        <v>4177</v>
      </c>
      <c r="G6602">
        <v>2.5</v>
      </c>
      <c r="H6602" s="2">
        <v>72300.17</v>
      </c>
      <c r="I6602" s="2">
        <v>180750.42</v>
      </c>
    </row>
    <row r="6603" spans="1:9" x14ac:dyDescent="0.25">
      <c r="A6603" t="s">
        <v>3599</v>
      </c>
      <c r="B6603" t="s">
        <v>3600</v>
      </c>
      <c r="C6603" t="s">
        <v>42</v>
      </c>
      <c r="D6603" t="s">
        <v>4049</v>
      </c>
      <c r="E6603" t="s">
        <v>4313</v>
      </c>
      <c r="F6603" t="s">
        <v>4177</v>
      </c>
      <c r="G6603">
        <v>0.5</v>
      </c>
      <c r="H6603" s="2">
        <v>124137.15</v>
      </c>
      <c r="I6603" s="2">
        <v>62068.57</v>
      </c>
    </row>
    <row r="6604" spans="1:9" x14ac:dyDescent="0.25">
      <c r="A6604" t="s">
        <v>3599</v>
      </c>
      <c r="B6604" t="s">
        <v>3600</v>
      </c>
      <c r="C6604" t="s">
        <v>42</v>
      </c>
      <c r="D6604" t="s">
        <v>4052</v>
      </c>
      <c r="E6604" t="s">
        <v>7565</v>
      </c>
      <c r="F6604" t="s">
        <v>287</v>
      </c>
      <c r="G6604">
        <v>0.5</v>
      </c>
      <c r="H6604" s="2">
        <v>68907.65</v>
      </c>
      <c r="I6604" s="2">
        <v>34453.82</v>
      </c>
    </row>
    <row r="6605" spans="1:9" x14ac:dyDescent="0.25">
      <c r="A6605" t="s">
        <v>3599</v>
      </c>
      <c r="B6605" t="s">
        <v>3600</v>
      </c>
      <c r="C6605" t="s">
        <v>42</v>
      </c>
      <c r="D6605" t="s">
        <v>4052</v>
      </c>
      <c r="E6605" t="s">
        <v>7566</v>
      </c>
      <c r="F6605" t="s">
        <v>287</v>
      </c>
      <c r="G6605">
        <v>0.5</v>
      </c>
      <c r="H6605" s="2">
        <v>227617.23</v>
      </c>
      <c r="I6605" s="2">
        <v>113808.62</v>
      </c>
    </row>
    <row r="6606" spans="1:9" x14ac:dyDescent="0.25">
      <c r="A6606" t="s">
        <v>3599</v>
      </c>
      <c r="B6606" t="s">
        <v>3600</v>
      </c>
      <c r="C6606" t="s">
        <v>42</v>
      </c>
      <c r="D6606" t="s">
        <v>4052</v>
      </c>
      <c r="E6606" t="s">
        <v>7567</v>
      </c>
      <c r="F6606" t="s">
        <v>287</v>
      </c>
      <c r="G6606">
        <v>2.8</v>
      </c>
      <c r="H6606" s="2">
        <v>13969</v>
      </c>
      <c r="I6606" s="2">
        <v>39113.2</v>
      </c>
    </row>
    <row r="6607" spans="1:9" x14ac:dyDescent="0.25">
      <c r="A6607" t="s">
        <v>3599</v>
      </c>
      <c r="B6607" t="s">
        <v>3600</v>
      </c>
      <c r="C6607" t="s">
        <v>42</v>
      </c>
      <c r="D6607" t="s">
        <v>4052</v>
      </c>
      <c r="E6607" t="s">
        <v>6157</v>
      </c>
      <c r="F6607" t="s">
        <v>287</v>
      </c>
      <c r="G6607">
        <v>0.5</v>
      </c>
      <c r="H6607" s="2">
        <v>59791.06</v>
      </c>
      <c r="I6607" s="2">
        <v>29895.53</v>
      </c>
    </row>
    <row r="6608" spans="1:9" x14ac:dyDescent="0.25">
      <c r="A6608" t="s">
        <v>3599</v>
      </c>
      <c r="B6608" t="s">
        <v>3600</v>
      </c>
      <c r="C6608" t="s">
        <v>42</v>
      </c>
      <c r="D6608" t="s">
        <v>4052</v>
      </c>
      <c r="E6608" t="s">
        <v>4342</v>
      </c>
      <c r="F6608" t="s">
        <v>287</v>
      </c>
      <c r="G6608">
        <v>0.5</v>
      </c>
      <c r="H6608" s="2">
        <v>8333.33</v>
      </c>
      <c r="I6608" s="2">
        <v>4166.66</v>
      </c>
    </row>
    <row r="6609" spans="1:9" x14ac:dyDescent="0.25">
      <c r="A6609" t="s">
        <v>3599</v>
      </c>
      <c r="B6609" t="s">
        <v>3600</v>
      </c>
      <c r="C6609" t="s">
        <v>42</v>
      </c>
      <c r="D6609" t="s">
        <v>4052</v>
      </c>
      <c r="E6609" t="s">
        <v>7568</v>
      </c>
      <c r="F6609" t="s">
        <v>287</v>
      </c>
      <c r="G6609">
        <v>0.5</v>
      </c>
      <c r="H6609" s="2">
        <v>219739.97</v>
      </c>
      <c r="I6609" s="2">
        <v>109869.99</v>
      </c>
    </row>
    <row r="6610" spans="1:9" x14ac:dyDescent="0.25">
      <c r="A6610" t="s">
        <v>3599</v>
      </c>
      <c r="B6610" t="s">
        <v>3600</v>
      </c>
      <c r="C6610" t="s">
        <v>42</v>
      </c>
      <c r="D6610" t="s">
        <v>4052</v>
      </c>
      <c r="E6610" t="s">
        <v>4053</v>
      </c>
      <c r="F6610" t="s">
        <v>4054</v>
      </c>
      <c r="G6610">
        <v>5</v>
      </c>
      <c r="H6610" s="2">
        <v>242818.99</v>
      </c>
      <c r="I6610" s="2">
        <v>12140.95</v>
      </c>
    </row>
    <row r="6611" spans="1:9" x14ac:dyDescent="0.25">
      <c r="A6611" t="s">
        <v>3602</v>
      </c>
      <c r="B6611" t="s">
        <v>3603</v>
      </c>
      <c r="C6611" t="s">
        <v>42</v>
      </c>
      <c r="D6611" t="s">
        <v>4062</v>
      </c>
      <c r="E6611" t="s">
        <v>6947</v>
      </c>
      <c r="F6611" t="s">
        <v>63</v>
      </c>
      <c r="G6611">
        <v>0</v>
      </c>
      <c r="H6611" s="2">
        <v>185957</v>
      </c>
      <c r="I6611" s="2">
        <v>130.17</v>
      </c>
    </row>
    <row r="6612" spans="1:9" x14ac:dyDescent="0.25">
      <c r="A6612" t="s">
        <v>3602</v>
      </c>
      <c r="B6612" t="s">
        <v>3603</v>
      </c>
      <c r="C6612" t="s">
        <v>42</v>
      </c>
      <c r="D6612" t="s">
        <v>4062</v>
      </c>
      <c r="E6612" t="s">
        <v>4076</v>
      </c>
      <c r="F6612" t="s">
        <v>3963</v>
      </c>
      <c r="G6612">
        <v>5</v>
      </c>
      <c r="H6612" s="2">
        <v>21</v>
      </c>
      <c r="I6612" s="2">
        <v>105</v>
      </c>
    </row>
    <row r="6613" spans="1:9" x14ac:dyDescent="0.25">
      <c r="A6613" t="s">
        <v>3602</v>
      </c>
      <c r="B6613" t="s">
        <v>3603</v>
      </c>
      <c r="C6613" t="s">
        <v>42</v>
      </c>
      <c r="D6613" t="s">
        <v>4049</v>
      </c>
      <c r="E6613" t="s">
        <v>4176</v>
      </c>
      <c r="F6613" t="s">
        <v>4177</v>
      </c>
      <c r="G6613">
        <v>0.04</v>
      </c>
      <c r="H6613" s="2">
        <v>72300.17</v>
      </c>
      <c r="I6613" s="2">
        <v>2892.01</v>
      </c>
    </row>
    <row r="6614" spans="1:9" x14ac:dyDescent="0.25">
      <c r="A6614" t="s">
        <v>3602</v>
      </c>
      <c r="B6614" t="s">
        <v>3603</v>
      </c>
      <c r="C6614" t="s">
        <v>42</v>
      </c>
      <c r="D6614" t="s">
        <v>4052</v>
      </c>
      <c r="E6614" t="s">
        <v>7234</v>
      </c>
      <c r="F6614" t="s">
        <v>287</v>
      </c>
      <c r="G6614">
        <v>0.12</v>
      </c>
      <c r="H6614" s="2">
        <v>8800</v>
      </c>
      <c r="I6614" s="2">
        <v>1088.56</v>
      </c>
    </row>
    <row r="6615" spans="1:9" x14ac:dyDescent="0.25">
      <c r="A6615" t="s">
        <v>3605</v>
      </c>
      <c r="B6615" t="s">
        <v>3606</v>
      </c>
      <c r="C6615" t="s">
        <v>34</v>
      </c>
      <c r="D6615" t="s">
        <v>4062</v>
      </c>
      <c r="E6615" t="s">
        <v>3544</v>
      </c>
      <c r="F6615" t="s">
        <v>3545</v>
      </c>
      <c r="G6615">
        <v>1.25</v>
      </c>
      <c r="H6615" s="2">
        <v>1325</v>
      </c>
      <c r="I6615" s="2">
        <v>1656.25</v>
      </c>
    </row>
    <row r="6616" spans="1:9" x14ac:dyDescent="0.25">
      <c r="A6616" t="s">
        <v>3605</v>
      </c>
      <c r="B6616" t="s">
        <v>3606</v>
      </c>
      <c r="C6616" t="s">
        <v>34</v>
      </c>
      <c r="D6616" t="s">
        <v>4049</v>
      </c>
      <c r="E6616" t="s">
        <v>4176</v>
      </c>
      <c r="F6616" t="s">
        <v>4177</v>
      </c>
      <c r="G6616">
        <v>1.5</v>
      </c>
      <c r="H6616" s="2">
        <v>72300.17</v>
      </c>
      <c r="I6616" s="2">
        <v>108450.26</v>
      </c>
    </row>
    <row r="6617" spans="1:9" x14ac:dyDescent="0.25">
      <c r="A6617" t="s">
        <v>3605</v>
      </c>
      <c r="B6617" t="s">
        <v>3606</v>
      </c>
      <c r="C6617" t="s">
        <v>34</v>
      </c>
      <c r="D6617" t="s">
        <v>4049</v>
      </c>
      <c r="E6617" t="s">
        <v>4313</v>
      </c>
      <c r="F6617" t="s">
        <v>4177</v>
      </c>
      <c r="G6617">
        <v>0.5</v>
      </c>
      <c r="H6617" s="2">
        <v>124137.15</v>
      </c>
      <c r="I6617" s="2">
        <v>62068.57</v>
      </c>
    </row>
    <row r="6618" spans="1:9" x14ac:dyDescent="0.25">
      <c r="A6618" t="s">
        <v>3605</v>
      </c>
      <c r="B6618" t="s">
        <v>3606</v>
      </c>
      <c r="C6618" t="s">
        <v>34</v>
      </c>
      <c r="D6618" t="s">
        <v>4052</v>
      </c>
      <c r="E6618" t="s">
        <v>4123</v>
      </c>
      <c r="F6618" t="s">
        <v>287</v>
      </c>
      <c r="G6618">
        <v>3.03</v>
      </c>
      <c r="H6618" s="2">
        <v>62400</v>
      </c>
      <c r="I6618" s="2">
        <v>189072</v>
      </c>
    </row>
    <row r="6619" spans="1:9" x14ac:dyDescent="0.25">
      <c r="A6619" t="s">
        <v>3605</v>
      </c>
      <c r="B6619" t="s">
        <v>3606</v>
      </c>
      <c r="C6619" t="s">
        <v>34</v>
      </c>
      <c r="D6619" t="s">
        <v>4052</v>
      </c>
      <c r="E6619" t="s">
        <v>4113</v>
      </c>
      <c r="F6619" t="s">
        <v>4106</v>
      </c>
      <c r="G6619">
        <v>0.05</v>
      </c>
      <c r="H6619" s="2">
        <v>43805.88</v>
      </c>
      <c r="I6619" s="2">
        <v>2190.29</v>
      </c>
    </row>
    <row r="6620" spans="1:9" x14ac:dyDescent="0.25">
      <c r="A6620" t="s">
        <v>3605</v>
      </c>
      <c r="B6620" t="s">
        <v>3606</v>
      </c>
      <c r="C6620" t="s">
        <v>34</v>
      </c>
      <c r="D6620" t="s">
        <v>4052</v>
      </c>
      <c r="E6620" t="s">
        <v>4118</v>
      </c>
      <c r="F6620" t="s">
        <v>287</v>
      </c>
      <c r="G6620">
        <v>0.05</v>
      </c>
      <c r="H6620" s="2">
        <v>107433.33</v>
      </c>
      <c r="I6620" s="2">
        <v>5371.67</v>
      </c>
    </row>
    <row r="6621" spans="1:9" x14ac:dyDescent="0.25">
      <c r="A6621" t="s">
        <v>3605</v>
      </c>
      <c r="B6621" t="s">
        <v>3606</v>
      </c>
      <c r="C6621" t="s">
        <v>34</v>
      </c>
      <c r="D6621" t="s">
        <v>4052</v>
      </c>
      <c r="E6621" t="s">
        <v>4053</v>
      </c>
      <c r="F6621" t="s">
        <v>4054</v>
      </c>
      <c r="G6621">
        <v>0.03</v>
      </c>
      <c r="H6621" s="2">
        <v>170518.83</v>
      </c>
      <c r="I6621" s="2">
        <v>51.16</v>
      </c>
    </row>
    <row r="6622" spans="1:9" x14ac:dyDescent="0.25">
      <c r="A6622" t="s">
        <v>3609</v>
      </c>
      <c r="B6622" t="s">
        <v>3610</v>
      </c>
      <c r="C6622" t="s">
        <v>21</v>
      </c>
      <c r="D6622" t="s">
        <v>4062</v>
      </c>
      <c r="E6622" t="s">
        <v>3544</v>
      </c>
      <c r="F6622" t="s">
        <v>3545</v>
      </c>
      <c r="G6622">
        <v>5</v>
      </c>
      <c r="H6622" s="2">
        <v>1325</v>
      </c>
      <c r="I6622" s="2">
        <v>6625</v>
      </c>
    </row>
    <row r="6623" spans="1:9" x14ac:dyDescent="0.25">
      <c r="A6623" t="s">
        <v>3609</v>
      </c>
      <c r="B6623" t="s">
        <v>3610</v>
      </c>
      <c r="C6623" t="s">
        <v>21</v>
      </c>
      <c r="D6623" t="s">
        <v>4049</v>
      </c>
      <c r="E6623" t="s">
        <v>4176</v>
      </c>
      <c r="F6623" t="s">
        <v>4177</v>
      </c>
      <c r="G6623">
        <v>1</v>
      </c>
      <c r="H6623" s="2">
        <v>72300.17</v>
      </c>
      <c r="I6623" s="2">
        <v>72300.17</v>
      </c>
    </row>
    <row r="6624" spans="1:9" x14ac:dyDescent="0.25">
      <c r="A6624" t="s">
        <v>3609</v>
      </c>
      <c r="B6624" t="s">
        <v>3610</v>
      </c>
      <c r="C6624" t="s">
        <v>21</v>
      </c>
      <c r="D6624" t="s">
        <v>4049</v>
      </c>
      <c r="E6624" t="s">
        <v>4313</v>
      </c>
      <c r="F6624" t="s">
        <v>4177</v>
      </c>
      <c r="G6624">
        <v>0.66</v>
      </c>
      <c r="H6624" s="2">
        <v>124137.15</v>
      </c>
      <c r="I6624" s="2">
        <v>81930.52</v>
      </c>
    </row>
    <row r="6625" spans="1:9" x14ac:dyDescent="0.25">
      <c r="A6625" t="s">
        <v>3609</v>
      </c>
      <c r="B6625" t="s">
        <v>3610</v>
      </c>
      <c r="C6625" t="s">
        <v>21</v>
      </c>
      <c r="D6625" t="s">
        <v>4049</v>
      </c>
      <c r="E6625" t="s">
        <v>4050</v>
      </c>
      <c r="F6625" t="s">
        <v>4051</v>
      </c>
      <c r="G6625">
        <v>0.24</v>
      </c>
      <c r="H6625" s="2">
        <v>9037.33</v>
      </c>
      <c r="I6625" s="2">
        <v>2168.96</v>
      </c>
    </row>
    <row r="6626" spans="1:9" x14ac:dyDescent="0.25">
      <c r="A6626" t="s">
        <v>3609</v>
      </c>
      <c r="B6626" t="s">
        <v>3610</v>
      </c>
      <c r="C6626" t="s">
        <v>21</v>
      </c>
      <c r="D6626" t="s">
        <v>4052</v>
      </c>
      <c r="E6626" t="s">
        <v>4123</v>
      </c>
      <c r="F6626" t="s">
        <v>287</v>
      </c>
      <c r="G6626">
        <v>0.66</v>
      </c>
      <c r="H6626" s="2">
        <v>62400</v>
      </c>
      <c r="I6626" s="2">
        <v>41184</v>
      </c>
    </row>
    <row r="6627" spans="1:9" x14ac:dyDescent="0.25">
      <c r="A6627" t="s">
        <v>3609</v>
      </c>
      <c r="B6627" t="s">
        <v>3610</v>
      </c>
      <c r="C6627" t="s">
        <v>21</v>
      </c>
      <c r="D6627" t="s">
        <v>4052</v>
      </c>
      <c r="E6627" t="s">
        <v>4118</v>
      </c>
      <c r="F6627" t="s">
        <v>287</v>
      </c>
      <c r="G6627">
        <v>0.03</v>
      </c>
      <c r="H6627" s="2">
        <v>107433.33</v>
      </c>
      <c r="I6627" s="2">
        <v>3223</v>
      </c>
    </row>
    <row r="6628" spans="1:9" x14ac:dyDescent="0.25">
      <c r="A6628" t="s">
        <v>3609</v>
      </c>
      <c r="B6628" t="s">
        <v>3610</v>
      </c>
      <c r="C6628" t="s">
        <v>21</v>
      </c>
      <c r="D6628" t="s">
        <v>4052</v>
      </c>
      <c r="E6628" t="s">
        <v>4053</v>
      </c>
      <c r="F6628" t="s">
        <v>4054</v>
      </c>
      <c r="G6628">
        <v>5</v>
      </c>
      <c r="H6628" s="2">
        <v>154230.69</v>
      </c>
      <c r="I6628" s="2">
        <v>7711.53</v>
      </c>
    </row>
    <row r="6629" spans="1:9" x14ac:dyDescent="0.25">
      <c r="A6629" t="s">
        <v>3609</v>
      </c>
      <c r="B6629" t="s">
        <v>3610</v>
      </c>
      <c r="C6629" t="s">
        <v>21</v>
      </c>
      <c r="D6629" t="s">
        <v>4052</v>
      </c>
      <c r="E6629" t="s">
        <v>4092</v>
      </c>
      <c r="F6629" t="s">
        <v>287</v>
      </c>
      <c r="G6629">
        <v>0.12</v>
      </c>
      <c r="H6629" s="2">
        <v>97476</v>
      </c>
      <c r="I6629" s="2">
        <v>11697.12</v>
      </c>
    </row>
    <row r="6630" spans="1:9" x14ac:dyDescent="0.25">
      <c r="A6630" t="s">
        <v>3609</v>
      </c>
      <c r="B6630" t="s">
        <v>3610</v>
      </c>
      <c r="C6630" t="s">
        <v>21</v>
      </c>
      <c r="D6630" t="s">
        <v>4052</v>
      </c>
      <c r="E6630" t="s">
        <v>4053</v>
      </c>
      <c r="F6630" t="s">
        <v>4054</v>
      </c>
      <c r="G6630">
        <v>5</v>
      </c>
      <c r="H6630" s="2">
        <v>2168.96</v>
      </c>
      <c r="I6630" s="2">
        <v>108.45</v>
      </c>
    </row>
    <row r="6631" spans="1:9" x14ac:dyDescent="0.25">
      <c r="A6631" t="s">
        <v>3609</v>
      </c>
      <c r="B6631" t="s">
        <v>3610</v>
      </c>
      <c r="C6631" t="s">
        <v>21</v>
      </c>
      <c r="D6631" t="s">
        <v>4058</v>
      </c>
      <c r="E6631" t="s">
        <v>4314</v>
      </c>
      <c r="F6631" t="s">
        <v>34</v>
      </c>
      <c r="G6631">
        <v>0.07</v>
      </c>
      <c r="H6631" s="2">
        <v>63714</v>
      </c>
      <c r="I6631" s="2">
        <v>4249.72</v>
      </c>
    </row>
    <row r="6632" spans="1:9" x14ac:dyDescent="0.25">
      <c r="A6632" t="s">
        <v>3613</v>
      </c>
      <c r="B6632" t="s">
        <v>3614</v>
      </c>
      <c r="C6632" t="s">
        <v>21</v>
      </c>
      <c r="D6632" t="s">
        <v>4049</v>
      </c>
      <c r="E6632" t="s">
        <v>7119</v>
      </c>
      <c r="F6632" t="s">
        <v>4177</v>
      </c>
      <c r="G6632">
        <v>0.01</v>
      </c>
      <c r="H6632" s="2">
        <v>124137.15</v>
      </c>
      <c r="I6632" s="2">
        <v>993.1</v>
      </c>
    </row>
    <row r="6633" spans="1:9" x14ac:dyDescent="0.25">
      <c r="A6633" t="s">
        <v>3613</v>
      </c>
      <c r="B6633" t="s">
        <v>3614</v>
      </c>
      <c r="C6633" t="s">
        <v>21</v>
      </c>
      <c r="D6633" t="s">
        <v>4052</v>
      </c>
      <c r="E6633" t="s">
        <v>4092</v>
      </c>
      <c r="F6633" t="s">
        <v>287</v>
      </c>
      <c r="G6633">
        <v>0.06</v>
      </c>
      <c r="H6633" s="2">
        <v>97476</v>
      </c>
      <c r="I6633" s="2">
        <v>5848.56</v>
      </c>
    </row>
    <row r="6634" spans="1:9" x14ac:dyDescent="0.25">
      <c r="A6634" t="s">
        <v>3613</v>
      </c>
      <c r="B6634" t="s">
        <v>3614</v>
      </c>
      <c r="C6634" t="s">
        <v>21</v>
      </c>
      <c r="D6634" t="s">
        <v>4052</v>
      </c>
      <c r="E6634" t="s">
        <v>4053</v>
      </c>
      <c r="F6634" t="s">
        <v>4054</v>
      </c>
      <c r="G6634">
        <v>5</v>
      </c>
      <c r="H6634" s="2">
        <v>993.1</v>
      </c>
      <c r="I6634" s="2">
        <v>49.66</v>
      </c>
    </row>
    <row r="6635" spans="1:9" x14ac:dyDescent="0.25">
      <c r="A6635" t="s">
        <v>3613</v>
      </c>
      <c r="B6635" t="s">
        <v>3614</v>
      </c>
      <c r="C6635" t="s">
        <v>21</v>
      </c>
      <c r="D6635" t="s">
        <v>4058</v>
      </c>
      <c r="E6635" t="s">
        <v>4314</v>
      </c>
      <c r="F6635" t="s">
        <v>34</v>
      </c>
      <c r="G6635">
        <v>0.17</v>
      </c>
      <c r="H6635" s="2">
        <v>63714</v>
      </c>
      <c r="I6635" s="2">
        <v>10621.12</v>
      </c>
    </row>
    <row r="6636" spans="1:9" x14ac:dyDescent="0.25">
      <c r="A6636" t="s">
        <v>3616</v>
      </c>
      <c r="B6636" t="s">
        <v>3617</v>
      </c>
      <c r="C6636" t="s">
        <v>63</v>
      </c>
      <c r="D6636" t="s">
        <v>4062</v>
      </c>
      <c r="E6636" t="s">
        <v>4001</v>
      </c>
      <c r="F6636" t="s">
        <v>34</v>
      </c>
      <c r="G6636">
        <v>0.01</v>
      </c>
      <c r="H6636" s="2">
        <v>450245.66</v>
      </c>
      <c r="I6636" s="2">
        <v>4502.46</v>
      </c>
    </row>
    <row r="6637" spans="1:9" x14ac:dyDescent="0.25">
      <c r="A6637" t="s">
        <v>3616</v>
      </c>
      <c r="B6637" t="s">
        <v>3617</v>
      </c>
      <c r="C6637" t="s">
        <v>63</v>
      </c>
      <c r="D6637" t="s">
        <v>4049</v>
      </c>
      <c r="E6637" t="s">
        <v>4176</v>
      </c>
      <c r="F6637" t="s">
        <v>4177</v>
      </c>
      <c r="G6637">
        <v>0.25</v>
      </c>
      <c r="H6637" s="2">
        <v>72300.17</v>
      </c>
      <c r="I6637" s="2">
        <v>18075.04</v>
      </c>
    </row>
    <row r="6638" spans="1:9" x14ac:dyDescent="0.25">
      <c r="A6638" t="s">
        <v>3616</v>
      </c>
      <c r="B6638" t="s">
        <v>3617</v>
      </c>
      <c r="C6638" t="s">
        <v>63</v>
      </c>
      <c r="D6638" t="s">
        <v>4049</v>
      </c>
      <c r="E6638" t="s">
        <v>4313</v>
      </c>
      <c r="F6638" t="s">
        <v>4177</v>
      </c>
      <c r="G6638">
        <v>0.17</v>
      </c>
      <c r="H6638" s="2">
        <v>124137.15</v>
      </c>
      <c r="I6638" s="2">
        <v>21103.32</v>
      </c>
    </row>
    <row r="6639" spans="1:9" x14ac:dyDescent="0.25">
      <c r="A6639" t="s">
        <v>3616</v>
      </c>
      <c r="B6639" t="s">
        <v>3617</v>
      </c>
      <c r="C6639" t="s">
        <v>63</v>
      </c>
      <c r="D6639" t="s">
        <v>4052</v>
      </c>
      <c r="E6639" t="s">
        <v>4053</v>
      </c>
      <c r="F6639" t="s">
        <v>4054</v>
      </c>
      <c r="G6639">
        <v>7</v>
      </c>
      <c r="H6639" s="2">
        <v>39178.36</v>
      </c>
      <c r="I6639" s="2">
        <v>2742.49</v>
      </c>
    </row>
    <row r="6640" spans="1:9" x14ac:dyDescent="0.25">
      <c r="A6640" t="s">
        <v>3619</v>
      </c>
      <c r="B6640" t="s">
        <v>3620</v>
      </c>
      <c r="C6640" t="s">
        <v>21</v>
      </c>
      <c r="D6640" t="s">
        <v>4062</v>
      </c>
      <c r="E6640" t="s">
        <v>7059</v>
      </c>
      <c r="F6640" t="s">
        <v>34</v>
      </c>
      <c r="G6640">
        <v>0.2</v>
      </c>
      <c r="H6640" s="2">
        <v>40100</v>
      </c>
      <c r="I6640" s="2">
        <v>8020</v>
      </c>
    </row>
    <row r="6641" spans="1:9" x14ac:dyDescent="0.25">
      <c r="A6641" t="s">
        <v>3619</v>
      </c>
      <c r="B6641" t="s">
        <v>3620</v>
      </c>
      <c r="C6641" t="s">
        <v>21</v>
      </c>
      <c r="D6641" t="s">
        <v>4062</v>
      </c>
      <c r="E6641" t="s">
        <v>7581</v>
      </c>
      <c r="F6641" t="s">
        <v>21</v>
      </c>
      <c r="G6641">
        <v>1.03</v>
      </c>
      <c r="H6641" s="2">
        <v>3850</v>
      </c>
      <c r="I6641" s="2">
        <v>3965.5</v>
      </c>
    </row>
    <row r="6642" spans="1:9" x14ac:dyDescent="0.25">
      <c r="A6642" t="s">
        <v>3619</v>
      </c>
      <c r="B6642" t="s">
        <v>3620</v>
      </c>
      <c r="C6642" t="s">
        <v>21</v>
      </c>
      <c r="D6642" t="s">
        <v>4062</v>
      </c>
      <c r="E6642" t="s">
        <v>7582</v>
      </c>
      <c r="F6642" t="s">
        <v>63</v>
      </c>
      <c r="G6642">
        <v>0.81</v>
      </c>
      <c r="H6642" s="2">
        <v>1150</v>
      </c>
      <c r="I6642" s="2">
        <v>925.75</v>
      </c>
    </row>
    <row r="6643" spans="1:9" x14ac:dyDescent="0.25">
      <c r="A6643" t="s">
        <v>3619</v>
      </c>
      <c r="B6643" t="s">
        <v>3620</v>
      </c>
      <c r="C6643" t="s">
        <v>21</v>
      </c>
      <c r="D6643" t="s">
        <v>4062</v>
      </c>
      <c r="E6643" t="s">
        <v>4076</v>
      </c>
      <c r="F6643" t="s">
        <v>3963</v>
      </c>
      <c r="G6643">
        <v>25</v>
      </c>
      <c r="H6643" s="2">
        <v>21</v>
      </c>
      <c r="I6643" s="2">
        <v>525</v>
      </c>
    </row>
    <row r="6644" spans="1:9" x14ac:dyDescent="0.25">
      <c r="A6644" t="s">
        <v>3619</v>
      </c>
      <c r="B6644" t="s">
        <v>3620</v>
      </c>
      <c r="C6644" t="s">
        <v>21</v>
      </c>
      <c r="D6644" t="s">
        <v>4049</v>
      </c>
      <c r="E6644" t="s">
        <v>4176</v>
      </c>
      <c r="F6644" t="s">
        <v>4177</v>
      </c>
      <c r="G6644">
        <v>0.06</v>
      </c>
      <c r="H6644" s="2">
        <v>72300.17</v>
      </c>
      <c r="I6644" s="2">
        <v>4106.65</v>
      </c>
    </row>
    <row r="6645" spans="1:9" x14ac:dyDescent="0.25">
      <c r="A6645" t="s">
        <v>3619</v>
      </c>
      <c r="B6645" t="s">
        <v>3620</v>
      </c>
      <c r="C6645" t="s">
        <v>21</v>
      </c>
      <c r="D6645" t="s">
        <v>4052</v>
      </c>
      <c r="E6645" t="s">
        <v>4053</v>
      </c>
      <c r="F6645" t="s">
        <v>4054</v>
      </c>
      <c r="G6645">
        <v>5</v>
      </c>
      <c r="H6645" s="2">
        <v>4106.65</v>
      </c>
      <c r="I6645" s="2">
        <v>205.33</v>
      </c>
    </row>
    <row r="6646" spans="1:9" x14ac:dyDescent="0.25">
      <c r="A6646" t="s">
        <v>3622</v>
      </c>
      <c r="B6646" t="s">
        <v>3623</v>
      </c>
      <c r="C6646" t="s">
        <v>21</v>
      </c>
      <c r="D6646" t="s">
        <v>4062</v>
      </c>
      <c r="E6646" t="s">
        <v>7059</v>
      </c>
      <c r="F6646" t="s">
        <v>34</v>
      </c>
      <c r="G6646">
        <v>0.2</v>
      </c>
      <c r="H6646" s="2">
        <v>40100</v>
      </c>
      <c r="I6646" s="2">
        <v>8020</v>
      </c>
    </row>
    <row r="6647" spans="1:9" x14ac:dyDescent="0.25">
      <c r="A6647" t="s">
        <v>3622</v>
      </c>
      <c r="B6647" t="s">
        <v>3623</v>
      </c>
      <c r="C6647" t="s">
        <v>21</v>
      </c>
      <c r="D6647" t="s">
        <v>4062</v>
      </c>
      <c r="E6647" t="s">
        <v>4321</v>
      </c>
      <c r="F6647" t="s">
        <v>21</v>
      </c>
      <c r="G6647">
        <v>0.05</v>
      </c>
      <c r="H6647" s="2">
        <v>8777.33</v>
      </c>
      <c r="I6647" s="2">
        <v>438.87</v>
      </c>
    </row>
    <row r="6648" spans="1:9" x14ac:dyDescent="0.25">
      <c r="A6648" t="s">
        <v>3622</v>
      </c>
      <c r="B6648" t="s">
        <v>3623</v>
      </c>
      <c r="C6648" t="s">
        <v>21</v>
      </c>
      <c r="D6648" t="s">
        <v>4062</v>
      </c>
      <c r="E6648" t="s">
        <v>4076</v>
      </c>
      <c r="F6648" t="s">
        <v>3963</v>
      </c>
      <c r="G6648">
        <v>25</v>
      </c>
      <c r="H6648" s="2">
        <v>21</v>
      </c>
      <c r="I6648" s="2">
        <v>525</v>
      </c>
    </row>
    <row r="6649" spans="1:9" x14ac:dyDescent="0.25">
      <c r="A6649" t="s">
        <v>3622</v>
      </c>
      <c r="B6649" t="s">
        <v>3623</v>
      </c>
      <c r="C6649" t="s">
        <v>21</v>
      </c>
      <c r="D6649" t="s">
        <v>4062</v>
      </c>
      <c r="E6649" t="s">
        <v>7585</v>
      </c>
      <c r="F6649" t="s">
        <v>63</v>
      </c>
      <c r="G6649">
        <v>2</v>
      </c>
      <c r="H6649" s="2">
        <v>1293</v>
      </c>
      <c r="I6649" s="2">
        <v>2586</v>
      </c>
    </row>
    <row r="6650" spans="1:9" x14ac:dyDescent="0.25">
      <c r="A6650" t="s">
        <v>3622</v>
      </c>
      <c r="B6650" t="s">
        <v>3623</v>
      </c>
      <c r="C6650" t="s">
        <v>21</v>
      </c>
      <c r="D6650" t="s">
        <v>4049</v>
      </c>
      <c r="E6650" t="s">
        <v>4176</v>
      </c>
      <c r="F6650" t="s">
        <v>4177</v>
      </c>
      <c r="G6650">
        <v>0.27</v>
      </c>
      <c r="H6650" s="2">
        <v>72300.17</v>
      </c>
      <c r="I6650" s="2">
        <v>19441.52</v>
      </c>
    </row>
    <row r="6651" spans="1:9" x14ac:dyDescent="0.25">
      <c r="A6651" t="s">
        <v>3622</v>
      </c>
      <c r="B6651" t="s">
        <v>3623</v>
      </c>
      <c r="C6651" t="s">
        <v>21</v>
      </c>
      <c r="D6651" t="s">
        <v>4052</v>
      </c>
      <c r="E6651" t="s">
        <v>4053</v>
      </c>
      <c r="F6651" t="s">
        <v>4054</v>
      </c>
      <c r="G6651">
        <v>5</v>
      </c>
      <c r="H6651" s="2">
        <v>19441.52</v>
      </c>
      <c r="I6651" s="2">
        <v>972.08</v>
      </c>
    </row>
    <row r="6652" spans="1:9" x14ac:dyDescent="0.25">
      <c r="A6652" t="s">
        <v>3625</v>
      </c>
      <c r="B6652" t="s">
        <v>3626</v>
      </c>
      <c r="C6652" t="s">
        <v>231</v>
      </c>
      <c r="D6652" t="s">
        <v>4062</v>
      </c>
      <c r="E6652" t="s">
        <v>5472</v>
      </c>
      <c r="F6652" t="s">
        <v>231</v>
      </c>
      <c r="G6652">
        <v>1.05</v>
      </c>
      <c r="H6652" s="2">
        <v>3895</v>
      </c>
      <c r="I6652" s="2">
        <v>4089.75</v>
      </c>
    </row>
    <row r="6653" spans="1:9" x14ac:dyDescent="0.25">
      <c r="A6653" t="s">
        <v>3625</v>
      </c>
      <c r="B6653" t="s">
        <v>3626</v>
      </c>
      <c r="C6653" t="s">
        <v>231</v>
      </c>
      <c r="D6653" t="s">
        <v>4062</v>
      </c>
      <c r="E6653" t="s">
        <v>3558</v>
      </c>
      <c r="F6653" t="s">
        <v>231</v>
      </c>
      <c r="G6653">
        <v>1</v>
      </c>
      <c r="H6653" s="2">
        <v>146.18</v>
      </c>
      <c r="I6653" s="2">
        <v>146.18</v>
      </c>
    </row>
    <row r="6654" spans="1:9" x14ac:dyDescent="0.25">
      <c r="A6654" t="s">
        <v>3625</v>
      </c>
      <c r="B6654" t="s">
        <v>3626</v>
      </c>
      <c r="C6654" t="s">
        <v>231</v>
      </c>
      <c r="D6654" t="s">
        <v>4062</v>
      </c>
      <c r="E6654" t="s">
        <v>7588</v>
      </c>
      <c r="F6654" t="s">
        <v>231</v>
      </c>
      <c r="G6654">
        <v>0.01</v>
      </c>
      <c r="H6654" s="2">
        <v>162518</v>
      </c>
      <c r="I6654" s="2">
        <v>812.59</v>
      </c>
    </row>
    <row r="6655" spans="1:9" x14ac:dyDescent="0.25">
      <c r="A6655" t="s">
        <v>3625</v>
      </c>
      <c r="B6655" t="s">
        <v>3626</v>
      </c>
      <c r="C6655" t="s">
        <v>231</v>
      </c>
      <c r="D6655" t="s">
        <v>4062</v>
      </c>
      <c r="E6655" t="s">
        <v>7589</v>
      </c>
      <c r="F6655" t="s">
        <v>231</v>
      </c>
      <c r="G6655">
        <v>0.01</v>
      </c>
      <c r="H6655" s="2">
        <v>11356.51</v>
      </c>
      <c r="I6655" s="2">
        <v>56.78</v>
      </c>
    </row>
    <row r="6656" spans="1:9" x14ac:dyDescent="0.25">
      <c r="A6656" t="s">
        <v>3625</v>
      </c>
      <c r="B6656" t="s">
        <v>3626</v>
      </c>
      <c r="C6656" t="s">
        <v>231</v>
      </c>
      <c r="D6656" t="s">
        <v>4062</v>
      </c>
      <c r="E6656" t="s">
        <v>7590</v>
      </c>
      <c r="F6656" t="s">
        <v>231</v>
      </c>
      <c r="G6656">
        <v>0.01</v>
      </c>
      <c r="H6656" s="2">
        <v>12620.98</v>
      </c>
      <c r="I6656" s="2">
        <v>63.1</v>
      </c>
    </row>
    <row r="6657" spans="1:9" x14ac:dyDescent="0.25">
      <c r="A6657" t="s">
        <v>3625</v>
      </c>
      <c r="B6657" t="s">
        <v>3626</v>
      </c>
      <c r="C6657" t="s">
        <v>231</v>
      </c>
      <c r="D6657" t="s">
        <v>4062</v>
      </c>
      <c r="E6657" t="s">
        <v>5892</v>
      </c>
      <c r="F6657" t="s">
        <v>231</v>
      </c>
      <c r="G6657">
        <v>0.06</v>
      </c>
      <c r="H6657" s="2">
        <v>10750</v>
      </c>
      <c r="I6657" s="2">
        <v>645</v>
      </c>
    </row>
    <row r="6658" spans="1:9" x14ac:dyDescent="0.25">
      <c r="A6658" t="s">
        <v>3625</v>
      </c>
      <c r="B6658" t="s">
        <v>3626</v>
      </c>
      <c r="C6658" t="s">
        <v>231</v>
      </c>
      <c r="D6658" t="s">
        <v>4049</v>
      </c>
      <c r="E6658" t="s">
        <v>4176</v>
      </c>
      <c r="F6658" t="s">
        <v>4177</v>
      </c>
      <c r="G6658">
        <v>0.02</v>
      </c>
      <c r="H6658" s="2">
        <v>72300.17</v>
      </c>
      <c r="I6658" s="2">
        <v>1409.85</v>
      </c>
    </row>
    <row r="6659" spans="1:9" x14ac:dyDescent="0.25">
      <c r="A6659" t="s">
        <v>3625</v>
      </c>
      <c r="B6659" t="s">
        <v>3626</v>
      </c>
      <c r="C6659" t="s">
        <v>231</v>
      </c>
      <c r="D6659" t="s">
        <v>4049</v>
      </c>
      <c r="E6659" t="s">
        <v>7591</v>
      </c>
      <c r="F6659" t="s">
        <v>4177</v>
      </c>
      <c r="G6659">
        <v>0.01</v>
      </c>
      <c r="H6659" s="2">
        <v>124137.15</v>
      </c>
      <c r="I6659" s="2">
        <v>943.44</v>
      </c>
    </row>
    <row r="6660" spans="1:9" x14ac:dyDescent="0.25">
      <c r="A6660" t="s">
        <v>3625</v>
      </c>
      <c r="B6660" t="s">
        <v>3626</v>
      </c>
      <c r="C6660" t="s">
        <v>231</v>
      </c>
      <c r="D6660" t="s">
        <v>4049</v>
      </c>
      <c r="E6660" t="s">
        <v>4313</v>
      </c>
      <c r="F6660" t="s">
        <v>4177</v>
      </c>
      <c r="G6660">
        <v>0.01</v>
      </c>
      <c r="H6660" s="2">
        <v>124137.15</v>
      </c>
      <c r="I6660" s="2">
        <v>831.72</v>
      </c>
    </row>
    <row r="6661" spans="1:9" x14ac:dyDescent="0.25">
      <c r="A6661" t="s">
        <v>3625</v>
      </c>
      <c r="B6661" t="s">
        <v>3626</v>
      </c>
      <c r="C6661" t="s">
        <v>231</v>
      </c>
      <c r="D6661" t="s">
        <v>4049</v>
      </c>
      <c r="E6661" t="s">
        <v>5474</v>
      </c>
      <c r="F6661" t="s">
        <v>4177</v>
      </c>
      <c r="G6661">
        <v>0.02</v>
      </c>
      <c r="H6661" s="2">
        <v>148967.85</v>
      </c>
      <c r="I6661" s="2">
        <v>2413.28</v>
      </c>
    </row>
    <row r="6662" spans="1:9" x14ac:dyDescent="0.25">
      <c r="A6662" t="s">
        <v>3625</v>
      </c>
      <c r="B6662" t="s">
        <v>3626</v>
      </c>
      <c r="C6662" t="s">
        <v>231</v>
      </c>
      <c r="D6662" t="s">
        <v>4052</v>
      </c>
      <c r="E6662" t="s">
        <v>7592</v>
      </c>
      <c r="F6662" t="s">
        <v>287</v>
      </c>
      <c r="G6662">
        <v>0.04</v>
      </c>
      <c r="H6662" s="2">
        <v>5636.39</v>
      </c>
      <c r="I6662" s="2">
        <v>197.27</v>
      </c>
    </row>
    <row r="6663" spans="1:9" x14ac:dyDescent="0.25">
      <c r="A6663" t="s">
        <v>3625</v>
      </c>
      <c r="B6663" t="s">
        <v>3626</v>
      </c>
      <c r="C6663" t="s">
        <v>231</v>
      </c>
      <c r="D6663" t="s">
        <v>4052</v>
      </c>
      <c r="E6663" t="s">
        <v>7099</v>
      </c>
      <c r="F6663" t="s">
        <v>4106</v>
      </c>
      <c r="G6663">
        <v>0.04</v>
      </c>
      <c r="H6663" s="2">
        <v>147140</v>
      </c>
      <c r="I6663" s="2">
        <v>5149.9</v>
      </c>
    </row>
    <row r="6664" spans="1:9" x14ac:dyDescent="0.25">
      <c r="A6664" t="s">
        <v>3625</v>
      </c>
      <c r="B6664" t="s">
        <v>3626</v>
      </c>
      <c r="C6664" t="s">
        <v>231</v>
      </c>
      <c r="D6664" t="s">
        <v>4052</v>
      </c>
      <c r="E6664" t="s">
        <v>5725</v>
      </c>
      <c r="F6664" t="s">
        <v>287</v>
      </c>
      <c r="G6664">
        <v>0.05</v>
      </c>
      <c r="H6664" s="2">
        <v>19084</v>
      </c>
      <c r="I6664" s="2">
        <v>896.95</v>
      </c>
    </row>
    <row r="6665" spans="1:9" x14ac:dyDescent="0.25">
      <c r="A6665" t="s">
        <v>3625</v>
      </c>
      <c r="B6665" t="s">
        <v>3626</v>
      </c>
      <c r="C6665" t="s">
        <v>231</v>
      </c>
      <c r="D6665" t="s">
        <v>4052</v>
      </c>
      <c r="E6665" t="s">
        <v>4053</v>
      </c>
      <c r="F6665" t="s">
        <v>4054</v>
      </c>
      <c r="G6665">
        <v>5</v>
      </c>
      <c r="H6665" s="2">
        <v>5598.29</v>
      </c>
      <c r="I6665" s="2">
        <v>279.91</v>
      </c>
    </row>
    <row r="6666" spans="1:9" x14ac:dyDescent="0.25">
      <c r="A6666" t="s">
        <v>3629</v>
      </c>
      <c r="B6666" t="s">
        <v>3630</v>
      </c>
      <c r="C6666" t="s">
        <v>21</v>
      </c>
      <c r="D6666" t="s">
        <v>4062</v>
      </c>
      <c r="E6666" t="s">
        <v>1056</v>
      </c>
      <c r="F6666" t="s">
        <v>231</v>
      </c>
      <c r="G6666">
        <v>0.5</v>
      </c>
      <c r="H6666" s="2">
        <v>97911.73</v>
      </c>
      <c r="I6666" s="2">
        <v>48955.86</v>
      </c>
    </row>
    <row r="6667" spans="1:9" x14ac:dyDescent="0.25">
      <c r="A6667" t="s">
        <v>3629</v>
      </c>
      <c r="B6667" t="s">
        <v>3630</v>
      </c>
      <c r="C6667" t="s">
        <v>21</v>
      </c>
      <c r="D6667" t="s">
        <v>4049</v>
      </c>
      <c r="E6667" t="s">
        <v>4050</v>
      </c>
      <c r="F6667" t="s">
        <v>4051</v>
      </c>
      <c r="G6667">
        <v>0.8</v>
      </c>
      <c r="H6667" s="2">
        <v>9037.33</v>
      </c>
      <c r="I6667" s="2">
        <v>7229.86</v>
      </c>
    </row>
    <row r="6668" spans="1:9" x14ac:dyDescent="0.25">
      <c r="A6668" t="s">
        <v>3629</v>
      </c>
      <c r="B6668" t="s">
        <v>3630</v>
      </c>
      <c r="C6668" t="s">
        <v>21</v>
      </c>
      <c r="D6668" t="s">
        <v>4052</v>
      </c>
      <c r="E6668" t="s">
        <v>4053</v>
      </c>
      <c r="F6668" t="s">
        <v>4054</v>
      </c>
      <c r="G6668">
        <v>8.61</v>
      </c>
      <c r="H6668" s="2">
        <v>7229.86</v>
      </c>
      <c r="I6668" s="2">
        <v>622.49</v>
      </c>
    </row>
    <row r="6669" spans="1:9" x14ac:dyDescent="0.25">
      <c r="A6669" t="s">
        <v>3632</v>
      </c>
      <c r="B6669" t="s">
        <v>3633</v>
      </c>
      <c r="C6669" t="s">
        <v>231</v>
      </c>
      <c r="D6669" t="s">
        <v>4062</v>
      </c>
      <c r="E6669" t="s">
        <v>4390</v>
      </c>
      <c r="F6669" t="s">
        <v>231</v>
      </c>
      <c r="G6669">
        <v>0.02</v>
      </c>
      <c r="H6669" s="2">
        <v>4155</v>
      </c>
      <c r="I6669" s="2">
        <v>83.1</v>
      </c>
    </row>
    <row r="6670" spans="1:9" x14ac:dyDescent="0.25">
      <c r="A6670" t="s">
        <v>3632</v>
      </c>
      <c r="B6670" t="s">
        <v>3633</v>
      </c>
      <c r="C6670" t="s">
        <v>231</v>
      </c>
      <c r="D6670" t="s">
        <v>4062</v>
      </c>
      <c r="E6670" t="s">
        <v>7597</v>
      </c>
      <c r="F6670" t="s">
        <v>231</v>
      </c>
      <c r="G6670">
        <v>1</v>
      </c>
      <c r="H6670" s="2">
        <v>3849.41</v>
      </c>
      <c r="I6670" s="2">
        <v>3849.41</v>
      </c>
    </row>
    <row r="6671" spans="1:9" x14ac:dyDescent="0.25">
      <c r="A6671" t="s">
        <v>3632</v>
      </c>
      <c r="B6671" t="s">
        <v>3633</v>
      </c>
      <c r="C6671" t="s">
        <v>231</v>
      </c>
      <c r="D6671" t="s">
        <v>4049</v>
      </c>
      <c r="E6671" t="s">
        <v>4050</v>
      </c>
      <c r="F6671" t="s">
        <v>4051</v>
      </c>
      <c r="G6671">
        <v>0.03</v>
      </c>
      <c r="H6671" s="2">
        <v>9037.33</v>
      </c>
      <c r="I6671" s="2">
        <v>271.12</v>
      </c>
    </row>
    <row r="6672" spans="1:9" x14ac:dyDescent="0.25">
      <c r="A6672" t="s">
        <v>3632</v>
      </c>
      <c r="B6672" t="s">
        <v>3633</v>
      </c>
      <c r="C6672" t="s">
        <v>231</v>
      </c>
      <c r="D6672" t="s">
        <v>4049</v>
      </c>
      <c r="E6672" t="s">
        <v>4073</v>
      </c>
      <c r="F6672" t="s">
        <v>4051</v>
      </c>
      <c r="G6672">
        <v>0.03</v>
      </c>
      <c r="H6672" s="2">
        <v>15517.89</v>
      </c>
      <c r="I6672" s="2">
        <v>465.54</v>
      </c>
    </row>
    <row r="6673" spans="1:9" x14ac:dyDescent="0.25">
      <c r="A6673" t="s">
        <v>3632</v>
      </c>
      <c r="B6673" t="s">
        <v>3633</v>
      </c>
      <c r="C6673" t="s">
        <v>231</v>
      </c>
      <c r="D6673" t="s">
        <v>4052</v>
      </c>
      <c r="E6673" t="s">
        <v>4053</v>
      </c>
      <c r="F6673" t="s">
        <v>4054</v>
      </c>
      <c r="G6673">
        <v>5</v>
      </c>
      <c r="H6673" s="2">
        <v>736.66</v>
      </c>
      <c r="I6673" s="2">
        <v>36.83</v>
      </c>
    </row>
    <row r="6674" spans="1:9" x14ac:dyDescent="0.25">
      <c r="A6674" t="s">
        <v>3635</v>
      </c>
      <c r="B6674" t="s">
        <v>3636</v>
      </c>
      <c r="C6674" t="s">
        <v>231</v>
      </c>
      <c r="D6674" t="s">
        <v>4062</v>
      </c>
      <c r="E6674" t="s">
        <v>4390</v>
      </c>
      <c r="F6674" t="s">
        <v>231</v>
      </c>
      <c r="G6674">
        <v>0.02</v>
      </c>
      <c r="H6674" s="2">
        <v>4155</v>
      </c>
      <c r="I6674" s="2">
        <v>83.1</v>
      </c>
    </row>
    <row r="6675" spans="1:9" x14ac:dyDescent="0.25">
      <c r="A6675" t="s">
        <v>3635</v>
      </c>
      <c r="B6675" t="s">
        <v>3636</v>
      </c>
      <c r="C6675" t="s">
        <v>231</v>
      </c>
      <c r="D6675" t="s">
        <v>4062</v>
      </c>
      <c r="E6675" t="s">
        <v>7600</v>
      </c>
      <c r="F6675" t="s">
        <v>231</v>
      </c>
      <c r="G6675">
        <v>1</v>
      </c>
      <c r="H6675" s="2">
        <v>3968.78</v>
      </c>
      <c r="I6675" s="2">
        <v>3968.78</v>
      </c>
    </row>
    <row r="6676" spans="1:9" x14ac:dyDescent="0.25">
      <c r="A6676" t="s">
        <v>3635</v>
      </c>
      <c r="B6676" t="s">
        <v>3636</v>
      </c>
      <c r="C6676" t="s">
        <v>231</v>
      </c>
      <c r="D6676" t="s">
        <v>4049</v>
      </c>
      <c r="E6676" t="s">
        <v>4050</v>
      </c>
      <c r="F6676" t="s">
        <v>4051</v>
      </c>
      <c r="G6676">
        <v>0.03</v>
      </c>
      <c r="H6676" s="2">
        <v>9037.33</v>
      </c>
      <c r="I6676" s="2">
        <v>271.12</v>
      </c>
    </row>
    <row r="6677" spans="1:9" x14ac:dyDescent="0.25">
      <c r="A6677" t="s">
        <v>3635</v>
      </c>
      <c r="B6677" t="s">
        <v>3636</v>
      </c>
      <c r="C6677" t="s">
        <v>231</v>
      </c>
      <c r="D6677" t="s">
        <v>4049</v>
      </c>
      <c r="E6677" t="s">
        <v>4073</v>
      </c>
      <c r="F6677" t="s">
        <v>4051</v>
      </c>
      <c r="G6677">
        <v>0.03</v>
      </c>
      <c r="H6677" s="2">
        <v>15517.89</v>
      </c>
      <c r="I6677" s="2">
        <v>465.54</v>
      </c>
    </row>
    <row r="6678" spans="1:9" x14ac:dyDescent="0.25">
      <c r="A6678" t="s">
        <v>3635</v>
      </c>
      <c r="B6678" t="s">
        <v>3636</v>
      </c>
      <c r="C6678" t="s">
        <v>231</v>
      </c>
      <c r="D6678" t="s">
        <v>4052</v>
      </c>
      <c r="E6678" t="s">
        <v>4053</v>
      </c>
      <c r="F6678" t="s">
        <v>4054</v>
      </c>
      <c r="G6678">
        <v>5</v>
      </c>
      <c r="H6678" s="2">
        <v>736.66</v>
      </c>
      <c r="I6678" s="2">
        <v>36.83</v>
      </c>
    </row>
    <row r="6679" spans="1:9" x14ac:dyDescent="0.25">
      <c r="A6679" t="s">
        <v>3638</v>
      </c>
      <c r="B6679" t="s">
        <v>3639</v>
      </c>
      <c r="C6679" t="s">
        <v>231</v>
      </c>
      <c r="D6679" t="s">
        <v>4062</v>
      </c>
      <c r="E6679" t="s">
        <v>4390</v>
      </c>
      <c r="F6679" t="s">
        <v>231</v>
      </c>
      <c r="G6679">
        <v>0.02</v>
      </c>
      <c r="H6679" s="2">
        <v>4155</v>
      </c>
      <c r="I6679" s="2">
        <v>83.1</v>
      </c>
    </row>
    <row r="6680" spans="1:9" x14ac:dyDescent="0.25">
      <c r="A6680" t="s">
        <v>3638</v>
      </c>
      <c r="B6680" t="s">
        <v>3639</v>
      </c>
      <c r="C6680" t="s">
        <v>231</v>
      </c>
      <c r="D6680" t="s">
        <v>4062</v>
      </c>
      <c r="E6680" t="s">
        <v>7603</v>
      </c>
      <c r="F6680" t="s">
        <v>231</v>
      </c>
      <c r="G6680">
        <v>1</v>
      </c>
      <c r="H6680" s="2">
        <v>3812</v>
      </c>
      <c r="I6680" s="2">
        <v>3812</v>
      </c>
    </row>
    <row r="6681" spans="1:9" x14ac:dyDescent="0.25">
      <c r="A6681" t="s">
        <v>3638</v>
      </c>
      <c r="B6681" t="s">
        <v>3639</v>
      </c>
      <c r="C6681" t="s">
        <v>231</v>
      </c>
      <c r="D6681" t="s">
        <v>4049</v>
      </c>
      <c r="E6681" t="s">
        <v>4050</v>
      </c>
      <c r="F6681" t="s">
        <v>4051</v>
      </c>
      <c r="G6681">
        <v>0.03</v>
      </c>
      <c r="H6681" s="2">
        <v>9037.33</v>
      </c>
      <c r="I6681" s="2">
        <v>271.12</v>
      </c>
    </row>
    <row r="6682" spans="1:9" x14ac:dyDescent="0.25">
      <c r="A6682" t="s">
        <v>3638</v>
      </c>
      <c r="B6682" t="s">
        <v>3639</v>
      </c>
      <c r="C6682" t="s">
        <v>231</v>
      </c>
      <c r="D6682" t="s">
        <v>4049</v>
      </c>
      <c r="E6682" t="s">
        <v>4073</v>
      </c>
      <c r="F6682" t="s">
        <v>4051</v>
      </c>
      <c r="G6682">
        <v>0.03</v>
      </c>
      <c r="H6682" s="2">
        <v>15517.89</v>
      </c>
      <c r="I6682" s="2">
        <v>465.54</v>
      </c>
    </row>
    <row r="6683" spans="1:9" x14ac:dyDescent="0.25">
      <c r="A6683" t="s">
        <v>3638</v>
      </c>
      <c r="B6683" t="s">
        <v>3639</v>
      </c>
      <c r="C6683" t="s">
        <v>231</v>
      </c>
      <c r="D6683" t="s">
        <v>4052</v>
      </c>
      <c r="E6683" t="s">
        <v>4053</v>
      </c>
      <c r="F6683" t="s">
        <v>4054</v>
      </c>
      <c r="G6683">
        <v>5</v>
      </c>
      <c r="H6683" s="2">
        <v>736.66</v>
      </c>
      <c r="I6683" s="2">
        <v>36.83</v>
      </c>
    </row>
    <row r="6684" spans="1:9" x14ac:dyDescent="0.25">
      <c r="A6684" t="s">
        <v>3641</v>
      </c>
      <c r="B6684" t="s">
        <v>3642</v>
      </c>
      <c r="C6684" t="s">
        <v>231</v>
      </c>
      <c r="D6684" t="s">
        <v>4062</v>
      </c>
      <c r="E6684" t="s">
        <v>4390</v>
      </c>
      <c r="F6684" t="s">
        <v>231</v>
      </c>
      <c r="G6684">
        <v>0.02</v>
      </c>
      <c r="H6684" s="2">
        <v>4155</v>
      </c>
      <c r="I6684" s="2">
        <v>83.1</v>
      </c>
    </row>
    <row r="6685" spans="1:9" x14ac:dyDescent="0.25">
      <c r="A6685" t="s">
        <v>3641</v>
      </c>
      <c r="B6685" t="s">
        <v>3642</v>
      </c>
      <c r="C6685" t="s">
        <v>231</v>
      </c>
      <c r="D6685" t="s">
        <v>4062</v>
      </c>
      <c r="E6685" t="s">
        <v>7606</v>
      </c>
      <c r="F6685" t="s">
        <v>231</v>
      </c>
      <c r="G6685">
        <v>1</v>
      </c>
      <c r="H6685" s="2">
        <v>3815</v>
      </c>
      <c r="I6685" s="2">
        <v>3815</v>
      </c>
    </row>
    <row r="6686" spans="1:9" x14ac:dyDescent="0.25">
      <c r="A6686" t="s">
        <v>3641</v>
      </c>
      <c r="B6686" t="s">
        <v>3642</v>
      </c>
      <c r="C6686" t="s">
        <v>231</v>
      </c>
      <c r="D6686" t="s">
        <v>4049</v>
      </c>
      <c r="E6686" t="s">
        <v>4050</v>
      </c>
      <c r="F6686" t="s">
        <v>4051</v>
      </c>
      <c r="G6686">
        <v>0.03</v>
      </c>
      <c r="H6686" s="2">
        <v>9037.33</v>
      </c>
      <c r="I6686" s="2">
        <v>271.12</v>
      </c>
    </row>
    <row r="6687" spans="1:9" x14ac:dyDescent="0.25">
      <c r="A6687" t="s">
        <v>3641</v>
      </c>
      <c r="B6687" t="s">
        <v>3642</v>
      </c>
      <c r="C6687" t="s">
        <v>231</v>
      </c>
      <c r="D6687" t="s">
        <v>4049</v>
      </c>
      <c r="E6687" t="s">
        <v>4073</v>
      </c>
      <c r="F6687" t="s">
        <v>4051</v>
      </c>
      <c r="G6687">
        <v>0.03</v>
      </c>
      <c r="H6687" s="2">
        <v>15517.89</v>
      </c>
      <c r="I6687" s="2">
        <v>465.54</v>
      </c>
    </row>
    <row r="6688" spans="1:9" x14ac:dyDescent="0.25">
      <c r="A6688" t="s">
        <v>3641</v>
      </c>
      <c r="B6688" t="s">
        <v>3642</v>
      </c>
      <c r="C6688" t="s">
        <v>231</v>
      </c>
      <c r="D6688" t="s">
        <v>4052</v>
      </c>
      <c r="E6688" t="s">
        <v>4053</v>
      </c>
      <c r="F6688" t="s">
        <v>4054</v>
      </c>
      <c r="G6688">
        <v>5</v>
      </c>
      <c r="H6688" s="2">
        <v>736.66</v>
      </c>
      <c r="I6688" s="2">
        <v>36.83</v>
      </c>
    </row>
    <row r="6689" spans="1:9" x14ac:dyDescent="0.25">
      <c r="A6689" t="s">
        <v>3644</v>
      </c>
      <c r="B6689" t="s">
        <v>3645</v>
      </c>
      <c r="C6689" t="s">
        <v>231</v>
      </c>
      <c r="D6689" t="s">
        <v>4062</v>
      </c>
      <c r="E6689" t="s">
        <v>4390</v>
      </c>
      <c r="F6689" t="s">
        <v>231</v>
      </c>
      <c r="G6689">
        <v>0.02</v>
      </c>
      <c r="H6689" s="2">
        <v>4155</v>
      </c>
      <c r="I6689" s="2">
        <v>83.1</v>
      </c>
    </row>
    <row r="6690" spans="1:9" x14ac:dyDescent="0.25">
      <c r="A6690" t="s">
        <v>3644</v>
      </c>
      <c r="B6690" t="s">
        <v>3645</v>
      </c>
      <c r="C6690" t="s">
        <v>231</v>
      </c>
      <c r="D6690" t="s">
        <v>4062</v>
      </c>
      <c r="E6690" t="s">
        <v>7609</v>
      </c>
      <c r="F6690" t="s">
        <v>231</v>
      </c>
      <c r="G6690">
        <v>1</v>
      </c>
      <c r="H6690" s="2">
        <v>3857.1</v>
      </c>
      <c r="I6690" s="2">
        <v>3857.1</v>
      </c>
    </row>
    <row r="6691" spans="1:9" x14ac:dyDescent="0.25">
      <c r="A6691" t="s">
        <v>3644</v>
      </c>
      <c r="B6691" t="s">
        <v>3645</v>
      </c>
      <c r="C6691" t="s">
        <v>231</v>
      </c>
      <c r="D6691" t="s">
        <v>4049</v>
      </c>
      <c r="E6691" t="s">
        <v>4050</v>
      </c>
      <c r="F6691" t="s">
        <v>4051</v>
      </c>
      <c r="G6691">
        <v>0.03</v>
      </c>
      <c r="H6691" s="2">
        <v>9037.33</v>
      </c>
      <c r="I6691" s="2">
        <v>271.12</v>
      </c>
    </row>
    <row r="6692" spans="1:9" x14ac:dyDescent="0.25">
      <c r="A6692" t="s">
        <v>3644</v>
      </c>
      <c r="B6692" t="s">
        <v>3645</v>
      </c>
      <c r="C6692" t="s">
        <v>231</v>
      </c>
      <c r="D6692" t="s">
        <v>4049</v>
      </c>
      <c r="E6692" t="s">
        <v>4073</v>
      </c>
      <c r="F6692" t="s">
        <v>4051</v>
      </c>
      <c r="G6692">
        <v>0.03</v>
      </c>
      <c r="H6692" s="2">
        <v>15517.89</v>
      </c>
      <c r="I6692" s="2">
        <v>465.54</v>
      </c>
    </row>
    <row r="6693" spans="1:9" x14ac:dyDescent="0.25">
      <c r="A6693" t="s">
        <v>3644</v>
      </c>
      <c r="B6693" t="s">
        <v>3645</v>
      </c>
      <c r="C6693" t="s">
        <v>231</v>
      </c>
      <c r="D6693" t="s">
        <v>4052</v>
      </c>
      <c r="E6693" t="s">
        <v>4053</v>
      </c>
      <c r="F6693" t="s">
        <v>4054</v>
      </c>
      <c r="G6693">
        <v>5</v>
      </c>
      <c r="H6693" s="2">
        <v>736.66</v>
      </c>
      <c r="I6693" s="2">
        <v>36.83</v>
      </c>
    </row>
    <row r="6694" spans="1:9" x14ac:dyDescent="0.25">
      <c r="A6694" t="s">
        <v>3647</v>
      </c>
      <c r="B6694" t="s">
        <v>3648</v>
      </c>
      <c r="C6694" t="s">
        <v>231</v>
      </c>
      <c r="D6694" t="s">
        <v>4062</v>
      </c>
      <c r="E6694" t="s">
        <v>4390</v>
      </c>
      <c r="F6694" t="s">
        <v>231</v>
      </c>
      <c r="G6694">
        <v>0.03</v>
      </c>
      <c r="H6694" s="2">
        <v>4155</v>
      </c>
      <c r="I6694" s="2">
        <v>128.81</v>
      </c>
    </row>
    <row r="6695" spans="1:9" x14ac:dyDescent="0.25">
      <c r="A6695" t="s">
        <v>3647</v>
      </c>
      <c r="B6695" t="s">
        <v>3648</v>
      </c>
      <c r="C6695" t="s">
        <v>231</v>
      </c>
      <c r="D6695" t="s">
        <v>4062</v>
      </c>
      <c r="E6695" t="s">
        <v>7612</v>
      </c>
      <c r="F6695" t="s">
        <v>231</v>
      </c>
      <c r="G6695">
        <v>1</v>
      </c>
      <c r="H6695" s="2">
        <v>3573</v>
      </c>
      <c r="I6695" s="2">
        <v>3573</v>
      </c>
    </row>
    <row r="6696" spans="1:9" x14ac:dyDescent="0.25">
      <c r="A6696" t="s">
        <v>3647</v>
      </c>
      <c r="B6696" t="s">
        <v>3648</v>
      </c>
      <c r="C6696" t="s">
        <v>231</v>
      </c>
      <c r="D6696" t="s">
        <v>4049</v>
      </c>
      <c r="E6696" t="s">
        <v>4050</v>
      </c>
      <c r="F6696" t="s">
        <v>4051</v>
      </c>
      <c r="G6696">
        <v>0.03</v>
      </c>
      <c r="H6696" s="2">
        <v>9037.33</v>
      </c>
      <c r="I6696" s="2">
        <v>307.27</v>
      </c>
    </row>
    <row r="6697" spans="1:9" x14ac:dyDescent="0.25">
      <c r="A6697" t="s">
        <v>3647</v>
      </c>
      <c r="B6697" t="s">
        <v>3648</v>
      </c>
      <c r="C6697" t="s">
        <v>231</v>
      </c>
      <c r="D6697" t="s">
        <v>4049</v>
      </c>
      <c r="E6697" t="s">
        <v>4073</v>
      </c>
      <c r="F6697" t="s">
        <v>4051</v>
      </c>
      <c r="G6697">
        <v>0.03</v>
      </c>
      <c r="H6697" s="2">
        <v>15517.89</v>
      </c>
      <c r="I6697" s="2">
        <v>527.61</v>
      </c>
    </row>
    <row r="6698" spans="1:9" x14ac:dyDescent="0.25">
      <c r="A6698" t="s">
        <v>3647</v>
      </c>
      <c r="B6698" t="s">
        <v>3648</v>
      </c>
      <c r="C6698" t="s">
        <v>231</v>
      </c>
      <c r="D6698" t="s">
        <v>4052</v>
      </c>
      <c r="E6698" t="s">
        <v>4053</v>
      </c>
      <c r="F6698" t="s">
        <v>4054</v>
      </c>
      <c r="G6698">
        <v>5</v>
      </c>
      <c r="H6698" s="2">
        <v>834.88</v>
      </c>
      <c r="I6698" s="2">
        <v>41.74</v>
      </c>
    </row>
    <row r="6699" spans="1:9" x14ac:dyDescent="0.25">
      <c r="A6699" t="s">
        <v>3650</v>
      </c>
      <c r="B6699" t="s">
        <v>3651</v>
      </c>
      <c r="C6699" t="s">
        <v>231</v>
      </c>
      <c r="D6699" t="s">
        <v>4062</v>
      </c>
      <c r="E6699" t="s">
        <v>4390</v>
      </c>
      <c r="F6699" t="s">
        <v>231</v>
      </c>
      <c r="G6699">
        <v>0.03</v>
      </c>
      <c r="H6699" s="2">
        <v>4155</v>
      </c>
      <c r="I6699" s="2">
        <v>128.81</v>
      </c>
    </row>
    <row r="6700" spans="1:9" x14ac:dyDescent="0.25">
      <c r="A6700" t="s">
        <v>3650</v>
      </c>
      <c r="B6700" t="s">
        <v>3651</v>
      </c>
      <c r="C6700" t="s">
        <v>231</v>
      </c>
      <c r="D6700" t="s">
        <v>4062</v>
      </c>
      <c r="E6700" t="s">
        <v>7612</v>
      </c>
      <c r="F6700" t="s">
        <v>231</v>
      </c>
      <c r="G6700">
        <v>1</v>
      </c>
      <c r="H6700" s="2">
        <v>3573</v>
      </c>
      <c r="I6700" s="2">
        <v>3573</v>
      </c>
    </row>
    <row r="6701" spans="1:9" x14ac:dyDescent="0.25">
      <c r="A6701" t="s">
        <v>3650</v>
      </c>
      <c r="B6701" t="s">
        <v>3651</v>
      </c>
      <c r="C6701" t="s">
        <v>231</v>
      </c>
      <c r="D6701" t="s">
        <v>4049</v>
      </c>
      <c r="E6701" t="s">
        <v>4050</v>
      </c>
      <c r="F6701" t="s">
        <v>4051</v>
      </c>
      <c r="G6701">
        <v>0.03</v>
      </c>
      <c r="H6701" s="2">
        <v>9037.33</v>
      </c>
      <c r="I6701" s="2">
        <v>307.27</v>
      </c>
    </row>
    <row r="6702" spans="1:9" x14ac:dyDescent="0.25">
      <c r="A6702" t="s">
        <v>3650</v>
      </c>
      <c r="B6702" t="s">
        <v>3651</v>
      </c>
      <c r="C6702" t="s">
        <v>231</v>
      </c>
      <c r="D6702" t="s">
        <v>4049</v>
      </c>
      <c r="E6702" t="s">
        <v>4073</v>
      </c>
      <c r="F6702" t="s">
        <v>4051</v>
      </c>
      <c r="G6702">
        <v>0.03</v>
      </c>
      <c r="H6702" s="2">
        <v>15517.89</v>
      </c>
      <c r="I6702" s="2">
        <v>527.61</v>
      </c>
    </row>
    <row r="6703" spans="1:9" x14ac:dyDescent="0.25">
      <c r="A6703" t="s">
        <v>3650</v>
      </c>
      <c r="B6703" t="s">
        <v>3651</v>
      </c>
      <c r="C6703" t="s">
        <v>231</v>
      </c>
      <c r="D6703" t="s">
        <v>4052</v>
      </c>
      <c r="E6703" t="s">
        <v>4053</v>
      </c>
      <c r="F6703" t="s">
        <v>4054</v>
      </c>
      <c r="G6703">
        <v>5</v>
      </c>
      <c r="H6703" s="2">
        <v>834.88</v>
      </c>
      <c r="I6703" s="2">
        <v>41.74</v>
      </c>
    </row>
    <row r="6704" spans="1:9" x14ac:dyDescent="0.25">
      <c r="A6704" t="s">
        <v>3652</v>
      </c>
      <c r="B6704" t="s">
        <v>3653</v>
      </c>
      <c r="C6704" t="s">
        <v>42</v>
      </c>
      <c r="D6704" t="s">
        <v>4062</v>
      </c>
      <c r="E6704" t="s">
        <v>4012</v>
      </c>
      <c r="F6704" t="s">
        <v>34</v>
      </c>
      <c r="G6704">
        <v>0.13</v>
      </c>
      <c r="H6704" s="2">
        <v>475506.98</v>
      </c>
      <c r="I6704" s="2">
        <v>62766.92</v>
      </c>
    </row>
    <row r="6705" spans="1:9" x14ac:dyDescent="0.25">
      <c r="A6705" t="s">
        <v>3652</v>
      </c>
      <c r="B6705" t="s">
        <v>3653</v>
      </c>
      <c r="C6705" t="s">
        <v>42</v>
      </c>
      <c r="D6705" t="s">
        <v>4049</v>
      </c>
      <c r="E6705" t="s">
        <v>4176</v>
      </c>
      <c r="F6705" t="s">
        <v>4177</v>
      </c>
      <c r="G6705">
        <v>0.64</v>
      </c>
      <c r="H6705" s="2">
        <v>72300.17</v>
      </c>
      <c r="I6705" s="2">
        <v>46272.11</v>
      </c>
    </row>
    <row r="6706" spans="1:9" x14ac:dyDescent="0.25">
      <c r="A6706" t="s">
        <v>3652</v>
      </c>
      <c r="B6706" t="s">
        <v>3653</v>
      </c>
      <c r="C6706" t="s">
        <v>42</v>
      </c>
      <c r="D6706" t="s">
        <v>4049</v>
      </c>
      <c r="E6706" t="s">
        <v>4313</v>
      </c>
      <c r="F6706" t="s">
        <v>4177</v>
      </c>
      <c r="G6706">
        <v>0.32</v>
      </c>
      <c r="H6706" s="2">
        <v>124137.15</v>
      </c>
      <c r="I6706" s="2">
        <v>39723.89</v>
      </c>
    </row>
    <row r="6707" spans="1:9" x14ac:dyDescent="0.25">
      <c r="A6707" t="s">
        <v>3652</v>
      </c>
      <c r="B6707" t="s">
        <v>3653</v>
      </c>
      <c r="C6707" t="s">
        <v>42</v>
      </c>
      <c r="D6707" t="s">
        <v>4052</v>
      </c>
      <c r="E6707" t="s">
        <v>7616</v>
      </c>
      <c r="F6707" t="s">
        <v>287</v>
      </c>
      <c r="G6707">
        <v>0.4</v>
      </c>
      <c r="H6707" s="2">
        <v>391153.29</v>
      </c>
      <c r="I6707" s="2">
        <v>156461.32</v>
      </c>
    </row>
    <row r="6708" spans="1:9" x14ac:dyDescent="0.25">
      <c r="A6708" t="s">
        <v>3652</v>
      </c>
      <c r="B6708" t="s">
        <v>3653</v>
      </c>
      <c r="C6708" t="s">
        <v>42</v>
      </c>
      <c r="D6708" t="s">
        <v>4052</v>
      </c>
      <c r="E6708" t="s">
        <v>4053</v>
      </c>
      <c r="F6708" t="s">
        <v>4054</v>
      </c>
      <c r="G6708">
        <v>5</v>
      </c>
      <c r="H6708" s="2">
        <v>85996</v>
      </c>
      <c r="I6708" s="2">
        <v>4299.8</v>
      </c>
    </row>
    <row r="6709" spans="1:9" x14ac:dyDescent="0.25">
      <c r="A6709" t="s">
        <v>3652</v>
      </c>
      <c r="B6709" t="s">
        <v>3653</v>
      </c>
      <c r="C6709" t="s">
        <v>42</v>
      </c>
      <c r="D6709" t="s">
        <v>4058</v>
      </c>
      <c r="E6709" t="s">
        <v>7617</v>
      </c>
      <c r="F6709" t="s">
        <v>42</v>
      </c>
      <c r="G6709">
        <v>1</v>
      </c>
      <c r="H6709" s="2">
        <v>5847.06</v>
      </c>
      <c r="I6709" s="2">
        <v>5847.06</v>
      </c>
    </row>
    <row r="6710" spans="1:9" x14ac:dyDescent="0.25">
      <c r="A6710" t="s">
        <v>3652</v>
      </c>
      <c r="B6710" t="s">
        <v>3653</v>
      </c>
      <c r="C6710" t="s">
        <v>42</v>
      </c>
      <c r="D6710" t="s">
        <v>4058</v>
      </c>
      <c r="E6710" t="s">
        <v>4059</v>
      </c>
      <c r="F6710" t="s">
        <v>3545</v>
      </c>
      <c r="G6710">
        <v>1.25</v>
      </c>
      <c r="H6710" s="2">
        <v>1325</v>
      </c>
      <c r="I6710" s="2">
        <v>1656.25</v>
      </c>
    </row>
    <row r="6711" spans="1:9" x14ac:dyDescent="0.25">
      <c r="A6711" t="s">
        <v>3655</v>
      </c>
      <c r="B6711" t="s">
        <v>3656</v>
      </c>
      <c r="C6711" t="s">
        <v>42</v>
      </c>
      <c r="D6711" t="s">
        <v>4062</v>
      </c>
      <c r="E6711" t="s">
        <v>4012</v>
      </c>
      <c r="F6711" t="s">
        <v>34</v>
      </c>
      <c r="G6711">
        <v>0.21</v>
      </c>
      <c r="H6711" s="2">
        <v>475506.98</v>
      </c>
      <c r="I6711" s="2">
        <v>98049.54</v>
      </c>
    </row>
    <row r="6712" spans="1:9" x14ac:dyDescent="0.25">
      <c r="A6712" t="s">
        <v>3655</v>
      </c>
      <c r="B6712" t="s">
        <v>3656</v>
      </c>
      <c r="C6712" t="s">
        <v>42</v>
      </c>
      <c r="D6712" t="s">
        <v>4049</v>
      </c>
      <c r="E6712" t="s">
        <v>4176</v>
      </c>
      <c r="F6712" t="s">
        <v>4177</v>
      </c>
      <c r="G6712">
        <v>0.67</v>
      </c>
      <c r="H6712" s="2">
        <v>72300.17</v>
      </c>
      <c r="I6712" s="2">
        <v>48441.11</v>
      </c>
    </row>
    <row r="6713" spans="1:9" x14ac:dyDescent="0.25">
      <c r="A6713" t="s">
        <v>3655</v>
      </c>
      <c r="B6713" t="s">
        <v>3656</v>
      </c>
      <c r="C6713" t="s">
        <v>42</v>
      </c>
      <c r="D6713" t="s">
        <v>4049</v>
      </c>
      <c r="E6713" t="s">
        <v>4313</v>
      </c>
      <c r="F6713" t="s">
        <v>4177</v>
      </c>
      <c r="G6713">
        <v>0.35</v>
      </c>
      <c r="H6713" s="2">
        <v>124137.15</v>
      </c>
      <c r="I6713" s="2">
        <v>43448</v>
      </c>
    </row>
    <row r="6714" spans="1:9" x14ac:dyDescent="0.25">
      <c r="A6714" t="s">
        <v>3655</v>
      </c>
      <c r="B6714" t="s">
        <v>3656</v>
      </c>
      <c r="C6714" t="s">
        <v>42</v>
      </c>
      <c r="D6714" t="s">
        <v>4052</v>
      </c>
      <c r="E6714" t="s">
        <v>7616</v>
      </c>
      <c r="F6714" t="s">
        <v>287</v>
      </c>
      <c r="G6714">
        <v>0.44</v>
      </c>
      <c r="H6714" s="2">
        <v>391153.29</v>
      </c>
      <c r="I6714" s="2">
        <v>173828.52</v>
      </c>
    </row>
    <row r="6715" spans="1:9" x14ac:dyDescent="0.25">
      <c r="A6715" t="s">
        <v>3655</v>
      </c>
      <c r="B6715" t="s">
        <v>3656</v>
      </c>
      <c r="C6715" t="s">
        <v>42</v>
      </c>
      <c r="D6715" t="s">
        <v>4052</v>
      </c>
      <c r="E6715" t="s">
        <v>4053</v>
      </c>
      <c r="F6715" t="s">
        <v>4054</v>
      </c>
      <c r="G6715">
        <v>5</v>
      </c>
      <c r="H6715" s="2">
        <v>91889.11</v>
      </c>
      <c r="I6715" s="2">
        <v>4594.46</v>
      </c>
    </row>
    <row r="6716" spans="1:9" x14ac:dyDescent="0.25">
      <c r="A6716" t="s">
        <v>3655</v>
      </c>
      <c r="B6716" t="s">
        <v>3656</v>
      </c>
      <c r="C6716" t="s">
        <v>42</v>
      </c>
      <c r="D6716" t="s">
        <v>4058</v>
      </c>
      <c r="E6716" t="s">
        <v>7617</v>
      </c>
      <c r="F6716" t="s">
        <v>42</v>
      </c>
      <c r="G6716">
        <v>1</v>
      </c>
      <c r="H6716" s="2">
        <v>5847.06</v>
      </c>
      <c r="I6716" s="2">
        <v>5847.06</v>
      </c>
    </row>
    <row r="6717" spans="1:9" x14ac:dyDescent="0.25">
      <c r="A6717" t="s">
        <v>3655</v>
      </c>
      <c r="B6717" t="s">
        <v>3656</v>
      </c>
      <c r="C6717" t="s">
        <v>42</v>
      </c>
      <c r="D6717" t="s">
        <v>4058</v>
      </c>
      <c r="E6717" t="s">
        <v>4059</v>
      </c>
      <c r="F6717" t="s">
        <v>3545</v>
      </c>
      <c r="G6717">
        <v>1.28</v>
      </c>
      <c r="H6717" s="2">
        <v>1325</v>
      </c>
      <c r="I6717" s="2">
        <v>1696</v>
      </c>
    </row>
    <row r="6718" spans="1:9" x14ac:dyDescent="0.25">
      <c r="A6718" t="s">
        <v>3658</v>
      </c>
      <c r="B6718" t="s">
        <v>3659</v>
      </c>
      <c r="C6718" t="s">
        <v>42</v>
      </c>
      <c r="D6718" t="s">
        <v>4062</v>
      </c>
      <c r="E6718" t="s">
        <v>4012</v>
      </c>
      <c r="F6718" t="s">
        <v>34</v>
      </c>
      <c r="G6718">
        <v>0.3</v>
      </c>
      <c r="H6718" s="2">
        <v>475506.98</v>
      </c>
      <c r="I6718" s="2">
        <v>141178.02</v>
      </c>
    </row>
    <row r="6719" spans="1:9" x14ac:dyDescent="0.25">
      <c r="A6719" t="s">
        <v>3658</v>
      </c>
      <c r="B6719" t="s">
        <v>3659</v>
      </c>
      <c r="C6719" t="s">
        <v>42</v>
      </c>
      <c r="D6719" t="s">
        <v>4049</v>
      </c>
      <c r="E6719" t="s">
        <v>4176</v>
      </c>
      <c r="F6719" t="s">
        <v>4177</v>
      </c>
      <c r="G6719">
        <v>0.84</v>
      </c>
      <c r="H6719" s="2">
        <v>72300.17</v>
      </c>
      <c r="I6719" s="2">
        <v>60732.14</v>
      </c>
    </row>
    <row r="6720" spans="1:9" x14ac:dyDescent="0.25">
      <c r="A6720" t="s">
        <v>3658</v>
      </c>
      <c r="B6720" t="s">
        <v>3659</v>
      </c>
      <c r="C6720" t="s">
        <v>42</v>
      </c>
      <c r="D6720" t="s">
        <v>4049</v>
      </c>
      <c r="E6720" t="s">
        <v>4313</v>
      </c>
      <c r="F6720" t="s">
        <v>4177</v>
      </c>
      <c r="G6720">
        <v>0.42</v>
      </c>
      <c r="H6720" s="2">
        <v>124137.15</v>
      </c>
      <c r="I6720" s="2">
        <v>52137.6</v>
      </c>
    </row>
    <row r="6721" spans="1:9" x14ac:dyDescent="0.25">
      <c r="A6721" t="s">
        <v>3658</v>
      </c>
      <c r="B6721" t="s">
        <v>3659</v>
      </c>
      <c r="C6721" t="s">
        <v>42</v>
      </c>
      <c r="D6721" t="s">
        <v>4052</v>
      </c>
      <c r="E6721" t="s">
        <v>7616</v>
      </c>
      <c r="F6721" t="s">
        <v>287</v>
      </c>
      <c r="G6721">
        <v>0.5</v>
      </c>
      <c r="H6721" s="2">
        <v>391153.29</v>
      </c>
      <c r="I6721" s="2">
        <v>195576.64</v>
      </c>
    </row>
    <row r="6722" spans="1:9" x14ac:dyDescent="0.25">
      <c r="A6722" t="s">
        <v>3658</v>
      </c>
      <c r="B6722" t="s">
        <v>3659</v>
      </c>
      <c r="C6722" t="s">
        <v>42</v>
      </c>
      <c r="D6722" t="s">
        <v>4052</v>
      </c>
      <c r="E6722" t="s">
        <v>4053</v>
      </c>
      <c r="F6722" t="s">
        <v>4054</v>
      </c>
      <c r="G6722">
        <v>5</v>
      </c>
      <c r="H6722" s="2">
        <v>112869.74</v>
      </c>
      <c r="I6722" s="2">
        <v>5643.49</v>
      </c>
    </row>
    <row r="6723" spans="1:9" x14ac:dyDescent="0.25">
      <c r="A6723" t="s">
        <v>3658</v>
      </c>
      <c r="B6723" t="s">
        <v>3659</v>
      </c>
      <c r="C6723" t="s">
        <v>42</v>
      </c>
      <c r="D6723" t="s">
        <v>4058</v>
      </c>
      <c r="E6723" t="s">
        <v>7617</v>
      </c>
      <c r="F6723" t="s">
        <v>42</v>
      </c>
      <c r="G6723">
        <v>1</v>
      </c>
      <c r="H6723" s="2">
        <v>5847.06</v>
      </c>
      <c r="I6723" s="2">
        <v>5847.06</v>
      </c>
    </row>
    <row r="6724" spans="1:9" x14ac:dyDescent="0.25">
      <c r="A6724" t="s">
        <v>3658</v>
      </c>
      <c r="B6724" t="s">
        <v>3659</v>
      </c>
      <c r="C6724" t="s">
        <v>42</v>
      </c>
      <c r="D6724" t="s">
        <v>4058</v>
      </c>
      <c r="E6724" t="s">
        <v>4059</v>
      </c>
      <c r="F6724" t="s">
        <v>3545</v>
      </c>
      <c r="G6724">
        <v>1.85</v>
      </c>
      <c r="H6724" s="2">
        <v>1325</v>
      </c>
      <c r="I6724" s="2">
        <v>2451.25</v>
      </c>
    </row>
    <row r="6725" spans="1:9" x14ac:dyDescent="0.25">
      <c r="A6725" t="s">
        <v>3661</v>
      </c>
      <c r="B6725" t="s">
        <v>3662</v>
      </c>
      <c r="C6725" t="s">
        <v>231</v>
      </c>
      <c r="D6725" t="s">
        <v>4062</v>
      </c>
      <c r="E6725" t="s">
        <v>7624</v>
      </c>
      <c r="F6725" t="s">
        <v>4377</v>
      </c>
      <c r="G6725">
        <v>0</v>
      </c>
      <c r="H6725" s="2">
        <v>33563</v>
      </c>
      <c r="I6725" s="2">
        <v>134.25</v>
      </c>
    </row>
    <row r="6726" spans="1:9" x14ac:dyDescent="0.25">
      <c r="A6726" t="s">
        <v>3661</v>
      </c>
      <c r="B6726" t="s">
        <v>3662</v>
      </c>
      <c r="C6726" t="s">
        <v>231</v>
      </c>
      <c r="D6726" t="s">
        <v>4062</v>
      </c>
      <c r="E6726" t="s">
        <v>5074</v>
      </c>
      <c r="F6726" t="s">
        <v>4377</v>
      </c>
      <c r="G6726">
        <v>0.01</v>
      </c>
      <c r="H6726" s="2">
        <v>46450</v>
      </c>
      <c r="I6726" s="2">
        <v>232.25</v>
      </c>
    </row>
    <row r="6727" spans="1:9" x14ac:dyDescent="0.25">
      <c r="A6727" t="s">
        <v>3661</v>
      </c>
      <c r="B6727" t="s">
        <v>3662</v>
      </c>
      <c r="C6727" t="s">
        <v>231</v>
      </c>
      <c r="D6727" t="s">
        <v>4049</v>
      </c>
      <c r="E6727" t="s">
        <v>5067</v>
      </c>
      <c r="F6727" t="s">
        <v>4051</v>
      </c>
      <c r="G6727">
        <v>0.02</v>
      </c>
      <c r="H6727" s="2">
        <v>10392.41</v>
      </c>
      <c r="I6727" s="2">
        <v>207.85</v>
      </c>
    </row>
    <row r="6728" spans="1:9" x14ac:dyDescent="0.25">
      <c r="A6728" t="s">
        <v>3661</v>
      </c>
      <c r="B6728" t="s">
        <v>3662</v>
      </c>
      <c r="C6728" t="s">
        <v>231</v>
      </c>
      <c r="D6728" t="s">
        <v>4049</v>
      </c>
      <c r="E6728" t="s">
        <v>5068</v>
      </c>
      <c r="F6728" t="s">
        <v>4051</v>
      </c>
      <c r="G6728">
        <v>0.02</v>
      </c>
      <c r="H6728" s="2">
        <v>17845.35</v>
      </c>
      <c r="I6728" s="2">
        <v>281.96</v>
      </c>
    </row>
    <row r="6729" spans="1:9" x14ac:dyDescent="0.25">
      <c r="A6729" t="s">
        <v>3661</v>
      </c>
      <c r="B6729" t="s">
        <v>3662</v>
      </c>
      <c r="C6729" t="s">
        <v>231</v>
      </c>
      <c r="D6729" t="s">
        <v>4052</v>
      </c>
      <c r="E6729" t="s">
        <v>7467</v>
      </c>
      <c r="F6729" t="s">
        <v>4106</v>
      </c>
      <c r="G6729">
        <v>0</v>
      </c>
      <c r="H6729" s="2">
        <v>99264</v>
      </c>
      <c r="I6729" s="2">
        <v>99.26</v>
      </c>
    </row>
    <row r="6730" spans="1:9" x14ac:dyDescent="0.25">
      <c r="A6730" t="s">
        <v>3661</v>
      </c>
      <c r="B6730" t="s">
        <v>3662</v>
      </c>
      <c r="C6730" t="s">
        <v>231</v>
      </c>
      <c r="D6730" t="s">
        <v>4052</v>
      </c>
      <c r="E6730" t="s">
        <v>4105</v>
      </c>
      <c r="F6730" t="s">
        <v>4106</v>
      </c>
      <c r="G6730">
        <v>0.08</v>
      </c>
      <c r="H6730" s="2">
        <v>25125</v>
      </c>
      <c r="I6730" s="2">
        <v>2010</v>
      </c>
    </row>
    <row r="6731" spans="1:9" x14ac:dyDescent="0.25">
      <c r="A6731" t="s">
        <v>3661</v>
      </c>
      <c r="B6731" t="s">
        <v>3662</v>
      </c>
      <c r="C6731" t="s">
        <v>231</v>
      </c>
      <c r="D6731" t="s">
        <v>4052</v>
      </c>
      <c r="E6731" t="s">
        <v>4053</v>
      </c>
      <c r="F6731" t="s">
        <v>4054</v>
      </c>
      <c r="G6731">
        <v>3.3</v>
      </c>
      <c r="H6731" s="2">
        <v>489.81</v>
      </c>
      <c r="I6731" s="2">
        <v>16.16</v>
      </c>
    </row>
    <row r="6732" spans="1:9" x14ac:dyDescent="0.25">
      <c r="A6732" t="s">
        <v>3664</v>
      </c>
      <c r="B6732" t="s">
        <v>3665</v>
      </c>
      <c r="C6732" t="s">
        <v>63</v>
      </c>
      <c r="D6732" t="s">
        <v>4062</v>
      </c>
      <c r="E6732" t="s">
        <v>7627</v>
      </c>
      <c r="F6732" t="s">
        <v>231</v>
      </c>
      <c r="G6732">
        <v>0.43</v>
      </c>
      <c r="H6732" s="2">
        <v>2930</v>
      </c>
      <c r="I6732" s="2">
        <v>1261.07</v>
      </c>
    </row>
    <row r="6733" spans="1:9" x14ac:dyDescent="0.25">
      <c r="A6733" t="s">
        <v>3664</v>
      </c>
      <c r="B6733" t="s">
        <v>3665</v>
      </c>
      <c r="C6733" t="s">
        <v>63</v>
      </c>
      <c r="D6733" t="s">
        <v>4062</v>
      </c>
      <c r="E6733" t="s">
        <v>7059</v>
      </c>
      <c r="F6733" t="s">
        <v>34</v>
      </c>
      <c r="G6733">
        <v>0.1</v>
      </c>
      <c r="H6733" s="2">
        <v>40100</v>
      </c>
      <c r="I6733" s="2">
        <v>4010</v>
      </c>
    </row>
    <row r="6734" spans="1:9" x14ac:dyDescent="0.25">
      <c r="A6734" t="s">
        <v>3664</v>
      </c>
      <c r="B6734" t="s">
        <v>3665</v>
      </c>
      <c r="C6734" t="s">
        <v>63</v>
      </c>
      <c r="D6734" t="s">
        <v>4062</v>
      </c>
      <c r="E6734" t="s">
        <v>7628</v>
      </c>
      <c r="F6734" t="s">
        <v>63</v>
      </c>
      <c r="G6734">
        <v>1</v>
      </c>
      <c r="H6734" s="2">
        <v>14000</v>
      </c>
      <c r="I6734" s="2">
        <v>14000</v>
      </c>
    </row>
    <row r="6735" spans="1:9" x14ac:dyDescent="0.25">
      <c r="A6735" t="s">
        <v>3664</v>
      </c>
      <c r="B6735" t="s">
        <v>3665</v>
      </c>
      <c r="C6735" t="s">
        <v>63</v>
      </c>
      <c r="D6735" t="s">
        <v>4062</v>
      </c>
      <c r="E6735" t="s">
        <v>4076</v>
      </c>
      <c r="F6735" t="s">
        <v>3963</v>
      </c>
      <c r="G6735">
        <v>100</v>
      </c>
      <c r="H6735" s="2">
        <v>21</v>
      </c>
      <c r="I6735" s="2">
        <v>2100</v>
      </c>
    </row>
    <row r="6736" spans="1:9" x14ac:dyDescent="0.25">
      <c r="A6736" t="s">
        <v>3664</v>
      </c>
      <c r="B6736" t="s">
        <v>3665</v>
      </c>
      <c r="C6736" t="s">
        <v>63</v>
      </c>
      <c r="D6736" t="s">
        <v>4049</v>
      </c>
      <c r="E6736" t="s">
        <v>4176</v>
      </c>
      <c r="F6736" t="s">
        <v>4177</v>
      </c>
      <c r="G6736">
        <v>0.28</v>
      </c>
      <c r="H6736" s="2">
        <v>72300.17</v>
      </c>
      <c r="I6736" s="2">
        <v>20244.05</v>
      </c>
    </row>
    <row r="6737" spans="1:9" x14ac:dyDescent="0.25">
      <c r="A6737" t="s">
        <v>3664</v>
      </c>
      <c r="B6737" t="s">
        <v>3665</v>
      </c>
      <c r="C6737" t="s">
        <v>63</v>
      </c>
      <c r="D6737" t="s">
        <v>4052</v>
      </c>
      <c r="E6737" t="s">
        <v>4053</v>
      </c>
      <c r="F6737" t="s">
        <v>4054</v>
      </c>
      <c r="G6737">
        <v>6.02</v>
      </c>
      <c r="H6737" s="2">
        <v>20244.05</v>
      </c>
      <c r="I6737" s="2">
        <v>1218.69</v>
      </c>
    </row>
    <row r="6738" spans="1:9" x14ac:dyDescent="0.25">
      <c r="A6738" t="s">
        <v>3667</v>
      </c>
      <c r="B6738" t="s">
        <v>3668</v>
      </c>
      <c r="C6738" t="s">
        <v>34</v>
      </c>
      <c r="D6738" t="s">
        <v>4062</v>
      </c>
      <c r="E6738" t="s">
        <v>4492</v>
      </c>
      <c r="F6738" t="s">
        <v>34</v>
      </c>
      <c r="G6738">
        <v>1.3</v>
      </c>
      <c r="H6738" s="2">
        <v>68425</v>
      </c>
      <c r="I6738" s="2">
        <v>88952.5</v>
      </c>
    </row>
    <row r="6739" spans="1:9" x14ac:dyDescent="0.25">
      <c r="A6739" t="s">
        <v>3667</v>
      </c>
      <c r="B6739" t="s">
        <v>3668</v>
      </c>
      <c r="C6739" t="s">
        <v>34</v>
      </c>
      <c r="D6739" t="s">
        <v>4049</v>
      </c>
      <c r="E6739" t="s">
        <v>4050</v>
      </c>
      <c r="F6739" t="s">
        <v>4051</v>
      </c>
      <c r="G6739">
        <v>0.8</v>
      </c>
      <c r="H6739" s="2">
        <v>9037.33</v>
      </c>
      <c r="I6739" s="2">
        <v>7229.86</v>
      </c>
    </row>
    <row r="6740" spans="1:9" x14ac:dyDescent="0.25">
      <c r="A6740" t="s">
        <v>3667</v>
      </c>
      <c r="B6740" t="s">
        <v>3668</v>
      </c>
      <c r="C6740" t="s">
        <v>34</v>
      </c>
      <c r="D6740" t="s">
        <v>4049</v>
      </c>
      <c r="E6740" t="s">
        <v>4073</v>
      </c>
      <c r="F6740" t="s">
        <v>4051</v>
      </c>
      <c r="G6740">
        <v>0.4</v>
      </c>
      <c r="H6740" s="2">
        <v>15517.89</v>
      </c>
      <c r="I6740" s="2">
        <v>6207.16</v>
      </c>
    </row>
    <row r="6741" spans="1:9" x14ac:dyDescent="0.25">
      <c r="A6741" t="s">
        <v>3667</v>
      </c>
      <c r="B6741" t="s">
        <v>3668</v>
      </c>
      <c r="C6741" t="s">
        <v>34</v>
      </c>
      <c r="D6741" t="s">
        <v>4052</v>
      </c>
      <c r="E6741" t="s">
        <v>4342</v>
      </c>
      <c r="F6741" t="s">
        <v>287</v>
      </c>
      <c r="G6741">
        <v>0.33</v>
      </c>
      <c r="H6741" s="2">
        <v>8333.33</v>
      </c>
      <c r="I6741" s="2">
        <v>2750</v>
      </c>
    </row>
    <row r="6742" spans="1:9" x14ac:dyDescent="0.25">
      <c r="A6742" t="s">
        <v>3667</v>
      </c>
      <c r="B6742" t="s">
        <v>3668</v>
      </c>
      <c r="C6742" t="s">
        <v>34</v>
      </c>
      <c r="D6742" t="s">
        <v>4052</v>
      </c>
      <c r="E6742" t="s">
        <v>4053</v>
      </c>
      <c r="F6742" t="s">
        <v>4054</v>
      </c>
      <c r="G6742">
        <v>5</v>
      </c>
      <c r="H6742" s="2">
        <v>13437.02</v>
      </c>
      <c r="I6742" s="2">
        <v>671.85</v>
      </c>
    </row>
    <row r="6743" spans="1:9" x14ac:dyDescent="0.25">
      <c r="A6743" t="s">
        <v>3671</v>
      </c>
      <c r="B6743" t="s">
        <v>3672</v>
      </c>
      <c r="C6743" t="s">
        <v>34</v>
      </c>
      <c r="D6743" t="s">
        <v>4062</v>
      </c>
      <c r="E6743" t="s">
        <v>4369</v>
      </c>
      <c r="F6743" t="s">
        <v>34</v>
      </c>
      <c r="G6743">
        <v>1.05</v>
      </c>
      <c r="H6743" s="2">
        <v>89250</v>
      </c>
      <c r="I6743" s="2">
        <v>93712.5</v>
      </c>
    </row>
    <row r="6744" spans="1:9" x14ac:dyDescent="0.25">
      <c r="A6744" t="s">
        <v>3671</v>
      </c>
      <c r="B6744" t="s">
        <v>3672</v>
      </c>
      <c r="C6744" t="s">
        <v>34</v>
      </c>
      <c r="D6744" t="s">
        <v>4049</v>
      </c>
      <c r="E6744" t="s">
        <v>4050</v>
      </c>
      <c r="F6744" t="s">
        <v>4051</v>
      </c>
      <c r="G6744">
        <v>0.4</v>
      </c>
      <c r="H6744" s="2">
        <v>9037.33</v>
      </c>
      <c r="I6744" s="2">
        <v>3614.93</v>
      </c>
    </row>
    <row r="6745" spans="1:9" x14ac:dyDescent="0.25">
      <c r="A6745" t="s">
        <v>3671</v>
      </c>
      <c r="B6745" t="s">
        <v>3672</v>
      </c>
      <c r="C6745" t="s">
        <v>34</v>
      </c>
      <c r="D6745" t="s">
        <v>4049</v>
      </c>
      <c r="E6745" t="s">
        <v>4073</v>
      </c>
      <c r="F6745" t="s">
        <v>4051</v>
      </c>
      <c r="G6745">
        <v>0.3</v>
      </c>
      <c r="H6745" s="2">
        <v>15517.89</v>
      </c>
      <c r="I6745" s="2">
        <v>4655.37</v>
      </c>
    </row>
    <row r="6746" spans="1:9" x14ac:dyDescent="0.25">
      <c r="A6746" t="s">
        <v>3671</v>
      </c>
      <c r="B6746" t="s">
        <v>3672</v>
      </c>
      <c r="C6746" t="s">
        <v>34</v>
      </c>
      <c r="D6746" t="s">
        <v>4052</v>
      </c>
      <c r="E6746" t="s">
        <v>4053</v>
      </c>
      <c r="F6746" t="s">
        <v>4054</v>
      </c>
      <c r="G6746">
        <v>5</v>
      </c>
      <c r="H6746" s="2">
        <v>8270.3</v>
      </c>
      <c r="I6746" s="2">
        <v>413.51</v>
      </c>
    </row>
    <row r="6747" spans="1:9" x14ac:dyDescent="0.25">
      <c r="A6747" t="s">
        <v>3674</v>
      </c>
      <c r="B6747" t="s">
        <v>3675</v>
      </c>
      <c r="C6747" t="s">
        <v>231</v>
      </c>
      <c r="D6747" t="s">
        <v>4062</v>
      </c>
      <c r="E6747" t="s">
        <v>5073</v>
      </c>
      <c r="F6747" t="s">
        <v>4377</v>
      </c>
      <c r="G6747">
        <v>0.01</v>
      </c>
      <c r="H6747" s="2">
        <v>20966.67</v>
      </c>
      <c r="I6747" s="2">
        <v>106.93</v>
      </c>
    </row>
    <row r="6748" spans="1:9" x14ac:dyDescent="0.25">
      <c r="A6748" t="s">
        <v>3674</v>
      </c>
      <c r="B6748" t="s">
        <v>3675</v>
      </c>
      <c r="C6748" t="s">
        <v>231</v>
      </c>
      <c r="D6748" t="s">
        <v>4062</v>
      </c>
      <c r="E6748" t="s">
        <v>5673</v>
      </c>
      <c r="F6748" t="s">
        <v>4377</v>
      </c>
      <c r="G6748">
        <v>0</v>
      </c>
      <c r="H6748" s="2">
        <v>38633</v>
      </c>
      <c r="I6748" s="2">
        <v>96.58</v>
      </c>
    </row>
    <row r="6749" spans="1:9" x14ac:dyDescent="0.25">
      <c r="A6749" t="s">
        <v>3674</v>
      </c>
      <c r="B6749" t="s">
        <v>3675</v>
      </c>
      <c r="C6749" t="s">
        <v>231</v>
      </c>
      <c r="D6749" t="s">
        <v>4062</v>
      </c>
      <c r="E6749" t="s">
        <v>5074</v>
      </c>
      <c r="F6749" t="s">
        <v>4377</v>
      </c>
      <c r="G6749">
        <v>0.01</v>
      </c>
      <c r="H6749" s="2">
        <v>46450</v>
      </c>
      <c r="I6749" s="2">
        <v>246.19</v>
      </c>
    </row>
    <row r="6750" spans="1:9" x14ac:dyDescent="0.25">
      <c r="A6750" t="s">
        <v>3674</v>
      </c>
      <c r="B6750" t="s">
        <v>3675</v>
      </c>
      <c r="C6750" t="s">
        <v>231</v>
      </c>
      <c r="D6750" t="s">
        <v>4049</v>
      </c>
      <c r="E6750" t="s">
        <v>5068</v>
      </c>
      <c r="F6750" t="s">
        <v>4051</v>
      </c>
      <c r="G6750">
        <v>0.04</v>
      </c>
      <c r="H6750" s="2">
        <v>17845.35</v>
      </c>
      <c r="I6750" s="2">
        <v>745.94</v>
      </c>
    </row>
    <row r="6751" spans="1:9" x14ac:dyDescent="0.25">
      <c r="A6751" t="s">
        <v>3674</v>
      </c>
      <c r="B6751" t="s">
        <v>3675</v>
      </c>
      <c r="C6751" t="s">
        <v>231</v>
      </c>
      <c r="D6751" t="s">
        <v>4052</v>
      </c>
      <c r="E6751" t="s">
        <v>7467</v>
      </c>
      <c r="F6751" t="s">
        <v>4106</v>
      </c>
      <c r="G6751">
        <v>0</v>
      </c>
      <c r="H6751" s="2">
        <v>99264</v>
      </c>
      <c r="I6751" s="2">
        <v>148.9</v>
      </c>
    </row>
    <row r="6752" spans="1:9" x14ac:dyDescent="0.25">
      <c r="A6752" t="s">
        <v>3674</v>
      </c>
      <c r="B6752" t="s">
        <v>3675</v>
      </c>
      <c r="C6752" t="s">
        <v>231</v>
      </c>
      <c r="D6752" t="s">
        <v>4052</v>
      </c>
      <c r="E6752" t="s">
        <v>7635</v>
      </c>
      <c r="F6752" t="s">
        <v>4236</v>
      </c>
      <c r="G6752">
        <v>0</v>
      </c>
      <c r="H6752" s="2">
        <v>44497.67</v>
      </c>
      <c r="I6752" s="2">
        <v>71.2</v>
      </c>
    </row>
    <row r="6753" spans="1:9" x14ac:dyDescent="0.25">
      <c r="A6753" t="s">
        <v>3677</v>
      </c>
      <c r="B6753" t="s">
        <v>3678</v>
      </c>
      <c r="C6753" t="s">
        <v>42</v>
      </c>
      <c r="D6753" t="s">
        <v>4062</v>
      </c>
      <c r="E6753" t="s">
        <v>7463</v>
      </c>
      <c r="F6753" t="s">
        <v>63</v>
      </c>
      <c r="G6753">
        <v>0.02</v>
      </c>
      <c r="H6753" s="2">
        <v>44079</v>
      </c>
      <c r="I6753" s="2">
        <v>661.18</v>
      </c>
    </row>
    <row r="6754" spans="1:9" x14ac:dyDescent="0.25">
      <c r="A6754" t="s">
        <v>3677</v>
      </c>
      <c r="B6754" t="s">
        <v>3678</v>
      </c>
      <c r="C6754" t="s">
        <v>42</v>
      </c>
      <c r="D6754" t="s">
        <v>4049</v>
      </c>
      <c r="E6754" t="s">
        <v>4050</v>
      </c>
      <c r="F6754" t="s">
        <v>4051</v>
      </c>
      <c r="G6754">
        <v>0.41</v>
      </c>
      <c r="H6754" s="2">
        <v>9037.33</v>
      </c>
      <c r="I6754" s="2">
        <v>3705.31</v>
      </c>
    </row>
    <row r="6755" spans="1:9" x14ac:dyDescent="0.25">
      <c r="A6755" t="s">
        <v>3677</v>
      </c>
      <c r="B6755" t="s">
        <v>3678</v>
      </c>
      <c r="C6755" t="s">
        <v>42</v>
      </c>
      <c r="D6755" t="s">
        <v>4049</v>
      </c>
      <c r="E6755" t="s">
        <v>4073</v>
      </c>
      <c r="F6755" t="s">
        <v>4051</v>
      </c>
      <c r="G6755">
        <v>0.41</v>
      </c>
      <c r="H6755" s="2">
        <v>15517.89</v>
      </c>
      <c r="I6755" s="2">
        <v>6362.33</v>
      </c>
    </row>
    <row r="6756" spans="1:9" x14ac:dyDescent="0.25">
      <c r="A6756" t="s">
        <v>3677</v>
      </c>
      <c r="B6756" t="s">
        <v>3678</v>
      </c>
      <c r="C6756" t="s">
        <v>42</v>
      </c>
      <c r="D6756" t="s">
        <v>4052</v>
      </c>
      <c r="E6756" t="s">
        <v>4053</v>
      </c>
      <c r="F6756" t="s">
        <v>4054</v>
      </c>
      <c r="G6756">
        <v>0.7</v>
      </c>
      <c r="H6756" s="2">
        <v>10067.64</v>
      </c>
      <c r="I6756" s="2">
        <v>70.47</v>
      </c>
    </row>
    <row r="6757" spans="1:9" x14ac:dyDescent="0.25">
      <c r="A6757" t="s">
        <v>3680</v>
      </c>
      <c r="B6757" t="s">
        <v>3681</v>
      </c>
      <c r="C6757" t="s">
        <v>42</v>
      </c>
      <c r="D6757" t="s">
        <v>4062</v>
      </c>
      <c r="E6757" t="s">
        <v>7557</v>
      </c>
      <c r="F6757" t="s">
        <v>42</v>
      </c>
      <c r="G6757">
        <v>1</v>
      </c>
      <c r="H6757" s="2">
        <v>34354.07</v>
      </c>
      <c r="I6757" s="2">
        <v>34354.07</v>
      </c>
    </row>
    <row r="6758" spans="1:9" x14ac:dyDescent="0.25">
      <c r="A6758" t="s">
        <v>3680</v>
      </c>
      <c r="B6758" t="s">
        <v>3681</v>
      </c>
      <c r="C6758" t="s">
        <v>42</v>
      </c>
      <c r="D6758" t="s">
        <v>4049</v>
      </c>
      <c r="E6758" t="s">
        <v>4176</v>
      </c>
      <c r="F6758" t="s">
        <v>4177</v>
      </c>
      <c r="G6758">
        <v>0.02</v>
      </c>
      <c r="H6758" s="2">
        <v>72300.17</v>
      </c>
      <c r="I6758" s="2">
        <v>1446</v>
      </c>
    </row>
    <row r="6759" spans="1:9" x14ac:dyDescent="0.25">
      <c r="A6759" t="s">
        <v>3680</v>
      </c>
      <c r="B6759" t="s">
        <v>3681</v>
      </c>
      <c r="C6759" t="s">
        <v>42</v>
      </c>
      <c r="D6759" t="s">
        <v>4052</v>
      </c>
      <c r="E6759" t="s">
        <v>4053</v>
      </c>
      <c r="F6759" t="s">
        <v>4054</v>
      </c>
      <c r="G6759">
        <v>3.3</v>
      </c>
      <c r="H6759" s="2">
        <v>1446</v>
      </c>
      <c r="I6759" s="2">
        <v>47.72</v>
      </c>
    </row>
    <row r="6760" spans="1:9" x14ac:dyDescent="0.25">
      <c r="A6760" t="s">
        <v>3683</v>
      </c>
      <c r="B6760" t="s">
        <v>3684</v>
      </c>
      <c r="C6760" t="s">
        <v>42</v>
      </c>
      <c r="D6760" t="s">
        <v>4062</v>
      </c>
      <c r="E6760" t="s">
        <v>7642</v>
      </c>
      <c r="F6760" t="s">
        <v>63</v>
      </c>
      <c r="G6760">
        <v>0.68</v>
      </c>
      <c r="H6760" s="2">
        <v>342216.58</v>
      </c>
      <c r="I6760" s="2">
        <v>230996.19</v>
      </c>
    </row>
    <row r="6761" spans="1:9" x14ac:dyDescent="0.25">
      <c r="A6761" t="s">
        <v>3683</v>
      </c>
      <c r="B6761" t="s">
        <v>3684</v>
      </c>
      <c r="C6761" t="s">
        <v>42</v>
      </c>
      <c r="D6761" t="s">
        <v>4049</v>
      </c>
      <c r="E6761" t="s">
        <v>4050</v>
      </c>
      <c r="F6761" t="s">
        <v>4051</v>
      </c>
      <c r="G6761">
        <v>0.8</v>
      </c>
      <c r="H6761" s="2">
        <v>9037.33</v>
      </c>
      <c r="I6761" s="2">
        <v>7229.86</v>
      </c>
    </row>
    <row r="6762" spans="1:9" x14ac:dyDescent="0.25">
      <c r="A6762" t="s">
        <v>3683</v>
      </c>
      <c r="B6762" t="s">
        <v>3684</v>
      </c>
      <c r="C6762" t="s">
        <v>42</v>
      </c>
      <c r="D6762" t="s">
        <v>4049</v>
      </c>
      <c r="E6762" t="s">
        <v>4073</v>
      </c>
      <c r="F6762" t="s">
        <v>4051</v>
      </c>
      <c r="G6762">
        <v>0.4</v>
      </c>
      <c r="H6762" s="2">
        <v>15517.89</v>
      </c>
      <c r="I6762" s="2">
        <v>6207.16</v>
      </c>
    </row>
    <row r="6763" spans="1:9" x14ac:dyDescent="0.25">
      <c r="A6763" t="s">
        <v>3683</v>
      </c>
      <c r="B6763" t="s">
        <v>3684</v>
      </c>
      <c r="C6763" t="s">
        <v>42</v>
      </c>
      <c r="D6763" t="s">
        <v>4052</v>
      </c>
      <c r="E6763" t="s">
        <v>4084</v>
      </c>
      <c r="F6763" t="s">
        <v>287</v>
      </c>
      <c r="G6763">
        <v>0.4</v>
      </c>
      <c r="H6763" s="2">
        <v>145366.67</v>
      </c>
      <c r="I6763" s="2">
        <v>58146.67</v>
      </c>
    </row>
    <row r="6764" spans="1:9" x14ac:dyDescent="0.25">
      <c r="A6764" t="s">
        <v>3683</v>
      </c>
      <c r="B6764" t="s">
        <v>3684</v>
      </c>
      <c r="C6764" t="s">
        <v>42</v>
      </c>
      <c r="D6764" t="s">
        <v>4052</v>
      </c>
      <c r="E6764" t="s">
        <v>4053</v>
      </c>
      <c r="F6764" t="s">
        <v>4054</v>
      </c>
      <c r="G6764">
        <v>5</v>
      </c>
      <c r="H6764" s="2">
        <v>13437.02</v>
      </c>
      <c r="I6764" s="2">
        <v>671.85</v>
      </c>
    </row>
    <row r="6765" spans="1:9" x14ac:dyDescent="0.25">
      <c r="A6765" t="s">
        <v>3686</v>
      </c>
      <c r="B6765" t="s">
        <v>3687</v>
      </c>
      <c r="C6765" t="s">
        <v>42</v>
      </c>
      <c r="D6765" t="s">
        <v>4062</v>
      </c>
      <c r="E6765" t="s">
        <v>7645</v>
      </c>
      <c r="F6765" t="s">
        <v>63</v>
      </c>
      <c r="G6765">
        <v>1</v>
      </c>
      <c r="H6765" s="2">
        <v>180000</v>
      </c>
      <c r="I6765" s="2">
        <v>180000</v>
      </c>
    </row>
    <row r="6766" spans="1:9" x14ac:dyDescent="0.25">
      <c r="A6766" t="s">
        <v>3686</v>
      </c>
      <c r="B6766" t="s">
        <v>3687</v>
      </c>
      <c r="C6766" t="s">
        <v>42</v>
      </c>
      <c r="D6766" t="s">
        <v>4049</v>
      </c>
      <c r="E6766" t="s">
        <v>4050</v>
      </c>
      <c r="F6766" t="s">
        <v>4051</v>
      </c>
      <c r="G6766">
        <v>0.4</v>
      </c>
      <c r="H6766" s="2">
        <v>9037.33</v>
      </c>
      <c r="I6766" s="2">
        <v>3614.93</v>
      </c>
    </row>
    <row r="6767" spans="1:9" x14ac:dyDescent="0.25">
      <c r="A6767" t="s">
        <v>3686</v>
      </c>
      <c r="B6767" t="s">
        <v>3687</v>
      </c>
      <c r="C6767" t="s">
        <v>42</v>
      </c>
      <c r="D6767" t="s">
        <v>4049</v>
      </c>
      <c r="E6767" t="s">
        <v>4073</v>
      </c>
      <c r="F6767" t="s">
        <v>4051</v>
      </c>
      <c r="G6767">
        <v>0.4</v>
      </c>
      <c r="H6767" s="2">
        <v>15517.89</v>
      </c>
      <c r="I6767" s="2">
        <v>6207.16</v>
      </c>
    </row>
    <row r="6768" spans="1:9" x14ac:dyDescent="0.25">
      <c r="A6768" t="s">
        <v>3686</v>
      </c>
      <c r="B6768" t="s">
        <v>3687</v>
      </c>
      <c r="C6768" t="s">
        <v>42</v>
      </c>
      <c r="D6768" t="s">
        <v>4052</v>
      </c>
      <c r="E6768" t="s">
        <v>4084</v>
      </c>
      <c r="F6768" t="s">
        <v>287</v>
      </c>
      <c r="G6768">
        <v>0.4</v>
      </c>
      <c r="H6768" s="2">
        <v>145366.67</v>
      </c>
      <c r="I6768" s="2">
        <v>58146.67</v>
      </c>
    </row>
    <row r="6769" spans="1:9" x14ac:dyDescent="0.25">
      <c r="A6769" t="s">
        <v>3686</v>
      </c>
      <c r="B6769" t="s">
        <v>3687</v>
      </c>
      <c r="C6769" t="s">
        <v>42</v>
      </c>
      <c r="D6769" t="s">
        <v>4052</v>
      </c>
      <c r="E6769" t="s">
        <v>4053</v>
      </c>
      <c r="F6769" t="s">
        <v>4054</v>
      </c>
      <c r="G6769">
        <v>5</v>
      </c>
      <c r="H6769" s="2">
        <v>9822.09</v>
      </c>
      <c r="I6769" s="2">
        <v>491.1</v>
      </c>
    </row>
    <row r="6770" spans="1:9" x14ac:dyDescent="0.25">
      <c r="A6770" t="s">
        <v>3689</v>
      </c>
      <c r="B6770" t="s">
        <v>3690</v>
      </c>
      <c r="C6770" t="s">
        <v>63</v>
      </c>
      <c r="D6770" t="s">
        <v>4062</v>
      </c>
      <c r="E6770" t="s">
        <v>7648</v>
      </c>
      <c r="F6770" t="s">
        <v>63</v>
      </c>
      <c r="G6770">
        <v>1</v>
      </c>
      <c r="H6770" s="2">
        <v>457455.11</v>
      </c>
      <c r="I6770" s="2">
        <v>457455.11</v>
      </c>
    </row>
    <row r="6771" spans="1:9" x14ac:dyDescent="0.25">
      <c r="A6771" t="s">
        <v>3689</v>
      </c>
      <c r="B6771" t="s">
        <v>3690</v>
      </c>
      <c r="C6771" t="s">
        <v>63</v>
      </c>
      <c r="D6771" t="s">
        <v>4049</v>
      </c>
      <c r="E6771" t="s">
        <v>4176</v>
      </c>
      <c r="F6771" t="s">
        <v>4177</v>
      </c>
      <c r="G6771">
        <v>0.03</v>
      </c>
      <c r="H6771" s="2">
        <v>72300.17</v>
      </c>
      <c r="I6771" s="2">
        <v>2263</v>
      </c>
    </row>
    <row r="6772" spans="1:9" x14ac:dyDescent="0.25">
      <c r="A6772" t="s">
        <v>3692</v>
      </c>
      <c r="B6772" t="s">
        <v>3693</v>
      </c>
      <c r="C6772" t="s">
        <v>21</v>
      </c>
      <c r="D6772" t="s">
        <v>4062</v>
      </c>
      <c r="E6772" t="s">
        <v>7651</v>
      </c>
      <c r="F6772" t="s">
        <v>21</v>
      </c>
      <c r="G6772">
        <v>1.05</v>
      </c>
      <c r="H6772" s="2">
        <v>17663.92</v>
      </c>
      <c r="I6772" s="2">
        <v>18547.12</v>
      </c>
    </row>
    <row r="6773" spans="1:9" x14ac:dyDescent="0.25">
      <c r="A6773" t="s">
        <v>3692</v>
      </c>
      <c r="B6773" t="s">
        <v>3693</v>
      </c>
      <c r="C6773" t="s">
        <v>21</v>
      </c>
      <c r="D6773" t="s">
        <v>4049</v>
      </c>
      <c r="E6773" t="s">
        <v>4241</v>
      </c>
      <c r="F6773" t="s">
        <v>4051</v>
      </c>
      <c r="G6773">
        <v>0.1</v>
      </c>
      <c r="H6773" s="2">
        <v>9941.22</v>
      </c>
      <c r="I6773" s="2">
        <v>994.12</v>
      </c>
    </row>
    <row r="6774" spans="1:9" x14ac:dyDescent="0.25">
      <c r="A6774" t="s">
        <v>3692</v>
      </c>
      <c r="B6774" t="s">
        <v>3693</v>
      </c>
      <c r="C6774" t="s">
        <v>21</v>
      </c>
      <c r="D6774" t="s">
        <v>4049</v>
      </c>
      <c r="E6774" t="s">
        <v>4242</v>
      </c>
      <c r="F6774" t="s">
        <v>4051</v>
      </c>
      <c r="G6774">
        <v>0.1</v>
      </c>
      <c r="H6774" s="2">
        <v>17069.53</v>
      </c>
      <c r="I6774" s="2">
        <v>1706.95</v>
      </c>
    </row>
    <row r="6775" spans="1:9" x14ac:dyDescent="0.25">
      <c r="A6775" t="s">
        <v>3695</v>
      </c>
      <c r="B6775" t="s">
        <v>3696</v>
      </c>
      <c r="C6775" t="s">
        <v>21</v>
      </c>
      <c r="D6775" t="s">
        <v>4062</v>
      </c>
      <c r="E6775" t="s">
        <v>7654</v>
      </c>
      <c r="F6775" t="s">
        <v>21</v>
      </c>
      <c r="G6775">
        <v>1.05</v>
      </c>
      <c r="H6775" s="2">
        <v>25341.83</v>
      </c>
      <c r="I6775" s="2">
        <v>26608.92</v>
      </c>
    </row>
    <row r="6776" spans="1:9" x14ac:dyDescent="0.25">
      <c r="A6776" t="s">
        <v>3695</v>
      </c>
      <c r="B6776" t="s">
        <v>3696</v>
      </c>
      <c r="C6776" t="s">
        <v>21</v>
      </c>
      <c r="D6776" t="s">
        <v>4049</v>
      </c>
      <c r="E6776" t="s">
        <v>4241</v>
      </c>
      <c r="F6776" t="s">
        <v>4051</v>
      </c>
      <c r="G6776">
        <v>0.1</v>
      </c>
      <c r="H6776" s="2">
        <v>9941.22</v>
      </c>
      <c r="I6776" s="2">
        <v>994.12</v>
      </c>
    </row>
    <row r="6777" spans="1:9" x14ac:dyDescent="0.25">
      <c r="A6777" t="s">
        <v>3695</v>
      </c>
      <c r="B6777" t="s">
        <v>3696</v>
      </c>
      <c r="C6777" t="s">
        <v>21</v>
      </c>
      <c r="D6777" t="s">
        <v>4049</v>
      </c>
      <c r="E6777" t="s">
        <v>4242</v>
      </c>
      <c r="F6777" t="s">
        <v>4051</v>
      </c>
      <c r="G6777">
        <v>0.1</v>
      </c>
      <c r="H6777" s="2">
        <v>17069.53</v>
      </c>
      <c r="I6777" s="2">
        <v>1706.95</v>
      </c>
    </row>
    <row r="6778" spans="1:9" x14ac:dyDescent="0.25">
      <c r="A6778" t="s">
        <v>3698</v>
      </c>
      <c r="B6778" t="s">
        <v>3699</v>
      </c>
      <c r="C6778" t="s">
        <v>21</v>
      </c>
      <c r="D6778" t="s">
        <v>4062</v>
      </c>
      <c r="E6778" t="s">
        <v>7657</v>
      </c>
      <c r="F6778" t="s">
        <v>21</v>
      </c>
      <c r="G6778">
        <v>1.05</v>
      </c>
      <c r="H6778" s="2">
        <v>8614</v>
      </c>
      <c r="I6778" s="2">
        <v>9044.7</v>
      </c>
    </row>
    <row r="6779" spans="1:9" x14ac:dyDescent="0.25">
      <c r="A6779" t="s">
        <v>3698</v>
      </c>
      <c r="B6779" t="s">
        <v>3699</v>
      </c>
      <c r="C6779" t="s">
        <v>21</v>
      </c>
      <c r="D6779" t="s">
        <v>4049</v>
      </c>
      <c r="E6779" t="s">
        <v>4241</v>
      </c>
      <c r="F6779" t="s">
        <v>4051</v>
      </c>
      <c r="G6779">
        <v>0.1</v>
      </c>
      <c r="H6779" s="2">
        <v>9941.22</v>
      </c>
      <c r="I6779" s="2">
        <v>994.12</v>
      </c>
    </row>
    <row r="6780" spans="1:9" x14ac:dyDescent="0.25">
      <c r="A6780" t="s">
        <v>3698</v>
      </c>
      <c r="B6780" t="s">
        <v>3699</v>
      </c>
      <c r="C6780" t="s">
        <v>21</v>
      </c>
      <c r="D6780" t="s">
        <v>4049</v>
      </c>
      <c r="E6780" t="s">
        <v>4242</v>
      </c>
      <c r="F6780" t="s">
        <v>4051</v>
      </c>
      <c r="G6780">
        <v>0.1</v>
      </c>
      <c r="H6780" s="2">
        <v>17069.53</v>
      </c>
      <c r="I6780" s="2">
        <v>1706.95</v>
      </c>
    </row>
    <row r="6781" spans="1:9" x14ac:dyDescent="0.25">
      <c r="A6781" t="s">
        <v>3701</v>
      </c>
      <c r="B6781" t="s">
        <v>3702</v>
      </c>
      <c r="C6781" t="s">
        <v>21</v>
      </c>
      <c r="D6781" t="s">
        <v>4062</v>
      </c>
      <c r="E6781" t="s">
        <v>7660</v>
      </c>
      <c r="F6781" t="s">
        <v>21</v>
      </c>
      <c r="G6781">
        <v>1.05</v>
      </c>
      <c r="H6781" s="2">
        <v>5028</v>
      </c>
      <c r="I6781" s="2">
        <v>5279.4</v>
      </c>
    </row>
    <row r="6782" spans="1:9" x14ac:dyDescent="0.25">
      <c r="A6782" t="s">
        <v>3701</v>
      </c>
      <c r="B6782" t="s">
        <v>3702</v>
      </c>
      <c r="C6782" t="s">
        <v>21</v>
      </c>
      <c r="D6782" t="s">
        <v>4049</v>
      </c>
      <c r="E6782" t="s">
        <v>4241</v>
      </c>
      <c r="F6782" t="s">
        <v>4051</v>
      </c>
      <c r="G6782">
        <v>0.05</v>
      </c>
      <c r="H6782" s="2">
        <v>9941.22</v>
      </c>
      <c r="I6782" s="2">
        <v>447.35</v>
      </c>
    </row>
    <row r="6783" spans="1:9" x14ac:dyDescent="0.25">
      <c r="A6783" t="s">
        <v>3701</v>
      </c>
      <c r="B6783" t="s">
        <v>3702</v>
      </c>
      <c r="C6783" t="s">
        <v>21</v>
      </c>
      <c r="D6783" t="s">
        <v>4049</v>
      </c>
      <c r="E6783" t="s">
        <v>4242</v>
      </c>
      <c r="F6783" t="s">
        <v>4051</v>
      </c>
      <c r="G6783">
        <v>0.05</v>
      </c>
      <c r="H6783" s="2">
        <v>17069.53</v>
      </c>
      <c r="I6783" s="2">
        <v>768.13</v>
      </c>
    </row>
    <row r="6784" spans="1:9" x14ac:dyDescent="0.25">
      <c r="A6784" t="s">
        <v>3704</v>
      </c>
      <c r="B6784" t="s">
        <v>3705</v>
      </c>
      <c r="C6784" t="s">
        <v>21</v>
      </c>
      <c r="D6784" t="s">
        <v>4062</v>
      </c>
      <c r="E6784" t="s">
        <v>7663</v>
      </c>
      <c r="F6784" t="s">
        <v>21</v>
      </c>
      <c r="G6784">
        <v>1.05</v>
      </c>
      <c r="H6784" s="2">
        <v>4550</v>
      </c>
      <c r="I6784" s="2">
        <v>4777.5</v>
      </c>
    </row>
    <row r="6785" spans="1:9" x14ac:dyDescent="0.25">
      <c r="A6785" t="s">
        <v>3704</v>
      </c>
      <c r="B6785" t="s">
        <v>3705</v>
      </c>
      <c r="C6785" t="s">
        <v>21</v>
      </c>
      <c r="D6785" t="s">
        <v>4049</v>
      </c>
      <c r="E6785" t="s">
        <v>4241</v>
      </c>
      <c r="F6785" t="s">
        <v>4051</v>
      </c>
      <c r="G6785">
        <v>0.05</v>
      </c>
      <c r="H6785" s="2">
        <v>9941.22</v>
      </c>
      <c r="I6785" s="2">
        <v>447.35</v>
      </c>
    </row>
    <row r="6786" spans="1:9" x14ac:dyDescent="0.25">
      <c r="A6786" t="s">
        <v>3704</v>
      </c>
      <c r="B6786" t="s">
        <v>3705</v>
      </c>
      <c r="C6786" t="s">
        <v>21</v>
      </c>
      <c r="D6786" t="s">
        <v>4049</v>
      </c>
      <c r="E6786" t="s">
        <v>4242</v>
      </c>
      <c r="F6786" t="s">
        <v>4051</v>
      </c>
      <c r="G6786">
        <v>0.05</v>
      </c>
      <c r="H6786" s="2">
        <v>17069.53</v>
      </c>
      <c r="I6786" s="2">
        <v>768.13</v>
      </c>
    </row>
    <row r="6787" spans="1:9" x14ac:dyDescent="0.25">
      <c r="A6787" t="s">
        <v>3707</v>
      </c>
      <c r="B6787" t="s">
        <v>3708</v>
      </c>
      <c r="C6787" t="s">
        <v>21</v>
      </c>
      <c r="D6787" t="s">
        <v>4062</v>
      </c>
      <c r="E6787" t="s">
        <v>7666</v>
      </c>
      <c r="F6787" t="s">
        <v>21</v>
      </c>
      <c r="G6787">
        <v>1.05</v>
      </c>
      <c r="H6787" s="2">
        <v>3195</v>
      </c>
      <c r="I6787" s="2">
        <v>3354.75</v>
      </c>
    </row>
    <row r="6788" spans="1:9" x14ac:dyDescent="0.25">
      <c r="A6788" t="s">
        <v>3707</v>
      </c>
      <c r="B6788" t="s">
        <v>3708</v>
      </c>
      <c r="C6788" t="s">
        <v>21</v>
      </c>
      <c r="D6788" t="s">
        <v>4049</v>
      </c>
      <c r="E6788" t="s">
        <v>4241</v>
      </c>
      <c r="F6788" t="s">
        <v>4051</v>
      </c>
      <c r="G6788">
        <v>0.05</v>
      </c>
      <c r="H6788" s="2">
        <v>9941.22</v>
      </c>
      <c r="I6788" s="2">
        <v>447.35</v>
      </c>
    </row>
    <row r="6789" spans="1:9" x14ac:dyDescent="0.25">
      <c r="A6789" t="s">
        <v>3707</v>
      </c>
      <c r="B6789" t="s">
        <v>3708</v>
      </c>
      <c r="C6789" t="s">
        <v>21</v>
      </c>
      <c r="D6789" t="s">
        <v>4049</v>
      </c>
      <c r="E6789" t="s">
        <v>4242</v>
      </c>
      <c r="F6789" t="s">
        <v>4051</v>
      </c>
      <c r="G6789">
        <v>0.05</v>
      </c>
      <c r="H6789" s="2">
        <v>17069.53</v>
      </c>
      <c r="I6789" s="2">
        <v>768.13</v>
      </c>
    </row>
    <row r="6790" spans="1:9" x14ac:dyDescent="0.25">
      <c r="A6790" t="s">
        <v>3711</v>
      </c>
      <c r="B6790" t="s">
        <v>3712</v>
      </c>
      <c r="C6790" t="s">
        <v>21</v>
      </c>
      <c r="D6790" t="s">
        <v>4062</v>
      </c>
      <c r="E6790" t="s">
        <v>7669</v>
      </c>
      <c r="F6790" t="s">
        <v>21</v>
      </c>
      <c r="G6790">
        <v>1.05</v>
      </c>
      <c r="H6790" s="2">
        <v>5014</v>
      </c>
      <c r="I6790" s="2">
        <v>5264.7</v>
      </c>
    </row>
    <row r="6791" spans="1:9" x14ac:dyDescent="0.25">
      <c r="A6791" t="s">
        <v>3711</v>
      </c>
      <c r="B6791" t="s">
        <v>3712</v>
      </c>
      <c r="C6791" t="s">
        <v>21</v>
      </c>
      <c r="D6791" t="s">
        <v>4049</v>
      </c>
      <c r="E6791" t="s">
        <v>4241</v>
      </c>
      <c r="F6791" t="s">
        <v>4051</v>
      </c>
      <c r="G6791">
        <v>0.05</v>
      </c>
      <c r="H6791" s="2">
        <v>9941.22</v>
      </c>
      <c r="I6791" s="2">
        <v>447.35</v>
      </c>
    </row>
    <row r="6792" spans="1:9" x14ac:dyDescent="0.25">
      <c r="A6792" t="s">
        <v>3711</v>
      </c>
      <c r="B6792" t="s">
        <v>3712</v>
      </c>
      <c r="C6792" t="s">
        <v>21</v>
      </c>
      <c r="D6792" t="s">
        <v>4049</v>
      </c>
      <c r="E6792" t="s">
        <v>4242</v>
      </c>
      <c r="F6792" t="s">
        <v>4051</v>
      </c>
      <c r="G6792">
        <v>0.05</v>
      </c>
      <c r="H6792" s="2">
        <v>17069.53</v>
      </c>
      <c r="I6792" s="2">
        <v>768.13</v>
      </c>
    </row>
    <row r="6793" spans="1:9" x14ac:dyDescent="0.25">
      <c r="A6793" t="s">
        <v>3714</v>
      </c>
      <c r="B6793" t="s">
        <v>3715</v>
      </c>
      <c r="C6793" t="s">
        <v>21</v>
      </c>
      <c r="D6793" t="s">
        <v>4062</v>
      </c>
      <c r="E6793" t="s">
        <v>7146</v>
      </c>
      <c r="F6793" t="s">
        <v>21</v>
      </c>
      <c r="G6793">
        <v>1.05</v>
      </c>
      <c r="H6793" s="2">
        <v>5694.67</v>
      </c>
      <c r="I6793" s="2">
        <v>5979.4</v>
      </c>
    </row>
    <row r="6794" spans="1:9" x14ac:dyDescent="0.25">
      <c r="A6794" t="s">
        <v>3714</v>
      </c>
      <c r="B6794" t="s">
        <v>3715</v>
      </c>
      <c r="C6794" t="s">
        <v>21</v>
      </c>
      <c r="D6794" t="s">
        <v>4049</v>
      </c>
      <c r="E6794" t="s">
        <v>4241</v>
      </c>
      <c r="F6794" t="s">
        <v>4051</v>
      </c>
      <c r="G6794">
        <v>0.05</v>
      </c>
      <c r="H6794" s="2">
        <v>9941.22</v>
      </c>
      <c r="I6794" s="2">
        <v>447.35</v>
      </c>
    </row>
    <row r="6795" spans="1:9" x14ac:dyDescent="0.25">
      <c r="A6795" t="s">
        <v>3714</v>
      </c>
      <c r="B6795" t="s">
        <v>3715</v>
      </c>
      <c r="C6795" t="s">
        <v>21</v>
      </c>
      <c r="D6795" t="s">
        <v>4049</v>
      </c>
      <c r="E6795" t="s">
        <v>4242</v>
      </c>
      <c r="F6795" t="s">
        <v>4051</v>
      </c>
      <c r="G6795">
        <v>0.05</v>
      </c>
      <c r="H6795" s="2">
        <v>17069.53</v>
      </c>
      <c r="I6795" s="2">
        <v>768.13</v>
      </c>
    </row>
    <row r="6796" spans="1:9" x14ac:dyDescent="0.25">
      <c r="A6796" t="s">
        <v>3717</v>
      </c>
      <c r="B6796" t="s">
        <v>3718</v>
      </c>
      <c r="C6796" t="s">
        <v>21</v>
      </c>
      <c r="D6796" t="s">
        <v>4062</v>
      </c>
      <c r="E6796" t="s">
        <v>7674</v>
      </c>
      <c r="F6796" t="s">
        <v>21</v>
      </c>
      <c r="G6796">
        <v>1.05</v>
      </c>
      <c r="H6796" s="2">
        <v>5808.43</v>
      </c>
      <c r="I6796" s="2">
        <v>6098.85</v>
      </c>
    </row>
    <row r="6797" spans="1:9" x14ac:dyDescent="0.25">
      <c r="A6797" t="s">
        <v>3717</v>
      </c>
      <c r="B6797" t="s">
        <v>3718</v>
      </c>
      <c r="C6797" t="s">
        <v>21</v>
      </c>
      <c r="D6797" t="s">
        <v>4049</v>
      </c>
      <c r="E6797" t="s">
        <v>4241</v>
      </c>
      <c r="F6797" t="s">
        <v>4051</v>
      </c>
      <c r="G6797">
        <v>0.05</v>
      </c>
      <c r="H6797" s="2">
        <v>9941.22</v>
      </c>
      <c r="I6797" s="2">
        <v>447.35</v>
      </c>
    </row>
    <row r="6798" spans="1:9" x14ac:dyDescent="0.25">
      <c r="A6798" t="s">
        <v>3717</v>
      </c>
      <c r="B6798" t="s">
        <v>3718</v>
      </c>
      <c r="C6798" t="s">
        <v>21</v>
      </c>
      <c r="D6798" t="s">
        <v>4049</v>
      </c>
      <c r="E6798" t="s">
        <v>4242</v>
      </c>
      <c r="F6798" t="s">
        <v>4051</v>
      </c>
      <c r="G6798">
        <v>0.05</v>
      </c>
      <c r="H6798" s="2">
        <v>17069.53</v>
      </c>
      <c r="I6798" s="2">
        <v>768.13</v>
      </c>
    </row>
    <row r="6799" spans="1:9" x14ac:dyDescent="0.25">
      <c r="A6799" t="s">
        <v>3720</v>
      </c>
      <c r="B6799" t="s">
        <v>3721</v>
      </c>
      <c r="C6799" t="s">
        <v>21</v>
      </c>
      <c r="D6799" t="s">
        <v>4062</v>
      </c>
      <c r="E6799" t="s">
        <v>7677</v>
      </c>
      <c r="F6799" t="s">
        <v>21</v>
      </c>
      <c r="G6799">
        <v>1.05</v>
      </c>
      <c r="H6799" s="2">
        <v>7140.27</v>
      </c>
      <c r="I6799" s="2">
        <v>7497.28</v>
      </c>
    </row>
    <row r="6800" spans="1:9" x14ac:dyDescent="0.25">
      <c r="A6800" t="s">
        <v>3720</v>
      </c>
      <c r="B6800" t="s">
        <v>3721</v>
      </c>
      <c r="C6800" t="s">
        <v>21</v>
      </c>
      <c r="D6800" t="s">
        <v>4049</v>
      </c>
      <c r="E6800" t="s">
        <v>4241</v>
      </c>
      <c r="F6800" t="s">
        <v>4051</v>
      </c>
      <c r="G6800">
        <v>0.05</v>
      </c>
      <c r="H6800" s="2">
        <v>9941.22</v>
      </c>
      <c r="I6800" s="2">
        <v>447.35</v>
      </c>
    </row>
    <row r="6801" spans="1:9" x14ac:dyDescent="0.25">
      <c r="A6801" t="s">
        <v>3720</v>
      </c>
      <c r="B6801" t="s">
        <v>3721</v>
      </c>
      <c r="C6801" t="s">
        <v>21</v>
      </c>
      <c r="D6801" t="s">
        <v>4049</v>
      </c>
      <c r="E6801" t="s">
        <v>4242</v>
      </c>
      <c r="F6801" t="s">
        <v>4051</v>
      </c>
      <c r="G6801">
        <v>0.05</v>
      </c>
      <c r="H6801" s="2">
        <v>17069.53</v>
      </c>
      <c r="I6801" s="2">
        <v>768.13</v>
      </c>
    </row>
    <row r="6802" spans="1:9" x14ac:dyDescent="0.25">
      <c r="A6802" t="s">
        <v>3723</v>
      </c>
      <c r="B6802" t="s">
        <v>3724</v>
      </c>
      <c r="C6802" t="s">
        <v>21</v>
      </c>
      <c r="D6802" t="s">
        <v>4062</v>
      </c>
      <c r="E6802" t="s">
        <v>7680</v>
      </c>
      <c r="F6802" t="s">
        <v>21</v>
      </c>
      <c r="G6802">
        <v>1.05</v>
      </c>
      <c r="H6802" s="2">
        <v>8594.95</v>
      </c>
      <c r="I6802" s="2">
        <v>9024.7</v>
      </c>
    </row>
    <row r="6803" spans="1:9" x14ac:dyDescent="0.25">
      <c r="A6803" t="s">
        <v>3723</v>
      </c>
      <c r="B6803" t="s">
        <v>3724</v>
      </c>
      <c r="C6803" t="s">
        <v>21</v>
      </c>
      <c r="D6803" t="s">
        <v>4049</v>
      </c>
      <c r="E6803" t="s">
        <v>4241</v>
      </c>
      <c r="F6803" t="s">
        <v>4051</v>
      </c>
      <c r="G6803">
        <v>0.05</v>
      </c>
      <c r="H6803" s="2">
        <v>9941.22</v>
      </c>
      <c r="I6803" s="2">
        <v>447.35</v>
      </c>
    </row>
    <row r="6804" spans="1:9" x14ac:dyDescent="0.25">
      <c r="A6804" t="s">
        <v>3723</v>
      </c>
      <c r="B6804" t="s">
        <v>3724</v>
      </c>
      <c r="C6804" t="s">
        <v>21</v>
      </c>
      <c r="D6804" t="s">
        <v>4049</v>
      </c>
      <c r="E6804" t="s">
        <v>4242</v>
      </c>
      <c r="F6804" t="s">
        <v>4051</v>
      </c>
      <c r="G6804">
        <v>0.05</v>
      </c>
      <c r="H6804" s="2">
        <v>17069.53</v>
      </c>
      <c r="I6804" s="2">
        <v>768.13</v>
      </c>
    </row>
    <row r="6805" spans="1:9" x14ac:dyDescent="0.25">
      <c r="A6805" t="s">
        <v>3726</v>
      </c>
      <c r="B6805" t="s">
        <v>3727</v>
      </c>
      <c r="C6805" t="s">
        <v>21</v>
      </c>
      <c r="D6805" t="s">
        <v>4062</v>
      </c>
      <c r="E6805" t="s">
        <v>7683</v>
      </c>
      <c r="F6805" t="s">
        <v>21</v>
      </c>
      <c r="G6805">
        <v>1.05</v>
      </c>
      <c r="H6805" s="2">
        <v>12594</v>
      </c>
      <c r="I6805" s="2">
        <v>13223.7</v>
      </c>
    </row>
    <row r="6806" spans="1:9" x14ac:dyDescent="0.25">
      <c r="A6806" t="s">
        <v>3726</v>
      </c>
      <c r="B6806" t="s">
        <v>3727</v>
      </c>
      <c r="C6806" t="s">
        <v>21</v>
      </c>
      <c r="D6806" t="s">
        <v>4049</v>
      </c>
      <c r="E6806" t="s">
        <v>4241</v>
      </c>
      <c r="F6806" t="s">
        <v>4051</v>
      </c>
      <c r="G6806">
        <v>0.05</v>
      </c>
      <c r="H6806" s="2">
        <v>9941.22</v>
      </c>
      <c r="I6806" s="2">
        <v>447.35</v>
      </c>
    </row>
    <row r="6807" spans="1:9" x14ac:dyDescent="0.25">
      <c r="A6807" t="s">
        <v>3726</v>
      </c>
      <c r="B6807" t="s">
        <v>3727</v>
      </c>
      <c r="C6807" t="s">
        <v>21</v>
      </c>
      <c r="D6807" t="s">
        <v>4049</v>
      </c>
      <c r="E6807" t="s">
        <v>4242</v>
      </c>
      <c r="F6807" t="s">
        <v>4051</v>
      </c>
      <c r="G6807">
        <v>0.05</v>
      </c>
      <c r="H6807" s="2">
        <v>17069.53</v>
      </c>
      <c r="I6807" s="2">
        <v>768.13</v>
      </c>
    </row>
    <row r="6808" spans="1:9" x14ac:dyDescent="0.25">
      <c r="A6808" t="s">
        <v>3729</v>
      </c>
      <c r="B6808" t="s">
        <v>3730</v>
      </c>
      <c r="C6808" t="s">
        <v>21</v>
      </c>
      <c r="D6808" t="s">
        <v>4062</v>
      </c>
      <c r="E6808" t="s">
        <v>7686</v>
      </c>
      <c r="F6808" t="s">
        <v>21</v>
      </c>
      <c r="G6808">
        <v>1.05</v>
      </c>
      <c r="H6808" s="2">
        <v>14403</v>
      </c>
      <c r="I6808" s="2">
        <v>15123.15</v>
      </c>
    </row>
    <row r="6809" spans="1:9" x14ac:dyDescent="0.25">
      <c r="A6809" t="s">
        <v>3729</v>
      </c>
      <c r="B6809" t="s">
        <v>3730</v>
      </c>
      <c r="C6809" t="s">
        <v>21</v>
      </c>
      <c r="D6809" t="s">
        <v>4049</v>
      </c>
      <c r="E6809" t="s">
        <v>4241</v>
      </c>
      <c r="F6809" t="s">
        <v>4051</v>
      </c>
      <c r="G6809">
        <v>0.05</v>
      </c>
      <c r="H6809" s="2">
        <v>9941.22</v>
      </c>
      <c r="I6809" s="2">
        <v>447.35</v>
      </c>
    </row>
    <row r="6810" spans="1:9" x14ac:dyDescent="0.25">
      <c r="A6810" t="s">
        <v>3729</v>
      </c>
      <c r="B6810" t="s">
        <v>3730</v>
      </c>
      <c r="C6810" t="s">
        <v>21</v>
      </c>
      <c r="D6810" t="s">
        <v>4049</v>
      </c>
      <c r="E6810" t="s">
        <v>4242</v>
      </c>
      <c r="F6810" t="s">
        <v>4051</v>
      </c>
      <c r="G6810">
        <v>0.05</v>
      </c>
      <c r="H6810" s="2">
        <v>17069.53</v>
      </c>
      <c r="I6810" s="2">
        <v>768.13</v>
      </c>
    </row>
    <row r="6811" spans="1:9" x14ac:dyDescent="0.25">
      <c r="A6811" t="s">
        <v>3732</v>
      </c>
      <c r="B6811" t="s">
        <v>3733</v>
      </c>
      <c r="C6811" t="s">
        <v>21</v>
      </c>
      <c r="D6811" t="s">
        <v>4062</v>
      </c>
      <c r="E6811" t="s">
        <v>7689</v>
      </c>
      <c r="F6811" t="s">
        <v>21</v>
      </c>
      <c r="G6811">
        <v>1.05</v>
      </c>
      <c r="H6811" s="2">
        <v>18053</v>
      </c>
      <c r="I6811" s="2">
        <v>18955.65</v>
      </c>
    </row>
    <row r="6812" spans="1:9" x14ac:dyDescent="0.25">
      <c r="A6812" t="s">
        <v>3732</v>
      </c>
      <c r="B6812" t="s">
        <v>3733</v>
      </c>
      <c r="C6812" t="s">
        <v>21</v>
      </c>
      <c r="D6812" t="s">
        <v>4049</v>
      </c>
      <c r="E6812" t="s">
        <v>4241</v>
      </c>
      <c r="F6812" t="s">
        <v>4051</v>
      </c>
      <c r="G6812">
        <v>0.05</v>
      </c>
      <c r="H6812" s="2">
        <v>9941.22</v>
      </c>
      <c r="I6812" s="2">
        <v>447.35</v>
      </c>
    </row>
    <row r="6813" spans="1:9" x14ac:dyDescent="0.25">
      <c r="A6813" t="s">
        <v>3732</v>
      </c>
      <c r="B6813" t="s">
        <v>3733</v>
      </c>
      <c r="C6813" t="s">
        <v>21</v>
      </c>
      <c r="D6813" t="s">
        <v>4049</v>
      </c>
      <c r="E6813" t="s">
        <v>4242</v>
      </c>
      <c r="F6813" t="s">
        <v>4051</v>
      </c>
      <c r="G6813">
        <v>0.05</v>
      </c>
      <c r="H6813" s="2">
        <v>17069.53</v>
      </c>
      <c r="I6813" s="2">
        <v>768.13</v>
      </c>
    </row>
    <row r="6814" spans="1:9" x14ac:dyDescent="0.25">
      <c r="A6814" t="s">
        <v>3735</v>
      </c>
      <c r="B6814" t="s">
        <v>3736</v>
      </c>
      <c r="C6814" t="s">
        <v>21</v>
      </c>
      <c r="D6814" t="s">
        <v>4062</v>
      </c>
      <c r="E6814" t="s">
        <v>7692</v>
      </c>
      <c r="F6814" t="s">
        <v>21</v>
      </c>
      <c r="G6814">
        <v>1.05</v>
      </c>
      <c r="H6814" s="2">
        <v>14827.02</v>
      </c>
      <c r="I6814" s="2">
        <v>15568.37</v>
      </c>
    </row>
    <row r="6815" spans="1:9" x14ac:dyDescent="0.25">
      <c r="A6815" t="s">
        <v>3735</v>
      </c>
      <c r="B6815" t="s">
        <v>3736</v>
      </c>
      <c r="C6815" t="s">
        <v>21</v>
      </c>
      <c r="D6815" t="s">
        <v>4049</v>
      </c>
      <c r="E6815" t="s">
        <v>4241</v>
      </c>
      <c r="F6815" t="s">
        <v>4051</v>
      </c>
      <c r="G6815">
        <v>0.05</v>
      </c>
      <c r="H6815" s="2">
        <v>9941.22</v>
      </c>
      <c r="I6815" s="2">
        <v>447.35</v>
      </c>
    </row>
    <row r="6816" spans="1:9" x14ac:dyDescent="0.25">
      <c r="A6816" t="s">
        <v>3735</v>
      </c>
      <c r="B6816" t="s">
        <v>3736</v>
      </c>
      <c r="C6816" t="s">
        <v>21</v>
      </c>
      <c r="D6816" t="s">
        <v>4049</v>
      </c>
      <c r="E6816" t="s">
        <v>4242</v>
      </c>
      <c r="F6816" t="s">
        <v>4051</v>
      </c>
      <c r="G6816">
        <v>0.05</v>
      </c>
      <c r="H6816" s="2">
        <v>17069.53</v>
      </c>
      <c r="I6816" s="2">
        <v>768.13</v>
      </c>
    </row>
    <row r="6817" spans="1:9" x14ac:dyDescent="0.25">
      <c r="A6817" t="s">
        <v>3739</v>
      </c>
      <c r="B6817" t="s">
        <v>3740</v>
      </c>
      <c r="C6817" t="s">
        <v>21</v>
      </c>
      <c r="D6817" t="s">
        <v>4062</v>
      </c>
      <c r="E6817" t="s">
        <v>7175</v>
      </c>
      <c r="F6817" t="s">
        <v>21</v>
      </c>
      <c r="G6817">
        <v>1.05</v>
      </c>
      <c r="H6817" s="2">
        <v>6756.91</v>
      </c>
      <c r="I6817" s="2">
        <v>7094.76</v>
      </c>
    </row>
    <row r="6818" spans="1:9" x14ac:dyDescent="0.25">
      <c r="A6818" t="s">
        <v>3739</v>
      </c>
      <c r="B6818" t="s">
        <v>3740</v>
      </c>
      <c r="C6818" t="s">
        <v>21</v>
      </c>
      <c r="D6818" t="s">
        <v>4049</v>
      </c>
      <c r="E6818" t="s">
        <v>4241</v>
      </c>
      <c r="F6818" t="s">
        <v>4051</v>
      </c>
      <c r="G6818">
        <v>0.05</v>
      </c>
      <c r="H6818" s="2">
        <v>9941.22</v>
      </c>
      <c r="I6818" s="2">
        <v>447.35</v>
      </c>
    </row>
    <row r="6819" spans="1:9" x14ac:dyDescent="0.25">
      <c r="A6819" t="s">
        <v>3739</v>
      </c>
      <c r="B6819" t="s">
        <v>3740</v>
      </c>
      <c r="C6819" t="s">
        <v>21</v>
      </c>
      <c r="D6819" t="s">
        <v>4049</v>
      </c>
      <c r="E6819" t="s">
        <v>4242</v>
      </c>
      <c r="F6819" t="s">
        <v>4051</v>
      </c>
      <c r="G6819">
        <v>0.05</v>
      </c>
      <c r="H6819" s="2">
        <v>17069.53</v>
      </c>
      <c r="I6819" s="2">
        <v>768.13</v>
      </c>
    </row>
    <row r="6820" spans="1:9" x14ac:dyDescent="0.25">
      <c r="A6820" t="s">
        <v>3742</v>
      </c>
      <c r="B6820" t="s">
        <v>3743</v>
      </c>
      <c r="C6820" t="s">
        <v>21</v>
      </c>
      <c r="D6820" t="s">
        <v>4062</v>
      </c>
      <c r="E6820" t="s">
        <v>7697</v>
      </c>
      <c r="F6820" t="s">
        <v>21</v>
      </c>
      <c r="G6820">
        <v>1.05</v>
      </c>
      <c r="H6820" s="2">
        <v>10460.93</v>
      </c>
      <c r="I6820" s="2">
        <v>10983.98</v>
      </c>
    </row>
    <row r="6821" spans="1:9" x14ac:dyDescent="0.25">
      <c r="A6821" t="s">
        <v>3742</v>
      </c>
      <c r="B6821" t="s">
        <v>3743</v>
      </c>
      <c r="C6821" t="s">
        <v>21</v>
      </c>
      <c r="D6821" t="s">
        <v>4049</v>
      </c>
      <c r="E6821" t="s">
        <v>4241</v>
      </c>
      <c r="F6821" t="s">
        <v>4051</v>
      </c>
      <c r="G6821">
        <v>0.05</v>
      </c>
      <c r="H6821" s="2">
        <v>9941.22</v>
      </c>
      <c r="I6821" s="2">
        <v>447.35</v>
      </c>
    </row>
    <row r="6822" spans="1:9" x14ac:dyDescent="0.25">
      <c r="A6822" t="s">
        <v>3742</v>
      </c>
      <c r="B6822" t="s">
        <v>3743</v>
      </c>
      <c r="C6822" t="s">
        <v>21</v>
      </c>
      <c r="D6822" t="s">
        <v>4049</v>
      </c>
      <c r="E6822" t="s">
        <v>4242</v>
      </c>
      <c r="F6822" t="s">
        <v>4051</v>
      </c>
      <c r="G6822">
        <v>0.05</v>
      </c>
      <c r="H6822" s="2">
        <v>17069.53</v>
      </c>
      <c r="I6822" s="2">
        <v>768.13</v>
      </c>
    </row>
    <row r="6823" spans="1:9" x14ac:dyDescent="0.25">
      <c r="A6823" t="s">
        <v>3745</v>
      </c>
      <c r="B6823" t="s">
        <v>3746</v>
      </c>
      <c r="C6823" t="s">
        <v>21</v>
      </c>
      <c r="D6823" t="s">
        <v>4062</v>
      </c>
      <c r="E6823" t="s">
        <v>7700</v>
      </c>
      <c r="F6823" t="s">
        <v>21</v>
      </c>
      <c r="G6823">
        <v>1.05</v>
      </c>
      <c r="H6823" s="2">
        <v>5832.55</v>
      </c>
      <c r="I6823" s="2">
        <v>6124.18</v>
      </c>
    </row>
    <row r="6824" spans="1:9" x14ac:dyDescent="0.25">
      <c r="A6824" t="s">
        <v>3745</v>
      </c>
      <c r="B6824" t="s">
        <v>3746</v>
      </c>
      <c r="C6824" t="s">
        <v>21</v>
      </c>
      <c r="D6824" t="s">
        <v>4049</v>
      </c>
      <c r="E6824" t="s">
        <v>4241</v>
      </c>
      <c r="F6824" t="s">
        <v>4051</v>
      </c>
      <c r="G6824">
        <v>0.05</v>
      </c>
      <c r="H6824" s="2">
        <v>9941.22</v>
      </c>
      <c r="I6824" s="2">
        <v>447.35</v>
      </c>
    </row>
    <row r="6825" spans="1:9" x14ac:dyDescent="0.25">
      <c r="A6825" t="s">
        <v>3745</v>
      </c>
      <c r="B6825" t="s">
        <v>3746</v>
      </c>
      <c r="C6825" t="s">
        <v>21</v>
      </c>
      <c r="D6825" t="s">
        <v>4049</v>
      </c>
      <c r="E6825" t="s">
        <v>4242</v>
      </c>
      <c r="F6825" t="s">
        <v>4051</v>
      </c>
      <c r="G6825">
        <v>0.05</v>
      </c>
      <c r="H6825" s="2">
        <v>17069.53</v>
      </c>
      <c r="I6825" s="2">
        <v>768.13</v>
      </c>
    </row>
    <row r="6826" spans="1:9" x14ac:dyDescent="0.25">
      <c r="A6826" t="s">
        <v>3748</v>
      </c>
      <c r="B6826" t="s">
        <v>3750</v>
      </c>
      <c r="C6826" t="s">
        <v>63</v>
      </c>
      <c r="D6826" t="s">
        <v>4062</v>
      </c>
      <c r="E6826" t="s">
        <v>7705</v>
      </c>
      <c r="F6826" t="s">
        <v>63</v>
      </c>
      <c r="G6826">
        <v>1</v>
      </c>
      <c r="H6826" s="2">
        <v>18066.67</v>
      </c>
      <c r="I6826" s="2">
        <v>18066.67</v>
      </c>
    </row>
    <row r="6827" spans="1:9" x14ac:dyDescent="0.25">
      <c r="A6827" t="s">
        <v>3748</v>
      </c>
      <c r="B6827" t="s">
        <v>3750</v>
      </c>
      <c r="C6827" t="s">
        <v>63</v>
      </c>
      <c r="D6827" t="s">
        <v>4062</v>
      </c>
      <c r="E6827" t="s">
        <v>7706</v>
      </c>
      <c r="F6827" t="s">
        <v>42</v>
      </c>
      <c r="G6827">
        <v>1</v>
      </c>
      <c r="H6827" s="2">
        <v>32700</v>
      </c>
      <c r="I6827" s="2">
        <v>32700</v>
      </c>
    </row>
    <row r="6828" spans="1:9" x14ac:dyDescent="0.25">
      <c r="A6828" t="s">
        <v>3748</v>
      </c>
      <c r="B6828" t="s">
        <v>3750</v>
      </c>
      <c r="C6828" t="s">
        <v>63</v>
      </c>
      <c r="D6828" t="s">
        <v>4062</v>
      </c>
      <c r="E6828" t="s">
        <v>7707</v>
      </c>
      <c r="F6828" t="s">
        <v>42</v>
      </c>
      <c r="G6828">
        <v>1</v>
      </c>
      <c r="H6828" s="2">
        <v>9159</v>
      </c>
      <c r="I6828" s="2">
        <v>9159</v>
      </c>
    </row>
    <row r="6829" spans="1:9" x14ac:dyDescent="0.25">
      <c r="A6829" t="s">
        <v>3748</v>
      </c>
      <c r="B6829" t="s">
        <v>3750</v>
      </c>
      <c r="C6829" t="s">
        <v>63</v>
      </c>
      <c r="D6829" t="s">
        <v>4062</v>
      </c>
      <c r="E6829" t="s">
        <v>7708</v>
      </c>
      <c r="F6829" t="s">
        <v>63</v>
      </c>
      <c r="G6829">
        <v>1</v>
      </c>
      <c r="H6829" s="2">
        <v>5350.9</v>
      </c>
      <c r="I6829" s="2">
        <v>5350.9</v>
      </c>
    </row>
    <row r="6830" spans="1:9" x14ac:dyDescent="0.25">
      <c r="A6830" t="s">
        <v>3748</v>
      </c>
      <c r="B6830" t="s">
        <v>3750</v>
      </c>
      <c r="C6830" t="s">
        <v>63</v>
      </c>
      <c r="D6830" t="s">
        <v>4062</v>
      </c>
      <c r="E6830" t="s">
        <v>7709</v>
      </c>
      <c r="F6830" t="s">
        <v>63</v>
      </c>
      <c r="G6830">
        <v>1</v>
      </c>
      <c r="H6830" s="2">
        <v>10000</v>
      </c>
      <c r="I6830" s="2">
        <v>10000</v>
      </c>
    </row>
    <row r="6831" spans="1:9" x14ac:dyDescent="0.25">
      <c r="A6831" t="s">
        <v>3748</v>
      </c>
      <c r="B6831" t="s">
        <v>3750</v>
      </c>
      <c r="C6831" t="s">
        <v>63</v>
      </c>
      <c r="D6831" t="s">
        <v>4062</v>
      </c>
      <c r="E6831" t="s">
        <v>7710</v>
      </c>
      <c r="F6831" t="s">
        <v>63</v>
      </c>
      <c r="G6831">
        <v>1</v>
      </c>
      <c r="H6831" s="2">
        <v>1254</v>
      </c>
      <c r="I6831" s="2">
        <v>1254</v>
      </c>
    </row>
    <row r="6832" spans="1:9" x14ac:dyDescent="0.25">
      <c r="A6832" t="s">
        <v>3748</v>
      </c>
      <c r="B6832" t="s">
        <v>3750</v>
      </c>
      <c r="C6832" t="s">
        <v>63</v>
      </c>
      <c r="D6832" t="s">
        <v>4062</v>
      </c>
      <c r="E6832" t="s">
        <v>7711</v>
      </c>
      <c r="F6832" t="s">
        <v>63</v>
      </c>
      <c r="G6832">
        <v>1</v>
      </c>
      <c r="H6832" s="2">
        <v>25957.4</v>
      </c>
      <c r="I6832" s="2">
        <v>25957.4</v>
      </c>
    </row>
    <row r="6833" spans="1:9" x14ac:dyDescent="0.25">
      <c r="A6833" t="s">
        <v>3748</v>
      </c>
      <c r="B6833" t="s">
        <v>3750</v>
      </c>
      <c r="C6833" t="s">
        <v>63</v>
      </c>
      <c r="D6833" t="s">
        <v>4062</v>
      </c>
      <c r="E6833" t="s">
        <v>7712</v>
      </c>
      <c r="F6833" t="s">
        <v>63</v>
      </c>
      <c r="G6833">
        <v>1</v>
      </c>
      <c r="H6833" s="2">
        <v>149500</v>
      </c>
      <c r="I6833" s="2">
        <v>149500</v>
      </c>
    </row>
    <row r="6834" spans="1:9" x14ac:dyDescent="0.25">
      <c r="A6834" t="s">
        <v>3748</v>
      </c>
      <c r="B6834" t="s">
        <v>3750</v>
      </c>
      <c r="C6834" t="s">
        <v>63</v>
      </c>
      <c r="D6834" t="s">
        <v>4062</v>
      </c>
      <c r="E6834" t="s">
        <v>7713</v>
      </c>
      <c r="F6834" t="s">
        <v>63</v>
      </c>
      <c r="G6834">
        <v>1</v>
      </c>
      <c r="H6834" s="2">
        <v>34500</v>
      </c>
      <c r="I6834" s="2">
        <v>34500</v>
      </c>
    </row>
    <row r="6835" spans="1:9" x14ac:dyDescent="0.25">
      <c r="A6835" t="s">
        <v>3748</v>
      </c>
      <c r="B6835" t="s">
        <v>3750</v>
      </c>
      <c r="C6835" t="s">
        <v>63</v>
      </c>
      <c r="D6835" t="s">
        <v>4062</v>
      </c>
      <c r="E6835" t="s">
        <v>5035</v>
      </c>
      <c r="F6835" t="s">
        <v>4066</v>
      </c>
      <c r="G6835">
        <v>0.06</v>
      </c>
      <c r="H6835" s="2">
        <v>133730.14</v>
      </c>
      <c r="I6835" s="2">
        <v>8023.81</v>
      </c>
    </row>
    <row r="6836" spans="1:9" x14ac:dyDescent="0.25">
      <c r="A6836" t="s">
        <v>3748</v>
      </c>
      <c r="B6836" t="s">
        <v>3750</v>
      </c>
      <c r="C6836" t="s">
        <v>63</v>
      </c>
      <c r="D6836" t="s">
        <v>4049</v>
      </c>
      <c r="E6836" t="s">
        <v>4241</v>
      </c>
      <c r="F6836" t="s">
        <v>4051</v>
      </c>
      <c r="G6836">
        <v>2.5</v>
      </c>
      <c r="H6836" s="2">
        <v>9941.22</v>
      </c>
      <c r="I6836" s="2">
        <v>24853.05</v>
      </c>
    </row>
    <row r="6837" spans="1:9" x14ac:dyDescent="0.25">
      <c r="A6837" t="s">
        <v>3748</v>
      </c>
      <c r="B6837" t="s">
        <v>3750</v>
      </c>
      <c r="C6837" t="s">
        <v>63</v>
      </c>
      <c r="D6837" t="s">
        <v>4049</v>
      </c>
      <c r="E6837" t="s">
        <v>4242</v>
      </c>
      <c r="F6837" t="s">
        <v>4051</v>
      </c>
      <c r="G6837">
        <v>1</v>
      </c>
      <c r="H6837" s="2">
        <v>17069.53</v>
      </c>
      <c r="I6837" s="2">
        <v>17069.53</v>
      </c>
    </row>
    <row r="6838" spans="1:9" x14ac:dyDescent="0.25">
      <c r="A6838" t="s">
        <v>3754</v>
      </c>
      <c r="B6838" t="s">
        <v>3755</v>
      </c>
      <c r="C6838" t="s">
        <v>42</v>
      </c>
      <c r="D6838" t="s">
        <v>4062</v>
      </c>
      <c r="E6838" t="s">
        <v>7716</v>
      </c>
      <c r="F6838" t="s">
        <v>42</v>
      </c>
      <c r="G6838">
        <v>1</v>
      </c>
      <c r="H6838" s="2">
        <v>2838.22</v>
      </c>
      <c r="I6838" s="2">
        <v>2838.22</v>
      </c>
    </row>
    <row r="6839" spans="1:9" x14ac:dyDescent="0.25">
      <c r="A6839" t="s">
        <v>3754</v>
      </c>
      <c r="B6839" t="s">
        <v>3755</v>
      </c>
      <c r="C6839" t="s">
        <v>42</v>
      </c>
      <c r="D6839" t="s">
        <v>4062</v>
      </c>
      <c r="E6839" t="s">
        <v>5816</v>
      </c>
      <c r="F6839" t="s">
        <v>34</v>
      </c>
      <c r="G6839">
        <v>0.02</v>
      </c>
      <c r="H6839" s="2">
        <v>93966.67</v>
      </c>
      <c r="I6839" s="2">
        <v>1879.33</v>
      </c>
    </row>
    <row r="6840" spans="1:9" x14ac:dyDescent="0.25">
      <c r="A6840" t="s">
        <v>3754</v>
      </c>
      <c r="B6840" t="s">
        <v>3755</v>
      </c>
      <c r="C6840" t="s">
        <v>42</v>
      </c>
      <c r="D6840" t="s">
        <v>4062</v>
      </c>
      <c r="E6840" t="s">
        <v>7717</v>
      </c>
      <c r="F6840" t="s">
        <v>42</v>
      </c>
      <c r="G6840">
        <v>1</v>
      </c>
      <c r="H6840" s="2">
        <v>46</v>
      </c>
      <c r="I6840" s="2">
        <v>46</v>
      </c>
    </row>
    <row r="6841" spans="1:9" x14ac:dyDescent="0.25">
      <c r="A6841" t="s">
        <v>3754</v>
      </c>
      <c r="B6841" t="s">
        <v>3755</v>
      </c>
      <c r="C6841" t="s">
        <v>42</v>
      </c>
      <c r="D6841" t="s">
        <v>4062</v>
      </c>
      <c r="E6841" t="s">
        <v>3261</v>
      </c>
      <c r="F6841" t="s">
        <v>34</v>
      </c>
      <c r="G6841">
        <v>0.12</v>
      </c>
      <c r="H6841" s="2">
        <v>90100.77</v>
      </c>
      <c r="I6841" s="2">
        <v>10812.09</v>
      </c>
    </row>
    <row r="6842" spans="1:9" x14ac:dyDescent="0.25">
      <c r="A6842" t="s">
        <v>3754</v>
      </c>
      <c r="B6842" t="s">
        <v>3755</v>
      </c>
      <c r="C6842" t="s">
        <v>42</v>
      </c>
      <c r="D6842" t="s">
        <v>4062</v>
      </c>
      <c r="E6842" t="s">
        <v>7718</v>
      </c>
      <c r="F6842" t="s">
        <v>21</v>
      </c>
      <c r="G6842">
        <v>0.4</v>
      </c>
      <c r="H6842" s="2">
        <v>35458.33</v>
      </c>
      <c r="I6842" s="2">
        <v>14183.33</v>
      </c>
    </row>
    <row r="6843" spans="1:9" x14ac:dyDescent="0.25">
      <c r="A6843" t="s">
        <v>3754</v>
      </c>
      <c r="B6843" t="s">
        <v>3755</v>
      </c>
      <c r="C6843" t="s">
        <v>42</v>
      </c>
      <c r="D6843" t="s">
        <v>4062</v>
      </c>
      <c r="E6843" t="s">
        <v>4076</v>
      </c>
      <c r="F6843" t="s">
        <v>3963</v>
      </c>
      <c r="G6843">
        <v>2.85</v>
      </c>
      <c r="H6843" s="2">
        <v>21</v>
      </c>
      <c r="I6843" s="2">
        <v>59.85</v>
      </c>
    </row>
    <row r="6844" spans="1:9" x14ac:dyDescent="0.25">
      <c r="A6844" t="s">
        <v>3754</v>
      </c>
      <c r="B6844" t="s">
        <v>3755</v>
      </c>
      <c r="C6844" t="s">
        <v>42</v>
      </c>
      <c r="D6844" t="s">
        <v>4049</v>
      </c>
      <c r="E6844" t="s">
        <v>4050</v>
      </c>
      <c r="F6844" t="s">
        <v>4051</v>
      </c>
      <c r="G6844">
        <v>1.05</v>
      </c>
      <c r="H6844" s="2">
        <v>9037.33</v>
      </c>
      <c r="I6844" s="2">
        <v>9489.2</v>
      </c>
    </row>
    <row r="6845" spans="1:9" x14ac:dyDescent="0.25">
      <c r="A6845" t="s">
        <v>3754</v>
      </c>
      <c r="B6845" t="s">
        <v>3755</v>
      </c>
      <c r="C6845" t="s">
        <v>42</v>
      </c>
      <c r="D6845" t="s">
        <v>4049</v>
      </c>
      <c r="E6845" t="s">
        <v>4241</v>
      </c>
      <c r="F6845" t="s">
        <v>4051</v>
      </c>
      <c r="G6845">
        <v>0.18</v>
      </c>
      <c r="H6845" s="2">
        <v>9941.22</v>
      </c>
      <c r="I6845" s="2">
        <v>1739.71</v>
      </c>
    </row>
    <row r="6846" spans="1:9" x14ac:dyDescent="0.25">
      <c r="A6846" t="s">
        <v>3754</v>
      </c>
      <c r="B6846" t="s">
        <v>3755</v>
      </c>
      <c r="C6846" t="s">
        <v>42</v>
      </c>
      <c r="D6846" t="s">
        <v>4049</v>
      </c>
      <c r="E6846" t="s">
        <v>4073</v>
      </c>
      <c r="F6846" t="s">
        <v>4051</v>
      </c>
      <c r="G6846">
        <v>1.05</v>
      </c>
      <c r="H6846" s="2">
        <v>15517.89</v>
      </c>
      <c r="I6846" s="2">
        <v>16293.78</v>
      </c>
    </row>
    <row r="6847" spans="1:9" x14ac:dyDescent="0.25">
      <c r="A6847" t="s">
        <v>3754</v>
      </c>
      <c r="B6847" t="s">
        <v>3755</v>
      </c>
      <c r="C6847" t="s">
        <v>42</v>
      </c>
      <c r="D6847" t="s">
        <v>4049</v>
      </c>
      <c r="E6847" t="s">
        <v>4242</v>
      </c>
      <c r="F6847" t="s">
        <v>4051</v>
      </c>
      <c r="G6847">
        <v>0.18</v>
      </c>
      <c r="H6847" s="2">
        <v>17069.53</v>
      </c>
      <c r="I6847" s="2">
        <v>2987.17</v>
      </c>
    </row>
    <row r="6848" spans="1:9" x14ac:dyDescent="0.25">
      <c r="A6848" t="s">
        <v>3754</v>
      </c>
      <c r="B6848" t="s">
        <v>3755</v>
      </c>
      <c r="C6848" t="s">
        <v>42</v>
      </c>
      <c r="D6848" t="s">
        <v>4052</v>
      </c>
      <c r="E6848" t="s">
        <v>6294</v>
      </c>
      <c r="F6848" t="s">
        <v>4106</v>
      </c>
      <c r="G6848">
        <v>0</v>
      </c>
      <c r="H6848" s="2">
        <v>236228.11</v>
      </c>
      <c r="I6848" s="2">
        <v>944.91</v>
      </c>
    </row>
    <row r="6849" spans="1:9" x14ac:dyDescent="0.25">
      <c r="A6849" t="s">
        <v>3754</v>
      </c>
      <c r="B6849" t="s">
        <v>3755</v>
      </c>
      <c r="C6849" t="s">
        <v>42</v>
      </c>
      <c r="D6849" t="s">
        <v>4052</v>
      </c>
      <c r="E6849" t="s">
        <v>4342</v>
      </c>
      <c r="F6849" t="s">
        <v>4106</v>
      </c>
      <c r="G6849">
        <v>0.02</v>
      </c>
      <c r="H6849" s="2">
        <v>66666.67</v>
      </c>
      <c r="I6849" s="2">
        <v>1333.33</v>
      </c>
    </row>
    <row r="6850" spans="1:9" x14ac:dyDescent="0.25">
      <c r="A6850" t="s">
        <v>3754</v>
      </c>
      <c r="B6850" t="s">
        <v>3755</v>
      </c>
      <c r="C6850" t="s">
        <v>42</v>
      </c>
      <c r="D6850" t="s">
        <v>4052</v>
      </c>
      <c r="E6850" t="s">
        <v>4053</v>
      </c>
      <c r="F6850" t="s">
        <v>4054</v>
      </c>
      <c r="G6850">
        <v>2.4</v>
      </c>
      <c r="H6850" s="2">
        <v>30509.86</v>
      </c>
      <c r="I6850" s="2">
        <v>732.24</v>
      </c>
    </row>
    <row r="6851" spans="1:9" x14ac:dyDescent="0.25">
      <c r="A6851" t="s">
        <v>3758</v>
      </c>
      <c r="B6851" t="s">
        <v>3759</v>
      </c>
      <c r="C6851" t="s">
        <v>42</v>
      </c>
      <c r="D6851" t="s">
        <v>4062</v>
      </c>
      <c r="E6851" t="s">
        <v>7716</v>
      </c>
      <c r="F6851" t="s">
        <v>42</v>
      </c>
      <c r="G6851">
        <v>1</v>
      </c>
      <c r="H6851" s="2">
        <v>2838.22</v>
      </c>
      <c r="I6851" s="2">
        <v>2838.22</v>
      </c>
    </row>
    <row r="6852" spans="1:9" x14ac:dyDescent="0.25">
      <c r="A6852" t="s">
        <v>3758</v>
      </c>
      <c r="B6852" t="s">
        <v>3759</v>
      </c>
      <c r="C6852" t="s">
        <v>42</v>
      </c>
      <c r="D6852" t="s">
        <v>4062</v>
      </c>
      <c r="E6852" t="s">
        <v>7717</v>
      </c>
      <c r="F6852" t="s">
        <v>42</v>
      </c>
      <c r="G6852">
        <v>1</v>
      </c>
      <c r="H6852" s="2">
        <v>46</v>
      </c>
      <c r="I6852" s="2">
        <v>46</v>
      </c>
    </row>
    <row r="6853" spans="1:9" x14ac:dyDescent="0.25">
      <c r="A6853" t="s">
        <v>3758</v>
      </c>
      <c r="B6853" t="s">
        <v>3759</v>
      </c>
      <c r="C6853" t="s">
        <v>42</v>
      </c>
      <c r="D6853" t="s">
        <v>4062</v>
      </c>
      <c r="E6853" t="s">
        <v>7721</v>
      </c>
      <c r="F6853" t="s">
        <v>63</v>
      </c>
      <c r="G6853">
        <v>0.01</v>
      </c>
      <c r="H6853" s="2">
        <v>185957</v>
      </c>
      <c r="I6853" s="2">
        <v>1859.57</v>
      </c>
    </row>
    <row r="6854" spans="1:9" x14ac:dyDescent="0.25">
      <c r="A6854" t="s">
        <v>3758</v>
      </c>
      <c r="B6854" t="s">
        <v>3759</v>
      </c>
      <c r="C6854" t="s">
        <v>42</v>
      </c>
      <c r="D6854" t="s">
        <v>4062</v>
      </c>
      <c r="E6854" t="s">
        <v>7722</v>
      </c>
      <c r="F6854" t="s">
        <v>34</v>
      </c>
      <c r="G6854">
        <v>0.12</v>
      </c>
      <c r="H6854" s="2">
        <v>90100.77</v>
      </c>
      <c r="I6854" s="2">
        <v>10812.09</v>
      </c>
    </row>
    <row r="6855" spans="1:9" x14ac:dyDescent="0.25">
      <c r="A6855" t="s">
        <v>3758</v>
      </c>
      <c r="B6855" t="s">
        <v>3759</v>
      </c>
      <c r="C6855" t="s">
        <v>42</v>
      </c>
      <c r="D6855" t="s">
        <v>4062</v>
      </c>
      <c r="E6855" t="s">
        <v>7723</v>
      </c>
      <c r="F6855" t="s">
        <v>34</v>
      </c>
      <c r="G6855">
        <v>0.06</v>
      </c>
      <c r="H6855" s="2">
        <v>111672.11</v>
      </c>
      <c r="I6855" s="2">
        <v>6700.33</v>
      </c>
    </row>
    <row r="6856" spans="1:9" x14ac:dyDescent="0.25">
      <c r="A6856" t="s">
        <v>3758</v>
      </c>
      <c r="B6856" t="s">
        <v>3759</v>
      </c>
      <c r="C6856" t="s">
        <v>42</v>
      </c>
      <c r="D6856" t="s">
        <v>4062</v>
      </c>
      <c r="E6856" t="s">
        <v>7724</v>
      </c>
      <c r="F6856" t="s">
        <v>21</v>
      </c>
      <c r="G6856">
        <v>0.8</v>
      </c>
      <c r="H6856" s="2">
        <v>3399.59</v>
      </c>
      <c r="I6856" s="2">
        <v>2719.67</v>
      </c>
    </row>
    <row r="6857" spans="1:9" x14ac:dyDescent="0.25">
      <c r="A6857" t="s">
        <v>3758</v>
      </c>
      <c r="B6857" t="s">
        <v>3759</v>
      </c>
      <c r="C6857" t="s">
        <v>42</v>
      </c>
      <c r="D6857" t="s">
        <v>4062</v>
      </c>
      <c r="E6857" t="s">
        <v>7725</v>
      </c>
      <c r="F6857" t="s">
        <v>34</v>
      </c>
      <c r="G6857">
        <v>0.06</v>
      </c>
      <c r="H6857" s="2">
        <v>582852.45</v>
      </c>
      <c r="I6857" s="2">
        <v>34971.15</v>
      </c>
    </row>
    <row r="6858" spans="1:9" x14ac:dyDescent="0.25">
      <c r="A6858" t="s">
        <v>3758</v>
      </c>
      <c r="B6858" t="s">
        <v>3759</v>
      </c>
      <c r="C6858" t="s">
        <v>42</v>
      </c>
      <c r="D6858" t="s">
        <v>4049</v>
      </c>
      <c r="E6858" t="s">
        <v>4241</v>
      </c>
      <c r="F6858" t="s">
        <v>4051</v>
      </c>
      <c r="G6858">
        <v>0.18</v>
      </c>
      <c r="H6858" s="2">
        <v>9941.22</v>
      </c>
      <c r="I6858" s="2">
        <v>1739.71</v>
      </c>
    </row>
    <row r="6859" spans="1:9" x14ac:dyDescent="0.25">
      <c r="A6859" t="s">
        <v>3758</v>
      </c>
      <c r="B6859" t="s">
        <v>3759</v>
      </c>
      <c r="C6859" t="s">
        <v>42</v>
      </c>
      <c r="D6859" t="s">
        <v>4049</v>
      </c>
      <c r="E6859" t="s">
        <v>4242</v>
      </c>
      <c r="F6859" t="s">
        <v>4051</v>
      </c>
      <c r="G6859">
        <v>0.18</v>
      </c>
      <c r="H6859" s="2">
        <v>17069.53</v>
      </c>
      <c r="I6859" s="2">
        <v>2987.17</v>
      </c>
    </row>
    <row r="6860" spans="1:9" x14ac:dyDescent="0.25">
      <c r="A6860" t="s">
        <v>3758</v>
      </c>
      <c r="B6860" t="s">
        <v>3759</v>
      </c>
      <c r="C6860" t="s">
        <v>42</v>
      </c>
      <c r="D6860" t="s">
        <v>4052</v>
      </c>
      <c r="E6860" t="s">
        <v>4092</v>
      </c>
      <c r="F6860" t="s">
        <v>287</v>
      </c>
      <c r="G6860">
        <v>0.17</v>
      </c>
      <c r="H6860" s="2">
        <v>97476</v>
      </c>
      <c r="I6860" s="2">
        <v>16570.92</v>
      </c>
    </row>
    <row r="6861" spans="1:9" x14ac:dyDescent="0.25">
      <c r="A6861" t="s">
        <v>3758</v>
      </c>
      <c r="B6861" t="s">
        <v>3759</v>
      </c>
      <c r="C6861" t="s">
        <v>42</v>
      </c>
      <c r="D6861" t="s">
        <v>4052</v>
      </c>
      <c r="E6861" t="s">
        <v>7234</v>
      </c>
      <c r="F6861" t="s">
        <v>287</v>
      </c>
      <c r="G6861">
        <v>0.09</v>
      </c>
      <c r="H6861" s="2">
        <v>8800</v>
      </c>
      <c r="I6861" s="2">
        <v>748</v>
      </c>
    </row>
    <row r="6862" spans="1:9" x14ac:dyDescent="0.25">
      <c r="A6862" t="s">
        <v>3758</v>
      </c>
      <c r="B6862" t="s">
        <v>3759</v>
      </c>
      <c r="C6862" t="s">
        <v>42</v>
      </c>
      <c r="D6862" t="s">
        <v>4052</v>
      </c>
      <c r="E6862" t="s">
        <v>6294</v>
      </c>
      <c r="F6862" t="s">
        <v>4106</v>
      </c>
      <c r="G6862">
        <v>0</v>
      </c>
      <c r="H6862" s="2">
        <v>236228.11</v>
      </c>
      <c r="I6862" s="2">
        <v>944.91</v>
      </c>
    </row>
    <row r="6863" spans="1:9" x14ac:dyDescent="0.25">
      <c r="A6863" t="s">
        <v>3758</v>
      </c>
      <c r="B6863" t="s">
        <v>3759</v>
      </c>
      <c r="C6863" t="s">
        <v>42</v>
      </c>
      <c r="D6863" t="s">
        <v>4052</v>
      </c>
      <c r="E6863" t="s">
        <v>4053</v>
      </c>
      <c r="F6863" t="s">
        <v>4054</v>
      </c>
      <c r="G6863">
        <v>5</v>
      </c>
      <c r="H6863" s="2">
        <v>4726.88</v>
      </c>
      <c r="I6863" s="2">
        <v>236.34</v>
      </c>
    </row>
    <row r="6864" spans="1:9" x14ac:dyDescent="0.25">
      <c r="A6864" t="s">
        <v>3761</v>
      </c>
      <c r="B6864" t="s">
        <v>3762</v>
      </c>
      <c r="C6864" t="s">
        <v>42</v>
      </c>
      <c r="D6864" t="s">
        <v>4062</v>
      </c>
      <c r="E6864" t="s">
        <v>7716</v>
      </c>
      <c r="F6864" t="s">
        <v>42</v>
      </c>
      <c r="G6864">
        <v>1</v>
      </c>
      <c r="H6864" s="2">
        <v>2838.22</v>
      </c>
      <c r="I6864" s="2">
        <v>2838.22</v>
      </c>
    </row>
    <row r="6865" spans="1:9" x14ac:dyDescent="0.25">
      <c r="A6865" t="s">
        <v>3761</v>
      </c>
      <c r="B6865" t="s">
        <v>3762</v>
      </c>
      <c r="C6865" t="s">
        <v>42</v>
      </c>
      <c r="D6865" t="s">
        <v>4062</v>
      </c>
      <c r="E6865" t="s">
        <v>3265</v>
      </c>
      <c r="F6865" t="s">
        <v>34</v>
      </c>
      <c r="G6865">
        <v>0.06</v>
      </c>
      <c r="H6865" s="2">
        <v>706218.57</v>
      </c>
      <c r="I6865" s="2">
        <v>42373.11</v>
      </c>
    </row>
    <row r="6866" spans="1:9" x14ac:dyDescent="0.25">
      <c r="A6866" t="s">
        <v>3761</v>
      </c>
      <c r="B6866" t="s">
        <v>3762</v>
      </c>
      <c r="C6866" t="s">
        <v>42</v>
      </c>
      <c r="D6866" t="s">
        <v>4062</v>
      </c>
      <c r="E6866" t="s">
        <v>7717</v>
      </c>
      <c r="F6866" t="s">
        <v>42</v>
      </c>
      <c r="G6866">
        <v>1</v>
      </c>
      <c r="H6866" s="2">
        <v>46</v>
      </c>
      <c r="I6866" s="2">
        <v>46</v>
      </c>
    </row>
    <row r="6867" spans="1:9" x14ac:dyDescent="0.25">
      <c r="A6867" t="s">
        <v>3761</v>
      </c>
      <c r="B6867" t="s">
        <v>3762</v>
      </c>
      <c r="C6867" t="s">
        <v>42</v>
      </c>
      <c r="D6867" t="s">
        <v>4062</v>
      </c>
      <c r="E6867" t="s">
        <v>7721</v>
      </c>
      <c r="F6867" t="s">
        <v>63</v>
      </c>
      <c r="G6867">
        <v>0.01</v>
      </c>
      <c r="H6867" s="2">
        <v>185957</v>
      </c>
      <c r="I6867" s="2">
        <v>1859.57</v>
      </c>
    </row>
    <row r="6868" spans="1:9" x14ac:dyDescent="0.25">
      <c r="A6868" t="s">
        <v>3761</v>
      </c>
      <c r="B6868" t="s">
        <v>3762</v>
      </c>
      <c r="C6868" t="s">
        <v>42</v>
      </c>
      <c r="D6868" t="s">
        <v>4062</v>
      </c>
      <c r="E6868" t="s">
        <v>7728</v>
      </c>
      <c r="F6868" t="s">
        <v>34</v>
      </c>
      <c r="G6868">
        <v>0.18</v>
      </c>
      <c r="H6868" s="2">
        <v>111672.11</v>
      </c>
      <c r="I6868" s="2">
        <v>20100.98</v>
      </c>
    </row>
    <row r="6869" spans="1:9" x14ac:dyDescent="0.25">
      <c r="A6869" t="s">
        <v>3761</v>
      </c>
      <c r="B6869" t="s">
        <v>3762</v>
      </c>
      <c r="C6869" t="s">
        <v>42</v>
      </c>
      <c r="D6869" t="s">
        <v>4049</v>
      </c>
      <c r="E6869" t="s">
        <v>4241</v>
      </c>
      <c r="F6869" t="s">
        <v>4051</v>
      </c>
      <c r="G6869">
        <v>0.18</v>
      </c>
      <c r="H6869" s="2">
        <v>9941.22</v>
      </c>
      <c r="I6869" s="2">
        <v>1739.71</v>
      </c>
    </row>
    <row r="6870" spans="1:9" x14ac:dyDescent="0.25">
      <c r="A6870" t="s">
        <v>3761</v>
      </c>
      <c r="B6870" t="s">
        <v>3762</v>
      </c>
      <c r="C6870" t="s">
        <v>42</v>
      </c>
      <c r="D6870" t="s">
        <v>4049</v>
      </c>
      <c r="E6870" t="s">
        <v>4242</v>
      </c>
      <c r="F6870" t="s">
        <v>4051</v>
      </c>
      <c r="G6870">
        <v>0.18</v>
      </c>
      <c r="H6870" s="2">
        <v>17069.53</v>
      </c>
      <c r="I6870" s="2">
        <v>2987.17</v>
      </c>
    </row>
    <row r="6871" spans="1:9" x14ac:dyDescent="0.25">
      <c r="A6871" t="s">
        <v>3761</v>
      </c>
      <c r="B6871" t="s">
        <v>3762</v>
      </c>
      <c r="C6871" t="s">
        <v>42</v>
      </c>
      <c r="D6871" t="s">
        <v>4052</v>
      </c>
      <c r="E6871" t="s">
        <v>4092</v>
      </c>
      <c r="F6871" t="s">
        <v>287</v>
      </c>
      <c r="G6871">
        <v>0.15</v>
      </c>
      <c r="H6871" s="2">
        <v>97476</v>
      </c>
      <c r="I6871" s="2">
        <v>14621.4</v>
      </c>
    </row>
    <row r="6872" spans="1:9" x14ac:dyDescent="0.25">
      <c r="A6872" t="s">
        <v>3761</v>
      </c>
      <c r="B6872" t="s">
        <v>3762</v>
      </c>
      <c r="C6872" t="s">
        <v>42</v>
      </c>
      <c r="D6872" t="s">
        <v>4052</v>
      </c>
      <c r="E6872" t="s">
        <v>7234</v>
      </c>
      <c r="F6872" t="s">
        <v>287</v>
      </c>
      <c r="G6872">
        <v>0.09</v>
      </c>
      <c r="H6872" s="2">
        <v>8800</v>
      </c>
      <c r="I6872" s="2">
        <v>748</v>
      </c>
    </row>
    <row r="6873" spans="1:9" x14ac:dyDescent="0.25">
      <c r="A6873" t="s">
        <v>3761</v>
      </c>
      <c r="B6873" t="s">
        <v>3762</v>
      </c>
      <c r="C6873" t="s">
        <v>42</v>
      </c>
      <c r="D6873" t="s">
        <v>4052</v>
      </c>
      <c r="E6873" t="s">
        <v>6294</v>
      </c>
      <c r="F6873" t="s">
        <v>4106</v>
      </c>
      <c r="G6873">
        <v>0</v>
      </c>
      <c r="H6873" s="2">
        <v>236228.11</v>
      </c>
      <c r="I6873" s="2">
        <v>944.91</v>
      </c>
    </row>
    <row r="6874" spans="1:9" x14ac:dyDescent="0.25">
      <c r="A6874" t="s">
        <v>3761</v>
      </c>
      <c r="B6874" t="s">
        <v>3762</v>
      </c>
      <c r="C6874" t="s">
        <v>42</v>
      </c>
      <c r="D6874" t="s">
        <v>4052</v>
      </c>
      <c r="E6874" t="s">
        <v>4053</v>
      </c>
      <c r="F6874" t="s">
        <v>4054</v>
      </c>
      <c r="G6874">
        <v>5</v>
      </c>
      <c r="H6874" s="2">
        <v>4726.88</v>
      </c>
      <c r="I6874" s="2">
        <v>236.34</v>
      </c>
    </row>
    <row r="6875" spans="1:9" x14ac:dyDescent="0.25">
      <c r="A6875" t="s">
        <v>3764</v>
      </c>
      <c r="B6875" t="s">
        <v>3765</v>
      </c>
      <c r="C6875" t="s">
        <v>42</v>
      </c>
      <c r="D6875" t="s">
        <v>4062</v>
      </c>
      <c r="E6875" t="s">
        <v>4547</v>
      </c>
      <c r="F6875" t="s">
        <v>34</v>
      </c>
      <c r="G6875">
        <v>0.24</v>
      </c>
      <c r="H6875" s="2">
        <v>57129.33</v>
      </c>
      <c r="I6875" s="2">
        <v>13711.04</v>
      </c>
    </row>
    <row r="6876" spans="1:9" x14ac:dyDescent="0.25">
      <c r="A6876" t="s">
        <v>3764</v>
      </c>
      <c r="B6876" t="s">
        <v>3765</v>
      </c>
      <c r="C6876" t="s">
        <v>42</v>
      </c>
      <c r="D6876" t="s">
        <v>4062</v>
      </c>
      <c r="E6876" t="s">
        <v>7716</v>
      </c>
      <c r="F6876" t="s">
        <v>42</v>
      </c>
      <c r="G6876">
        <v>1</v>
      </c>
      <c r="H6876" s="2">
        <v>2838.22</v>
      </c>
      <c r="I6876" s="2">
        <v>2838.22</v>
      </c>
    </row>
    <row r="6877" spans="1:9" x14ac:dyDescent="0.25">
      <c r="A6877" t="s">
        <v>3764</v>
      </c>
      <c r="B6877" t="s">
        <v>3765</v>
      </c>
      <c r="C6877" t="s">
        <v>42</v>
      </c>
      <c r="D6877" t="s">
        <v>4062</v>
      </c>
      <c r="E6877" t="s">
        <v>7581</v>
      </c>
      <c r="F6877" t="s">
        <v>21</v>
      </c>
      <c r="G6877">
        <v>0.4</v>
      </c>
      <c r="H6877" s="2">
        <v>3850</v>
      </c>
      <c r="I6877" s="2">
        <v>1540</v>
      </c>
    </row>
    <row r="6878" spans="1:9" x14ac:dyDescent="0.25">
      <c r="A6878" t="s">
        <v>3764</v>
      </c>
      <c r="B6878" t="s">
        <v>3765</v>
      </c>
      <c r="C6878" t="s">
        <v>42</v>
      </c>
      <c r="D6878" t="s">
        <v>4062</v>
      </c>
      <c r="E6878" t="s">
        <v>7717</v>
      </c>
      <c r="F6878" t="s">
        <v>42</v>
      </c>
      <c r="G6878">
        <v>1</v>
      </c>
      <c r="H6878" s="2">
        <v>46</v>
      </c>
      <c r="I6878" s="2">
        <v>46</v>
      </c>
    </row>
    <row r="6879" spans="1:9" x14ac:dyDescent="0.25">
      <c r="A6879" t="s">
        <v>3764</v>
      </c>
      <c r="B6879" t="s">
        <v>3765</v>
      </c>
      <c r="C6879" t="s">
        <v>42</v>
      </c>
      <c r="D6879" t="s">
        <v>4049</v>
      </c>
      <c r="E6879" t="s">
        <v>4050</v>
      </c>
      <c r="F6879" t="s">
        <v>4051</v>
      </c>
      <c r="G6879">
        <v>0.7</v>
      </c>
      <c r="H6879" s="2">
        <v>9037.33</v>
      </c>
      <c r="I6879" s="2">
        <v>6326.13</v>
      </c>
    </row>
    <row r="6880" spans="1:9" x14ac:dyDescent="0.25">
      <c r="A6880" t="s">
        <v>3764</v>
      </c>
      <c r="B6880" t="s">
        <v>3765</v>
      </c>
      <c r="C6880" t="s">
        <v>42</v>
      </c>
      <c r="D6880" t="s">
        <v>4049</v>
      </c>
      <c r="E6880" t="s">
        <v>4241</v>
      </c>
      <c r="F6880" t="s">
        <v>4051</v>
      </c>
      <c r="G6880">
        <v>0.18</v>
      </c>
      <c r="H6880" s="2">
        <v>9941.22</v>
      </c>
      <c r="I6880" s="2">
        <v>1739.71</v>
      </c>
    </row>
    <row r="6881" spans="1:9" x14ac:dyDescent="0.25">
      <c r="A6881" t="s">
        <v>3764</v>
      </c>
      <c r="B6881" t="s">
        <v>3765</v>
      </c>
      <c r="C6881" t="s">
        <v>42</v>
      </c>
      <c r="D6881" t="s">
        <v>4049</v>
      </c>
      <c r="E6881" t="s">
        <v>4073</v>
      </c>
      <c r="F6881" t="s">
        <v>4051</v>
      </c>
      <c r="G6881">
        <v>0.7</v>
      </c>
      <c r="H6881" s="2">
        <v>15517.89</v>
      </c>
      <c r="I6881" s="2">
        <v>10862.52</v>
      </c>
    </row>
    <row r="6882" spans="1:9" x14ac:dyDescent="0.25">
      <c r="A6882" t="s">
        <v>3764</v>
      </c>
      <c r="B6882" t="s">
        <v>3765</v>
      </c>
      <c r="C6882" t="s">
        <v>42</v>
      </c>
      <c r="D6882" t="s">
        <v>4049</v>
      </c>
      <c r="E6882" t="s">
        <v>4242</v>
      </c>
      <c r="F6882" t="s">
        <v>4051</v>
      </c>
      <c r="G6882">
        <v>0.18</v>
      </c>
      <c r="H6882" s="2">
        <v>17069.53</v>
      </c>
      <c r="I6882" s="2">
        <v>2987.17</v>
      </c>
    </row>
    <row r="6883" spans="1:9" x14ac:dyDescent="0.25">
      <c r="A6883" t="s">
        <v>3764</v>
      </c>
      <c r="B6883" t="s">
        <v>3765</v>
      </c>
      <c r="C6883" t="s">
        <v>42</v>
      </c>
      <c r="D6883" t="s">
        <v>4052</v>
      </c>
      <c r="E6883" t="s">
        <v>6294</v>
      </c>
      <c r="F6883" t="s">
        <v>4106</v>
      </c>
      <c r="G6883">
        <v>0</v>
      </c>
      <c r="H6883" s="2">
        <v>236228.11</v>
      </c>
      <c r="I6883" s="2">
        <v>944.91</v>
      </c>
    </row>
    <row r="6884" spans="1:9" x14ac:dyDescent="0.25">
      <c r="A6884" t="s">
        <v>3764</v>
      </c>
      <c r="B6884" t="s">
        <v>3765</v>
      </c>
      <c r="C6884" t="s">
        <v>42</v>
      </c>
      <c r="D6884" t="s">
        <v>4052</v>
      </c>
      <c r="E6884" t="s">
        <v>4342</v>
      </c>
      <c r="F6884" t="s">
        <v>4106</v>
      </c>
      <c r="G6884">
        <v>0.02</v>
      </c>
      <c r="H6884" s="2">
        <v>66666.67</v>
      </c>
      <c r="I6884" s="2">
        <v>1333.33</v>
      </c>
    </row>
    <row r="6885" spans="1:9" x14ac:dyDescent="0.25">
      <c r="A6885" t="s">
        <v>3764</v>
      </c>
      <c r="B6885" t="s">
        <v>3765</v>
      </c>
      <c r="C6885" t="s">
        <v>42</v>
      </c>
      <c r="D6885" t="s">
        <v>4052</v>
      </c>
      <c r="E6885" t="s">
        <v>4053</v>
      </c>
      <c r="F6885" t="s">
        <v>4054</v>
      </c>
      <c r="G6885">
        <v>5</v>
      </c>
      <c r="H6885" s="2">
        <v>21915.53</v>
      </c>
      <c r="I6885" s="2">
        <v>1095.78</v>
      </c>
    </row>
    <row r="6886" spans="1:9" x14ac:dyDescent="0.25">
      <c r="A6886" t="s">
        <v>3767</v>
      </c>
      <c r="B6886" t="s">
        <v>3768</v>
      </c>
      <c r="C6886" t="s">
        <v>42</v>
      </c>
      <c r="D6886" t="s">
        <v>4062</v>
      </c>
      <c r="E6886" t="s">
        <v>7733</v>
      </c>
      <c r="F6886" t="s">
        <v>42</v>
      </c>
      <c r="G6886">
        <v>1</v>
      </c>
      <c r="H6886" s="2">
        <v>4741</v>
      </c>
      <c r="I6886" s="2">
        <v>4741</v>
      </c>
    </row>
    <row r="6887" spans="1:9" x14ac:dyDescent="0.25">
      <c r="A6887" t="s">
        <v>3767</v>
      </c>
      <c r="B6887" t="s">
        <v>3768</v>
      </c>
      <c r="C6887" t="s">
        <v>42</v>
      </c>
      <c r="D6887" t="s">
        <v>4062</v>
      </c>
      <c r="E6887" t="s">
        <v>5816</v>
      </c>
      <c r="F6887" t="s">
        <v>34</v>
      </c>
      <c r="G6887">
        <v>0.02</v>
      </c>
      <c r="H6887" s="2">
        <v>93966.67</v>
      </c>
      <c r="I6887" s="2">
        <v>1879.33</v>
      </c>
    </row>
    <row r="6888" spans="1:9" x14ac:dyDescent="0.25">
      <c r="A6888" t="s">
        <v>3767</v>
      </c>
      <c r="B6888" t="s">
        <v>3768</v>
      </c>
      <c r="C6888" t="s">
        <v>42</v>
      </c>
      <c r="D6888" t="s">
        <v>4062</v>
      </c>
      <c r="E6888" t="s">
        <v>7717</v>
      </c>
      <c r="F6888" t="s">
        <v>42</v>
      </c>
      <c r="G6888">
        <v>1</v>
      </c>
      <c r="H6888" s="2">
        <v>46</v>
      </c>
      <c r="I6888" s="2">
        <v>46</v>
      </c>
    </row>
    <row r="6889" spans="1:9" x14ac:dyDescent="0.25">
      <c r="A6889" t="s">
        <v>3767</v>
      </c>
      <c r="B6889" t="s">
        <v>3768</v>
      </c>
      <c r="C6889" t="s">
        <v>42</v>
      </c>
      <c r="D6889" t="s">
        <v>4062</v>
      </c>
      <c r="E6889" t="s">
        <v>3261</v>
      </c>
      <c r="F6889" t="s">
        <v>34</v>
      </c>
      <c r="G6889">
        <v>0.12</v>
      </c>
      <c r="H6889" s="2">
        <v>90100.77</v>
      </c>
      <c r="I6889" s="2">
        <v>10812.09</v>
      </c>
    </row>
    <row r="6890" spans="1:9" x14ac:dyDescent="0.25">
      <c r="A6890" t="s">
        <v>3767</v>
      </c>
      <c r="B6890" t="s">
        <v>3768</v>
      </c>
      <c r="C6890" t="s">
        <v>42</v>
      </c>
      <c r="D6890" t="s">
        <v>4062</v>
      </c>
      <c r="E6890" t="s">
        <v>7718</v>
      </c>
      <c r="F6890" t="s">
        <v>21</v>
      </c>
      <c r="G6890">
        <v>0.4</v>
      </c>
      <c r="H6890" s="2">
        <v>35458.33</v>
      </c>
      <c r="I6890" s="2">
        <v>14183.33</v>
      </c>
    </row>
    <row r="6891" spans="1:9" x14ac:dyDescent="0.25">
      <c r="A6891" t="s">
        <v>3767</v>
      </c>
      <c r="B6891" t="s">
        <v>3768</v>
      </c>
      <c r="C6891" t="s">
        <v>42</v>
      </c>
      <c r="D6891" t="s">
        <v>4062</v>
      </c>
      <c r="E6891" t="s">
        <v>4076</v>
      </c>
      <c r="F6891" t="s">
        <v>3963</v>
      </c>
      <c r="G6891">
        <v>2.85</v>
      </c>
      <c r="H6891" s="2">
        <v>21</v>
      </c>
      <c r="I6891" s="2">
        <v>59.85</v>
      </c>
    </row>
    <row r="6892" spans="1:9" x14ac:dyDescent="0.25">
      <c r="A6892" t="s">
        <v>3767</v>
      </c>
      <c r="B6892" t="s">
        <v>3768</v>
      </c>
      <c r="C6892" t="s">
        <v>42</v>
      </c>
      <c r="D6892" t="s">
        <v>4049</v>
      </c>
      <c r="E6892" t="s">
        <v>4050</v>
      </c>
      <c r="F6892" t="s">
        <v>4051</v>
      </c>
      <c r="G6892">
        <v>1.05</v>
      </c>
      <c r="H6892" s="2">
        <v>9037.33</v>
      </c>
      <c r="I6892" s="2">
        <v>9489.2</v>
      </c>
    </row>
    <row r="6893" spans="1:9" x14ac:dyDescent="0.25">
      <c r="A6893" t="s">
        <v>3767</v>
      </c>
      <c r="B6893" t="s">
        <v>3768</v>
      </c>
      <c r="C6893" t="s">
        <v>42</v>
      </c>
      <c r="D6893" t="s">
        <v>4049</v>
      </c>
      <c r="E6893" t="s">
        <v>4241</v>
      </c>
      <c r="F6893" t="s">
        <v>4051</v>
      </c>
      <c r="G6893">
        <v>0.18</v>
      </c>
      <c r="H6893" s="2">
        <v>9941.22</v>
      </c>
      <c r="I6893" s="2">
        <v>1739.71</v>
      </c>
    </row>
    <row r="6894" spans="1:9" x14ac:dyDescent="0.25">
      <c r="A6894" t="s">
        <v>3767</v>
      </c>
      <c r="B6894" t="s">
        <v>3768</v>
      </c>
      <c r="C6894" t="s">
        <v>42</v>
      </c>
      <c r="D6894" t="s">
        <v>4049</v>
      </c>
      <c r="E6894" t="s">
        <v>4073</v>
      </c>
      <c r="F6894" t="s">
        <v>4051</v>
      </c>
      <c r="G6894">
        <v>1.05</v>
      </c>
      <c r="H6894" s="2">
        <v>15517.89</v>
      </c>
      <c r="I6894" s="2">
        <v>16293.78</v>
      </c>
    </row>
    <row r="6895" spans="1:9" x14ac:dyDescent="0.25">
      <c r="A6895" t="s">
        <v>3767</v>
      </c>
      <c r="B6895" t="s">
        <v>3768</v>
      </c>
      <c r="C6895" t="s">
        <v>42</v>
      </c>
      <c r="D6895" t="s">
        <v>4049</v>
      </c>
      <c r="E6895" t="s">
        <v>4242</v>
      </c>
      <c r="F6895" t="s">
        <v>4051</v>
      </c>
      <c r="G6895">
        <v>0.18</v>
      </c>
      <c r="H6895" s="2">
        <v>17069.53</v>
      </c>
      <c r="I6895" s="2">
        <v>2987.17</v>
      </c>
    </row>
    <row r="6896" spans="1:9" x14ac:dyDescent="0.25">
      <c r="A6896" t="s">
        <v>3767</v>
      </c>
      <c r="B6896" t="s">
        <v>3768</v>
      </c>
      <c r="C6896" t="s">
        <v>42</v>
      </c>
      <c r="D6896" t="s">
        <v>4052</v>
      </c>
      <c r="E6896" t="s">
        <v>6294</v>
      </c>
      <c r="F6896" t="s">
        <v>4106</v>
      </c>
      <c r="G6896">
        <v>0</v>
      </c>
      <c r="H6896" s="2">
        <v>236228.11</v>
      </c>
      <c r="I6896" s="2">
        <v>944.91</v>
      </c>
    </row>
    <row r="6897" spans="1:9" x14ac:dyDescent="0.25">
      <c r="A6897" t="s">
        <v>3767</v>
      </c>
      <c r="B6897" t="s">
        <v>3768</v>
      </c>
      <c r="C6897" t="s">
        <v>42</v>
      </c>
      <c r="D6897" t="s">
        <v>4052</v>
      </c>
      <c r="E6897" t="s">
        <v>4342</v>
      </c>
      <c r="F6897" t="s">
        <v>4106</v>
      </c>
      <c r="G6897">
        <v>0.02</v>
      </c>
      <c r="H6897" s="2">
        <v>66666.67</v>
      </c>
      <c r="I6897" s="2">
        <v>1333.33</v>
      </c>
    </row>
    <row r="6898" spans="1:9" x14ac:dyDescent="0.25">
      <c r="A6898" t="s">
        <v>3767</v>
      </c>
      <c r="B6898" t="s">
        <v>3768</v>
      </c>
      <c r="C6898" t="s">
        <v>42</v>
      </c>
      <c r="D6898" t="s">
        <v>4052</v>
      </c>
      <c r="E6898" t="s">
        <v>4053</v>
      </c>
      <c r="F6898" t="s">
        <v>4054</v>
      </c>
      <c r="G6898">
        <v>3.3</v>
      </c>
      <c r="H6898" s="2">
        <v>30509.86</v>
      </c>
      <c r="I6898" s="2">
        <v>1006.83</v>
      </c>
    </row>
    <row r="6899" spans="1:9" x14ac:dyDescent="0.25">
      <c r="A6899" t="s">
        <v>3770</v>
      </c>
      <c r="B6899" t="s">
        <v>3771</v>
      </c>
      <c r="C6899" t="s">
        <v>42</v>
      </c>
      <c r="D6899" t="s">
        <v>4062</v>
      </c>
      <c r="E6899" t="s">
        <v>7733</v>
      </c>
      <c r="F6899" t="s">
        <v>42</v>
      </c>
      <c r="G6899">
        <v>1</v>
      </c>
      <c r="H6899" s="2">
        <v>4741</v>
      </c>
      <c r="I6899" s="2">
        <v>4741</v>
      </c>
    </row>
    <row r="6900" spans="1:9" x14ac:dyDescent="0.25">
      <c r="A6900" t="s">
        <v>3770</v>
      </c>
      <c r="B6900" t="s">
        <v>3771</v>
      </c>
      <c r="C6900" t="s">
        <v>42</v>
      </c>
      <c r="D6900" t="s">
        <v>4062</v>
      </c>
      <c r="E6900" t="s">
        <v>7717</v>
      </c>
      <c r="F6900" t="s">
        <v>42</v>
      </c>
      <c r="G6900">
        <v>1</v>
      </c>
      <c r="H6900" s="2">
        <v>46</v>
      </c>
      <c r="I6900" s="2">
        <v>46</v>
      </c>
    </row>
    <row r="6901" spans="1:9" x14ac:dyDescent="0.25">
      <c r="A6901" t="s">
        <v>3770</v>
      </c>
      <c r="B6901" t="s">
        <v>3771</v>
      </c>
      <c r="C6901" t="s">
        <v>42</v>
      </c>
      <c r="D6901" t="s">
        <v>4062</v>
      </c>
      <c r="E6901" t="s">
        <v>7721</v>
      </c>
      <c r="F6901" t="s">
        <v>63</v>
      </c>
      <c r="G6901">
        <v>0.01</v>
      </c>
      <c r="H6901" s="2">
        <v>185957</v>
      </c>
      <c r="I6901" s="2">
        <v>1859.57</v>
      </c>
    </row>
    <row r="6902" spans="1:9" x14ac:dyDescent="0.25">
      <c r="A6902" t="s">
        <v>3770</v>
      </c>
      <c r="B6902" t="s">
        <v>3771</v>
      </c>
      <c r="C6902" t="s">
        <v>42</v>
      </c>
      <c r="D6902" t="s">
        <v>4062</v>
      </c>
      <c r="E6902" t="s">
        <v>7722</v>
      </c>
      <c r="F6902" t="s">
        <v>34</v>
      </c>
      <c r="G6902">
        <v>0.12</v>
      </c>
      <c r="H6902" s="2">
        <v>90100.77</v>
      </c>
      <c r="I6902" s="2">
        <v>10812.09</v>
      </c>
    </row>
    <row r="6903" spans="1:9" x14ac:dyDescent="0.25">
      <c r="A6903" t="s">
        <v>3770</v>
      </c>
      <c r="B6903" t="s">
        <v>3771</v>
      </c>
      <c r="C6903" t="s">
        <v>42</v>
      </c>
      <c r="D6903" t="s">
        <v>4062</v>
      </c>
      <c r="E6903" t="s">
        <v>7723</v>
      </c>
      <c r="F6903" t="s">
        <v>34</v>
      </c>
      <c r="G6903">
        <v>0.06</v>
      </c>
      <c r="H6903" s="2">
        <v>111672.11</v>
      </c>
      <c r="I6903" s="2">
        <v>6700.33</v>
      </c>
    </row>
    <row r="6904" spans="1:9" x14ac:dyDescent="0.25">
      <c r="A6904" t="s">
        <v>3770</v>
      </c>
      <c r="B6904" t="s">
        <v>3771</v>
      </c>
      <c r="C6904" t="s">
        <v>42</v>
      </c>
      <c r="D6904" t="s">
        <v>4062</v>
      </c>
      <c r="E6904" t="s">
        <v>7724</v>
      </c>
      <c r="F6904" t="s">
        <v>21</v>
      </c>
      <c r="G6904">
        <v>0.8</v>
      </c>
      <c r="H6904" s="2">
        <v>3399.59</v>
      </c>
      <c r="I6904" s="2">
        <v>2719.67</v>
      </c>
    </row>
    <row r="6905" spans="1:9" x14ac:dyDescent="0.25">
      <c r="A6905" t="s">
        <v>3770</v>
      </c>
      <c r="B6905" t="s">
        <v>3771</v>
      </c>
      <c r="C6905" t="s">
        <v>42</v>
      </c>
      <c r="D6905" t="s">
        <v>4062</v>
      </c>
      <c r="E6905" t="s">
        <v>7725</v>
      </c>
      <c r="F6905" t="s">
        <v>34</v>
      </c>
      <c r="G6905">
        <v>0.06</v>
      </c>
      <c r="H6905" s="2">
        <v>582852.45</v>
      </c>
      <c r="I6905" s="2">
        <v>34971.15</v>
      </c>
    </row>
    <row r="6906" spans="1:9" x14ac:dyDescent="0.25">
      <c r="A6906" t="s">
        <v>3770</v>
      </c>
      <c r="B6906" t="s">
        <v>3771</v>
      </c>
      <c r="C6906" t="s">
        <v>42</v>
      </c>
      <c r="D6906" t="s">
        <v>4049</v>
      </c>
      <c r="E6906" t="s">
        <v>4241</v>
      </c>
      <c r="F6906" t="s">
        <v>4051</v>
      </c>
      <c r="G6906">
        <v>0.18</v>
      </c>
      <c r="H6906" s="2">
        <v>9941.22</v>
      </c>
      <c r="I6906" s="2">
        <v>1739.71</v>
      </c>
    </row>
    <row r="6907" spans="1:9" x14ac:dyDescent="0.25">
      <c r="A6907" t="s">
        <v>3770</v>
      </c>
      <c r="B6907" t="s">
        <v>3771</v>
      </c>
      <c r="C6907" t="s">
        <v>42</v>
      </c>
      <c r="D6907" t="s">
        <v>4049</v>
      </c>
      <c r="E6907" t="s">
        <v>4242</v>
      </c>
      <c r="F6907" t="s">
        <v>4051</v>
      </c>
      <c r="G6907">
        <v>0.18</v>
      </c>
      <c r="H6907" s="2">
        <v>17069.53</v>
      </c>
      <c r="I6907" s="2">
        <v>2987.17</v>
      </c>
    </row>
    <row r="6908" spans="1:9" x14ac:dyDescent="0.25">
      <c r="A6908" t="s">
        <v>3770</v>
      </c>
      <c r="B6908" t="s">
        <v>3771</v>
      </c>
      <c r="C6908" t="s">
        <v>42</v>
      </c>
      <c r="D6908" t="s">
        <v>4052</v>
      </c>
      <c r="E6908" t="s">
        <v>4092</v>
      </c>
      <c r="F6908" t="s">
        <v>287</v>
      </c>
      <c r="G6908">
        <v>0.16</v>
      </c>
      <c r="H6908" s="2">
        <v>97476</v>
      </c>
      <c r="I6908" s="2">
        <v>15596.16</v>
      </c>
    </row>
    <row r="6909" spans="1:9" x14ac:dyDescent="0.25">
      <c r="A6909" t="s">
        <v>3770</v>
      </c>
      <c r="B6909" t="s">
        <v>3771</v>
      </c>
      <c r="C6909" t="s">
        <v>42</v>
      </c>
      <c r="D6909" t="s">
        <v>4052</v>
      </c>
      <c r="E6909" t="s">
        <v>7234</v>
      </c>
      <c r="F6909" t="s">
        <v>287</v>
      </c>
      <c r="G6909">
        <v>0.09</v>
      </c>
      <c r="H6909" s="2">
        <v>8800</v>
      </c>
      <c r="I6909" s="2">
        <v>748</v>
      </c>
    </row>
    <row r="6910" spans="1:9" x14ac:dyDescent="0.25">
      <c r="A6910" t="s">
        <v>3770</v>
      </c>
      <c r="B6910" t="s">
        <v>3771</v>
      </c>
      <c r="C6910" t="s">
        <v>42</v>
      </c>
      <c r="D6910" t="s">
        <v>4052</v>
      </c>
      <c r="E6910" t="s">
        <v>6294</v>
      </c>
      <c r="F6910" t="s">
        <v>4106</v>
      </c>
      <c r="G6910">
        <v>0</v>
      </c>
      <c r="H6910" s="2">
        <v>236228.11</v>
      </c>
      <c r="I6910" s="2">
        <v>944.91</v>
      </c>
    </row>
    <row r="6911" spans="1:9" x14ac:dyDescent="0.25">
      <c r="A6911" t="s">
        <v>3770</v>
      </c>
      <c r="B6911" t="s">
        <v>3771</v>
      </c>
      <c r="C6911" t="s">
        <v>42</v>
      </c>
      <c r="D6911" t="s">
        <v>4052</v>
      </c>
      <c r="E6911" t="s">
        <v>4053</v>
      </c>
      <c r="F6911" t="s">
        <v>4054</v>
      </c>
      <c r="G6911">
        <v>5</v>
      </c>
      <c r="H6911" s="2">
        <v>4726.88</v>
      </c>
      <c r="I6911" s="2">
        <v>236.34</v>
      </c>
    </row>
    <row r="6912" spans="1:9" x14ac:dyDescent="0.25">
      <c r="A6912" t="s">
        <v>3773</v>
      </c>
      <c r="B6912" t="s">
        <v>3774</v>
      </c>
      <c r="C6912" t="s">
        <v>42</v>
      </c>
      <c r="D6912" t="s">
        <v>4062</v>
      </c>
      <c r="E6912" t="s">
        <v>7733</v>
      </c>
      <c r="F6912" t="s">
        <v>42</v>
      </c>
      <c r="G6912">
        <v>1</v>
      </c>
      <c r="H6912" s="2">
        <v>4741</v>
      </c>
      <c r="I6912" s="2">
        <v>4741</v>
      </c>
    </row>
    <row r="6913" spans="1:9" x14ac:dyDescent="0.25">
      <c r="A6913" t="s">
        <v>3773</v>
      </c>
      <c r="B6913" t="s">
        <v>3774</v>
      </c>
      <c r="C6913" t="s">
        <v>42</v>
      </c>
      <c r="D6913" t="s">
        <v>4062</v>
      </c>
      <c r="E6913" t="s">
        <v>3265</v>
      </c>
      <c r="F6913" t="s">
        <v>34</v>
      </c>
      <c r="G6913">
        <v>0.06</v>
      </c>
      <c r="H6913" s="2">
        <v>706218.57</v>
      </c>
      <c r="I6913" s="2">
        <v>42373.11</v>
      </c>
    </row>
    <row r="6914" spans="1:9" x14ac:dyDescent="0.25">
      <c r="A6914" t="s">
        <v>3773</v>
      </c>
      <c r="B6914" t="s">
        <v>3774</v>
      </c>
      <c r="C6914" t="s">
        <v>42</v>
      </c>
      <c r="D6914" t="s">
        <v>4062</v>
      </c>
      <c r="E6914" t="s">
        <v>7717</v>
      </c>
      <c r="F6914" t="s">
        <v>42</v>
      </c>
      <c r="G6914">
        <v>1</v>
      </c>
      <c r="H6914" s="2">
        <v>46</v>
      </c>
      <c r="I6914" s="2">
        <v>46</v>
      </c>
    </row>
    <row r="6915" spans="1:9" x14ac:dyDescent="0.25">
      <c r="A6915" t="s">
        <v>3773</v>
      </c>
      <c r="B6915" t="s">
        <v>3774</v>
      </c>
      <c r="C6915" t="s">
        <v>42</v>
      </c>
      <c r="D6915" t="s">
        <v>4062</v>
      </c>
      <c r="E6915" t="s">
        <v>7721</v>
      </c>
      <c r="F6915" t="s">
        <v>63</v>
      </c>
      <c r="G6915">
        <v>0.01</v>
      </c>
      <c r="H6915" s="2">
        <v>185957</v>
      </c>
      <c r="I6915" s="2">
        <v>1859.57</v>
      </c>
    </row>
    <row r="6916" spans="1:9" x14ac:dyDescent="0.25">
      <c r="A6916" t="s">
        <v>3773</v>
      </c>
      <c r="B6916" t="s">
        <v>3774</v>
      </c>
      <c r="C6916" t="s">
        <v>42</v>
      </c>
      <c r="D6916" t="s">
        <v>4062</v>
      </c>
      <c r="E6916" t="s">
        <v>7728</v>
      </c>
      <c r="F6916" t="s">
        <v>34</v>
      </c>
      <c r="G6916">
        <v>0.18</v>
      </c>
      <c r="H6916" s="2">
        <v>111672.11</v>
      </c>
      <c r="I6916" s="2">
        <v>20100.98</v>
      </c>
    </row>
    <row r="6917" spans="1:9" x14ac:dyDescent="0.25">
      <c r="A6917" t="s">
        <v>3773</v>
      </c>
      <c r="B6917" t="s">
        <v>3774</v>
      </c>
      <c r="C6917" t="s">
        <v>42</v>
      </c>
      <c r="D6917" t="s">
        <v>4049</v>
      </c>
      <c r="E6917" t="s">
        <v>4241</v>
      </c>
      <c r="F6917" t="s">
        <v>4051</v>
      </c>
      <c r="G6917">
        <v>0.18</v>
      </c>
      <c r="H6917" s="2">
        <v>9941.22</v>
      </c>
      <c r="I6917" s="2">
        <v>1739.71</v>
      </c>
    </row>
    <row r="6918" spans="1:9" x14ac:dyDescent="0.25">
      <c r="A6918" t="s">
        <v>3773</v>
      </c>
      <c r="B6918" t="s">
        <v>3774</v>
      </c>
      <c r="C6918" t="s">
        <v>42</v>
      </c>
      <c r="D6918" t="s">
        <v>4049</v>
      </c>
      <c r="E6918" t="s">
        <v>4242</v>
      </c>
      <c r="F6918" t="s">
        <v>4051</v>
      </c>
      <c r="G6918">
        <v>0.18</v>
      </c>
      <c r="H6918" s="2">
        <v>17069.53</v>
      </c>
      <c r="I6918" s="2">
        <v>2987.17</v>
      </c>
    </row>
    <row r="6919" spans="1:9" x14ac:dyDescent="0.25">
      <c r="A6919" t="s">
        <v>3773</v>
      </c>
      <c r="B6919" t="s">
        <v>3774</v>
      </c>
      <c r="C6919" t="s">
        <v>42</v>
      </c>
      <c r="D6919" t="s">
        <v>4052</v>
      </c>
      <c r="E6919" t="s">
        <v>4092</v>
      </c>
      <c r="F6919" t="s">
        <v>287</v>
      </c>
      <c r="G6919">
        <v>0.16</v>
      </c>
      <c r="H6919" s="2">
        <v>97476</v>
      </c>
      <c r="I6919" s="2">
        <v>15596.16</v>
      </c>
    </row>
    <row r="6920" spans="1:9" x14ac:dyDescent="0.25">
      <c r="A6920" t="s">
        <v>3773</v>
      </c>
      <c r="B6920" t="s">
        <v>3774</v>
      </c>
      <c r="C6920" t="s">
        <v>42</v>
      </c>
      <c r="D6920" t="s">
        <v>4052</v>
      </c>
      <c r="E6920" t="s">
        <v>7234</v>
      </c>
      <c r="F6920" t="s">
        <v>287</v>
      </c>
      <c r="G6920">
        <v>0.09</v>
      </c>
      <c r="H6920" s="2">
        <v>8800</v>
      </c>
      <c r="I6920" s="2">
        <v>748</v>
      </c>
    </row>
    <row r="6921" spans="1:9" x14ac:dyDescent="0.25">
      <c r="A6921" t="s">
        <v>3773</v>
      </c>
      <c r="B6921" t="s">
        <v>3774</v>
      </c>
      <c r="C6921" t="s">
        <v>42</v>
      </c>
      <c r="D6921" t="s">
        <v>4052</v>
      </c>
      <c r="E6921" t="s">
        <v>6294</v>
      </c>
      <c r="F6921" t="s">
        <v>4106</v>
      </c>
      <c r="G6921">
        <v>0</v>
      </c>
      <c r="H6921" s="2">
        <v>236228.11</v>
      </c>
      <c r="I6921" s="2">
        <v>944.91</v>
      </c>
    </row>
    <row r="6922" spans="1:9" x14ac:dyDescent="0.25">
      <c r="A6922" t="s">
        <v>3773</v>
      </c>
      <c r="B6922" t="s">
        <v>3774</v>
      </c>
      <c r="C6922" t="s">
        <v>42</v>
      </c>
      <c r="D6922" t="s">
        <v>4052</v>
      </c>
      <c r="E6922" t="s">
        <v>4053</v>
      </c>
      <c r="F6922" t="s">
        <v>4054</v>
      </c>
      <c r="G6922">
        <v>5</v>
      </c>
      <c r="H6922" s="2">
        <v>4726.88</v>
      </c>
      <c r="I6922" s="2">
        <v>236.34</v>
      </c>
    </row>
    <row r="6923" spans="1:9" x14ac:dyDescent="0.25">
      <c r="A6923" t="s">
        <v>3776</v>
      </c>
      <c r="B6923" t="s">
        <v>3777</v>
      </c>
      <c r="C6923" t="s">
        <v>42</v>
      </c>
      <c r="D6923" t="s">
        <v>4062</v>
      </c>
      <c r="E6923" t="s">
        <v>4547</v>
      </c>
      <c r="F6923" t="s">
        <v>34</v>
      </c>
      <c r="G6923">
        <v>0.24</v>
      </c>
      <c r="H6923" s="2">
        <v>57129.33</v>
      </c>
      <c r="I6923" s="2">
        <v>13711.04</v>
      </c>
    </row>
    <row r="6924" spans="1:9" x14ac:dyDescent="0.25">
      <c r="A6924" t="s">
        <v>3776</v>
      </c>
      <c r="B6924" t="s">
        <v>3777</v>
      </c>
      <c r="C6924" t="s">
        <v>42</v>
      </c>
      <c r="D6924" t="s">
        <v>4062</v>
      </c>
      <c r="E6924" t="s">
        <v>7733</v>
      </c>
      <c r="F6924" t="s">
        <v>42</v>
      </c>
      <c r="G6924">
        <v>1</v>
      </c>
      <c r="H6924" s="2">
        <v>4741</v>
      </c>
      <c r="I6924" s="2">
        <v>4741</v>
      </c>
    </row>
    <row r="6925" spans="1:9" x14ac:dyDescent="0.25">
      <c r="A6925" t="s">
        <v>3776</v>
      </c>
      <c r="B6925" t="s">
        <v>3777</v>
      </c>
      <c r="C6925" t="s">
        <v>42</v>
      </c>
      <c r="D6925" t="s">
        <v>4062</v>
      </c>
      <c r="E6925" t="s">
        <v>7581</v>
      </c>
      <c r="F6925" t="s">
        <v>21</v>
      </c>
      <c r="G6925">
        <v>0.4</v>
      </c>
      <c r="H6925" s="2">
        <v>3850</v>
      </c>
      <c r="I6925" s="2">
        <v>1540</v>
      </c>
    </row>
    <row r="6926" spans="1:9" x14ac:dyDescent="0.25">
      <c r="A6926" t="s">
        <v>3776</v>
      </c>
      <c r="B6926" t="s">
        <v>3777</v>
      </c>
      <c r="C6926" t="s">
        <v>42</v>
      </c>
      <c r="D6926" t="s">
        <v>4062</v>
      </c>
      <c r="E6926" t="s">
        <v>7717</v>
      </c>
      <c r="F6926" t="s">
        <v>42</v>
      </c>
      <c r="G6926">
        <v>1</v>
      </c>
      <c r="H6926" s="2">
        <v>46</v>
      </c>
      <c r="I6926" s="2">
        <v>46</v>
      </c>
    </row>
    <row r="6927" spans="1:9" x14ac:dyDescent="0.25">
      <c r="A6927" t="s">
        <v>3776</v>
      </c>
      <c r="B6927" t="s">
        <v>3777</v>
      </c>
      <c r="C6927" t="s">
        <v>42</v>
      </c>
      <c r="D6927" t="s">
        <v>4049</v>
      </c>
      <c r="E6927" t="s">
        <v>4050</v>
      </c>
      <c r="F6927" t="s">
        <v>4051</v>
      </c>
      <c r="G6927">
        <v>0.7</v>
      </c>
      <c r="H6927" s="2">
        <v>9037.33</v>
      </c>
      <c r="I6927" s="2">
        <v>6326.13</v>
      </c>
    </row>
    <row r="6928" spans="1:9" x14ac:dyDescent="0.25">
      <c r="A6928" t="s">
        <v>3776</v>
      </c>
      <c r="B6928" t="s">
        <v>3777</v>
      </c>
      <c r="C6928" t="s">
        <v>42</v>
      </c>
      <c r="D6928" t="s">
        <v>4049</v>
      </c>
      <c r="E6928" t="s">
        <v>4241</v>
      </c>
      <c r="F6928" t="s">
        <v>4051</v>
      </c>
      <c r="G6928">
        <v>0.18</v>
      </c>
      <c r="H6928" s="2">
        <v>9941.22</v>
      </c>
      <c r="I6928" s="2">
        <v>1739.71</v>
      </c>
    </row>
    <row r="6929" spans="1:9" x14ac:dyDescent="0.25">
      <c r="A6929" t="s">
        <v>3776</v>
      </c>
      <c r="B6929" t="s">
        <v>3777</v>
      </c>
      <c r="C6929" t="s">
        <v>42</v>
      </c>
      <c r="D6929" t="s">
        <v>4049</v>
      </c>
      <c r="E6929" t="s">
        <v>4073</v>
      </c>
      <c r="F6929" t="s">
        <v>4051</v>
      </c>
      <c r="G6929">
        <v>0.7</v>
      </c>
      <c r="H6929" s="2">
        <v>15517.89</v>
      </c>
      <c r="I6929" s="2">
        <v>10862.52</v>
      </c>
    </row>
    <row r="6930" spans="1:9" x14ac:dyDescent="0.25">
      <c r="A6930" t="s">
        <v>3776</v>
      </c>
      <c r="B6930" t="s">
        <v>3777</v>
      </c>
      <c r="C6930" t="s">
        <v>42</v>
      </c>
      <c r="D6930" t="s">
        <v>4049</v>
      </c>
      <c r="E6930" t="s">
        <v>4242</v>
      </c>
      <c r="F6930" t="s">
        <v>4051</v>
      </c>
      <c r="G6930">
        <v>0.18</v>
      </c>
      <c r="H6930" s="2">
        <v>17069.53</v>
      </c>
      <c r="I6930" s="2">
        <v>2987.17</v>
      </c>
    </row>
    <row r="6931" spans="1:9" x14ac:dyDescent="0.25">
      <c r="A6931" t="s">
        <v>3776</v>
      </c>
      <c r="B6931" t="s">
        <v>3777</v>
      </c>
      <c r="C6931" t="s">
        <v>42</v>
      </c>
      <c r="D6931" t="s">
        <v>4052</v>
      </c>
      <c r="E6931" t="s">
        <v>6294</v>
      </c>
      <c r="F6931" t="s">
        <v>4106</v>
      </c>
      <c r="G6931">
        <v>0</v>
      </c>
      <c r="H6931" s="2">
        <v>236228.11</v>
      </c>
      <c r="I6931" s="2">
        <v>944.91</v>
      </c>
    </row>
    <row r="6932" spans="1:9" x14ac:dyDescent="0.25">
      <c r="A6932" t="s">
        <v>3776</v>
      </c>
      <c r="B6932" t="s">
        <v>3777</v>
      </c>
      <c r="C6932" t="s">
        <v>42</v>
      </c>
      <c r="D6932" t="s">
        <v>4052</v>
      </c>
      <c r="E6932" t="s">
        <v>4342</v>
      </c>
      <c r="F6932" t="s">
        <v>4106</v>
      </c>
      <c r="G6932">
        <v>0.02</v>
      </c>
      <c r="H6932" s="2">
        <v>66666.67</v>
      </c>
      <c r="I6932" s="2">
        <v>1333.33</v>
      </c>
    </row>
    <row r="6933" spans="1:9" x14ac:dyDescent="0.25">
      <c r="A6933" t="s">
        <v>3776</v>
      </c>
      <c r="B6933" t="s">
        <v>3777</v>
      </c>
      <c r="C6933" t="s">
        <v>42</v>
      </c>
      <c r="D6933" t="s">
        <v>4052</v>
      </c>
      <c r="E6933" t="s">
        <v>4053</v>
      </c>
      <c r="F6933" t="s">
        <v>4054</v>
      </c>
      <c r="G6933">
        <v>5</v>
      </c>
      <c r="H6933" s="2">
        <v>21915.53</v>
      </c>
      <c r="I6933" s="2">
        <v>1095.78</v>
      </c>
    </row>
    <row r="6934" spans="1:9" x14ac:dyDescent="0.25">
      <c r="A6934" t="s">
        <v>3779</v>
      </c>
      <c r="B6934" t="s">
        <v>3780</v>
      </c>
      <c r="C6934" t="s">
        <v>42</v>
      </c>
      <c r="D6934" t="s">
        <v>4062</v>
      </c>
      <c r="E6934" t="s">
        <v>7742</v>
      </c>
      <c r="F6934" t="s">
        <v>42</v>
      </c>
      <c r="G6934">
        <v>1</v>
      </c>
      <c r="H6934" s="2">
        <v>14750</v>
      </c>
      <c r="I6934" s="2">
        <v>14750</v>
      </c>
    </row>
    <row r="6935" spans="1:9" x14ac:dyDescent="0.25">
      <c r="A6935" t="s">
        <v>3779</v>
      </c>
      <c r="B6935" t="s">
        <v>3780</v>
      </c>
      <c r="C6935" t="s">
        <v>42</v>
      </c>
      <c r="D6935" t="s">
        <v>4062</v>
      </c>
      <c r="E6935" t="s">
        <v>5816</v>
      </c>
      <c r="F6935" t="s">
        <v>34</v>
      </c>
      <c r="G6935">
        <v>0.02</v>
      </c>
      <c r="H6935" s="2">
        <v>93966.67</v>
      </c>
      <c r="I6935" s="2">
        <v>1879.33</v>
      </c>
    </row>
    <row r="6936" spans="1:9" x14ac:dyDescent="0.25">
      <c r="A6936" t="s">
        <v>3779</v>
      </c>
      <c r="B6936" t="s">
        <v>3780</v>
      </c>
      <c r="C6936" t="s">
        <v>42</v>
      </c>
      <c r="D6936" t="s">
        <v>4062</v>
      </c>
      <c r="E6936" t="s">
        <v>7717</v>
      </c>
      <c r="F6936" t="s">
        <v>42</v>
      </c>
      <c r="G6936">
        <v>1</v>
      </c>
      <c r="H6936" s="2">
        <v>46</v>
      </c>
      <c r="I6936" s="2">
        <v>46</v>
      </c>
    </row>
    <row r="6937" spans="1:9" x14ac:dyDescent="0.25">
      <c r="A6937" t="s">
        <v>3779</v>
      </c>
      <c r="B6937" t="s">
        <v>3780</v>
      </c>
      <c r="C6937" t="s">
        <v>42</v>
      </c>
      <c r="D6937" t="s">
        <v>4062</v>
      </c>
      <c r="E6937" t="s">
        <v>3261</v>
      </c>
      <c r="F6937" t="s">
        <v>34</v>
      </c>
      <c r="G6937">
        <v>0.12</v>
      </c>
      <c r="H6937" s="2">
        <v>90100.77</v>
      </c>
      <c r="I6937" s="2">
        <v>10812.09</v>
      </c>
    </row>
    <row r="6938" spans="1:9" x14ac:dyDescent="0.25">
      <c r="A6938" t="s">
        <v>3779</v>
      </c>
      <c r="B6938" t="s">
        <v>3780</v>
      </c>
      <c r="C6938" t="s">
        <v>42</v>
      </c>
      <c r="D6938" t="s">
        <v>4062</v>
      </c>
      <c r="E6938" t="s">
        <v>7718</v>
      </c>
      <c r="F6938" t="s">
        <v>21</v>
      </c>
      <c r="G6938">
        <v>0.4</v>
      </c>
      <c r="H6938" s="2">
        <v>35458.33</v>
      </c>
      <c r="I6938" s="2">
        <v>14183.33</v>
      </c>
    </row>
    <row r="6939" spans="1:9" x14ac:dyDescent="0.25">
      <c r="A6939" t="s">
        <v>3779</v>
      </c>
      <c r="B6939" t="s">
        <v>3780</v>
      </c>
      <c r="C6939" t="s">
        <v>42</v>
      </c>
      <c r="D6939" t="s">
        <v>4062</v>
      </c>
      <c r="E6939" t="s">
        <v>4076</v>
      </c>
      <c r="F6939" t="s">
        <v>3963</v>
      </c>
      <c r="G6939">
        <v>2.85</v>
      </c>
      <c r="H6939" s="2">
        <v>21</v>
      </c>
      <c r="I6939" s="2">
        <v>59.85</v>
      </c>
    </row>
    <row r="6940" spans="1:9" x14ac:dyDescent="0.25">
      <c r="A6940" t="s">
        <v>3779</v>
      </c>
      <c r="B6940" t="s">
        <v>3780</v>
      </c>
      <c r="C6940" t="s">
        <v>42</v>
      </c>
      <c r="D6940" t="s">
        <v>4049</v>
      </c>
      <c r="E6940" t="s">
        <v>4050</v>
      </c>
      <c r="F6940" t="s">
        <v>4051</v>
      </c>
      <c r="G6940">
        <v>1.05</v>
      </c>
      <c r="H6940" s="2">
        <v>9037.33</v>
      </c>
      <c r="I6940" s="2">
        <v>9489.2</v>
      </c>
    </row>
    <row r="6941" spans="1:9" x14ac:dyDescent="0.25">
      <c r="A6941" t="s">
        <v>3779</v>
      </c>
      <c r="B6941" t="s">
        <v>3780</v>
      </c>
      <c r="C6941" t="s">
        <v>42</v>
      </c>
      <c r="D6941" t="s">
        <v>4049</v>
      </c>
      <c r="E6941" t="s">
        <v>4241</v>
      </c>
      <c r="F6941" t="s">
        <v>4051</v>
      </c>
      <c r="G6941">
        <v>0.18</v>
      </c>
      <c r="H6941" s="2">
        <v>9941.22</v>
      </c>
      <c r="I6941" s="2">
        <v>1739.71</v>
      </c>
    </row>
    <row r="6942" spans="1:9" x14ac:dyDescent="0.25">
      <c r="A6942" t="s">
        <v>3779</v>
      </c>
      <c r="B6942" t="s">
        <v>3780</v>
      </c>
      <c r="C6942" t="s">
        <v>42</v>
      </c>
      <c r="D6942" t="s">
        <v>4049</v>
      </c>
      <c r="E6942" t="s">
        <v>4073</v>
      </c>
      <c r="F6942" t="s">
        <v>4051</v>
      </c>
      <c r="G6942">
        <v>1.05</v>
      </c>
      <c r="H6942" s="2">
        <v>15517.89</v>
      </c>
      <c r="I6942" s="2">
        <v>16293.78</v>
      </c>
    </row>
    <row r="6943" spans="1:9" x14ac:dyDescent="0.25">
      <c r="A6943" t="s">
        <v>3779</v>
      </c>
      <c r="B6943" t="s">
        <v>3780</v>
      </c>
      <c r="C6943" t="s">
        <v>42</v>
      </c>
      <c r="D6943" t="s">
        <v>4049</v>
      </c>
      <c r="E6943" t="s">
        <v>4242</v>
      </c>
      <c r="F6943" t="s">
        <v>4051</v>
      </c>
      <c r="G6943">
        <v>0.18</v>
      </c>
      <c r="H6943" s="2">
        <v>17069.53</v>
      </c>
      <c r="I6943" s="2">
        <v>2987.17</v>
      </c>
    </row>
    <row r="6944" spans="1:9" x14ac:dyDescent="0.25">
      <c r="A6944" t="s">
        <v>3779</v>
      </c>
      <c r="B6944" t="s">
        <v>3780</v>
      </c>
      <c r="C6944" t="s">
        <v>42</v>
      </c>
      <c r="D6944" t="s">
        <v>4052</v>
      </c>
      <c r="E6944" t="s">
        <v>6294</v>
      </c>
      <c r="F6944" t="s">
        <v>4106</v>
      </c>
      <c r="G6944">
        <v>0</v>
      </c>
      <c r="H6944" s="2">
        <v>236228.11</v>
      </c>
      <c r="I6944" s="2">
        <v>944.91</v>
      </c>
    </row>
    <row r="6945" spans="1:9" x14ac:dyDescent="0.25">
      <c r="A6945" t="s">
        <v>3779</v>
      </c>
      <c r="B6945" t="s">
        <v>3780</v>
      </c>
      <c r="C6945" t="s">
        <v>42</v>
      </c>
      <c r="D6945" t="s">
        <v>4052</v>
      </c>
      <c r="E6945" t="s">
        <v>4342</v>
      </c>
      <c r="F6945" t="s">
        <v>4106</v>
      </c>
      <c r="G6945">
        <v>0.02</v>
      </c>
      <c r="H6945" s="2">
        <v>66666.67</v>
      </c>
      <c r="I6945" s="2">
        <v>1333.33</v>
      </c>
    </row>
    <row r="6946" spans="1:9" x14ac:dyDescent="0.25">
      <c r="A6946" t="s">
        <v>3779</v>
      </c>
      <c r="B6946" t="s">
        <v>3780</v>
      </c>
      <c r="C6946" t="s">
        <v>42</v>
      </c>
      <c r="D6946" t="s">
        <v>4052</v>
      </c>
      <c r="E6946" t="s">
        <v>4053</v>
      </c>
      <c r="F6946" t="s">
        <v>4054</v>
      </c>
      <c r="G6946">
        <v>3.3</v>
      </c>
      <c r="H6946" s="2">
        <v>30509.86</v>
      </c>
      <c r="I6946" s="2">
        <v>1006.83</v>
      </c>
    </row>
    <row r="6947" spans="1:9" x14ac:dyDescent="0.25">
      <c r="A6947" t="s">
        <v>3782</v>
      </c>
      <c r="B6947" t="s">
        <v>3783</v>
      </c>
      <c r="C6947" t="s">
        <v>42</v>
      </c>
      <c r="D6947" t="s">
        <v>4062</v>
      </c>
      <c r="E6947" t="s">
        <v>7742</v>
      </c>
      <c r="F6947" t="s">
        <v>42</v>
      </c>
      <c r="G6947">
        <v>1</v>
      </c>
      <c r="H6947" s="2">
        <v>14750</v>
      </c>
      <c r="I6947" s="2">
        <v>14750</v>
      </c>
    </row>
    <row r="6948" spans="1:9" x14ac:dyDescent="0.25">
      <c r="A6948" t="s">
        <v>3782</v>
      </c>
      <c r="B6948" t="s">
        <v>3783</v>
      </c>
      <c r="C6948" t="s">
        <v>42</v>
      </c>
      <c r="D6948" t="s">
        <v>4062</v>
      </c>
      <c r="E6948" t="s">
        <v>7717</v>
      </c>
      <c r="F6948" t="s">
        <v>42</v>
      </c>
      <c r="G6948">
        <v>1</v>
      </c>
      <c r="H6948" s="2">
        <v>46</v>
      </c>
      <c r="I6948" s="2">
        <v>46</v>
      </c>
    </row>
    <row r="6949" spans="1:9" x14ac:dyDescent="0.25">
      <c r="A6949" t="s">
        <v>3782</v>
      </c>
      <c r="B6949" t="s">
        <v>3783</v>
      </c>
      <c r="C6949" t="s">
        <v>42</v>
      </c>
      <c r="D6949" t="s">
        <v>4062</v>
      </c>
      <c r="E6949" t="s">
        <v>7721</v>
      </c>
      <c r="F6949" t="s">
        <v>63</v>
      </c>
      <c r="G6949">
        <v>0.01</v>
      </c>
      <c r="H6949" s="2">
        <v>185957</v>
      </c>
      <c r="I6949" s="2">
        <v>1859.57</v>
      </c>
    </row>
    <row r="6950" spans="1:9" x14ac:dyDescent="0.25">
      <c r="A6950" t="s">
        <v>3782</v>
      </c>
      <c r="B6950" t="s">
        <v>3783</v>
      </c>
      <c r="C6950" t="s">
        <v>42</v>
      </c>
      <c r="D6950" t="s">
        <v>4062</v>
      </c>
      <c r="E6950" t="s">
        <v>7722</v>
      </c>
      <c r="F6950" t="s">
        <v>34</v>
      </c>
      <c r="G6950">
        <v>0.12</v>
      </c>
      <c r="H6950" s="2">
        <v>90100.77</v>
      </c>
      <c r="I6950" s="2">
        <v>10812.09</v>
      </c>
    </row>
    <row r="6951" spans="1:9" x14ac:dyDescent="0.25">
      <c r="A6951" t="s">
        <v>3782</v>
      </c>
      <c r="B6951" t="s">
        <v>3783</v>
      </c>
      <c r="C6951" t="s">
        <v>42</v>
      </c>
      <c r="D6951" t="s">
        <v>4062</v>
      </c>
      <c r="E6951" t="s">
        <v>7723</v>
      </c>
      <c r="F6951" t="s">
        <v>34</v>
      </c>
      <c r="G6951">
        <v>0.06</v>
      </c>
      <c r="H6951" s="2">
        <v>111672.11</v>
      </c>
      <c r="I6951" s="2">
        <v>6700.33</v>
      </c>
    </row>
    <row r="6952" spans="1:9" x14ac:dyDescent="0.25">
      <c r="A6952" t="s">
        <v>3782</v>
      </c>
      <c r="B6952" t="s">
        <v>3783</v>
      </c>
      <c r="C6952" t="s">
        <v>42</v>
      </c>
      <c r="D6952" t="s">
        <v>4062</v>
      </c>
      <c r="E6952" t="s">
        <v>7724</v>
      </c>
      <c r="F6952" t="s">
        <v>21</v>
      </c>
      <c r="G6952">
        <v>0.8</v>
      </c>
      <c r="H6952" s="2">
        <v>3399.59</v>
      </c>
      <c r="I6952" s="2">
        <v>2719.67</v>
      </c>
    </row>
    <row r="6953" spans="1:9" x14ac:dyDescent="0.25">
      <c r="A6953" t="s">
        <v>3782</v>
      </c>
      <c r="B6953" t="s">
        <v>3783</v>
      </c>
      <c r="C6953" t="s">
        <v>42</v>
      </c>
      <c r="D6953" t="s">
        <v>4062</v>
      </c>
      <c r="E6953" t="s">
        <v>7725</v>
      </c>
      <c r="F6953" t="s">
        <v>34</v>
      </c>
      <c r="G6953">
        <v>0.06</v>
      </c>
      <c r="H6953" s="2">
        <v>582852.45</v>
      </c>
      <c r="I6953" s="2">
        <v>34971.15</v>
      </c>
    </row>
    <row r="6954" spans="1:9" x14ac:dyDescent="0.25">
      <c r="A6954" t="s">
        <v>3782</v>
      </c>
      <c r="B6954" t="s">
        <v>3783</v>
      </c>
      <c r="C6954" t="s">
        <v>42</v>
      </c>
      <c r="D6954" t="s">
        <v>4049</v>
      </c>
      <c r="E6954" t="s">
        <v>4241</v>
      </c>
      <c r="F6954" t="s">
        <v>4051</v>
      </c>
      <c r="G6954">
        <v>0.2</v>
      </c>
      <c r="H6954" s="2">
        <v>9941.22</v>
      </c>
      <c r="I6954" s="2">
        <v>1988.24</v>
      </c>
    </row>
    <row r="6955" spans="1:9" x14ac:dyDescent="0.25">
      <c r="A6955" t="s">
        <v>3782</v>
      </c>
      <c r="B6955" t="s">
        <v>3783</v>
      </c>
      <c r="C6955" t="s">
        <v>42</v>
      </c>
      <c r="D6955" t="s">
        <v>4049</v>
      </c>
      <c r="E6955" t="s">
        <v>4242</v>
      </c>
      <c r="F6955" t="s">
        <v>4051</v>
      </c>
      <c r="G6955">
        <v>0.2</v>
      </c>
      <c r="H6955" s="2">
        <v>17069.53</v>
      </c>
      <c r="I6955" s="2">
        <v>3413.91</v>
      </c>
    </row>
    <row r="6956" spans="1:9" x14ac:dyDescent="0.25">
      <c r="A6956" t="s">
        <v>3782</v>
      </c>
      <c r="B6956" t="s">
        <v>3783</v>
      </c>
      <c r="C6956" t="s">
        <v>42</v>
      </c>
      <c r="D6956" t="s">
        <v>4052</v>
      </c>
      <c r="E6956" t="s">
        <v>4092</v>
      </c>
      <c r="F6956" t="s">
        <v>287</v>
      </c>
      <c r="G6956">
        <v>0.16</v>
      </c>
      <c r="H6956" s="2">
        <v>97476</v>
      </c>
      <c r="I6956" s="2">
        <v>15596.16</v>
      </c>
    </row>
    <row r="6957" spans="1:9" x14ac:dyDescent="0.25">
      <c r="A6957" t="s">
        <v>3782</v>
      </c>
      <c r="B6957" t="s">
        <v>3783</v>
      </c>
      <c r="C6957" t="s">
        <v>42</v>
      </c>
      <c r="D6957" t="s">
        <v>4052</v>
      </c>
      <c r="E6957" t="s">
        <v>7234</v>
      </c>
      <c r="F6957" t="s">
        <v>287</v>
      </c>
      <c r="G6957">
        <v>0.09</v>
      </c>
      <c r="H6957" s="2">
        <v>8800</v>
      </c>
      <c r="I6957" s="2">
        <v>748</v>
      </c>
    </row>
    <row r="6958" spans="1:9" x14ac:dyDescent="0.25">
      <c r="A6958" t="s">
        <v>3782</v>
      </c>
      <c r="B6958" t="s">
        <v>3783</v>
      </c>
      <c r="C6958" t="s">
        <v>42</v>
      </c>
      <c r="D6958" t="s">
        <v>4052</v>
      </c>
      <c r="E6958" t="s">
        <v>6294</v>
      </c>
      <c r="F6958" t="s">
        <v>4106</v>
      </c>
      <c r="G6958">
        <v>0</v>
      </c>
      <c r="H6958" s="2">
        <v>236228.11</v>
      </c>
      <c r="I6958" s="2">
        <v>944.91</v>
      </c>
    </row>
    <row r="6959" spans="1:9" x14ac:dyDescent="0.25">
      <c r="A6959" t="s">
        <v>3782</v>
      </c>
      <c r="B6959" t="s">
        <v>3783</v>
      </c>
      <c r="C6959" t="s">
        <v>42</v>
      </c>
      <c r="D6959" t="s">
        <v>4052</v>
      </c>
      <c r="E6959" t="s">
        <v>4053</v>
      </c>
      <c r="F6959" t="s">
        <v>4054</v>
      </c>
      <c r="G6959">
        <v>5</v>
      </c>
      <c r="H6959" s="2">
        <v>5402.15</v>
      </c>
      <c r="I6959" s="2">
        <v>270.11</v>
      </c>
    </row>
    <row r="6960" spans="1:9" x14ac:dyDescent="0.25">
      <c r="A6960" t="s">
        <v>3785</v>
      </c>
      <c r="B6960" t="s">
        <v>3786</v>
      </c>
      <c r="C6960" t="s">
        <v>42</v>
      </c>
      <c r="D6960" t="s">
        <v>4062</v>
      </c>
      <c r="E6960" t="s">
        <v>7742</v>
      </c>
      <c r="F6960" t="s">
        <v>42</v>
      </c>
      <c r="G6960">
        <v>1</v>
      </c>
      <c r="H6960" s="2">
        <v>14750</v>
      </c>
      <c r="I6960" s="2">
        <v>14750</v>
      </c>
    </row>
    <row r="6961" spans="1:9" x14ac:dyDescent="0.25">
      <c r="A6961" t="s">
        <v>3785</v>
      </c>
      <c r="B6961" t="s">
        <v>3786</v>
      </c>
      <c r="C6961" t="s">
        <v>42</v>
      </c>
      <c r="D6961" t="s">
        <v>4062</v>
      </c>
      <c r="E6961" t="s">
        <v>3265</v>
      </c>
      <c r="F6961" t="s">
        <v>34</v>
      </c>
      <c r="G6961">
        <v>0.06</v>
      </c>
      <c r="H6961" s="2">
        <v>706218.57</v>
      </c>
      <c r="I6961" s="2">
        <v>42373.11</v>
      </c>
    </row>
    <row r="6962" spans="1:9" x14ac:dyDescent="0.25">
      <c r="A6962" t="s">
        <v>3785</v>
      </c>
      <c r="B6962" t="s">
        <v>3786</v>
      </c>
      <c r="C6962" t="s">
        <v>42</v>
      </c>
      <c r="D6962" t="s">
        <v>4062</v>
      </c>
      <c r="E6962" t="s">
        <v>7717</v>
      </c>
      <c r="F6962" t="s">
        <v>42</v>
      </c>
      <c r="G6962">
        <v>1</v>
      </c>
      <c r="H6962" s="2">
        <v>46</v>
      </c>
      <c r="I6962" s="2">
        <v>46</v>
      </c>
    </row>
    <row r="6963" spans="1:9" x14ac:dyDescent="0.25">
      <c r="A6963" t="s">
        <v>3785</v>
      </c>
      <c r="B6963" t="s">
        <v>3786</v>
      </c>
      <c r="C6963" t="s">
        <v>42</v>
      </c>
      <c r="D6963" t="s">
        <v>4062</v>
      </c>
      <c r="E6963" t="s">
        <v>7721</v>
      </c>
      <c r="F6963" t="s">
        <v>63</v>
      </c>
      <c r="G6963">
        <v>0.01</v>
      </c>
      <c r="H6963" s="2">
        <v>185957</v>
      </c>
      <c r="I6963" s="2">
        <v>1859.57</v>
      </c>
    </row>
    <row r="6964" spans="1:9" x14ac:dyDescent="0.25">
      <c r="A6964" t="s">
        <v>3785</v>
      </c>
      <c r="B6964" t="s">
        <v>3786</v>
      </c>
      <c r="C6964" t="s">
        <v>42</v>
      </c>
      <c r="D6964" t="s">
        <v>4062</v>
      </c>
      <c r="E6964" t="s">
        <v>7728</v>
      </c>
      <c r="F6964" t="s">
        <v>34</v>
      </c>
      <c r="G6964">
        <v>0.18</v>
      </c>
      <c r="H6964" s="2">
        <v>111672.11</v>
      </c>
      <c r="I6964" s="2">
        <v>20100.98</v>
      </c>
    </row>
    <row r="6965" spans="1:9" x14ac:dyDescent="0.25">
      <c r="A6965" t="s">
        <v>3785</v>
      </c>
      <c r="B6965" t="s">
        <v>3786</v>
      </c>
      <c r="C6965" t="s">
        <v>42</v>
      </c>
      <c r="D6965" t="s">
        <v>4049</v>
      </c>
      <c r="E6965" t="s">
        <v>4241</v>
      </c>
      <c r="F6965" t="s">
        <v>4051</v>
      </c>
      <c r="G6965">
        <v>0.2</v>
      </c>
      <c r="H6965" s="2">
        <v>9941.22</v>
      </c>
      <c r="I6965" s="2">
        <v>1988.24</v>
      </c>
    </row>
    <row r="6966" spans="1:9" x14ac:dyDescent="0.25">
      <c r="A6966" t="s">
        <v>3785</v>
      </c>
      <c r="B6966" t="s">
        <v>3786</v>
      </c>
      <c r="C6966" t="s">
        <v>42</v>
      </c>
      <c r="D6966" t="s">
        <v>4049</v>
      </c>
      <c r="E6966" t="s">
        <v>4242</v>
      </c>
      <c r="F6966" t="s">
        <v>4051</v>
      </c>
      <c r="G6966">
        <v>0.2</v>
      </c>
      <c r="H6966" s="2">
        <v>17069.53</v>
      </c>
      <c r="I6966" s="2">
        <v>3413.91</v>
      </c>
    </row>
    <row r="6967" spans="1:9" x14ac:dyDescent="0.25">
      <c r="A6967" t="s">
        <v>3785</v>
      </c>
      <c r="B6967" t="s">
        <v>3786</v>
      </c>
      <c r="C6967" t="s">
        <v>42</v>
      </c>
      <c r="D6967" t="s">
        <v>4052</v>
      </c>
      <c r="E6967" t="s">
        <v>4092</v>
      </c>
      <c r="F6967" t="s">
        <v>287</v>
      </c>
      <c r="G6967">
        <v>0.16</v>
      </c>
      <c r="H6967" s="2">
        <v>97476</v>
      </c>
      <c r="I6967" s="2">
        <v>15596.16</v>
      </c>
    </row>
    <row r="6968" spans="1:9" x14ac:dyDescent="0.25">
      <c r="A6968" t="s">
        <v>3785</v>
      </c>
      <c r="B6968" t="s">
        <v>3786</v>
      </c>
      <c r="C6968" t="s">
        <v>42</v>
      </c>
      <c r="D6968" t="s">
        <v>4052</v>
      </c>
      <c r="E6968" t="s">
        <v>7234</v>
      </c>
      <c r="F6968" t="s">
        <v>287</v>
      </c>
      <c r="G6968">
        <v>0.09</v>
      </c>
      <c r="H6968" s="2">
        <v>8800</v>
      </c>
      <c r="I6968" s="2">
        <v>748</v>
      </c>
    </row>
    <row r="6969" spans="1:9" x14ac:dyDescent="0.25">
      <c r="A6969" t="s">
        <v>3785</v>
      </c>
      <c r="B6969" t="s">
        <v>3786</v>
      </c>
      <c r="C6969" t="s">
        <v>42</v>
      </c>
      <c r="D6969" t="s">
        <v>4052</v>
      </c>
      <c r="E6969" t="s">
        <v>6294</v>
      </c>
      <c r="F6969" t="s">
        <v>4106</v>
      </c>
      <c r="G6969">
        <v>0</v>
      </c>
      <c r="H6969" s="2">
        <v>236228.11</v>
      </c>
      <c r="I6969" s="2">
        <v>944.91</v>
      </c>
    </row>
    <row r="6970" spans="1:9" x14ac:dyDescent="0.25">
      <c r="A6970" t="s">
        <v>3785</v>
      </c>
      <c r="B6970" t="s">
        <v>3786</v>
      </c>
      <c r="C6970" t="s">
        <v>42</v>
      </c>
      <c r="D6970" t="s">
        <v>4052</v>
      </c>
      <c r="E6970" t="s">
        <v>4053</v>
      </c>
      <c r="F6970" t="s">
        <v>4054</v>
      </c>
      <c r="G6970">
        <v>5</v>
      </c>
      <c r="H6970" s="2">
        <v>5402.15</v>
      </c>
      <c r="I6970" s="2">
        <v>270.11</v>
      </c>
    </row>
    <row r="6971" spans="1:9" x14ac:dyDescent="0.25">
      <c r="A6971" t="s">
        <v>3788</v>
      </c>
      <c r="B6971" t="s">
        <v>3789</v>
      </c>
      <c r="C6971" t="s">
        <v>42</v>
      </c>
      <c r="D6971" t="s">
        <v>4062</v>
      </c>
      <c r="E6971" t="s">
        <v>4547</v>
      </c>
      <c r="F6971" t="s">
        <v>34</v>
      </c>
      <c r="G6971">
        <v>0.24</v>
      </c>
      <c r="H6971" s="2">
        <v>57129.33</v>
      </c>
      <c r="I6971" s="2">
        <v>13711.04</v>
      </c>
    </row>
    <row r="6972" spans="1:9" x14ac:dyDescent="0.25">
      <c r="A6972" t="s">
        <v>3788</v>
      </c>
      <c r="B6972" t="s">
        <v>3789</v>
      </c>
      <c r="C6972" t="s">
        <v>42</v>
      </c>
      <c r="D6972" t="s">
        <v>4062</v>
      </c>
      <c r="E6972" t="s">
        <v>7742</v>
      </c>
      <c r="F6972" t="s">
        <v>42</v>
      </c>
      <c r="G6972">
        <v>1</v>
      </c>
      <c r="H6972" s="2">
        <v>14750</v>
      </c>
      <c r="I6972" s="2">
        <v>14750</v>
      </c>
    </row>
    <row r="6973" spans="1:9" x14ac:dyDescent="0.25">
      <c r="A6973" t="s">
        <v>3788</v>
      </c>
      <c r="B6973" t="s">
        <v>3789</v>
      </c>
      <c r="C6973" t="s">
        <v>42</v>
      </c>
      <c r="D6973" t="s">
        <v>4062</v>
      </c>
      <c r="E6973" t="s">
        <v>7581</v>
      </c>
      <c r="F6973" t="s">
        <v>21</v>
      </c>
      <c r="G6973">
        <v>0.4</v>
      </c>
      <c r="H6973" s="2">
        <v>3850</v>
      </c>
      <c r="I6973" s="2">
        <v>1540</v>
      </c>
    </row>
    <row r="6974" spans="1:9" x14ac:dyDescent="0.25">
      <c r="A6974" t="s">
        <v>3788</v>
      </c>
      <c r="B6974" t="s">
        <v>3789</v>
      </c>
      <c r="C6974" t="s">
        <v>42</v>
      </c>
      <c r="D6974" t="s">
        <v>4062</v>
      </c>
      <c r="E6974" t="s">
        <v>7717</v>
      </c>
      <c r="F6974" t="s">
        <v>42</v>
      </c>
      <c r="G6974">
        <v>1</v>
      </c>
      <c r="H6974" s="2">
        <v>46</v>
      </c>
      <c r="I6974" s="2">
        <v>46</v>
      </c>
    </row>
    <row r="6975" spans="1:9" x14ac:dyDescent="0.25">
      <c r="A6975" t="s">
        <v>3788</v>
      </c>
      <c r="B6975" t="s">
        <v>3789</v>
      </c>
      <c r="C6975" t="s">
        <v>42</v>
      </c>
      <c r="D6975" t="s">
        <v>4049</v>
      </c>
      <c r="E6975" t="s">
        <v>4050</v>
      </c>
      <c r="F6975" t="s">
        <v>4051</v>
      </c>
      <c r="G6975">
        <v>0.7</v>
      </c>
      <c r="H6975" s="2">
        <v>9037.33</v>
      </c>
      <c r="I6975" s="2">
        <v>6326.13</v>
      </c>
    </row>
    <row r="6976" spans="1:9" x14ac:dyDescent="0.25">
      <c r="A6976" t="s">
        <v>3788</v>
      </c>
      <c r="B6976" t="s">
        <v>3789</v>
      </c>
      <c r="C6976" t="s">
        <v>42</v>
      </c>
      <c r="D6976" t="s">
        <v>4049</v>
      </c>
      <c r="E6976" t="s">
        <v>4241</v>
      </c>
      <c r="F6976" t="s">
        <v>4051</v>
      </c>
      <c r="G6976">
        <v>0.18</v>
      </c>
      <c r="H6976" s="2">
        <v>9941.22</v>
      </c>
      <c r="I6976" s="2">
        <v>1739.71</v>
      </c>
    </row>
    <row r="6977" spans="1:9" x14ac:dyDescent="0.25">
      <c r="A6977" t="s">
        <v>3788</v>
      </c>
      <c r="B6977" t="s">
        <v>3789</v>
      </c>
      <c r="C6977" t="s">
        <v>42</v>
      </c>
      <c r="D6977" t="s">
        <v>4049</v>
      </c>
      <c r="E6977" t="s">
        <v>4073</v>
      </c>
      <c r="F6977" t="s">
        <v>4051</v>
      </c>
      <c r="G6977">
        <v>0.7</v>
      </c>
      <c r="H6977" s="2">
        <v>15517.89</v>
      </c>
      <c r="I6977" s="2">
        <v>10862.52</v>
      </c>
    </row>
    <row r="6978" spans="1:9" x14ac:dyDescent="0.25">
      <c r="A6978" t="s">
        <v>3788</v>
      </c>
      <c r="B6978" t="s">
        <v>3789</v>
      </c>
      <c r="C6978" t="s">
        <v>42</v>
      </c>
      <c r="D6978" t="s">
        <v>4049</v>
      </c>
      <c r="E6978" t="s">
        <v>4242</v>
      </c>
      <c r="F6978" t="s">
        <v>4051</v>
      </c>
      <c r="G6978">
        <v>0.18</v>
      </c>
      <c r="H6978" s="2">
        <v>17069.53</v>
      </c>
      <c r="I6978" s="2">
        <v>2987.17</v>
      </c>
    </row>
    <row r="6979" spans="1:9" x14ac:dyDescent="0.25">
      <c r="A6979" t="s">
        <v>3788</v>
      </c>
      <c r="B6979" t="s">
        <v>3789</v>
      </c>
      <c r="C6979" t="s">
        <v>42</v>
      </c>
      <c r="D6979" t="s">
        <v>4052</v>
      </c>
      <c r="E6979" t="s">
        <v>6294</v>
      </c>
      <c r="F6979" t="s">
        <v>4106</v>
      </c>
      <c r="G6979">
        <v>0</v>
      </c>
      <c r="H6979" s="2">
        <v>236228.11</v>
      </c>
      <c r="I6979" s="2">
        <v>944.91</v>
      </c>
    </row>
    <row r="6980" spans="1:9" x14ac:dyDescent="0.25">
      <c r="A6980" t="s">
        <v>3788</v>
      </c>
      <c r="B6980" t="s">
        <v>3789</v>
      </c>
      <c r="C6980" t="s">
        <v>42</v>
      </c>
      <c r="D6980" t="s">
        <v>4052</v>
      </c>
      <c r="E6980" t="s">
        <v>4342</v>
      </c>
      <c r="F6980" t="s">
        <v>4106</v>
      </c>
      <c r="G6980">
        <v>0.02</v>
      </c>
      <c r="H6980" s="2">
        <v>66666.67</v>
      </c>
      <c r="I6980" s="2">
        <v>1333.33</v>
      </c>
    </row>
    <row r="6981" spans="1:9" x14ac:dyDescent="0.25">
      <c r="A6981" t="s">
        <v>3788</v>
      </c>
      <c r="B6981" t="s">
        <v>3789</v>
      </c>
      <c r="C6981" t="s">
        <v>42</v>
      </c>
      <c r="D6981" t="s">
        <v>4052</v>
      </c>
      <c r="E6981" t="s">
        <v>4053</v>
      </c>
      <c r="F6981" t="s">
        <v>4054</v>
      </c>
      <c r="G6981">
        <v>5</v>
      </c>
      <c r="H6981" s="2">
        <v>21915.53</v>
      </c>
      <c r="I6981" s="2">
        <v>1095.78</v>
      </c>
    </row>
    <row r="6982" spans="1:9" x14ac:dyDescent="0.25">
      <c r="A6982" t="s">
        <v>3791</v>
      </c>
      <c r="B6982" t="s">
        <v>3792</v>
      </c>
      <c r="C6982" t="s">
        <v>42</v>
      </c>
      <c r="D6982" t="s">
        <v>4062</v>
      </c>
      <c r="E6982" t="s">
        <v>7751</v>
      </c>
      <c r="F6982" t="s">
        <v>42</v>
      </c>
      <c r="G6982">
        <v>1</v>
      </c>
      <c r="H6982" s="2">
        <v>3177.33</v>
      </c>
      <c r="I6982" s="2">
        <v>3177.33</v>
      </c>
    </row>
    <row r="6983" spans="1:9" x14ac:dyDescent="0.25">
      <c r="A6983" t="s">
        <v>3791</v>
      </c>
      <c r="B6983" t="s">
        <v>3792</v>
      </c>
      <c r="C6983" t="s">
        <v>42</v>
      </c>
      <c r="D6983" t="s">
        <v>4062</v>
      </c>
      <c r="E6983" t="s">
        <v>5816</v>
      </c>
      <c r="F6983" t="s">
        <v>34</v>
      </c>
      <c r="G6983">
        <v>0.02</v>
      </c>
      <c r="H6983" s="2">
        <v>93966.67</v>
      </c>
      <c r="I6983" s="2">
        <v>1879.33</v>
      </c>
    </row>
    <row r="6984" spans="1:9" x14ac:dyDescent="0.25">
      <c r="A6984" t="s">
        <v>3791</v>
      </c>
      <c r="B6984" t="s">
        <v>3792</v>
      </c>
      <c r="C6984" t="s">
        <v>42</v>
      </c>
      <c r="D6984" t="s">
        <v>4062</v>
      </c>
      <c r="E6984" t="s">
        <v>7717</v>
      </c>
      <c r="F6984" t="s">
        <v>42</v>
      </c>
      <c r="G6984">
        <v>1</v>
      </c>
      <c r="H6984" s="2">
        <v>46</v>
      </c>
      <c r="I6984" s="2">
        <v>46</v>
      </c>
    </row>
    <row r="6985" spans="1:9" x14ac:dyDescent="0.25">
      <c r="A6985" t="s">
        <v>3791</v>
      </c>
      <c r="B6985" t="s">
        <v>3792</v>
      </c>
      <c r="C6985" t="s">
        <v>42</v>
      </c>
      <c r="D6985" t="s">
        <v>4062</v>
      </c>
      <c r="E6985" t="s">
        <v>3261</v>
      </c>
      <c r="F6985" t="s">
        <v>34</v>
      </c>
      <c r="G6985">
        <v>0.12</v>
      </c>
      <c r="H6985" s="2">
        <v>90100.77</v>
      </c>
      <c r="I6985" s="2">
        <v>10812.09</v>
      </c>
    </row>
    <row r="6986" spans="1:9" x14ac:dyDescent="0.25">
      <c r="A6986" t="s">
        <v>3791</v>
      </c>
      <c r="B6986" t="s">
        <v>3792</v>
      </c>
      <c r="C6986" t="s">
        <v>42</v>
      </c>
      <c r="D6986" t="s">
        <v>4062</v>
      </c>
      <c r="E6986" t="s">
        <v>7718</v>
      </c>
      <c r="F6986" t="s">
        <v>21</v>
      </c>
      <c r="G6986">
        <v>0.4</v>
      </c>
      <c r="H6986" s="2">
        <v>35458.33</v>
      </c>
      <c r="I6986" s="2">
        <v>14183.33</v>
      </c>
    </row>
    <row r="6987" spans="1:9" x14ac:dyDescent="0.25">
      <c r="A6987" t="s">
        <v>3791</v>
      </c>
      <c r="B6987" t="s">
        <v>3792</v>
      </c>
      <c r="C6987" t="s">
        <v>42</v>
      </c>
      <c r="D6987" t="s">
        <v>4062</v>
      </c>
      <c r="E6987" t="s">
        <v>4076</v>
      </c>
      <c r="F6987" t="s">
        <v>3963</v>
      </c>
      <c r="G6987">
        <v>2.85</v>
      </c>
      <c r="H6987" s="2">
        <v>21</v>
      </c>
      <c r="I6987" s="2">
        <v>59.85</v>
      </c>
    </row>
    <row r="6988" spans="1:9" x14ac:dyDescent="0.25">
      <c r="A6988" t="s">
        <v>3791</v>
      </c>
      <c r="B6988" t="s">
        <v>3792</v>
      </c>
      <c r="C6988" t="s">
        <v>42</v>
      </c>
      <c r="D6988" t="s">
        <v>4049</v>
      </c>
      <c r="E6988" t="s">
        <v>4050</v>
      </c>
      <c r="F6988" t="s">
        <v>4051</v>
      </c>
      <c r="G6988">
        <v>1.05</v>
      </c>
      <c r="H6988" s="2">
        <v>9037.33</v>
      </c>
      <c r="I6988" s="2">
        <v>9489.2</v>
      </c>
    </row>
    <row r="6989" spans="1:9" x14ac:dyDescent="0.25">
      <c r="A6989" t="s">
        <v>3791</v>
      </c>
      <c r="B6989" t="s">
        <v>3792</v>
      </c>
      <c r="C6989" t="s">
        <v>42</v>
      </c>
      <c r="D6989" t="s">
        <v>4049</v>
      </c>
      <c r="E6989" t="s">
        <v>4241</v>
      </c>
      <c r="F6989" t="s">
        <v>4051</v>
      </c>
      <c r="G6989">
        <v>0.18</v>
      </c>
      <c r="H6989" s="2">
        <v>9941.22</v>
      </c>
      <c r="I6989" s="2">
        <v>1739.71</v>
      </c>
    </row>
    <row r="6990" spans="1:9" x14ac:dyDescent="0.25">
      <c r="A6990" t="s">
        <v>3791</v>
      </c>
      <c r="B6990" t="s">
        <v>3792</v>
      </c>
      <c r="C6990" t="s">
        <v>42</v>
      </c>
      <c r="D6990" t="s">
        <v>4049</v>
      </c>
      <c r="E6990" t="s">
        <v>4073</v>
      </c>
      <c r="F6990" t="s">
        <v>4051</v>
      </c>
      <c r="G6990">
        <v>1.05</v>
      </c>
      <c r="H6990" s="2">
        <v>15517.89</v>
      </c>
      <c r="I6990" s="2">
        <v>16293.78</v>
      </c>
    </row>
    <row r="6991" spans="1:9" x14ac:dyDescent="0.25">
      <c r="A6991" t="s">
        <v>3791</v>
      </c>
      <c r="B6991" t="s">
        <v>3792</v>
      </c>
      <c r="C6991" t="s">
        <v>42</v>
      </c>
      <c r="D6991" t="s">
        <v>4049</v>
      </c>
      <c r="E6991" t="s">
        <v>4242</v>
      </c>
      <c r="F6991" t="s">
        <v>4051</v>
      </c>
      <c r="G6991">
        <v>0.18</v>
      </c>
      <c r="H6991" s="2">
        <v>17069.53</v>
      </c>
      <c r="I6991" s="2">
        <v>2987.17</v>
      </c>
    </row>
    <row r="6992" spans="1:9" x14ac:dyDescent="0.25">
      <c r="A6992" t="s">
        <v>3791</v>
      </c>
      <c r="B6992" t="s">
        <v>3792</v>
      </c>
      <c r="C6992" t="s">
        <v>42</v>
      </c>
      <c r="D6992" t="s">
        <v>4052</v>
      </c>
      <c r="E6992" t="s">
        <v>6294</v>
      </c>
      <c r="F6992" t="s">
        <v>4106</v>
      </c>
      <c r="G6992">
        <v>0</v>
      </c>
      <c r="H6992" s="2">
        <v>236228.11</v>
      </c>
      <c r="I6992" s="2">
        <v>944.91</v>
      </c>
    </row>
    <row r="6993" spans="1:9" x14ac:dyDescent="0.25">
      <c r="A6993" t="s">
        <v>3791</v>
      </c>
      <c r="B6993" t="s">
        <v>3792</v>
      </c>
      <c r="C6993" t="s">
        <v>42</v>
      </c>
      <c r="D6993" t="s">
        <v>4052</v>
      </c>
      <c r="E6993" t="s">
        <v>4342</v>
      </c>
      <c r="F6993" t="s">
        <v>4106</v>
      </c>
      <c r="G6993">
        <v>0.02</v>
      </c>
      <c r="H6993" s="2">
        <v>66666.67</v>
      </c>
      <c r="I6993" s="2">
        <v>1333.33</v>
      </c>
    </row>
    <row r="6994" spans="1:9" x14ac:dyDescent="0.25">
      <c r="A6994" t="s">
        <v>3791</v>
      </c>
      <c r="B6994" t="s">
        <v>3792</v>
      </c>
      <c r="C6994" t="s">
        <v>42</v>
      </c>
      <c r="D6994" t="s">
        <v>4052</v>
      </c>
      <c r="E6994" t="s">
        <v>4053</v>
      </c>
      <c r="F6994" t="s">
        <v>4054</v>
      </c>
      <c r="G6994">
        <v>5</v>
      </c>
      <c r="H6994" s="2">
        <v>30509.86</v>
      </c>
      <c r="I6994" s="2">
        <v>1525.49</v>
      </c>
    </row>
    <row r="6995" spans="1:9" x14ac:dyDescent="0.25">
      <c r="A6995" t="s">
        <v>3794</v>
      </c>
      <c r="B6995" t="s">
        <v>3795</v>
      </c>
      <c r="C6995" t="s">
        <v>42</v>
      </c>
      <c r="D6995" t="s">
        <v>4062</v>
      </c>
      <c r="E6995" t="s">
        <v>7751</v>
      </c>
      <c r="F6995" t="s">
        <v>42</v>
      </c>
      <c r="G6995">
        <v>1</v>
      </c>
      <c r="H6995" s="2">
        <v>3177.33</v>
      </c>
      <c r="I6995" s="2">
        <v>3177.33</v>
      </c>
    </row>
    <row r="6996" spans="1:9" x14ac:dyDescent="0.25">
      <c r="A6996" t="s">
        <v>3794</v>
      </c>
      <c r="B6996" t="s">
        <v>3795</v>
      </c>
      <c r="C6996" t="s">
        <v>42</v>
      </c>
      <c r="D6996" t="s">
        <v>4062</v>
      </c>
      <c r="E6996" t="s">
        <v>7717</v>
      </c>
      <c r="F6996" t="s">
        <v>42</v>
      </c>
      <c r="G6996">
        <v>1</v>
      </c>
      <c r="H6996" s="2">
        <v>46</v>
      </c>
      <c r="I6996" s="2">
        <v>46</v>
      </c>
    </row>
    <row r="6997" spans="1:9" x14ac:dyDescent="0.25">
      <c r="A6997" t="s">
        <v>3794</v>
      </c>
      <c r="B6997" t="s">
        <v>3795</v>
      </c>
      <c r="C6997" t="s">
        <v>42</v>
      </c>
      <c r="D6997" t="s">
        <v>4062</v>
      </c>
      <c r="E6997" t="s">
        <v>7721</v>
      </c>
      <c r="F6997" t="s">
        <v>63</v>
      </c>
      <c r="G6997">
        <v>0.01</v>
      </c>
      <c r="H6997" s="2">
        <v>185957</v>
      </c>
      <c r="I6997" s="2">
        <v>1859.57</v>
      </c>
    </row>
    <row r="6998" spans="1:9" x14ac:dyDescent="0.25">
      <c r="A6998" t="s">
        <v>3794</v>
      </c>
      <c r="B6998" t="s">
        <v>3795</v>
      </c>
      <c r="C6998" t="s">
        <v>42</v>
      </c>
      <c r="D6998" t="s">
        <v>4062</v>
      </c>
      <c r="E6998" t="s">
        <v>7722</v>
      </c>
      <c r="F6998" t="s">
        <v>34</v>
      </c>
      <c r="G6998">
        <v>0.12</v>
      </c>
      <c r="H6998" s="2">
        <v>90100.77</v>
      </c>
      <c r="I6998" s="2">
        <v>10812.09</v>
      </c>
    </row>
    <row r="6999" spans="1:9" x14ac:dyDescent="0.25">
      <c r="A6999" t="s">
        <v>3794</v>
      </c>
      <c r="B6999" t="s">
        <v>3795</v>
      </c>
      <c r="C6999" t="s">
        <v>42</v>
      </c>
      <c r="D6999" t="s">
        <v>4062</v>
      </c>
      <c r="E6999" t="s">
        <v>7723</v>
      </c>
      <c r="F6999" t="s">
        <v>34</v>
      </c>
      <c r="G6999">
        <v>0.06</v>
      </c>
      <c r="H6999" s="2">
        <v>111672.11</v>
      </c>
      <c r="I6999" s="2">
        <v>6700.33</v>
      </c>
    </row>
    <row r="7000" spans="1:9" x14ac:dyDescent="0.25">
      <c r="A7000" t="s">
        <v>3794</v>
      </c>
      <c r="B7000" t="s">
        <v>3795</v>
      </c>
      <c r="C7000" t="s">
        <v>42</v>
      </c>
      <c r="D7000" t="s">
        <v>4062</v>
      </c>
      <c r="E7000" t="s">
        <v>7724</v>
      </c>
      <c r="F7000" t="s">
        <v>21</v>
      </c>
      <c r="G7000">
        <v>0.8</v>
      </c>
      <c r="H7000" s="2">
        <v>3399.59</v>
      </c>
      <c r="I7000" s="2">
        <v>2719.67</v>
      </c>
    </row>
    <row r="7001" spans="1:9" x14ac:dyDescent="0.25">
      <c r="A7001" t="s">
        <v>3794</v>
      </c>
      <c r="B7001" t="s">
        <v>3795</v>
      </c>
      <c r="C7001" t="s">
        <v>42</v>
      </c>
      <c r="D7001" t="s">
        <v>4062</v>
      </c>
      <c r="E7001" t="s">
        <v>7725</v>
      </c>
      <c r="F7001" t="s">
        <v>34</v>
      </c>
      <c r="G7001">
        <v>0.06</v>
      </c>
      <c r="H7001" s="2">
        <v>582852.45</v>
      </c>
      <c r="I7001" s="2">
        <v>34971.15</v>
      </c>
    </row>
    <row r="7002" spans="1:9" x14ac:dyDescent="0.25">
      <c r="A7002" t="s">
        <v>3794</v>
      </c>
      <c r="B7002" t="s">
        <v>3795</v>
      </c>
      <c r="C7002" t="s">
        <v>42</v>
      </c>
      <c r="D7002" t="s">
        <v>4049</v>
      </c>
      <c r="E7002" t="s">
        <v>4241</v>
      </c>
      <c r="F7002" t="s">
        <v>4051</v>
      </c>
      <c r="G7002">
        <v>0.18</v>
      </c>
      <c r="H7002" s="2">
        <v>9941.22</v>
      </c>
      <c r="I7002" s="2">
        <v>1739.71</v>
      </c>
    </row>
    <row r="7003" spans="1:9" x14ac:dyDescent="0.25">
      <c r="A7003" t="s">
        <v>3794</v>
      </c>
      <c r="B7003" t="s">
        <v>3795</v>
      </c>
      <c r="C7003" t="s">
        <v>42</v>
      </c>
      <c r="D7003" t="s">
        <v>4049</v>
      </c>
      <c r="E7003" t="s">
        <v>4242</v>
      </c>
      <c r="F7003" t="s">
        <v>4051</v>
      </c>
      <c r="G7003">
        <v>0.18</v>
      </c>
      <c r="H7003" s="2">
        <v>17069.53</v>
      </c>
      <c r="I7003" s="2">
        <v>2987.17</v>
      </c>
    </row>
    <row r="7004" spans="1:9" x14ac:dyDescent="0.25">
      <c r="A7004" t="s">
        <v>3794</v>
      </c>
      <c r="B7004" t="s">
        <v>3795</v>
      </c>
      <c r="C7004" t="s">
        <v>42</v>
      </c>
      <c r="D7004" t="s">
        <v>4052</v>
      </c>
      <c r="E7004" t="s">
        <v>4092</v>
      </c>
      <c r="F7004" t="s">
        <v>287</v>
      </c>
      <c r="G7004">
        <v>0.16</v>
      </c>
      <c r="H7004" s="2">
        <v>97476</v>
      </c>
      <c r="I7004" s="2">
        <v>15596.16</v>
      </c>
    </row>
    <row r="7005" spans="1:9" x14ac:dyDescent="0.25">
      <c r="A7005" t="s">
        <v>3794</v>
      </c>
      <c r="B7005" t="s">
        <v>3795</v>
      </c>
      <c r="C7005" t="s">
        <v>42</v>
      </c>
      <c r="D7005" t="s">
        <v>4052</v>
      </c>
      <c r="E7005" t="s">
        <v>7234</v>
      </c>
      <c r="F7005" t="s">
        <v>287</v>
      </c>
      <c r="G7005">
        <v>0.09</v>
      </c>
      <c r="H7005" s="2">
        <v>8800</v>
      </c>
      <c r="I7005" s="2">
        <v>748</v>
      </c>
    </row>
    <row r="7006" spans="1:9" x14ac:dyDescent="0.25">
      <c r="A7006" t="s">
        <v>3794</v>
      </c>
      <c r="B7006" t="s">
        <v>3795</v>
      </c>
      <c r="C7006" t="s">
        <v>42</v>
      </c>
      <c r="D7006" t="s">
        <v>4052</v>
      </c>
      <c r="E7006" t="s">
        <v>6294</v>
      </c>
      <c r="F7006" t="s">
        <v>4106</v>
      </c>
      <c r="G7006">
        <v>0</v>
      </c>
      <c r="H7006" s="2">
        <v>236228.11</v>
      </c>
      <c r="I7006" s="2">
        <v>944.91</v>
      </c>
    </row>
    <row r="7007" spans="1:9" x14ac:dyDescent="0.25">
      <c r="A7007" t="s">
        <v>3794</v>
      </c>
      <c r="B7007" t="s">
        <v>3795</v>
      </c>
      <c r="C7007" t="s">
        <v>42</v>
      </c>
      <c r="D7007" t="s">
        <v>4052</v>
      </c>
      <c r="E7007" t="s">
        <v>4053</v>
      </c>
      <c r="F7007" t="s">
        <v>4054</v>
      </c>
      <c r="G7007">
        <v>5</v>
      </c>
      <c r="H7007" s="2">
        <v>4726.88</v>
      </c>
      <c r="I7007" s="2">
        <v>236.34</v>
      </c>
    </row>
    <row r="7008" spans="1:9" x14ac:dyDescent="0.25">
      <c r="A7008" t="s">
        <v>3797</v>
      </c>
      <c r="B7008" t="s">
        <v>3798</v>
      </c>
      <c r="C7008" t="s">
        <v>42</v>
      </c>
      <c r="D7008" t="s">
        <v>4062</v>
      </c>
      <c r="E7008" t="s">
        <v>7751</v>
      </c>
      <c r="F7008" t="s">
        <v>42</v>
      </c>
      <c r="G7008">
        <v>1</v>
      </c>
      <c r="H7008" s="2">
        <v>3177.33</v>
      </c>
      <c r="I7008" s="2">
        <v>3177.33</v>
      </c>
    </row>
    <row r="7009" spans="1:9" x14ac:dyDescent="0.25">
      <c r="A7009" t="s">
        <v>3797</v>
      </c>
      <c r="B7009" t="s">
        <v>3798</v>
      </c>
      <c r="C7009" t="s">
        <v>42</v>
      </c>
      <c r="D7009" t="s">
        <v>4062</v>
      </c>
      <c r="E7009" t="s">
        <v>3265</v>
      </c>
      <c r="F7009" t="s">
        <v>34</v>
      </c>
      <c r="G7009">
        <v>0.06</v>
      </c>
      <c r="H7009" s="2">
        <v>706218.57</v>
      </c>
      <c r="I7009" s="2">
        <v>42373.11</v>
      </c>
    </row>
    <row r="7010" spans="1:9" x14ac:dyDescent="0.25">
      <c r="A7010" t="s">
        <v>3797</v>
      </c>
      <c r="B7010" t="s">
        <v>3798</v>
      </c>
      <c r="C7010" t="s">
        <v>42</v>
      </c>
      <c r="D7010" t="s">
        <v>4062</v>
      </c>
      <c r="E7010" t="s">
        <v>7717</v>
      </c>
      <c r="F7010" t="s">
        <v>42</v>
      </c>
      <c r="G7010">
        <v>1</v>
      </c>
      <c r="H7010" s="2">
        <v>46</v>
      </c>
      <c r="I7010" s="2">
        <v>46</v>
      </c>
    </row>
    <row r="7011" spans="1:9" x14ac:dyDescent="0.25">
      <c r="A7011" t="s">
        <v>3797</v>
      </c>
      <c r="B7011" t="s">
        <v>3798</v>
      </c>
      <c r="C7011" t="s">
        <v>42</v>
      </c>
      <c r="D7011" t="s">
        <v>4062</v>
      </c>
      <c r="E7011" t="s">
        <v>7721</v>
      </c>
      <c r="F7011" t="s">
        <v>63</v>
      </c>
      <c r="G7011">
        <v>0.01</v>
      </c>
      <c r="H7011" s="2">
        <v>185957</v>
      </c>
      <c r="I7011" s="2">
        <v>1859.57</v>
      </c>
    </row>
    <row r="7012" spans="1:9" x14ac:dyDescent="0.25">
      <c r="A7012" t="s">
        <v>3797</v>
      </c>
      <c r="B7012" t="s">
        <v>3798</v>
      </c>
      <c r="C7012" t="s">
        <v>42</v>
      </c>
      <c r="D7012" t="s">
        <v>4062</v>
      </c>
      <c r="E7012" t="s">
        <v>7728</v>
      </c>
      <c r="F7012" t="s">
        <v>34</v>
      </c>
      <c r="G7012">
        <v>0.18</v>
      </c>
      <c r="H7012" s="2">
        <v>111672.11</v>
      </c>
      <c r="I7012" s="2">
        <v>20100.98</v>
      </c>
    </row>
    <row r="7013" spans="1:9" x14ac:dyDescent="0.25">
      <c r="A7013" t="s">
        <v>3797</v>
      </c>
      <c r="B7013" t="s">
        <v>3798</v>
      </c>
      <c r="C7013" t="s">
        <v>42</v>
      </c>
      <c r="D7013" t="s">
        <v>4049</v>
      </c>
      <c r="E7013" t="s">
        <v>4241</v>
      </c>
      <c r="F7013" t="s">
        <v>4051</v>
      </c>
      <c r="G7013">
        <v>0.18</v>
      </c>
      <c r="H7013" s="2">
        <v>9941.22</v>
      </c>
      <c r="I7013" s="2">
        <v>1739.71</v>
      </c>
    </row>
    <row r="7014" spans="1:9" x14ac:dyDescent="0.25">
      <c r="A7014" t="s">
        <v>3797</v>
      </c>
      <c r="B7014" t="s">
        <v>3798</v>
      </c>
      <c r="C7014" t="s">
        <v>42</v>
      </c>
      <c r="D7014" t="s">
        <v>4049</v>
      </c>
      <c r="E7014" t="s">
        <v>4242</v>
      </c>
      <c r="F7014" t="s">
        <v>4051</v>
      </c>
      <c r="G7014">
        <v>0.18</v>
      </c>
      <c r="H7014" s="2">
        <v>17069.53</v>
      </c>
      <c r="I7014" s="2">
        <v>2987.17</v>
      </c>
    </row>
    <row r="7015" spans="1:9" x14ac:dyDescent="0.25">
      <c r="A7015" t="s">
        <v>3797</v>
      </c>
      <c r="B7015" t="s">
        <v>3798</v>
      </c>
      <c r="C7015" t="s">
        <v>42</v>
      </c>
      <c r="D7015" t="s">
        <v>4052</v>
      </c>
      <c r="E7015" t="s">
        <v>4092</v>
      </c>
      <c r="F7015" t="s">
        <v>287</v>
      </c>
      <c r="G7015">
        <v>0.16</v>
      </c>
      <c r="H7015" s="2">
        <v>97476</v>
      </c>
      <c r="I7015" s="2">
        <v>15596.16</v>
      </c>
    </row>
    <row r="7016" spans="1:9" x14ac:dyDescent="0.25">
      <c r="A7016" t="s">
        <v>3797</v>
      </c>
      <c r="B7016" t="s">
        <v>3798</v>
      </c>
      <c r="C7016" t="s">
        <v>42</v>
      </c>
      <c r="D7016" t="s">
        <v>4052</v>
      </c>
      <c r="E7016" t="s">
        <v>7234</v>
      </c>
      <c r="F7016" t="s">
        <v>287</v>
      </c>
      <c r="G7016">
        <v>0.09</v>
      </c>
      <c r="H7016" s="2">
        <v>8800</v>
      </c>
      <c r="I7016" s="2">
        <v>748</v>
      </c>
    </row>
    <row r="7017" spans="1:9" x14ac:dyDescent="0.25">
      <c r="A7017" t="s">
        <v>3797</v>
      </c>
      <c r="B7017" t="s">
        <v>3798</v>
      </c>
      <c r="C7017" t="s">
        <v>42</v>
      </c>
      <c r="D7017" t="s">
        <v>4052</v>
      </c>
      <c r="E7017" t="s">
        <v>6294</v>
      </c>
      <c r="F7017" t="s">
        <v>4106</v>
      </c>
      <c r="G7017">
        <v>0</v>
      </c>
      <c r="H7017" s="2">
        <v>236228.11</v>
      </c>
      <c r="I7017" s="2">
        <v>944.91</v>
      </c>
    </row>
    <row r="7018" spans="1:9" x14ac:dyDescent="0.25">
      <c r="A7018" t="s">
        <v>3797</v>
      </c>
      <c r="B7018" t="s">
        <v>3798</v>
      </c>
      <c r="C7018" t="s">
        <v>42</v>
      </c>
      <c r="D7018" t="s">
        <v>4052</v>
      </c>
      <c r="E7018" t="s">
        <v>4053</v>
      </c>
      <c r="F7018" t="s">
        <v>4054</v>
      </c>
      <c r="G7018">
        <v>5</v>
      </c>
      <c r="H7018" s="2">
        <v>4726.88</v>
      </c>
      <c r="I7018" s="2">
        <v>236.34</v>
      </c>
    </row>
    <row r="7019" spans="1:9" x14ac:dyDescent="0.25">
      <c r="A7019" t="s">
        <v>3800</v>
      </c>
      <c r="B7019" t="s">
        <v>3801</v>
      </c>
      <c r="C7019" t="s">
        <v>42</v>
      </c>
      <c r="D7019" t="s">
        <v>4062</v>
      </c>
      <c r="E7019" t="s">
        <v>4547</v>
      </c>
      <c r="F7019" t="s">
        <v>34</v>
      </c>
      <c r="G7019">
        <v>0.24</v>
      </c>
      <c r="H7019" s="2">
        <v>57129.33</v>
      </c>
      <c r="I7019" s="2">
        <v>13711.04</v>
      </c>
    </row>
    <row r="7020" spans="1:9" x14ac:dyDescent="0.25">
      <c r="A7020" t="s">
        <v>3800</v>
      </c>
      <c r="B7020" t="s">
        <v>3801</v>
      </c>
      <c r="C7020" t="s">
        <v>42</v>
      </c>
      <c r="D7020" t="s">
        <v>4062</v>
      </c>
      <c r="E7020" t="s">
        <v>7751</v>
      </c>
      <c r="F7020" t="s">
        <v>42</v>
      </c>
      <c r="G7020">
        <v>1</v>
      </c>
      <c r="H7020" s="2">
        <v>3177.33</v>
      </c>
      <c r="I7020" s="2">
        <v>3177.33</v>
      </c>
    </row>
    <row r="7021" spans="1:9" x14ac:dyDescent="0.25">
      <c r="A7021" t="s">
        <v>3800</v>
      </c>
      <c r="B7021" t="s">
        <v>3801</v>
      </c>
      <c r="C7021" t="s">
        <v>42</v>
      </c>
      <c r="D7021" t="s">
        <v>4062</v>
      </c>
      <c r="E7021" t="s">
        <v>7581</v>
      </c>
      <c r="F7021" t="s">
        <v>21</v>
      </c>
      <c r="G7021">
        <v>0.4</v>
      </c>
      <c r="H7021" s="2">
        <v>3850</v>
      </c>
      <c r="I7021" s="2">
        <v>1540</v>
      </c>
    </row>
    <row r="7022" spans="1:9" x14ac:dyDescent="0.25">
      <c r="A7022" t="s">
        <v>3800</v>
      </c>
      <c r="B7022" t="s">
        <v>3801</v>
      </c>
      <c r="C7022" t="s">
        <v>42</v>
      </c>
      <c r="D7022" t="s">
        <v>4062</v>
      </c>
      <c r="E7022" t="s">
        <v>7717</v>
      </c>
      <c r="F7022" t="s">
        <v>42</v>
      </c>
      <c r="G7022">
        <v>1</v>
      </c>
      <c r="H7022" s="2">
        <v>46</v>
      </c>
      <c r="I7022" s="2">
        <v>46</v>
      </c>
    </row>
    <row r="7023" spans="1:9" x14ac:dyDescent="0.25">
      <c r="A7023" t="s">
        <v>3800</v>
      </c>
      <c r="B7023" t="s">
        <v>3801</v>
      </c>
      <c r="C7023" t="s">
        <v>42</v>
      </c>
      <c r="D7023" t="s">
        <v>4049</v>
      </c>
      <c r="E7023" t="s">
        <v>4050</v>
      </c>
      <c r="F7023" t="s">
        <v>4051</v>
      </c>
      <c r="G7023">
        <v>0.7</v>
      </c>
      <c r="H7023" s="2">
        <v>9037.33</v>
      </c>
      <c r="I7023" s="2">
        <v>6326.13</v>
      </c>
    </row>
    <row r="7024" spans="1:9" x14ac:dyDescent="0.25">
      <c r="A7024" t="s">
        <v>3800</v>
      </c>
      <c r="B7024" t="s">
        <v>3801</v>
      </c>
      <c r="C7024" t="s">
        <v>42</v>
      </c>
      <c r="D7024" t="s">
        <v>4049</v>
      </c>
      <c r="E7024" t="s">
        <v>4241</v>
      </c>
      <c r="F7024" t="s">
        <v>4051</v>
      </c>
      <c r="G7024">
        <v>0.18</v>
      </c>
      <c r="H7024" s="2">
        <v>9941.22</v>
      </c>
      <c r="I7024" s="2">
        <v>1739.71</v>
      </c>
    </row>
    <row r="7025" spans="1:9" x14ac:dyDescent="0.25">
      <c r="A7025" t="s">
        <v>3800</v>
      </c>
      <c r="B7025" t="s">
        <v>3801</v>
      </c>
      <c r="C7025" t="s">
        <v>42</v>
      </c>
      <c r="D7025" t="s">
        <v>4049</v>
      </c>
      <c r="E7025" t="s">
        <v>4073</v>
      </c>
      <c r="F7025" t="s">
        <v>4051</v>
      </c>
      <c r="G7025">
        <v>0.7</v>
      </c>
      <c r="H7025" s="2">
        <v>15517.89</v>
      </c>
      <c r="I7025" s="2">
        <v>10862.52</v>
      </c>
    </row>
    <row r="7026" spans="1:9" x14ac:dyDescent="0.25">
      <c r="A7026" t="s">
        <v>3800</v>
      </c>
      <c r="B7026" t="s">
        <v>3801</v>
      </c>
      <c r="C7026" t="s">
        <v>42</v>
      </c>
      <c r="D7026" t="s">
        <v>4049</v>
      </c>
      <c r="E7026" t="s">
        <v>4242</v>
      </c>
      <c r="F7026" t="s">
        <v>4051</v>
      </c>
      <c r="G7026">
        <v>0.18</v>
      </c>
      <c r="H7026" s="2">
        <v>17069.53</v>
      </c>
      <c r="I7026" s="2">
        <v>2987.17</v>
      </c>
    </row>
    <row r="7027" spans="1:9" x14ac:dyDescent="0.25">
      <c r="A7027" t="s">
        <v>3800</v>
      </c>
      <c r="B7027" t="s">
        <v>3801</v>
      </c>
      <c r="C7027" t="s">
        <v>42</v>
      </c>
      <c r="D7027" t="s">
        <v>4052</v>
      </c>
      <c r="E7027" t="s">
        <v>6294</v>
      </c>
      <c r="F7027" t="s">
        <v>4106</v>
      </c>
      <c r="G7027">
        <v>0</v>
      </c>
      <c r="H7027" s="2">
        <v>236228.11</v>
      </c>
      <c r="I7027" s="2">
        <v>944.91</v>
      </c>
    </row>
    <row r="7028" spans="1:9" x14ac:dyDescent="0.25">
      <c r="A7028" t="s">
        <v>3800</v>
      </c>
      <c r="B7028" t="s">
        <v>3801</v>
      </c>
      <c r="C7028" t="s">
        <v>42</v>
      </c>
      <c r="D7028" t="s">
        <v>4052</v>
      </c>
      <c r="E7028" t="s">
        <v>4342</v>
      </c>
      <c r="F7028" t="s">
        <v>4106</v>
      </c>
      <c r="G7028">
        <v>0.02</v>
      </c>
      <c r="H7028" s="2">
        <v>66666.67</v>
      </c>
      <c r="I7028" s="2">
        <v>1333.33</v>
      </c>
    </row>
    <row r="7029" spans="1:9" x14ac:dyDescent="0.25">
      <c r="A7029" t="s">
        <v>3800</v>
      </c>
      <c r="B7029" t="s">
        <v>3801</v>
      </c>
      <c r="C7029" t="s">
        <v>42</v>
      </c>
      <c r="D7029" t="s">
        <v>4052</v>
      </c>
      <c r="E7029" t="s">
        <v>4053</v>
      </c>
      <c r="F7029" t="s">
        <v>4054</v>
      </c>
      <c r="G7029">
        <v>5</v>
      </c>
      <c r="H7029" s="2">
        <v>21915.53</v>
      </c>
      <c r="I7029" s="2">
        <v>1095.78</v>
      </c>
    </row>
    <row r="7030" spans="1:9" x14ac:dyDescent="0.25">
      <c r="A7030" t="s">
        <v>3803</v>
      </c>
      <c r="B7030" t="s">
        <v>3804</v>
      </c>
      <c r="C7030" t="s">
        <v>42</v>
      </c>
      <c r="D7030" t="s">
        <v>4062</v>
      </c>
      <c r="E7030" t="s">
        <v>7525</v>
      </c>
      <c r="F7030" t="s">
        <v>42</v>
      </c>
      <c r="G7030">
        <v>1</v>
      </c>
      <c r="H7030" s="2">
        <v>41687.5</v>
      </c>
      <c r="I7030" s="2">
        <v>41687.5</v>
      </c>
    </row>
    <row r="7031" spans="1:9" x14ac:dyDescent="0.25">
      <c r="A7031" t="s">
        <v>3803</v>
      </c>
      <c r="B7031" t="s">
        <v>3804</v>
      </c>
      <c r="C7031" t="s">
        <v>42</v>
      </c>
      <c r="D7031" t="s">
        <v>4062</v>
      </c>
      <c r="E7031" t="s">
        <v>5816</v>
      </c>
      <c r="F7031" t="s">
        <v>34</v>
      </c>
      <c r="G7031">
        <v>0.02</v>
      </c>
      <c r="H7031" s="2">
        <v>93966.67</v>
      </c>
      <c r="I7031" s="2">
        <v>1879.33</v>
      </c>
    </row>
    <row r="7032" spans="1:9" x14ac:dyDescent="0.25">
      <c r="A7032" t="s">
        <v>3803</v>
      </c>
      <c r="B7032" t="s">
        <v>3804</v>
      </c>
      <c r="C7032" t="s">
        <v>42</v>
      </c>
      <c r="D7032" t="s">
        <v>4062</v>
      </c>
      <c r="E7032" t="s">
        <v>7717</v>
      </c>
      <c r="F7032" t="s">
        <v>42</v>
      </c>
      <c r="G7032">
        <v>1</v>
      </c>
      <c r="H7032" s="2">
        <v>46</v>
      </c>
      <c r="I7032" s="2">
        <v>46</v>
      </c>
    </row>
    <row r="7033" spans="1:9" x14ac:dyDescent="0.25">
      <c r="A7033" t="s">
        <v>3803</v>
      </c>
      <c r="B7033" t="s">
        <v>3804</v>
      </c>
      <c r="C7033" t="s">
        <v>42</v>
      </c>
      <c r="D7033" t="s">
        <v>4062</v>
      </c>
      <c r="E7033" t="s">
        <v>3261</v>
      </c>
      <c r="F7033" t="s">
        <v>34</v>
      </c>
      <c r="G7033">
        <v>0.12</v>
      </c>
      <c r="H7033" s="2">
        <v>90100.77</v>
      </c>
      <c r="I7033" s="2">
        <v>10812.09</v>
      </c>
    </row>
    <row r="7034" spans="1:9" x14ac:dyDescent="0.25">
      <c r="A7034" t="s">
        <v>3803</v>
      </c>
      <c r="B7034" t="s">
        <v>3804</v>
      </c>
      <c r="C7034" t="s">
        <v>42</v>
      </c>
      <c r="D7034" t="s">
        <v>4062</v>
      </c>
      <c r="E7034" t="s">
        <v>7718</v>
      </c>
      <c r="F7034" t="s">
        <v>21</v>
      </c>
      <c r="G7034">
        <v>0.4</v>
      </c>
      <c r="H7034" s="2">
        <v>35458.33</v>
      </c>
      <c r="I7034" s="2">
        <v>14183.33</v>
      </c>
    </row>
    <row r="7035" spans="1:9" x14ac:dyDescent="0.25">
      <c r="A7035" t="s">
        <v>3803</v>
      </c>
      <c r="B7035" t="s">
        <v>3804</v>
      </c>
      <c r="C7035" t="s">
        <v>42</v>
      </c>
      <c r="D7035" t="s">
        <v>4062</v>
      </c>
      <c r="E7035" t="s">
        <v>4076</v>
      </c>
      <c r="F7035" t="s">
        <v>3963</v>
      </c>
      <c r="G7035">
        <v>2.85</v>
      </c>
      <c r="H7035" s="2">
        <v>21</v>
      </c>
      <c r="I7035" s="2">
        <v>59.85</v>
      </c>
    </row>
    <row r="7036" spans="1:9" x14ac:dyDescent="0.25">
      <c r="A7036" t="s">
        <v>3803</v>
      </c>
      <c r="B7036" t="s">
        <v>3804</v>
      </c>
      <c r="C7036" t="s">
        <v>42</v>
      </c>
      <c r="D7036" t="s">
        <v>4049</v>
      </c>
      <c r="E7036" t="s">
        <v>4050</v>
      </c>
      <c r="F7036" t="s">
        <v>4051</v>
      </c>
      <c r="G7036">
        <v>1.05</v>
      </c>
      <c r="H7036" s="2">
        <v>9037.33</v>
      </c>
      <c r="I7036" s="2">
        <v>9489.2</v>
      </c>
    </row>
    <row r="7037" spans="1:9" x14ac:dyDescent="0.25">
      <c r="A7037" t="s">
        <v>3803</v>
      </c>
      <c r="B7037" t="s">
        <v>3804</v>
      </c>
      <c r="C7037" t="s">
        <v>42</v>
      </c>
      <c r="D7037" t="s">
        <v>4049</v>
      </c>
      <c r="E7037" t="s">
        <v>4241</v>
      </c>
      <c r="F7037" t="s">
        <v>4051</v>
      </c>
      <c r="G7037">
        <v>0.18</v>
      </c>
      <c r="H7037" s="2">
        <v>9941.22</v>
      </c>
      <c r="I7037" s="2">
        <v>1739.71</v>
      </c>
    </row>
    <row r="7038" spans="1:9" x14ac:dyDescent="0.25">
      <c r="A7038" t="s">
        <v>3803</v>
      </c>
      <c r="B7038" t="s">
        <v>3804</v>
      </c>
      <c r="C7038" t="s">
        <v>42</v>
      </c>
      <c r="D7038" t="s">
        <v>4049</v>
      </c>
      <c r="E7038" t="s">
        <v>4073</v>
      </c>
      <c r="F7038" t="s">
        <v>4051</v>
      </c>
      <c r="G7038">
        <v>1.05</v>
      </c>
      <c r="H7038" s="2">
        <v>15517.89</v>
      </c>
      <c r="I7038" s="2">
        <v>16293.78</v>
      </c>
    </row>
    <row r="7039" spans="1:9" x14ac:dyDescent="0.25">
      <c r="A7039" t="s">
        <v>3803</v>
      </c>
      <c r="B7039" t="s">
        <v>3804</v>
      </c>
      <c r="C7039" t="s">
        <v>42</v>
      </c>
      <c r="D7039" t="s">
        <v>4049</v>
      </c>
      <c r="E7039" t="s">
        <v>4242</v>
      </c>
      <c r="F7039" t="s">
        <v>4051</v>
      </c>
      <c r="G7039">
        <v>0.18</v>
      </c>
      <c r="H7039" s="2">
        <v>17069.53</v>
      </c>
      <c r="I7039" s="2">
        <v>2987.17</v>
      </c>
    </row>
    <row r="7040" spans="1:9" x14ac:dyDescent="0.25">
      <c r="A7040" t="s">
        <v>3803</v>
      </c>
      <c r="B7040" t="s">
        <v>3804</v>
      </c>
      <c r="C7040" t="s">
        <v>42</v>
      </c>
      <c r="D7040" t="s">
        <v>4052</v>
      </c>
      <c r="E7040" t="s">
        <v>6294</v>
      </c>
      <c r="F7040" t="s">
        <v>4106</v>
      </c>
      <c r="G7040">
        <v>0</v>
      </c>
      <c r="H7040" s="2">
        <v>236228.11</v>
      </c>
      <c r="I7040" s="2">
        <v>944.91</v>
      </c>
    </row>
    <row r="7041" spans="1:9" x14ac:dyDescent="0.25">
      <c r="A7041" t="s">
        <v>3803</v>
      </c>
      <c r="B7041" t="s">
        <v>3804</v>
      </c>
      <c r="C7041" t="s">
        <v>42</v>
      </c>
      <c r="D7041" t="s">
        <v>4052</v>
      </c>
      <c r="E7041" t="s">
        <v>4342</v>
      </c>
      <c r="F7041" t="s">
        <v>4106</v>
      </c>
      <c r="G7041">
        <v>0.02</v>
      </c>
      <c r="H7041" s="2">
        <v>66666.67</v>
      </c>
      <c r="I7041" s="2">
        <v>1333.33</v>
      </c>
    </row>
    <row r="7042" spans="1:9" x14ac:dyDescent="0.25">
      <c r="A7042" t="s">
        <v>3803</v>
      </c>
      <c r="B7042" t="s">
        <v>3804</v>
      </c>
      <c r="C7042" t="s">
        <v>42</v>
      </c>
      <c r="D7042" t="s">
        <v>4052</v>
      </c>
      <c r="E7042" t="s">
        <v>4053</v>
      </c>
      <c r="F7042" t="s">
        <v>4054</v>
      </c>
      <c r="G7042">
        <v>5</v>
      </c>
      <c r="H7042" s="2">
        <v>30509.86</v>
      </c>
      <c r="I7042" s="2">
        <v>1525.49</v>
      </c>
    </row>
    <row r="7043" spans="1:9" x14ac:dyDescent="0.25">
      <c r="A7043" t="s">
        <v>3806</v>
      </c>
      <c r="B7043" t="s">
        <v>3807</v>
      </c>
      <c r="C7043" t="s">
        <v>42</v>
      </c>
      <c r="D7043" t="s">
        <v>4062</v>
      </c>
      <c r="E7043" t="s">
        <v>7525</v>
      </c>
      <c r="F7043" t="s">
        <v>42</v>
      </c>
      <c r="G7043">
        <v>1</v>
      </c>
      <c r="H7043" s="2">
        <v>41687.5</v>
      </c>
      <c r="I7043" s="2">
        <v>41687.5</v>
      </c>
    </row>
    <row r="7044" spans="1:9" x14ac:dyDescent="0.25">
      <c r="A7044" t="s">
        <v>3806</v>
      </c>
      <c r="B7044" t="s">
        <v>3807</v>
      </c>
      <c r="C7044" t="s">
        <v>42</v>
      </c>
      <c r="D7044" t="s">
        <v>4062</v>
      </c>
      <c r="E7044" t="s">
        <v>7717</v>
      </c>
      <c r="F7044" t="s">
        <v>42</v>
      </c>
      <c r="G7044">
        <v>1</v>
      </c>
      <c r="H7044" s="2">
        <v>46</v>
      </c>
      <c r="I7044" s="2">
        <v>46</v>
      </c>
    </row>
    <row r="7045" spans="1:9" x14ac:dyDescent="0.25">
      <c r="A7045" t="s">
        <v>3806</v>
      </c>
      <c r="B7045" t="s">
        <v>3807</v>
      </c>
      <c r="C7045" t="s">
        <v>42</v>
      </c>
      <c r="D7045" t="s">
        <v>4062</v>
      </c>
      <c r="E7045" t="s">
        <v>7721</v>
      </c>
      <c r="F7045" t="s">
        <v>63</v>
      </c>
      <c r="G7045">
        <v>0.01</v>
      </c>
      <c r="H7045" s="2">
        <v>185957</v>
      </c>
      <c r="I7045" s="2">
        <v>1859.57</v>
      </c>
    </row>
    <row r="7046" spans="1:9" x14ac:dyDescent="0.25">
      <c r="A7046" t="s">
        <v>3806</v>
      </c>
      <c r="B7046" t="s">
        <v>3807</v>
      </c>
      <c r="C7046" t="s">
        <v>42</v>
      </c>
      <c r="D7046" t="s">
        <v>4062</v>
      </c>
      <c r="E7046" t="s">
        <v>7722</v>
      </c>
      <c r="F7046" t="s">
        <v>34</v>
      </c>
      <c r="G7046">
        <v>0.12</v>
      </c>
      <c r="H7046" s="2">
        <v>90100.77</v>
      </c>
      <c r="I7046" s="2">
        <v>10812.09</v>
      </c>
    </row>
    <row r="7047" spans="1:9" x14ac:dyDescent="0.25">
      <c r="A7047" t="s">
        <v>3806</v>
      </c>
      <c r="B7047" t="s">
        <v>3807</v>
      </c>
      <c r="C7047" t="s">
        <v>42</v>
      </c>
      <c r="D7047" t="s">
        <v>4062</v>
      </c>
      <c r="E7047" t="s">
        <v>7723</v>
      </c>
      <c r="F7047" t="s">
        <v>34</v>
      </c>
      <c r="G7047">
        <v>0.06</v>
      </c>
      <c r="H7047" s="2">
        <v>111672.11</v>
      </c>
      <c r="I7047" s="2">
        <v>6700.33</v>
      </c>
    </row>
    <row r="7048" spans="1:9" x14ac:dyDescent="0.25">
      <c r="A7048" t="s">
        <v>3806</v>
      </c>
      <c r="B7048" t="s">
        <v>3807</v>
      </c>
      <c r="C7048" t="s">
        <v>42</v>
      </c>
      <c r="D7048" t="s">
        <v>4062</v>
      </c>
      <c r="E7048" t="s">
        <v>7724</v>
      </c>
      <c r="F7048" t="s">
        <v>21</v>
      </c>
      <c r="G7048">
        <v>0.8</v>
      </c>
      <c r="H7048" s="2">
        <v>3399.59</v>
      </c>
      <c r="I7048" s="2">
        <v>2719.67</v>
      </c>
    </row>
    <row r="7049" spans="1:9" x14ac:dyDescent="0.25">
      <c r="A7049" t="s">
        <v>3806</v>
      </c>
      <c r="B7049" t="s">
        <v>3807</v>
      </c>
      <c r="C7049" t="s">
        <v>42</v>
      </c>
      <c r="D7049" t="s">
        <v>4062</v>
      </c>
      <c r="E7049" t="s">
        <v>7725</v>
      </c>
      <c r="F7049" t="s">
        <v>34</v>
      </c>
      <c r="G7049">
        <v>0.06</v>
      </c>
      <c r="H7049" s="2">
        <v>582852.45</v>
      </c>
      <c r="I7049" s="2">
        <v>34971.15</v>
      </c>
    </row>
    <row r="7050" spans="1:9" x14ac:dyDescent="0.25">
      <c r="A7050" t="s">
        <v>3806</v>
      </c>
      <c r="B7050" t="s">
        <v>3807</v>
      </c>
      <c r="C7050" t="s">
        <v>42</v>
      </c>
      <c r="D7050" t="s">
        <v>4049</v>
      </c>
      <c r="E7050" t="s">
        <v>4241</v>
      </c>
      <c r="F7050" t="s">
        <v>4051</v>
      </c>
      <c r="G7050">
        <v>0.18</v>
      </c>
      <c r="H7050" s="2">
        <v>9941.22</v>
      </c>
      <c r="I7050" s="2">
        <v>1739.71</v>
      </c>
    </row>
    <row r="7051" spans="1:9" x14ac:dyDescent="0.25">
      <c r="A7051" t="s">
        <v>3806</v>
      </c>
      <c r="B7051" t="s">
        <v>3807</v>
      </c>
      <c r="C7051" t="s">
        <v>42</v>
      </c>
      <c r="D7051" t="s">
        <v>4049</v>
      </c>
      <c r="E7051" t="s">
        <v>4242</v>
      </c>
      <c r="F7051" t="s">
        <v>4051</v>
      </c>
      <c r="G7051">
        <v>0.18</v>
      </c>
      <c r="H7051" s="2">
        <v>17069.53</v>
      </c>
      <c r="I7051" s="2">
        <v>2987.17</v>
      </c>
    </row>
    <row r="7052" spans="1:9" x14ac:dyDescent="0.25">
      <c r="A7052" t="s">
        <v>3806</v>
      </c>
      <c r="B7052" t="s">
        <v>3807</v>
      </c>
      <c r="C7052" t="s">
        <v>42</v>
      </c>
      <c r="D7052" t="s">
        <v>4052</v>
      </c>
      <c r="E7052" t="s">
        <v>4092</v>
      </c>
      <c r="F7052" t="s">
        <v>287</v>
      </c>
      <c r="G7052">
        <v>0.16</v>
      </c>
      <c r="H7052" s="2">
        <v>97476</v>
      </c>
      <c r="I7052" s="2">
        <v>15596.16</v>
      </c>
    </row>
    <row r="7053" spans="1:9" x14ac:dyDescent="0.25">
      <c r="A7053" t="s">
        <v>3806</v>
      </c>
      <c r="B7053" t="s">
        <v>3807</v>
      </c>
      <c r="C7053" t="s">
        <v>42</v>
      </c>
      <c r="D7053" t="s">
        <v>4052</v>
      </c>
      <c r="E7053" t="s">
        <v>7234</v>
      </c>
      <c r="F7053" t="s">
        <v>287</v>
      </c>
      <c r="G7053">
        <v>0.09</v>
      </c>
      <c r="H7053" s="2">
        <v>8800</v>
      </c>
      <c r="I7053" s="2">
        <v>748</v>
      </c>
    </row>
    <row r="7054" spans="1:9" x14ac:dyDescent="0.25">
      <c r="A7054" t="s">
        <v>3806</v>
      </c>
      <c r="B7054" t="s">
        <v>3807</v>
      </c>
      <c r="C7054" t="s">
        <v>42</v>
      </c>
      <c r="D7054" t="s">
        <v>4052</v>
      </c>
      <c r="E7054" t="s">
        <v>6294</v>
      </c>
      <c r="F7054" t="s">
        <v>4106</v>
      </c>
      <c r="G7054">
        <v>0</v>
      </c>
      <c r="H7054" s="2">
        <v>236228.11</v>
      </c>
      <c r="I7054" s="2">
        <v>944.91</v>
      </c>
    </row>
    <row r="7055" spans="1:9" x14ac:dyDescent="0.25">
      <c r="A7055" t="s">
        <v>3806</v>
      </c>
      <c r="B7055" t="s">
        <v>3807</v>
      </c>
      <c r="C7055" t="s">
        <v>42</v>
      </c>
      <c r="D7055" t="s">
        <v>4052</v>
      </c>
      <c r="E7055" t="s">
        <v>4053</v>
      </c>
      <c r="F7055" t="s">
        <v>4054</v>
      </c>
      <c r="G7055">
        <v>5</v>
      </c>
      <c r="H7055" s="2">
        <v>4726.88</v>
      </c>
      <c r="I7055" s="2">
        <v>236.34</v>
      </c>
    </row>
    <row r="7056" spans="1:9" x14ac:dyDescent="0.25">
      <c r="A7056" t="s">
        <v>3809</v>
      </c>
      <c r="B7056" t="s">
        <v>3810</v>
      </c>
      <c r="C7056" t="s">
        <v>42</v>
      </c>
      <c r="D7056" t="s">
        <v>4062</v>
      </c>
      <c r="E7056" t="s">
        <v>7525</v>
      </c>
      <c r="F7056" t="s">
        <v>42</v>
      </c>
      <c r="G7056">
        <v>1</v>
      </c>
      <c r="H7056" s="2">
        <v>41687.5</v>
      </c>
      <c r="I7056" s="2">
        <v>41687.5</v>
      </c>
    </row>
    <row r="7057" spans="1:9" x14ac:dyDescent="0.25">
      <c r="A7057" t="s">
        <v>3809</v>
      </c>
      <c r="B7057" t="s">
        <v>3810</v>
      </c>
      <c r="C7057" t="s">
        <v>42</v>
      </c>
      <c r="D7057" t="s">
        <v>4062</v>
      </c>
      <c r="E7057" t="s">
        <v>3265</v>
      </c>
      <c r="F7057" t="s">
        <v>34</v>
      </c>
      <c r="G7057">
        <v>0.06</v>
      </c>
      <c r="H7057" s="2">
        <v>706218.57</v>
      </c>
      <c r="I7057" s="2">
        <v>42373.11</v>
      </c>
    </row>
    <row r="7058" spans="1:9" x14ac:dyDescent="0.25">
      <c r="A7058" t="s">
        <v>3809</v>
      </c>
      <c r="B7058" t="s">
        <v>3810</v>
      </c>
      <c r="C7058" t="s">
        <v>42</v>
      </c>
      <c r="D7058" t="s">
        <v>4062</v>
      </c>
      <c r="E7058" t="s">
        <v>7717</v>
      </c>
      <c r="F7058" t="s">
        <v>42</v>
      </c>
      <c r="G7058">
        <v>1</v>
      </c>
      <c r="H7058" s="2">
        <v>46</v>
      </c>
      <c r="I7058" s="2">
        <v>46</v>
      </c>
    </row>
    <row r="7059" spans="1:9" x14ac:dyDescent="0.25">
      <c r="A7059" t="s">
        <v>3809</v>
      </c>
      <c r="B7059" t="s">
        <v>3810</v>
      </c>
      <c r="C7059" t="s">
        <v>42</v>
      </c>
      <c r="D7059" t="s">
        <v>4062</v>
      </c>
      <c r="E7059" t="s">
        <v>7721</v>
      </c>
      <c r="F7059" t="s">
        <v>63</v>
      </c>
      <c r="G7059">
        <v>0.01</v>
      </c>
      <c r="H7059" s="2">
        <v>185957</v>
      </c>
      <c r="I7059" s="2">
        <v>1859.57</v>
      </c>
    </row>
    <row r="7060" spans="1:9" x14ac:dyDescent="0.25">
      <c r="A7060" t="s">
        <v>3809</v>
      </c>
      <c r="B7060" t="s">
        <v>3810</v>
      </c>
      <c r="C7060" t="s">
        <v>42</v>
      </c>
      <c r="D7060" t="s">
        <v>4062</v>
      </c>
      <c r="E7060" t="s">
        <v>7728</v>
      </c>
      <c r="F7060" t="s">
        <v>34</v>
      </c>
      <c r="G7060">
        <v>0.18</v>
      </c>
      <c r="H7060" s="2">
        <v>111672.11</v>
      </c>
      <c r="I7060" s="2">
        <v>20100.98</v>
      </c>
    </row>
    <row r="7061" spans="1:9" x14ac:dyDescent="0.25">
      <c r="A7061" t="s">
        <v>3809</v>
      </c>
      <c r="B7061" t="s">
        <v>3810</v>
      </c>
      <c r="C7061" t="s">
        <v>42</v>
      </c>
      <c r="D7061" t="s">
        <v>4049</v>
      </c>
      <c r="E7061" t="s">
        <v>4241</v>
      </c>
      <c r="F7061" t="s">
        <v>4051</v>
      </c>
      <c r="G7061">
        <v>0.18</v>
      </c>
      <c r="H7061" s="2">
        <v>9941.22</v>
      </c>
      <c r="I7061" s="2">
        <v>1739.71</v>
      </c>
    </row>
    <row r="7062" spans="1:9" x14ac:dyDescent="0.25">
      <c r="A7062" t="s">
        <v>3809</v>
      </c>
      <c r="B7062" t="s">
        <v>3810</v>
      </c>
      <c r="C7062" t="s">
        <v>42</v>
      </c>
      <c r="D7062" t="s">
        <v>4049</v>
      </c>
      <c r="E7062" t="s">
        <v>4242</v>
      </c>
      <c r="F7062" t="s">
        <v>4051</v>
      </c>
      <c r="G7062">
        <v>0.18</v>
      </c>
      <c r="H7062" s="2">
        <v>17069.53</v>
      </c>
      <c r="I7062" s="2">
        <v>2987.17</v>
      </c>
    </row>
    <row r="7063" spans="1:9" x14ac:dyDescent="0.25">
      <c r="A7063" t="s">
        <v>3809</v>
      </c>
      <c r="B7063" t="s">
        <v>3810</v>
      </c>
      <c r="C7063" t="s">
        <v>42</v>
      </c>
      <c r="D7063" t="s">
        <v>4052</v>
      </c>
      <c r="E7063" t="s">
        <v>4092</v>
      </c>
      <c r="F7063" t="s">
        <v>287</v>
      </c>
      <c r="G7063">
        <v>0.16</v>
      </c>
      <c r="H7063" s="2">
        <v>97476</v>
      </c>
      <c r="I7063" s="2">
        <v>15596.16</v>
      </c>
    </row>
    <row r="7064" spans="1:9" x14ac:dyDescent="0.25">
      <c r="A7064" t="s">
        <v>3809</v>
      </c>
      <c r="B7064" t="s">
        <v>3810</v>
      </c>
      <c r="C7064" t="s">
        <v>42</v>
      </c>
      <c r="D7064" t="s">
        <v>4052</v>
      </c>
      <c r="E7064" t="s">
        <v>7234</v>
      </c>
      <c r="F7064" t="s">
        <v>287</v>
      </c>
      <c r="G7064">
        <v>0.09</v>
      </c>
      <c r="H7064" s="2">
        <v>8800</v>
      </c>
      <c r="I7064" s="2">
        <v>748</v>
      </c>
    </row>
    <row r="7065" spans="1:9" x14ac:dyDescent="0.25">
      <c r="A7065" t="s">
        <v>3809</v>
      </c>
      <c r="B7065" t="s">
        <v>3810</v>
      </c>
      <c r="C7065" t="s">
        <v>42</v>
      </c>
      <c r="D7065" t="s">
        <v>4052</v>
      </c>
      <c r="E7065" t="s">
        <v>6294</v>
      </c>
      <c r="F7065" t="s">
        <v>4106</v>
      </c>
      <c r="G7065">
        <v>0</v>
      </c>
      <c r="H7065" s="2">
        <v>236228.11</v>
      </c>
      <c r="I7065" s="2">
        <v>944.91</v>
      </c>
    </row>
    <row r="7066" spans="1:9" x14ac:dyDescent="0.25">
      <c r="A7066" t="s">
        <v>3809</v>
      </c>
      <c r="B7066" t="s">
        <v>3810</v>
      </c>
      <c r="C7066" t="s">
        <v>42</v>
      </c>
      <c r="D7066" t="s">
        <v>4052</v>
      </c>
      <c r="E7066" t="s">
        <v>4053</v>
      </c>
      <c r="F7066" t="s">
        <v>4054</v>
      </c>
      <c r="G7066">
        <v>5</v>
      </c>
      <c r="H7066" s="2">
        <v>4726.88</v>
      </c>
      <c r="I7066" s="2">
        <v>236.34</v>
      </c>
    </row>
    <row r="7067" spans="1:9" x14ac:dyDescent="0.25">
      <c r="A7067" t="s">
        <v>3812</v>
      </c>
      <c r="B7067" t="s">
        <v>3813</v>
      </c>
      <c r="C7067" t="s">
        <v>42</v>
      </c>
      <c r="D7067" t="s">
        <v>4062</v>
      </c>
      <c r="E7067" t="s">
        <v>4547</v>
      </c>
      <c r="F7067" t="s">
        <v>34</v>
      </c>
      <c r="G7067">
        <v>0.24</v>
      </c>
      <c r="H7067" s="2">
        <v>57129.33</v>
      </c>
      <c r="I7067" s="2">
        <v>13711.04</v>
      </c>
    </row>
    <row r="7068" spans="1:9" x14ac:dyDescent="0.25">
      <c r="A7068" t="s">
        <v>3812</v>
      </c>
      <c r="B7068" t="s">
        <v>3813</v>
      </c>
      <c r="C7068" t="s">
        <v>42</v>
      </c>
      <c r="D7068" t="s">
        <v>4062</v>
      </c>
      <c r="E7068" t="s">
        <v>7525</v>
      </c>
      <c r="F7068" t="s">
        <v>42</v>
      </c>
      <c r="G7068">
        <v>1</v>
      </c>
      <c r="H7068" s="2">
        <v>41687.5</v>
      </c>
      <c r="I7068" s="2">
        <v>41687.5</v>
      </c>
    </row>
    <row r="7069" spans="1:9" x14ac:dyDescent="0.25">
      <c r="A7069" t="s">
        <v>3812</v>
      </c>
      <c r="B7069" t="s">
        <v>3813</v>
      </c>
      <c r="C7069" t="s">
        <v>42</v>
      </c>
      <c r="D7069" t="s">
        <v>4062</v>
      </c>
      <c r="E7069" t="s">
        <v>7581</v>
      </c>
      <c r="F7069" t="s">
        <v>21</v>
      </c>
      <c r="G7069">
        <v>0.4</v>
      </c>
      <c r="H7069" s="2">
        <v>3850</v>
      </c>
      <c r="I7069" s="2">
        <v>1540</v>
      </c>
    </row>
    <row r="7070" spans="1:9" x14ac:dyDescent="0.25">
      <c r="A7070" t="s">
        <v>3812</v>
      </c>
      <c r="B7070" t="s">
        <v>3813</v>
      </c>
      <c r="C7070" t="s">
        <v>42</v>
      </c>
      <c r="D7070" t="s">
        <v>4062</v>
      </c>
      <c r="E7070" t="s">
        <v>7717</v>
      </c>
      <c r="F7070" t="s">
        <v>42</v>
      </c>
      <c r="G7070">
        <v>1</v>
      </c>
      <c r="H7070" s="2">
        <v>46</v>
      </c>
      <c r="I7070" s="2">
        <v>46</v>
      </c>
    </row>
    <row r="7071" spans="1:9" x14ac:dyDescent="0.25">
      <c r="A7071" t="s">
        <v>3812</v>
      </c>
      <c r="B7071" t="s">
        <v>3813</v>
      </c>
      <c r="C7071" t="s">
        <v>42</v>
      </c>
      <c r="D7071" t="s">
        <v>4049</v>
      </c>
      <c r="E7071" t="s">
        <v>4050</v>
      </c>
      <c r="F7071" t="s">
        <v>4051</v>
      </c>
      <c r="G7071">
        <v>0.7</v>
      </c>
      <c r="H7071" s="2">
        <v>9037.33</v>
      </c>
      <c r="I7071" s="2">
        <v>6326.13</v>
      </c>
    </row>
    <row r="7072" spans="1:9" x14ac:dyDescent="0.25">
      <c r="A7072" t="s">
        <v>3812</v>
      </c>
      <c r="B7072" t="s">
        <v>3813</v>
      </c>
      <c r="C7072" t="s">
        <v>42</v>
      </c>
      <c r="D7072" t="s">
        <v>4049</v>
      </c>
      <c r="E7072" t="s">
        <v>4241</v>
      </c>
      <c r="F7072" t="s">
        <v>4051</v>
      </c>
      <c r="G7072">
        <v>0.18</v>
      </c>
      <c r="H7072" s="2">
        <v>9941.22</v>
      </c>
      <c r="I7072" s="2">
        <v>1739.71</v>
      </c>
    </row>
    <row r="7073" spans="1:9" x14ac:dyDescent="0.25">
      <c r="A7073" t="s">
        <v>3812</v>
      </c>
      <c r="B7073" t="s">
        <v>3813</v>
      </c>
      <c r="C7073" t="s">
        <v>42</v>
      </c>
      <c r="D7073" t="s">
        <v>4049</v>
      </c>
      <c r="E7073" t="s">
        <v>4073</v>
      </c>
      <c r="F7073" t="s">
        <v>4051</v>
      </c>
      <c r="G7073">
        <v>0.7</v>
      </c>
      <c r="H7073" s="2">
        <v>15517.89</v>
      </c>
      <c r="I7073" s="2">
        <v>10862.52</v>
      </c>
    </row>
    <row r="7074" spans="1:9" x14ac:dyDescent="0.25">
      <c r="A7074" t="s">
        <v>3812</v>
      </c>
      <c r="B7074" t="s">
        <v>3813</v>
      </c>
      <c r="C7074" t="s">
        <v>42</v>
      </c>
      <c r="D7074" t="s">
        <v>4049</v>
      </c>
      <c r="E7074" t="s">
        <v>4242</v>
      </c>
      <c r="F7074" t="s">
        <v>4051</v>
      </c>
      <c r="G7074">
        <v>0.18</v>
      </c>
      <c r="H7074" s="2">
        <v>17069.53</v>
      </c>
      <c r="I7074" s="2">
        <v>2987.17</v>
      </c>
    </row>
    <row r="7075" spans="1:9" x14ac:dyDescent="0.25">
      <c r="A7075" t="s">
        <v>3812</v>
      </c>
      <c r="B7075" t="s">
        <v>3813</v>
      </c>
      <c r="C7075" t="s">
        <v>42</v>
      </c>
      <c r="D7075" t="s">
        <v>4052</v>
      </c>
      <c r="E7075" t="s">
        <v>6294</v>
      </c>
      <c r="F7075" t="s">
        <v>4106</v>
      </c>
      <c r="G7075">
        <v>0</v>
      </c>
      <c r="H7075" s="2">
        <v>236228.11</v>
      </c>
      <c r="I7075" s="2">
        <v>944.91</v>
      </c>
    </row>
    <row r="7076" spans="1:9" x14ac:dyDescent="0.25">
      <c r="A7076" t="s">
        <v>3812</v>
      </c>
      <c r="B7076" t="s">
        <v>3813</v>
      </c>
      <c r="C7076" t="s">
        <v>42</v>
      </c>
      <c r="D7076" t="s">
        <v>4052</v>
      </c>
      <c r="E7076" t="s">
        <v>4342</v>
      </c>
      <c r="F7076" t="s">
        <v>4106</v>
      </c>
      <c r="G7076">
        <v>0.02</v>
      </c>
      <c r="H7076" s="2">
        <v>66666.67</v>
      </c>
      <c r="I7076" s="2">
        <v>1333.33</v>
      </c>
    </row>
    <row r="7077" spans="1:9" x14ac:dyDescent="0.25">
      <c r="A7077" t="s">
        <v>3812</v>
      </c>
      <c r="B7077" t="s">
        <v>3813</v>
      </c>
      <c r="C7077" t="s">
        <v>42</v>
      </c>
      <c r="D7077" t="s">
        <v>4052</v>
      </c>
      <c r="E7077" t="s">
        <v>4053</v>
      </c>
      <c r="F7077" t="s">
        <v>4054</v>
      </c>
      <c r="G7077">
        <v>5</v>
      </c>
      <c r="H7077" s="2">
        <v>21915.53</v>
      </c>
      <c r="I7077" s="2">
        <v>1095.78</v>
      </c>
    </row>
    <row r="7078" spans="1:9" x14ac:dyDescent="0.25">
      <c r="A7078" t="s">
        <v>3815</v>
      </c>
      <c r="B7078" t="s">
        <v>3816</v>
      </c>
      <c r="C7078" t="s">
        <v>42</v>
      </c>
      <c r="D7078" t="s">
        <v>4062</v>
      </c>
      <c r="E7078" t="s">
        <v>7768</v>
      </c>
      <c r="F7078" t="s">
        <v>42</v>
      </c>
      <c r="G7078">
        <v>1</v>
      </c>
      <c r="H7078" s="2">
        <v>67156.83</v>
      </c>
      <c r="I7078" s="2">
        <v>67156.83</v>
      </c>
    </row>
    <row r="7079" spans="1:9" x14ac:dyDescent="0.25">
      <c r="A7079" t="s">
        <v>3815</v>
      </c>
      <c r="B7079" t="s">
        <v>3816</v>
      </c>
      <c r="C7079" t="s">
        <v>42</v>
      </c>
      <c r="D7079" t="s">
        <v>4062</v>
      </c>
      <c r="E7079" t="s">
        <v>5816</v>
      </c>
      <c r="F7079" t="s">
        <v>34</v>
      </c>
      <c r="G7079">
        <v>0.02</v>
      </c>
      <c r="H7079" s="2">
        <v>93966.67</v>
      </c>
      <c r="I7079" s="2">
        <v>1879.33</v>
      </c>
    </row>
    <row r="7080" spans="1:9" x14ac:dyDescent="0.25">
      <c r="A7080" t="s">
        <v>3815</v>
      </c>
      <c r="B7080" t="s">
        <v>3816</v>
      </c>
      <c r="C7080" t="s">
        <v>42</v>
      </c>
      <c r="D7080" t="s">
        <v>4062</v>
      </c>
      <c r="E7080" t="s">
        <v>7717</v>
      </c>
      <c r="F7080" t="s">
        <v>42</v>
      </c>
      <c r="G7080">
        <v>1</v>
      </c>
      <c r="H7080" s="2">
        <v>46</v>
      </c>
      <c r="I7080" s="2">
        <v>46</v>
      </c>
    </row>
    <row r="7081" spans="1:9" x14ac:dyDescent="0.25">
      <c r="A7081" t="s">
        <v>3815</v>
      </c>
      <c r="B7081" t="s">
        <v>3816</v>
      </c>
      <c r="C7081" t="s">
        <v>42</v>
      </c>
      <c r="D7081" t="s">
        <v>4062</v>
      </c>
      <c r="E7081" t="s">
        <v>3261</v>
      </c>
      <c r="F7081" t="s">
        <v>34</v>
      </c>
      <c r="G7081">
        <v>0.12</v>
      </c>
      <c r="H7081" s="2">
        <v>90100.77</v>
      </c>
      <c r="I7081" s="2">
        <v>10812.09</v>
      </c>
    </row>
    <row r="7082" spans="1:9" x14ac:dyDescent="0.25">
      <c r="A7082" t="s">
        <v>3815</v>
      </c>
      <c r="B7082" t="s">
        <v>3816</v>
      </c>
      <c r="C7082" t="s">
        <v>42</v>
      </c>
      <c r="D7082" t="s">
        <v>4062</v>
      </c>
      <c r="E7082" t="s">
        <v>7718</v>
      </c>
      <c r="F7082" t="s">
        <v>21</v>
      </c>
      <c r="G7082">
        <v>0.4</v>
      </c>
      <c r="H7082" s="2">
        <v>35458.33</v>
      </c>
      <c r="I7082" s="2">
        <v>14183.33</v>
      </c>
    </row>
    <row r="7083" spans="1:9" x14ac:dyDescent="0.25">
      <c r="A7083" t="s">
        <v>3815</v>
      </c>
      <c r="B7083" t="s">
        <v>3816</v>
      </c>
      <c r="C7083" t="s">
        <v>42</v>
      </c>
      <c r="D7083" t="s">
        <v>4062</v>
      </c>
      <c r="E7083" t="s">
        <v>4076</v>
      </c>
      <c r="F7083" t="s">
        <v>3963</v>
      </c>
      <c r="G7083">
        <v>2.85</v>
      </c>
      <c r="H7083" s="2">
        <v>21</v>
      </c>
      <c r="I7083" s="2">
        <v>59.85</v>
      </c>
    </row>
    <row r="7084" spans="1:9" x14ac:dyDescent="0.25">
      <c r="A7084" t="s">
        <v>3815</v>
      </c>
      <c r="B7084" t="s">
        <v>3816</v>
      </c>
      <c r="C7084" t="s">
        <v>42</v>
      </c>
      <c r="D7084" t="s">
        <v>4049</v>
      </c>
      <c r="E7084" t="s">
        <v>4050</v>
      </c>
      <c r="F7084" t="s">
        <v>4051</v>
      </c>
      <c r="G7084">
        <v>1.05</v>
      </c>
      <c r="H7084" s="2">
        <v>9037.33</v>
      </c>
      <c r="I7084" s="2">
        <v>9489.2</v>
      </c>
    </row>
    <row r="7085" spans="1:9" x14ac:dyDescent="0.25">
      <c r="A7085" t="s">
        <v>3815</v>
      </c>
      <c r="B7085" t="s">
        <v>3816</v>
      </c>
      <c r="C7085" t="s">
        <v>42</v>
      </c>
      <c r="D7085" t="s">
        <v>4049</v>
      </c>
      <c r="E7085" t="s">
        <v>4241</v>
      </c>
      <c r="F7085" t="s">
        <v>4051</v>
      </c>
      <c r="G7085">
        <v>0.18</v>
      </c>
      <c r="H7085" s="2">
        <v>9941.22</v>
      </c>
      <c r="I7085" s="2">
        <v>1739.71</v>
      </c>
    </row>
    <row r="7086" spans="1:9" x14ac:dyDescent="0.25">
      <c r="A7086" t="s">
        <v>3815</v>
      </c>
      <c r="B7086" t="s">
        <v>3816</v>
      </c>
      <c r="C7086" t="s">
        <v>42</v>
      </c>
      <c r="D7086" t="s">
        <v>4049</v>
      </c>
      <c r="E7086" t="s">
        <v>4073</v>
      </c>
      <c r="F7086" t="s">
        <v>4051</v>
      </c>
      <c r="G7086">
        <v>1.05</v>
      </c>
      <c r="H7086" s="2">
        <v>15517.89</v>
      </c>
      <c r="I7086" s="2">
        <v>16293.78</v>
      </c>
    </row>
    <row r="7087" spans="1:9" x14ac:dyDescent="0.25">
      <c r="A7087" t="s">
        <v>3815</v>
      </c>
      <c r="B7087" t="s">
        <v>3816</v>
      </c>
      <c r="C7087" t="s">
        <v>42</v>
      </c>
      <c r="D7087" t="s">
        <v>4049</v>
      </c>
      <c r="E7087" t="s">
        <v>4242</v>
      </c>
      <c r="F7087" t="s">
        <v>4051</v>
      </c>
      <c r="G7087">
        <v>0.18</v>
      </c>
      <c r="H7087" s="2">
        <v>17069.53</v>
      </c>
      <c r="I7087" s="2">
        <v>2987.17</v>
      </c>
    </row>
    <row r="7088" spans="1:9" x14ac:dyDescent="0.25">
      <c r="A7088" t="s">
        <v>3815</v>
      </c>
      <c r="B7088" t="s">
        <v>3816</v>
      </c>
      <c r="C7088" t="s">
        <v>42</v>
      </c>
      <c r="D7088" t="s">
        <v>4052</v>
      </c>
      <c r="E7088" t="s">
        <v>6294</v>
      </c>
      <c r="F7088" t="s">
        <v>4106</v>
      </c>
      <c r="G7088">
        <v>0</v>
      </c>
      <c r="H7088" s="2">
        <v>236228.11</v>
      </c>
      <c r="I7088" s="2">
        <v>944.91</v>
      </c>
    </row>
    <row r="7089" spans="1:9" x14ac:dyDescent="0.25">
      <c r="A7089" t="s">
        <v>3815</v>
      </c>
      <c r="B7089" t="s">
        <v>3816</v>
      </c>
      <c r="C7089" t="s">
        <v>42</v>
      </c>
      <c r="D7089" t="s">
        <v>4052</v>
      </c>
      <c r="E7089" t="s">
        <v>4342</v>
      </c>
      <c r="F7089" t="s">
        <v>4106</v>
      </c>
      <c r="G7089">
        <v>0.02</v>
      </c>
      <c r="H7089" s="2">
        <v>66666.67</v>
      </c>
      <c r="I7089" s="2">
        <v>1333.33</v>
      </c>
    </row>
    <row r="7090" spans="1:9" x14ac:dyDescent="0.25">
      <c r="A7090" t="s">
        <v>3815</v>
      </c>
      <c r="B7090" t="s">
        <v>3816</v>
      </c>
      <c r="C7090" t="s">
        <v>42</v>
      </c>
      <c r="D7090" t="s">
        <v>4052</v>
      </c>
      <c r="E7090" t="s">
        <v>4053</v>
      </c>
      <c r="F7090" t="s">
        <v>4054</v>
      </c>
      <c r="G7090">
        <v>5</v>
      </c>
      <c r="H7090" s="2">
        <v>30509.86</v>
      </c>
      <c r="I7090" s="2">
        <v>1525.49</v>
      </c>
    </row>
    <row r="7091" spans="1:9" x14ac:dyDescent="0.25">
      <c r="A7091" t="s">
        <v>3818</v>
      </c>
      <c r="B7091" t="s">
        <v>3819</v>
      </c>
      <c r="C7091" t="s">
        <v>42</v>
      </c>
      <c r="D7091" t="s">
        <v>4062</v>
      </c>
      <c r="E7091" t="s">
        <v>7768</v>
      </c>
      <c r="F7091" t="s">
        <v>42</v>
      </c>
      <c r="G7091">
        <v>1</v>
      </c>
      <c r="H7091" s="2">
        <v>67156.83</v>
      </c>
      <c r="I7091" s="2">
        <v>67156.83</v>
      </c>
    </row>
    <row r="7092" spans="1:9" x14ac:dyDescent="0.25">
      <c r="A7092" t="s">
        <v>3818</v>
      </c>
      <c r="B7092" t="s">
        <v>3819</v>
      </c>
      <c r="C7092" t="s">
        <v>42</v>
      </c>
      <c r="D7092" t="s">
        <v>4062</v>
      </c>
      <c r="E7092" t="s">
        <v>7717</v>
      </c>
      <c r="F7092" t="s">
        <v>42</v>
      </c>
      <c r="G7092">
        <v>1</v>
      </c>
      <c r="H7092" s="2">
        <v>46</v>
      </c>
      <c r="I7092" s="2">
        <v>46</v>
      </c>
    </row>
    <row r="7093" spans="1:9" x14ac:dyDescent="0.25">
      <c r="A7093" t="s">
        <v>3818</v>
      </c>
      <c r="B7093" t="s">
        <v>3819</v>
      </c>
      <c r="C7093" t="s">
        <v>42</v>
      </c>
      <c r="D7093" t="s">
        <v>4062</v>
      </c>
      <c r="E7093" t="s">
        <v>7721</v>
      </c>
      <c r="F7093" t="s">
        <v>63</v>
      </c>
      <c r="G7093">
        <v>0.01</v>
      </c>
      <c r="H7093" s="2">
        <v>185957</v>
      </c>
      <c r="I7093" s="2">
        <v>1859.57</v>
      </c>
    </row>
    <row r="7094" spans="1:9" x14ac:dyDescent="0.25">
      <c r="A7094" t="s">
        <v>3818</v>
      </c>
      <c r="B7094" t="s">
        <v>3819</v>
      </c>
      <c r="C7094" t="s">
        <v>42</v>
      </c>
      <c r="D7094" t="s">
        <v>4062</v>
      </c>
      <c r="E7094" t="s">
        <v>7722</v>
      </c>
      <c r="F7094" t="s">
        <v>34</v>
      </c>
      <c r="G7094">
        <v>0.12</v>
      </c>
      <c r="H7094" s="2">
        <v>90100.77</v>
      </c>
      <c r="I7094" s="2">
        <v>10812.09</v>
      </c>
    </row>
    <row r="7095" spans="1:9" x14ac:dyDescent="0.25">
      <c r="A7095" t="s">
        <v>3818</v>
      </c>
      <c r="B7095" t="s">
        <v>3819</v>
      </c>
      <c r="C7095" t="s">
        <v>42</v>
      </c>
      <c r="D7095" t="s">
        <v>4062</v>
      </c>
      <c r="E7095" t="s">
        <v>7723</v>
      </c>
      <c r="F7095" t="s">
        <v>34</v>
      </c>
      <c r="G7095">
        <v>0.06</v>
      </c>
      <c r="H7095" s="2">
        <v>111672.11</v>
      </c>
      <c r="I7095" s="2">
        <v>6700.33</v>
      </c>
    </row>
    <row r="7096" spans="1:9" x14ac:dyDescent="0.25">
      <c r="A7096" t="s">
        <v>3818</v>
      </c>
      <c r="B7096" t="s">
        <v>3819</v>
      </c>
      <c r="C7096" t="s">
        <v>42</v>
      </c>
      <c r="D7096" t="s">
        <v>4062</v>
      </c>
      <c r="E7096" t="s">
        <v>7724</v>
      </c>
      <c r="F7096" t="s">
        <v>21</v>
      </c>
      <c r="G7096">
        <v>0.8</v>
      </c>
      <c r="H7096" s="2">
        <v>3399.59</v>
      </c>
      <c r="I7096" s="2">
        <v>2719.67</v>
      </c>
    </row>
    <row r="7097" spans="1:9" x14ac:dyDescent="0.25">
      <c r="A7097" t="s">
        <v>3818</v>
      </c>
      <c r="B7097" t="s">
        <v>3819</v>
      </c>
      <c r="C7097" t="s">
        <v>42</v>
      </c>
      <c r="D7097" t="s">
        <v>4062</v>
      </c>
      <c r="E7097" t="s">
        <v>7725</v>
      </c>
      <c r="F7097" t="s">
        <v>34</v>
      </c>
      <c r="G7097">
        <v>0.06</v>
      </c>
      <c r="H7097" s="2">
        <v>582852.45</v>
      </c>
      <c r="I7097" s="2">
        <v>34971.15</v>
      </c>
    </row>
    <row r="7098" spans="1:9" x14ac:dyDescent="0.25">
      <c r="A7098" t="s">
        <v>3818</v>
      </c>
      <c r="B7098" t="s">
        <v>3819</v>
      </c>
      <c r="C7098" t="s">
        <v>42</v>
      </c>
      <c r="D7098" t="s">
        <v>4049</v>
      </c>
      <c r="E7098" t="s">
        <v>4241</v>
      </c>
      <c r="F7098" t="s">
        <v>4051</v>
      </c>
      <c r="G7098">
        <v>0.18</v>
      </c>
      <c r="H7098" s="2">
        <v>9941.22</v>
      </c>
      <c r="I7098" s="2">
        <v>1739.71</v>
      </c>
    </row>
    <row r="7099" spans="1:9" x14ac:dyDescent="0.25">
      <c r="A7099" t="s">
        <v>3818</v>
      </c>
      <c r="B7099" t="s">
        <v>3819</v>
      </c>
      <c r="C7099" t="s">
        <v>42</v>
      </c>
      <c r="D7099" t="s">
        <v>4049</v>
      </c>
      <c r="E7099" t="s">
        <v>4242</v>
      </c>
      <c r="F7099" t="s">
        <v>4051</v>
      </c>
      <c r="G7099">
        <v>0.18</v>
      </c>
      <c r="H7099" s="2">
        <v>17069.53</v>
      </c>
      <c r="I7099" s="2">
        <v>2987.17</v>
      </c>
    </row>
    <row r="7100" spans="1:9" x14ac:dyDescent="0.25">
      <c r="A7100" t="s">
        <v>3818</v>
      </c>
      <c r="B7100" t="s">
        <v>3819</v>
      </c>
      <c r="C7100" t="s">
        <v>42</v>
      </c>
      <c r="D7100" t="s">
        <v>4052</v>
      </c>
      <c r="E7100" t="s">
        <v>4092</v>
      </c>
      <c r="F7100" t="s">
        <v>287</v>
      </c>
      <c r="G7100">
        <v>0.16</v>
      </c>
      <c r="H7100" s="2">
        <v>97476</v>
      </c>
      <c r="I7100" s="2">
        <v>15596.16</v>
      </c>
    </row>
    <row r="7101" spans="1:9" x14ac:dyDescent="0.25">
      <c r="A7101" t="s">
        <v>3818</v>
      </c>
      <c r="B7101" t="s">
        <v>3819</v>
      </c>
      <c r="C7101" t="s">
        <v>42</v>
      </c>
      <c r="D7101" t="s">
        <v>4052</v>
      </c>
      <c r="E7101" t="s">
        <v>7234</v>
      </c>
      <c r="F7101" t="s">
        <v>287</v>
      </c>
      <c r="G7101">
        <v>0.09</v>
      </c>
      <c r="H7101" s="2">
        <v>8800</v>
      </c>
      <c r="I7101" s="2">
        <v>748</v>
      </c>
    </row>
    <row r="7102" spans="1:9" x14ac:dyDescent="0.25">
      <c r="A7102" t="s">
        <v>3818</v>
      </c>
      <c r="B7102" t="s">
        <v>3819</v>
      </c>
      <c r="C7102" t="s">
        <v>42</v>
      </c>
      <c r="D7102" t="s">
        <v>4052</v>
      </c>
      <c r="E7102" t="s">
        <v>6294</v>
      </c>
      <c r="F7102" t="s">
        <v>4106</v>
      </c>
      <c r="G7102">
        <v>0</v>
      </c>
      <c r="H7102" s="2">
        <v>236228.11</v>
      </c>
      <c r="I7102" s="2">
        <v>944.91</v>
      </c>
    </row>
    <row r="7103" spans="1:9" x14ac:dyDescent="0.25">
      <c r="A7103" t="s">
        <v>3818</v>
      </c>
      <c r="B7103" t="s">
        <v>3819</v>
      </c>
      <c r="C7103" t="s">
        <v>42</v>
      </c>
      <c r="D7103" t="s">
        <v>4052</v>
      </c>
      <c r="E7103" t="s">
        <v>4053</v>
      </c>
      <c r="F7103" t="s">
        <v>4054</v>
      </c>
      <c r="G7103">
        <v>5</v>
      </c>
      <c r="H7103" s="2">
        <v>4726.88</v>
      </c>
      <c r="I7103" s="2">
        <v>236.34</v>
      </c>
    </row>
    <row r="7104" spans="1:9" x14ac:dyDescent="0.25">
      <c r="A7104" t="s">
        <v>3821</v>
      </c>
      <c r="B7104" t="s">
        <v>3822</v>
      </c>
      <c r="C7104" t="s">
        <v>42</v>
      </c>
      <c r="D7104" t="s">
        <v>4062</v>
      </c>
      <c r="E7104" t="s">
        <v>7768</v>
      </c>
      <c r="F7104" t="s">
        <v>42</v>
      </c>
      <c r="G7104">
        <v>1</v>
      </c>
      <c r="H7104" s="2">
        <v>67156.83</v>
      </c>
      <c r="I7104" s="2">
        <v>67156.83</v>
      </c>
    </row>
    <row r="7105" spans="1:9" x14ac:dyDescent="0.25">
      <c r="A7105" t="s">
        <v>3821</v>
      </c>
      <c r="B7105" t="s">
        <v>3822</v>
      </c>
      <c r="C7105" t="s">
        <v>42</v>
      </c>
      <c r="D7105" t="s">
        <v>4062</v>
      </c>
      <c r="E7105" t="s">
        <v>3265</v>
      </c>
      <c r="F7105" t="s">
        <v>34</v>
      </c>
      <c r="G7105">
        <v>0.06</v>
      </c>
      <c r="H7105" s="2">
        <v>706218.57</v>
      </c>
      <c r="I7105" s="2">
        <v>42373.11</v>
      </c>
    </row>
    <row r="7106" spans="1:9" x14ac:dyDescent="0.25">
      <c r="A7106" t="s">
        <v>3821</v>
      </c>
      <c r="B7106" t="s">
        <v>3822</v>
      </c>
      <c r="C7106" t="s">
        <v>42</v>
      </c>
      <c r="D7106" t="s">
        <v>4062</v>
      </c>
      <c r="E7106" t="s">
        <v>7717</v>
      </c>
      <c r="F7106" t="s">
        <v>42</v>
      </c>
      <c r="G7106">
        <v>1</v>
      </c>
      <c r="H7106" s="2">
        <v>46</v>
      </c>
      <c r="I7106" s="2">
        <v>46</v>
      </c>
    </row>
    <row r="7107" spans="1:9" x14ac:dyDescent="0.25">
      <c r="A7107" t="s">
        <v>3821</v>
      </c>
      <c r="B7107" t="s">
        <v>3822</v>
      </c>
      <c r="C7107" t="s">
        <v>42</v>
      </c>
      <c r="D7107" t="s">
        <v>4062</v>
      </c>
      <c r="E7107" t="s">
        <v>7721</v>
      </c>
      <c r="F7107" t="s">
        <v>63</v>
      </c>
      <c r="G7107">
        <v>0.01</v>
      </c>
      <c r="H7107" s="2">
        <v>185957</v>
      </c>
      <c r="I7107" s="2">
        <v>1859.57</v>
      </c>
    </row>
    <row r="7108" spans="1:9" x14ac:dyDescent="0.25">
      <c r="A7108" t="s">
        <v>3821</v>
      </c>
      <c r="B7108" t="s">
        <v>3822</v>
      </c>
      <c r="C7108" t="s">
        <v>42</v>
      </c>
      <c r="D7108" t="s">
        <v>4062</v>
      </c>
      <c r="E7108" t="s">
        <v>7728</v>
      </c>
      <c r="F7108" t="s">
        <v>34</v>
      </c>
      <c r="G7108">
        <v>0.18</v>
      </c>
      <c r="H7108" s="2">
        <v>111672.11</v>
      </c>
      <c r="I7108" s="2">
        <v>20100.98</v>
      </c>
    </row>
    <row r="7109" spans="1:9" x14ac:dyDescent="0.25">
      <c r="A7109" t="s">
        <v>3821</v>
      </c>
      <c r="B7109" t="s">
        <v>3822</v>
      </c>
      <c r="C7109" t="s">
        <v>42</v>
      </c>
      <c r="D7109" t="s">
        <v>4049</v>
      </c>
      <c r="E7109" t="s">
        <v>4241</v>
      </c>
      <c r="F7109" t="s">
        <v>4051</v>
      </c>
      <c r="G7109">
        <v>0.18</v>
      </c>
      <c r="H7109" s="2">
        <v>9941.22</v>
      </c>
      <c r="I7109" s="2">
        <v>1739.71</v>
      </c>
    </row>
    <row r="7110" spans="1:9" x14ac:dyDescent="0.25">
      <c r="A7110" t="s">
        <v>3821</v>
      </c>
      <c r="B7110" t="s">
        <v>3822</v>
      </c>
      <c r="C7110" t="s">
        <v>42</v>
      </c>
      <c r="D7110" t="s">
        <v>4049</v>
      </c>
      <c r="E7110" t="s">
        <v>4242</v>
      </c>
      <c r="F7110" t="s">
        <v>4051</v>
      </c>
      <c r="G7110">
        <v>0.18</v>
      </c>
      <c r="H7110" s="2">
        <v>17069.53</v>
      </c>
      <c r="I7110" s="2">
        <v>2987.17</v>
      </c>
    </row>
    <row r="7111" spans="1:9" x14ac:dyDescent="0.25">
      <c r="A7111" t="s">
        <v>3821</v>
      </c>
      <c r="B7111" t="s">
        <v>3822</v>
      </c>
      <c r="C7111" t="s">
        <v>42</v>
      </c>
      <c r="D7111" t="s">
        <v>4052</v>
      </c>
      <c r="E7111" t="s">
        <v>4092</v>
      </c>
      <c r="F7111" t="s">
        <v>287</v>
      </c>
      <c r="G7111">
        <v>0.16</v>
      </c>
      <c r="H7111" s="2">
        <v>97476</v>
      </c>
      <c r="I7111" s="2">
        <v>15596.16</v>
      </c>
    </row>
    <row r="7112" spans="1:9" x14ac:dyDescent="0.25">
      <c r="A7112" t="s">
        <v>3821</v>
      </c>
      <c r="B7112" t="s">
        <v>3822</v>
      </c>
      <c r="C7112" t="s">
        <v>42</v>
      </c>
      <c r="D7112" t="s">
        <v>4052</v>
      </c>
      <c r="E7112" t="s">
        <v>7234</v>
      </c>
      <c r="F7112" t="s">
        <v>287</v>
      </c>
      <c r="G7112">
        <v>0.09</v>
      </c>
      <c r="H7112" s="2">
        <v>8800</v>
      </c>
      <c r="I7112" s="2">
        <v>748</v>
      </c>
    </row>
    <row r="7113" spans="1:9" x14ac:dyDescent="0.25">
      <c r="A7113" t="s">
        <v>3821</v>
      </c>
      <c r="B7113" t="s">
        <v>3822</v>
      </c>
      <c r="C7113" t="s">
        <v>42</v>
      </c>
      <c r="D7113" t="s">
        <v>4052</v>
      </c>
      <c r="E7113" t="s">
        <v>6294</v>
      </c>
      <c r="F7113" t="s">
        <v>4106</v>
      </c>
      <c r="G7113">
        <v>0</v>
      </c>
      <c r="H7113" s="2">
        <v>236228.11</v>
      </c>
      <c r="I7113" s="2">
        <v>944.91</v>
      </c>
    </row>
    <row r="7114" spans="1:9" x14ac:dyDescent="0.25">
      <c r="A7114" t="s">
        <v>3821</v>
      </c>
      <c r="B7114" t="s">
        <v>3822</v>
      </c>
      <c r="C7114" t="s">
        <v>42</v>
      </c>
      <c r="D7114" t="s">
        <v>4052</v>
      </c>
      <c r="E7114" t="s">
        <v>4053</v>
      </c>
      <c r="F7114" t="s">
        <v>4054</v>
      </c>
      <c r="G7114">
        <v>5</v>
      </c>
      <c r="H7114" s="2">
        <v>4726.88</v>
      </c>
      <c r="I7114" s="2">
        <v>236.34</v>
      </c>
    </row>
    <row r="7115" spans="1:9" x14ac:dyDescent="0.25">
      <c r="A7115" t="s">
        <v>3824</v>
      </c>
      <c r="B7115" t="s">
        <v>3825</v>
      </c>
      <c r="C7115" t="s">
        <v>42</v>
      </c>
      <c r="D7115" t="s">
        <v>4062</v>
      </c>
      <c r="E7115" t="s">
        <v>4547</v>
      </c>
      <c r="F7115" t="s">
        <v>34</v>
      </c>
      <c r="G7115">
        <v>0.24</v>
      </c>
      <c r="H7115" s="2">
        <v>57129.33</v>
      </c>
      <c r="I7115" s="2">
        <v>13711.04</v>
      </c>
    </row>
    <row r="7116" spans="1:9" x14ac:dyDescent="0.25">
      <c r="A7116" t="s">
        <v>3824</v>
      </c>
      <c r="B7116" t="s">
        <v>3825</v>
      </c>
      <c r="C7116" t="s">
        <v>42</v>
      </c>
      <c r="D7116" t="s">
        <v>4062</v>
      </c>
      <c r="E7116" t="s">
        <v>7768</v>
      </c>
      <c r="F7116" t="s">
        <v>42</v>
      </c>
      <c r="G7116">
        <v>1</v>
      </c>
      <c r="H7116" s="2">
        <v>67156.83</v>
      </c>
      <c r="I7116" s="2">
        <v>67156.83</v>
      </c>
    </row>
    <row r="7117" spans="1:9" x14ac:dyDescent="0.25">
      <c r="A7117" t="s">
        <v>3824</v>
      </c>
      <c r="B7117" t="s">
        <v>3825</v>
      </c>
      <c r="C7117" t="s">
        <v>42</v>
      </c>
      <c r="D7117" t="s">
        <v>4062</v>
      </c>
      <c r="E7117" t="s">
        <v>7581</v>
      </c>
      <c r="F7117" t="s">
        <v>21</v>
      </c>
      <c r="G7117">
        <v>0.4</v>
      </c>
      <c r="H7117" s="2">
        <v>3850</v>
      </c>
      <c r="I7117" s="2">
        <v>1540</v>
      </c>
    </row>
    <row r="7118" spans="1:9" x14ac:dyDescent="0.25">
      <c r="A7118" t="s">
        <v>3824</v>
      </c>
      <c r="B7118" t="s">
        <v>3825</v>
      </c>
      <c r="C7118" t="s">
        <v>42</v>
      </c>
      <c r="D7118" t="s">
        <v>4062</v>
      </c>
      <c r="E7118" t="s">
        <v>7717</v>
      </c>
      <c r="F7118" t="s">
        <v>42</v>
      </c>
      <c r="G7118">
        <v>1</v>
      </c>
      <c r="H7118" s="2">
        <v>46</v>
      </c>
      <c r="I7118" s="2">
        <v>46</v>
      </c>
    </row>
    <row r="7119" spans="1:9" x14ac:dyDescent="0.25">
      <c r="A7119" t="s">
        <v>3824</v>
      </c>
      <c r="B7119" t="s">
        <v>3825</v>
      </c>
      <c r="C7119" t="s">
        <v>42</v>
      </c>
      <c r="D7119" t="s">
        <v>4049</v>
      </c>
      <c r="E7119" t="s">
        <v>4050</v>
      </c>
      <c r="F7119" t="s">
        <v>4051</v>
      </c>
      <c r="G7119">
        <v>0.7</v>
      </c>
      <c r="H7119" s="2">
        <v>9037.33</v>
      </c>
      <c r="I7119" s="2">
        <v>6326.13</v>
      </c>
    </row>
    <row r="7120" spans="1:9" x14ac:dyDescent="0.25">
      <c r="A7120" t="s">
        <v>3824</v>
      </c>
      <c r="B7120" t="s">
        <v>3825</v>
      </c>
      <c r="C7120" t="s">
        <v>42</v>
      </c>
      <c r="D7120" t="s">
        <v>4049</v>
      </c>
      <c r="E7120" t="s">
        <v>4241</v>
      </c>
      <c r="F7120" t="s">
        <v>4051</v>
      </c>
      <c r="G7120">
        <v>0.18</v>
      </c>
      <c r="H7120" s="2">
        <v>9941.22</v>
      </c>
      <c r="I7120" s="2">
        <v>1739.71</v>
      </c>
    </row>
    <row r="7121" spans="1:9" x14ac:dyDescent="0.25">
      <c r="A7121" t="s">
        <v>3824</v>
      </c>
      <c r="B7121" t="s">
        <v>3825</v>
      </c>
      <c r="C7121" t="s">
        <v>42</v>
      </c>
      <c r="D7121" t="s">
        <v>4049</v>
      </c>
      <c r="E7121" t="s">
        <v>4073</v>
      </c>
      <c r="F7121" t="s">
        <v>4051</v>
      </c>
      <c r="G7121">
        <v>0.7</v>
      </c>
      <c r="H7121" s="2">
        <v>15517.89</v>
      </c>
      <c r="I7121" s="2">
        <v>10862.52</v>
      </c>
    </row>
    <row r="7122" spans="1:9" x14ac:dyDescent="0.25">
      <c r="A7122" t="s">
        <v>3824</v>
      </c>
      <c r="B7122" t="s">
        <v>3825</v>
      </c>
      <c r="C7122" t="s">
        <v>42</v>
      </c>
      <c r="D7122" t="s">
        <v>4049</v>
      </c>
      <c r="E7122" t="s">
        <v>4242</v>
      </c>
      <c r="F7122" t="s">
        <v>4051</v>
      </c>
      <c r="G7122">
        <v>0.18</v>
      </c>
      <c r="H7122" s="2">
        <v>17069.53</v>
      </c>
      <c r="I7122" s="2">
        <v>2987.17</v>
      </c>
    </row>
    <row r="7123" spans="1:9" x14ac:dyDescent="0.25">
      <c r="A7123" t="s">
        <v>3824</v>
      </c>
      <c r="B7123" t="s">
        <v>3825</v>
      </c>
      <c r="C7123" t="s">
        <v>42</v>
      </c>
      <c r="D7123" t="s">
        <v>4052</v>
      </c>
      <c r="E7123" t="s">
        <v>6294</v>
      </c>
      <c r="F7123" t="s">
        <v>4106</v>
      </c>
      <c r="G7123">
        <v>0</v>
      </c>
      <c r="H7123" s="2">
        <v>236228.11</v>
      </c>
      <c r="I7123" s="2">
        <v>944.91</v>
      </c>
    </row>
    <row r="7124" spans="1:9" x14ac:dyDescent="0.25">
      <c r="A7124" t="s">
        <v>3824</v>
      </c>
      <c r="B7124" t="s">
        <v>3825</v>
      </c>
      <c r="C7124" t="s">
        <v>42</v>
      </c>
      <c r="D7124" t="s">
        <v>4052</v>
      </c>
      <c r="E7124" t="s">
        <v>4342</v>
      </c>
      <c r="F7124" t="s">
        <v>4106</v>
      </c>
      <c r="G7124">
        <v>0.02</v>
      </c>
      <c r="H7124" s="2">
        <v>66666.67</v>
      </c>
      <c r="I7124" s="2">
        <v>1333.33</v>
      </c>
    </row>
    <row r="7125" spans="1:9" x14ac:dyDescent="0.25">
      <c r="A7125" t="s">
        <v>3824</v>
      </c>
      <c r="B7125" t="s">
        <v>3825</v>
      </c>
      <c r="C7125" t="s">
        <v>42</v>
      </c>
      <c r="D7125" t="s">
        <v>4052</v>
      </c>
      <c r="E7125" t="s">
        <v>4053</v>
      </c>
      <c r="F7125" t="s">
        <v>4054</v>
      </c>
      <c r="G7125">
        <v>5</v>
      </c>
      <c r="H7125" s="2">
        <v>21915.53</v>
      </c>
      <c r="I7125" s="2">
        <v>1095.78</v>
      </c>
    </row>
    <row r="7126" spans="1:9" x14ac:dyDescent="0.25">
      <c r="A7126" t="s">
        <v>3827</v>
      </c>
      <c r="B7126" t="s">
        <v>3828</v>
      </c>
      <c r="C7126" t="s">
        <v>42</v>
      </c>
      <c r="D7126" t="s">
        <v>4062</v>
      </c>
      <c r="E7126" t="s">
        <v>7777</v>
      </c>
      <c r="F7126" t="s">
        <v>42</v>
      </c>
      <c r="G7126">
        <v>1</v>
      </c>
      <c r="H7126" s="2">
        <v>94921</v>
      </c>
      <c r="I7126" s="2">
        <v>94921</v>
      </c>
    </row>
    <row r="7127" spans="1:9" x14ac:dyDescent="0.25">
      <c r="A7127" t="s">
        <v>3827</v>
      </c>
      <c r="B7127" t="s">
        <v>3828</v>
      </c>
      <c r="C7127" t="s">
        <v>42</v>
      </c>
      <c r="D7127" t="s">
        <v>4062</v>
      </c>
      <c r="E7127" t="s">
        <v>5816</v>
      </c>
      <c r="F7127" t="s">
        <v>34</v>
      </c>
      <c r="G7127">
        <v>0.02</v>
      </c>
      <c r="H7127" s="2">
        <v>93966.67</v>
      </c>
      <c r="I7127" s="2">
        <v>1879.33</v>
      </c>
    </row>
    <row r="7128" spans="1:9" x14ac:dyDescent="0.25">
      <c r="A7128" t="s">
        <v>3827</v>
      </c>
      <c r="B7128" t="s">
        <v>3828</v>
      </c>
      <c r="C7128" t="s">
        <v>42</v>
      </c>
      <c r="D7128" t="s">
        <v>4062</v>
      </c>
      <c r="E7128" t="s">
        <v>7717</v>
      </c>
      <c r="F7128" t="s">
        <v>42</v>
      </c>
      <c r="G7128">
        <v>1</v>
      </c>
      <c r="H7128" s="2">
        <v>46</v>
      </c>
      <c r="I7128" s="2">
        <v>46</v>
      </c>
    </row>
    <row r="7129" spans="1:9" x14ac:dyDescent="0.25">
      <c r="A7129" t="s">
        <v>3827</v>
      </c>
      <c r="B7129" t="s">
        <v>3828</v>
      </c>
      <c r="C7129" t="s">
        <v>42</v>
      </c>
      <c r="D7129" t="s">
        <v>4062</v>
      </c>
      <c r="E7129" t="s">
        <v>3261</v>
      </c>
      <c r="F7129" t="s">
        <v>34</v>
      </c>
      <c r="G7129">
        <v>0.22</v>
      </c>
      <c r="H7129" s="2">
        <v>90100.77</v>
      </c>
      <c r="I7129" s="2">
        <v>19822.17</v>
      </c>
    </row>
    <row r="7130" spans="1:9" x14ac:dyDescent="0.25">
      <c r="A7130" t="s">
        <v>3827</v>
      </c>
      <c r="B7130" t="s">
        <v>3828</v>
      </c>
      <c r="C7130" t="s">
        <v>42</v>
      </c>
      <c r="D7130" t="s">
        <v>4062</v>
      </c>
      <c r="E7130" t="s">
        <v>7718</v>
      </c>
      <c r="F7130" t="s">
        <v>21</v>
      </c>
      <c r="G7130">
        <v>0.4</v>
      </c>
      <c r="H7130" s="2">
        <v>35458.33</v>
      </c>
      <c r="I7130" s="2">
        <v>14183.33</v>
      </c>
    </row>
    <row r="7131" spans="1:9" x14ac:dyDescent="0.25">
      <c r="A7131" t="s">
        <v>3827</v>
      </c>
      <c r="B7131" t="s">
        <v>3828</v>
      </c>
      <c r="C7131" t="s">
        <v>42</v>
      </c>
      <c r="D7131" t="s">
        <v>4062</v>
      </c>
      <c r="E7131" t="s">
        <v>4076</v>
      </c>
      <c r="F7131" t="s">
        <v>3963</v>
      </c>
      <c r="G7131">
        <v>2.85</v>
      </c>
      <c r="H7131" s="2">
        <v>21</v>
      </c>
      <c r="I7131" s="2">
        <v>59.85</v>
      </c>
    </row>
    <row r="7132" spans="1:9" x14ac:dyDescent="0.25">
      <c r="A7132" t="s">
        <v>3827</v>
      </c>
      <c r="B7132" t="s">
        <v>3828</v>
      </c>
      <c r="C7132" t="s">
        <v>42</v>
      </c>
      <c r="D7132" t="s">
        <v>4049</v>
      </c>
      <c r="E7132" t="s">
        <v>4050</v>
      </c>
      <c r="F7132" t="s">
        <v>4051</v>
      </c>
      <c r="G7132">
        <v>1.05</v>
      </c>
      <c r="H7132" s="2">
        <v>9037.33</v>
      </c>
      <c r="I7132" s="2">
        <v>9489.2</v>
      </c>
    </row>
    <row r="7133" spans="1:9" x14ac:dyDescent="0.25">
      <c r="A7133" t="s">
        <v>3827</v>
      </c>
      <c r="B7133" t="s">
        <v>3828</v>
      </c>
      <c r="C7133" t="s">
        <v>42</v>
      </c>
      <c r="D7133" t="s">
        <v>4049</v>
      </c>
      <c r="E7133" t="s">
        <v>4241</v>
      </c>
      <c r="F7133" t="s">
        <v>4051</v>
      </c>
      <c r="G7133">
        <v>0.25</v>
      </c>
      <c r="H7133" s="2">
        <v>9941.22</v>
      </c>
      <c r="I7133" s="2">
        <v>2485.3</v>
      </c>
    </row>
    <row r="7134" spans="1:9" x14ac:dyDescent="0.25">
      <c r="A7134" t="s">
        <v>3827</v>
      </c>
      <c r="B7134" t="s">
        <v>3828</v>
      </c>
      <c r="C7134" t="s">
        <v>42</v>
      </c>
      <c r="D7134" t="s">
        <v>4049</v>
      </c>
      <c r="E7134" t="s">
        <v>4073</v>
      </c>
      <c r="F7134" t="s">
        <v>4051</v>
      </c>
      <c r="G7134">
        <v>1.05</v>
      </c>
      <c r="H7134" s="2">
        <v>15517.89</v>
      </c>
      <c r="I7134" s="2">
        <v>16293.78</v>
      </c>
    </row>
    <row r="7135" spans="1:9" x14ac:dyDescent="0.25">
      <c r="A7135" t="s">
        <v>3827</v>
      </c>
      <c r="B7135" t="s">
        <v>3828</v>
      </c>
      <c r="C7135" t="s">
        <v>42</v>
      </c>
      <c r="D7135" t="s">
        <v>4049</v>
      </c>
      <c r="E7135" t="s">
        <v>4242</v>
      </c>
      <c r="F7135" t="s">
        <v>4051</v>
      </c>
      <c r="G7135">
        <v>0.25</v>
      </c>
      <c r="H7135" s="2">
        <v>17069.53</v>
      </c>
      <c r="I7135" s="2">
        <v>4267.38</v>
      </c>
    </row>
    <row r="7136" spans="1:9" x14ac:dyDescent="0.25">
      <c r="A7136" t="s">
        <v>3827</v>
      </c>
      <c r="B7136" t="s">
        <v>3828</v>
      </c>
      <c r="C7136" t="s">
        <v>42</v>
      </c>
      <c r="D7136" t="s">
        <v>4052</v>
      </c>
      <c r="E7136" t="s">
        <v>6294</v>
      </c>
      <c r="F7136" t="s">
        <v>4106</v>
      </c>
      <c r="G7136">
        <v>0</v>
      </c>
      <c r="H7136" s="2">
        <v>236228.11</v>
      </c>
      <c r="I7136" s="2">
        <v>944.91</v>
      </c>
    </row>
    <row r="7137" spans="1:9" x14ac:dyDescent="0.25">
      <c r="A7137" t="s">
        <v>3827</v>
      </c>
      <c r="B7137" t="s">
        <v>3828</v>
      </c>
      <c r="C7137" t="s">
        <v>42</v>
      </c>
      <c r="D7137" t="s">
        <v>4052</v>
      </c>
      <c r="E7137" t="s">
        <v>4342</v>
      </c>
      <c r="F7137" t="s">
        <v>4106</v>
      </c>
      <c r="G7137">
        <v>0.02</v>
      </c>
      <c r="H7137" s="2">
        <v>66666.67</v>
      </c>
      <c r="I7137" s="2">
        <v>1333.33</v>
      </c>
    </row>
    <row r="7138" spans="1:9" x14ac:dyDescent="0.25">
      <c r="A7138" t="s">
        <v>3827</v>
      </c>
      <c r="B7138" t="s">
        <v>3828</v>
      </c>
      <c r="C7138" t="s">
        <v>42</v>
      </c>
      <c r="D7138" t="s">
        <v>4052</v>
      </c>
      <c r="E7138" t="s">
        <v>4053</v>
      </c>
      <c r="F7138" t="s">
        <v>4054</v>
      </c>
      <c r="G7138">
        <v>5</v>
      </c>
      <c r="H7138" s="2">
        <v>32535.66</v>
      </c>
      <c r="I7138" s="2">
        <v>1626.78</v>
      </c>
    </row>
    <row r="7139" spans="1:9" x14ac:dyDescent="0.25">
      <c r="A7139" t="s">
        <v>3830</v>
      </c>
      <c r="B7139" t="s">
        <v>3831</v>
      </c>
      <c r="C7139" t="s">
        <v>42</v>
      </c>
      <c r="D7139" t="s">
        <v>4062</v>
      </c>
      <c r="E7139" t="s">
        <v>7777</v>
      </c>
      <c r="F7139" t="s">
        <v>42</v>
      </c>
      <c r="G7139">
        <v>1</v>
      </c>
      <c r="H7139" s="2">
        <v>94921</v>
      </c>
      <c r="I7139" s="2">
        <v>94921</v>
      </c>
    </row>
    <row r="7140" spans="1:9" x14ac:dyDescent="0.25">
      <c r="A7140" t="s">
        <v>3830</v>
      </c>
      <c r="B7140" t="s">
        <v>3831</v>
      </c>
      <c r="C7140" t="s">
        <v>42</v>
      </c>
      <c r="D7140" t="s">
        <v>4062</v>
      </c>
      <c r="E7140" t="s">
        <v>7717</v>
      </c>
      <c r="F7140" t="s">
        <v>42</v>
      </c>
      <c r="G7140">
        <v>1</v>
      </c>
      <c r="H7140" s="2">
        <v>46</v>
      </c>
      <c r="I7140" s="2">
        <v>46</v>
      </c>
    </row>
    <row r="7141" spans="1:9" x14ac:dyDescent="0.25">
      <c r="A7141" t="s">
        <v>3830</v>
      </c>
      <c r="B7141" t="s">
        <v>3831</v>
      </c>
      <c r="C7141" t="s">
        <v>42</v>
      </c>
      <c r="D7141" t="s">
        <v>4062</v>
      </c>
      <c r="E7141" t="s">
        <v>7721</v>
      </c>
      <c r="F7141" t="s">
        <v>63</v>
      </c>
      <c r="G7141">
        <v>0.01</v>
      </c>
      <c r="H7141" s="2">
        <v>185957</v>
      </c>
      <c r="I7141" s="2">
        <v>1859.57</v>
      </c>
    </row>
    <row r="7142" spans="1:9" x14ac:dyDescent="0.25">
      <c r="A7142" t="s">
        <v>3830</v>
      </c>
      <c r="B7142" t="s">
        <v>3831</v>
      </c>
      <c r="C7142" t="s">
        <v>42</v>
      </c>
      <c r="D7142" t="s">
        <v>4062</v>
      </c>
      <c r="E7142" t="s">
        <v>7722</v>
      </c>
      <c r="F7142" t="s">
        <v>34</v>
      </c>
      <c r="G7142">
        <v>0.12</v>
      </c>
      <c r="H7142" s="2">
        <v>90100.77</v>
      </c>
      <c r="I7142" s="2">
        <v>10812.09</v>
      </c>
    </row>
    <row r="7143" spans="1:9" x14ac:dyDescent="0.25">
      <c r="A7143" t="s">
        <v>3830</v>
      </c>
      <c r="B7143" t="s">
        <v>3831</v>
      </c>
      <c r="C7143" t="s">
        <v>42</v>
      </c>
      <c r="D7143" t="s">
        <v>4062</v>
      </c>
      <c r="E7143" t="s">
        <v>7723</v>
      </c>
      <c r="F7143" t="s">
        <v>34</v>
      </c>
      <c r="G7143">
        <v>0.07</v>
      </c>
      <c r="H7143" s="2">
        <v>111672.11</v>
      </c>
      <c r="I7143" s="2">
        <v>7817.05</v>
      </c>
    </row>
    <row r="7144" spans="1:9" x14ac:dyDescent="0.25">
      <c r="A7144" t="s">
        <v>3830</v>
      </c>
      <c r="B7144" t="s">
        <v>3831</v>
      </c>
      <c r="C7144" t="s">
        <v>42</v>
      </c>
      <c r="D7144" t="s">
        <v>4062</v>
      </c>
      <c r="E7144" t="s">
        <v>7724</v>
      </c>
      <c r="F7144" t="s">
        <v>21</v>
      </c>
      <c r="G7144">
        <v>0.8</v>
      </c>
      <c r="H7144" s="2">
        <v>3399.59</v>
      </c>
      <c r="I7144" s="2">
        <v>2719.67</v>
      </c>
    </row>
    <row r="7145" spans="1:9" x14ac:dyDescent="0.25">
      <c r="A7145" t="s">
        <v>3830</v>
      </c>
      <c r="B7145" t="s">
        <v>3831</v>
      </c>
      <c r="C7145" t="s">
        <v>42</v>
      </c>
      <c r="D7145" t="s">
        <v>4062</v>
      </c>
      <c r="E7145" t="s">
        <v>7725</v>
      </c>
      <c r="F7145" t="s">
        <v>34</v>
      </c>
      <c r="G7145">
        <v>0.07</v>
      </c>
      <c r="H7145" s="2">
        <v>582852.45</v>
      </c>
      <c r="I7145" s="2">
        <v>40799.67</v>
      </c>
    </row>
    <row r="7146" spans="1:9" x14ac:dyDescent="0.25">
      <c r="A7146" t="s">
        <v>3830</v>
      </c>
      <c r="B7146" t="s">
        <v>3831</v>
      </c>
      <c r="C7146" t="s">
        <v>42</v>
      </c>
      <c r="D7146" t="s">
        <v>4049</v>
      </c>
      <c r="E7146" t="s">
        <v>4241</v>
      </c>
      <c r="F7146" t="s">
        <v>4051</v>
      </c>
      <c r="G7146">
        <v>0.5</v>
      </c>
      <c r="H7146" s="2">
        <v>9941.22</v>
      </c>
      <c r="I7146" s="2">
        <v>4970.61</v>
      </c>
    </row>
    <row r="7147" spans="1:9" x14ac:dyDescent="0.25">
      <c r="A7147" t="s">
        <v>3830</v>
      </c>
      <c r="B7147" t="s">
        <v>3831</v>
      </c>
      <c r="C7147" t="s">
        <v>42</v>
      </c>
      <c r="D7147" t="s">
        <v>4049</v>
      </c>
      <c r="E7147" t="s">
        <v>4242</v>
      </c>
      <c r="F7147" t="s">
        <v>4051</v>
      </c>
      <c r="G7147">
        <v>0.5</v>
      </c>
      <c r="H7147" s="2">
        <v>17069.53</v>
      </c>
      <c r="I7147" s="2">
        <v>8534.76</v>
      </c>
    </row>
    <row r="7148" spans="1:9" x14ac:dyDescent="0.25">
      <c r="A7148" t="s">
        <v>3830</v>
      </c>
      <c r="B7148" t="s">
        <v>3831</v>
      </c>
      <c r="C7148" t="s">
        <v>42</v>
      </c>
      <c r="D7148" t="s">
        <v>4052</v>
      </c>
      <c r="E7148" t="s">
        <v>4092</v>
      </c>
      <c r="F7148" t="s">
        <v>287</v>
      </c>
      <c r="G7148">
        <v>0.16</v>
      </c>
      <c r="H7148" s="2">
        <v>97476</v>
      </c>
      <c r="I7148" s="2">
        <v>15596.16</v>
      </c>
    </row>
    <row r="7149" spans="1:9" x14ac:dyDescent="0.25">
      <c r="A7149" t="s">
        <v>3830</v>
      </c>
      <c r="B7149" t="s">
        <v>3831</v>
      </c>
      <c r="C7149" t="s">
        <v>42</v>
      </c>
      <c r="D7149" t="s">
        <v>4052</v>
      </c>
      <c r="E7149" t="s">
        <v>7234</v>
      </c>
      <c r="F7149" t="s">
        <v>287</v>
      </c>
      <c r="G7149">
        <v>0.09</v>
      </c>
      <c r="H7149" s="2">
        <v>8800</v>
      </c>
      <c r="I7149" s="2">
        <v>748</v>
      </c>
    </row>
    <row r="7150" spans="1:9" x14ac:dyDescent="0.25">
      <c r="A7150" t="s">
        <v>3830</v>
      </c>
      <c r="B7150" t="s">
        <v>3831</v>
      </c>
      <c r="C7150" t="s">
        <v>42</v>
      </c>
      <c r="D7150" t="s">
        <v>4052</v>
      </c>
      <c r="E7150" t="s">
        <v>6294</v>
      </c>
      <c r="F7150" t="s">
        <v>4106</v>
      </c>
      <c r="G7150">
        <v>0</v>
      </c>
      <c r="H7150" s="2">
        <v>236228.11</v>
      </c>
      <c r="I7150" s="2">
        <v>944.91</v>
      </c>
    </row>
    <row r="7151" spans="1:9" x14ac:dyDescent="0.25">
      <c r="A7151" t="s">
        <v>3830</v>
      </c>
      <c r="B7151" t="s">
        <v>3831</v>
      </c>
      <c r="C7151" t="s">
        <v>42</v>
      </c>
      <c r="D7151" t="s">
        <v>4052</v>
      </c>
      <c r="E7151" t="s">
        <v>4053</v>
      </c>
      <c r="F7151" t="s">
        <v>4054</v>
      </c>
      <c r="G7151">
        <v>5</v>
      </c>
      <c r="H7151" s="2">
        <v>13505.37</v>
      </c>
      <c r="I7151" s="2">
        <v>675.27</v>
      </c>
    </row>
    <row r="7152" spans="1:9" x14ac:dyDescent="0.25">
      <c r="A7152" t="s">
        <v>3833</v>
      </c>
      <c r="B7152" t="s">
        <v>3834</v>
      </c>
      <c r="C7152" t="s">
        <v>42</v>
      </c>
      <c r="D7152" t="s">
        <v>4062</v>
      </c>
      <c r="E7152" t="s">
        <v>7777</v>
      </c>
      <c r="F7152" t="s">
        <v>42</v>
      </c>
      <c r="G7152">
        <v>1</v>
      </c>
      <c r="H7152" s="2">
        <v>94921</v>
      </c>
      <c r="I7152" s="2">
        <v>94921</v>
      </c>
    </row>
    <row r="7153" spans="1:9" x14ac:dyDescent="0.25">
      <c r="A7153" t="s">
        <v>3833</v>
      </c>
      <c r="B7153" t="s">
        <v>3834</v>
      </c>
      <c r="C7153" t="s">
        <v>42</v>
      </c>
      <c r="D7153" t="s">
        <v>4062</v>
      </c>
      <c r="E7153" t="s">
        <v>3265</v>
      </c>
      <c r="F7153" t="s">
        <v>34</v>
      </c>
      <c r="G7153">
        <v>0.07</v>
      </c>
      <c r="H7153" s="2">
        <v>706218.57</v>
      </c>
      <c r="I7153" s="2">
        <v>49435.3</v>
      </c>
    </row>
    <row r="7154" spans="1:9" x14ac:dyDescent="0.25">
      <c r="A7154" t="s">
        <v>3833</v>
      </c>
      <c r="B7154" t="s">
        <v>3834</v>
      </c>
      <c r="C7154" t="s">
        <v>42</v>
      </c>
      <c r="D7154" t="s">
        <v>4062</v>
      </c>
      <c r="E7154" t="s">
        <v>7717</v>
      </c>
      <c r="F7154" t="s">
        <v>42</v>
      </c>
      <c r="G7154">
        <v>1</v>
      </c>
      <c r="H7154" s="2">
        <v>46</v>
      </c>
      <c r="I7154" s="2">
        <v>46</v>
      </c>
    </row>
    <row r="7155" spans="1:9" x14ac:dyDescent="0.25">
      <c r="A7155" t="s">
        <v>3833</v>
      </c>
      <c r="B7155" t="s">
        <v>3834</v>
      </c>
      <c r="C7155" t="s">
        <v>42</v>
      </c>
      <c r="D7155" t="s">
        <v>4062</v>
      </c>
      <c r="E7155" t="s">
        <v>7721</v>
      </c>
      <c r="F7155" t="s">
        <v>63</v>
      </c>
      <c r="G7155">
        <v>0.01</v>
      </c>
      <c r="H7155" s="2">
        <v>185957</v>
      </c>
      <c r="I7155" s="2">
        <v>1859.57</v>
      </c>
    </row>
    <row r="7156" spans="1:9" x14ac:dyDescent="0.25">
      <c r="A7156" t="s">
        <v>3833</v>
      </c>
      <c r="B7156" t="s">
        <v>3834</v>
      </c>
      <c r="C7156" t="s">
        <v>42</v>
      </c>
      <c r="D7156" t="s">
        <v>4062</v>
      </c>
      <c r="E7156" t="s">
        <v>7728</v>
      </c>
      <c r="F7156" t="s">
        <v>34</v>
      </c>
      <c r="G7156">
        <v>0.18</v>
      </c>
      <c r="H7156" s="2">
        <v>111672.11</v>
      </c>
      <c r="I7156" s="2">
        <v>20100.98</v>
      </c>
    </row>
    <row r="7157" spans="1:9" x14ac:dyDescent="0.25">
      <c r="A7157" t="s">
        <v>3833</v>
      </c>
      <c r="B7157" t="s">
        <v>3834</v>
      </c>
      <c r="C7157" t="s">
        <v>42</v>
      </c>
      <c r="D7157" t="s">
        <v>4049</v>
      </c>
      <c r="E7157" t="s">
        <v>4241</v>
      </c>
      <c r="F7157" t="s">
        <v>4051</v>
      </c>
      <c r="G7157">
        <v>0.2</v>
      </c>
      <c r="H7157" s="2">
        <v>9941.22</v>
      </c>
      <c r="I7157" s="2">
        <v>1988.24</v>
      </c>
    </row>
    <row r="7158" spans="1:9" x14ac:dyDescent="0.25">
      <c r="A7158" t="s">
        <v>3833</v>
      </c>
      <c r="B7158" t="s">
        <v>3834</v>
      </c>
      <c r="C7158" t="s">
        <v>42</v>
      </c>
      <c r="D7158" t="s">
        <v>4049</v>
      </c>
      <c r="E7158" t="s">
        <v>4242</v>
      </c>
      <c r="F7158" t="s">
        <v>4051</v>
      </c>
      <c r="G7158">
        <v>0.2</v>
      </c>
      <c r="H7158" s="2">
        <v>17069.53</v>
      </c>
      <c r="I7158" s="2">
        <v>3413.91</v>
      </c>
    </row>
    <row r="7159" spans="1:9" x14ac:dyDescent="0.25">
      <c r="A7159" t="s">
        <v>3833</v>
      </c>
      <c r="B7159" t="s">
        <v>3834</v>
      </c>
      <c r="C7159" t="s">
        <v>42</v>
      </c>
      <c r="D7159" t="s">
        <v>4052</v>
      </c>
      <c r="E7159" t="s">
        <v>4092</v>
      </c>
      <c r="F7159" t="s">
        <v>287</v>
      </c>
      <c r="G7159">
        <v>0.16</v>
      </c>
      <c r="H7159" s="2">
        <v>97476</v>
      </c>
      <c r="I7159" s="2">
        <v>15596.16</v>
      </c>
    </row>
    <row r="7160" spans="1:9" x14ac:dyDescent="0.25">
      <c r="A7160" t="s">
        <v>3833</v>
      </c>
      <c r="B7160" t="s">
        <v>3834</v>
      </c>
      <c r="C7160" t="s">
        <v>42</v>
      </c>
      <c r="D7160" t="s">
        <v>4052</v>
      </c>
      <c r="E7160" t="s">
        <v>7782</v>
      </c>
      <c r="F7160" t="s">
        <v>4106</v>
      </c>
      <c r="G7160">
        <v>0.09</v>
      </c>
      <c r="H7160" s="2">
        <v>70266.67</v>
      </c>
      <c r="I7160" s="2">
        <v>5972.67</v>
      </c>
    </row>
    <row r="7161" spans="1:9" x14ac:dyDescent="0.25">
      <c r="A7161" t="s">
        <v>3833</v>
      </c>
      <c r="B7161" t="s">
        <v>3834</v>
      </c>
      <c r="C7161" t="s">
        <v>42</v>
      </c>
      <c r="D7161" t="s">
        <v>4052</v>
      </c>
      <c r="E7161" t="s">
        <v>6294</v>
      </c>
      <c r="F7161" t="s">
        <v>4106</v>
      </c>
      <c r="G7161">
        <v>0</v>
      </c>
      <c r="H7161" s="2">
        <v>236228.11</v>
      </c>
      <c r="I7161" s="2">
        <v>944.91</v>
      </c>
    </row>
    <row r="7162" spans="1:9" x14ac:dyDescent="0.25">
      <c r="A7162" t="s">
        <v>3833</v>
      </c>
      <c r="B7162" t="s">
        <v>3834</v>
      </c>
      <c r="C7162" t="s">
        <v>42</v>
      </c>
      <c r="D7162" t="s">
        <v>4052</v>
      </c>
      <c r="E7162" t="s">
        <v>4053</v>
      </c>
      <c r="F7162" t="s">
        <v>4054</v>
      </c>
      <c r="G7162">
        <v>5</v>
      </c>
      <c r="H7162" s="2">
        <v>5402.15</v>
      </c>
      <c r="I7162" s="2">
        <v>270.11</v>
      </c>
    </row>
    <row r="7163" spans="1:9" x14ac:dyDescent="0.25">
      <c r="A7163" t="s">
        <v>3836</v>
      </c>
      <c r="B7163" t="s">
        <v>3837</v>
      </c>
      <c r="C7163" t="s">
        <v>42</v>
      </c>
      <c r="D7163" t="s">
        <v>4062</v>
      </c>
      <c r="E7163" t="s">
        <v>4547</v>
      </c>
      <c r="F7163" t="s">
        <v>34</v>
      </c>
      <c r="G7163">
        <v>0.35</v>
      </c>
      <c r="H7163" s="2">
        <v>57129.33</v>
      </c>
      <c r="I7163" s="2">
        <v>19995.27</v>
      </c>
    </row>
    <row r="7164" spans="1:9" x14ac:dyDescent="0.25">
      <c r="A7164" t="s">
        <v>3836</v>
      </c>
      <c r="B7164" t="s">
        <v>3837</v>
      </c>
      <c r="C7164" t="s">
        <v>42</v>
      </c>
      <c r="D7164" t="s">
        <v>4062</v>
      </c>
      <c r="E7164" t="s">
        <v>7777</v>
      </c>
      <c r="F7164" t="s">
        <v>42</v>
      </c>
      <c r="G7164">
        <v>1</v>
      </c>
      <c r="H7164" s="2">
        <v>94921</v>
      </c>
      <c r="I7164" s="2">
        <v>94921</v>
      </c>
    </row>
    <row r="7165" spans="1:9" x14ac:dyDescent="0.25">
      <c r="A7165" t="s">
        <v>3836</v>
      </c>
      <c r="B7165" t="s">
        <v>3837</v>
      </c>
      <c r="C7165" t="s">
        <v>42</v>
      </c>
      <c r="D7165" t="s">
        <v>4062</v>
      </c>
      <c r="E7165" t="s">
        <v>7581</v>
      </c>
      <c r="F7165" t="s">
        <v>21</v>
      </c>
      <c r="G7165">
        <v>0.7</v>
      </c>
      <c r="H7165" s="2">
        <v>3850</v>
      </c>
      <c r="I7165" s="2">
        <v>2695</v>
      </c>
    </row>
    <row r="7166" spans="1:9" x14ac:dyDescent="0.25">
      <c r="A7166" t="s">
        <v>3836</v>
      </c>
      <c r="B7166" t="s">
        <v>3837</v>
      </c>
      <c r="C7166" t="s">
        <v>42</v>
      </c>
      <c r="D7166" t="s">
        <v>4062</v>
      </c>
      <c r="E7166" t="s">
        <v>7717</v>
      </c>
      <c r="F7166" t="s">
        <v>42</v>
      </c>
      <c r="G7166">
        <v>1</v>
      </c>
      <c r="H7166" s="2">
        <v>46</v>
      </c>
      <c r="I7166" s="2">
        <v>46</v>
      </c>
    </row>
    <row r="7167" spans="1:9" x14ac:dyDescent="0.25">
      <c r="A7167" t="s">
        <v>3836</v>
      </c>
      <c r="B7167" t="s">
        <v>3837</v>
      </c>
      <c r="C7167" t="s">
        <v>42</v>
      </c>
      <c r="D7167" t="s">
        <v>4049</v>
      </c>
      <c r="E7167" t="s">
        <v>4050</v>
      </c>
      <c r="F7167" t="s">
        <v>4051</v>
      </c>
      <c r="G7167">
        <v>0.7</v>
      </c>
      <c r="H7167" s="2">
        <v>9037.33</v>
      </c>
      <c r="I7167" s="2">
        <v>6326.13</v>
      </c>
    </row>
    <row r="7168" spans="1:9" x14ac:dyDescent="0.25">
      <c r="A7168" t="s">
        <v>3836</v>
      </c>
      <c r="B7168" t="s">
        <v>3837</v>
      </c>
      <c r="C7168" t="s">
        <v>42</v>
      </c>
      <c r="D7168" t="s">
        <v>4049</v>
      </c>
      <c r="E7168" t="s">
        <v>4241</v>
      </c>
      <c r="F7168" t="s">
        <v>4051</v>
      </c>
      <c r="G7168">
        <v>0.25</v>
      </c>
      <c r="H7168" s="2">
        <v>9941.22</v>
      </c>
      <c r="I7168" s="2">
        <v>2485.3</v>
      </c>
    </row>
    <row r="7169" spans="1:9" x14ac:dyDescent="0.25">
      <c r="A7169" t="s">
        <v>3836</v>
      </c>
      <c r="B7169" t="s">
        <v>3837</v>
      </c>
      <c r="C7169" t="s">
        <v>42</v>
      </c>
      <c r="D7169" t="s">
        <v>4049</v>
      </c>
      <c r="E7169" t="s">
        <v>4073</v>
      </c>
      <c r="F7169" t="s">
        <v>4051</v>
      </c>
      <c r="G7169">
        <v>0.7</v>
      </c>
      <c r="H7169" s="2">
        <v>15517.89</v>
      </c>
      <c r="I7169" s="2">
        <v>10862.52</v>
      </c>
    </row>
    <row r="7170" spans="1:9" x14ac:dyDescent="0.25">
      <c r="A7170" t="s">
        <v>3836</v>
      </c>
      <c r="B7170" t="s">
        <v>3837</v>
      </c>
      <c r="C7170" t="s">
        <v>42</v>
      </c>
      <c r="D7170" t="s">
        <v>4049</v>
      </c>
      <c r="E7170" t="s">
        <v>4242</v>
      </c>
      <c r="F7170" t="s">
        <v>4051</v>
      </c>
      <c r="G7170">
        <v>0.25</v>
      </c>
      <c r="H7170" s="2">
        <v>17069.53</v>
      </c>
      <c r="I7170" s="2">
        <v>4267.38</v>
      </c>
    </row>
    <row r="7171" spans="1:9" x14ac:dyDescent="0.25">
      <c r="A7171" t="s">
        <v>3836</v>
      </c>
      <c r="B7171" t="s">
        <v>3837</v>
      </c>
      <c r="C7171" t="s">
        <v>42</v>
      </c>
      <c r="D7171" t="s">
        <v>4052</v>
      </c>
      <c r="E7171" t="s">
        <v>6294</v>
      </c>
      <c r="F7171" t="s">
        <v>4106</v>
      </c>
      <c r="G7171">
        <v>0</v>
      </c>
      <c r="H7171" s="2">
        <v>236228.11</v>
      </c>
      <c r="I7171" s="2">
        <v>944.91</v>
      </c>
    </row>
    <row r="7172" spans="1:9" x14ac:dyDescent="0.25">
      <c r="A7172" t="s">
        <v>3836</v>
      </c>
      <c r="B7172" t="s">
        <v>3837</v>
      </c>
      <c r="C7172" t="s">
        <v>42</v>
      </c>
      <c r="D7172" t="s">
        <v>4052</v>
      </c>
      <c r="E7172" t="s">
        <v>4342</v>
      </c>
      <c r="F7172" t="s">
        <v>4106</v>
      </c>
      <c r="G7172">
        <v>0.02</v>
      </c>
      <c r="H7172" s="2">
        <v>66666.67</v>
      </c>
      <c r="I7172" s="2">
        <v>1333.33</v>
      </c>
    </row>
    <row r="7173" spans="1:9" x14ac:dyDescent="0.25">
      <c r="A7173" t="s">
        <v>3836</v>
      </c>
      <c r="B7173" t="s">
        <v>3837</v>
      </c>
      <c r="C7173" t="s">
        <v>42</v>
      </c>
      <c r="D7173" t="s">
        <v>4052</v>
      </c>
      <c r="E7173" t="s">
        <v>4053</v>
      </c>
      <c r="F7173" t="s">
        <v>4054</v>
      </c>
      <c r="G7173">
        <v>5</v>
      </c>
      <c r="H7173" s="2">
        <v>23941.33</v>
      </c>
      <c r="I7173" s="2">
        <v>1197.07</v>
      </c>
    </row>
    <row r="7174" spans="1:9" x14ac:dyDescent="0.25">
      <c r="A7174" t="s">
        <v>3839</v>
      </c>
      <c r="B7174" t="s">
        <v>3840</v>
      </c>
      <c r="C7174" t="s">
        <v>63</v>
      </c>
      <c r="D7174" t="s">
        <v>4062</v>
      </c>
      <c r="E7174" t="s">
        <v>5054</v>
      </c>
      <c r="F7174" t="s">
        <v>63</v>
      </c>
      <c r="G7174">
        <v>1</v>
      </c>
      <c r="H7174" s="2">
        <v>1235</v>
      </c>
      <c r="I7174" s="2">
        <v>1235</v>
      </c>
    </row>
    <row r="7175" spans="1:9" x14ac:dyDescent="0.25">
      <c r="A7175" t="s">
        <v>3839</v>
      </c>
      <c r="B7175" t="s">
        <v>3840</v>
      </c>
      <c r="C7175" t="s">
        <v>63</v>
      </c>
      <c r="D7175" t="s">
        <v>4062</v>
      </c>
      <c r="E7175" t="s">
        <v>4708</v>
      </c>
      <c r="F7175" t="s">
        <v>42</v>
      </c>
      <c r="G7175">
        <v>1.5</v>
      </c>
      <c r="H7175" s="2">
        <v>9130</v>
      </c>
      <c r="I7175" s="2">
        <v>13695</v>
      </c>
    </row>
    <row r="7176" spans="1:9" x14ac:dyDescent="0.25">
      <c r="A7176" t="s">
        <v>3839</v>
      </c>
      <c r="B7176" t="s">
        <v>3840</v>
      </c>
      <c r="C7176" t="s">
        <v>63</v>
      </c>
      <c r="D7176" t="s">
        <v>4062</v>
      </c>
      <c r="E7176" t="s">
        <v>4691</v>
      </c>
      <c r="F7176" t="s">
        <v>4532</v>
      </c>
      <c r="G7176">
        <v>1</v>
      </c>
      <c r="H7176" s="2">
        <v>748</v>
      </c>
      <c r="I7176" s="2">
        <v>748</v>
      </c>
    </row>
    <row r="7177" spans="1:9" x14ac:dyDescent="0.25">
      <c r="A7177" t="s">
        <v>3839</v>
      </c>
      <c r="B7177" t="s">
        <v>3840</v>
      </c>
      <c r="C7177" t="s">
        <v>63</v>
      </c>
      <c r="D7177" t="s">
        <v>4062</v>
      </c>
      <c r="E7177" t="s">
        <v>4713</v>
      </c>
      <c r="F7177" t="s">
        <v>63</v>
      </c>
      <c r="G7177">
        <v>2</v>
      </c>
      <c r="H7177" s="2">
        <v>1647</v>
      </c>
      <c r="I7177" s="2">
        <v>3294</v>
      </c>
    </row>
    <row r="7178" spans="1:9" x14ac:dyDescent="0.25">
      <c r="A7178" t="s">
        <v>3839</v>
      </c>
      <c r="B7178" t="s">
        <v>3840</v>
      </c>
      <c r="C7178" t="s">
        <v>63</v>
      </c>
      <c r="D7178" t="s">
        <v>4049</v>
      </c>
      <c r="E7178" t="s">
        <v>4241</v>
      </c>
      <c r="F7178" t="s">
        <v>4051</v>
      </c>
      <c r="G7178">
        <v>2.27</v>
      </c>
      <c r="H7178" s="2">
        <v>9941.22</v>
      </c>
      <c r="I7178" s="2">
        <v>22566.57</v>
      </c>
    </row>
    <row r="7179" spans="1:9" x14ac:dyDescent="0.25">
      <c r="A7179" t="s">
        <v>3839</v>
      </c>
      <c r="B7179" t="s">
        <v>3840</v>
      </c>
      <c r="C7179" t="s">
        <v>63</v>
      </c>
      <c r="D7179" t="s">
        <v>4049</v>
      </c>
      <c r="E7179" t="s">
        <v>4242</v>
      </c>
      <c r="F7179" t="s">
        <v>4051</v>
      </c>
      <c r="G7179">
        <v>2.27</v>
      </c>
      <c r="H7179" s="2">
        <v>17069.53</v>
      </c>
      <c r="I7179" s="2">
        <v>38747.83</v>
      </c>
    </row>
    <row r="7180" spans="1:9" x14ac:dyDescent="0.25">
      <c r="A7180" t="s">
        <v>3839</v>
      </c>
      <c r="B7180" t="s">
        <v>3840</v>
      </c>
      <c r="C7180" t="s">
        <v>63</v>
      </c>
      <c r="D7180" t="s">
        <v>4052</v>
      </c>
      <c r="E7180" t="s">
        <v>4053</v>
      </c>
      <c r="F7180" t="s">
        <v>4054</v>
      </c>
      <c r="G7180">
        <v>4</v>
      </c>
      <c r="H7180" s="2">
        <v>61314.4</v>
      </c>
      <c r="I7180" s="2">
        <v>2452.58</v>
      </c>
    </row>
    <row r="7181" spans="1:9" x14ac:dyDescent="0.25">
      <c r="A7181" t="s">
        <v>3843</v>
      </c>
      <c r="B7181" t="s">
        <v>3845</v>
      </c>
      <c r="C7181" t="s">
        <v>247</v>
      </c>
      <c r="D7181" t="s">
        <v>4062</v>
      </c>
      <c r="E7181" t="s">
        <v>7790</v>
      </c>
      <c r="F7181" t="s">
        <v>247</v>
      </c>
      <c r="G7181">
        <v>1</v>
      </c>
      <c r="H7181" s="2">
        <v>2599965</v>
      </c>
      <c r="I7181" s="2">
        <v>2599965</v>
      </c>
    </row>
    <row r="7182" spans="1:9" x14ac:dyDescent="0.25">
      <c r="A7182" t="s">
        <v>3852</v>
      </c>
      <c r="B7182" t="s">
        <v>3853</v>
      </c>
      <c r="C7182" t="s">
        <v>247</v>
      </c>
      <c r="D7182" t="s">
        <v>4062</v>
      </c>
      <c r="E7182" t="s">
        <v>7793</v>
      </c>
      <c r="F7182" t="s">
        <v>247</v>
      </c>
      <c r="G7182">
        <v>1</v>
      </c>
      <c r="H7182" s="2">
        <v>4328807</v>
      </c>
      <c r="I7182" s="2">
        <v>4328807</v>
      </c>
    </row>
    <row r="7183" spans="1:9" x14ac:dyDescent="0.25">
      <c r="A7183" t="s">
        <v>3855</v>
      </c>
      <c r="B7183" t="s">
        <v>3856</v>
      </c>
      <c r="C7183" t="s">
        <v>247</v>
      </c>
      <c r="D7183" t="s">
        <v>4062</v>
      </c>
      <c r="E7183" t="s">
        <v>7796</v>
      </c>
      <c r="F7183" t="s">
        <v>247</v>
      </c>
      <c r="G7183">
        <v>1</v>
      </c>
      <c r="H7183" s="2">
        <v>1855416</v>
      </c>
      <c r="I7183" s="2">
        <v>1855416</v>
      </c>
    </row>
    <row r="7184" spans="1:9" x14ac:dyDescent="0.25">
      <c r="A7184" t="s">
        <v>3858</v>
      </c>
      <c r="B7184" t="s">
        <v>3859</v>
      </c>
      <c r="C7184" t="s">
        <v>247</v>
      </c>
      <c r="D7184" t="s">
        <v>4062</v>
      </c>
      <c r="E7184" t="s">
        <v>7799</v>
      </c>
      <c r="F7184" t="s">
        <v>247</v>
      </c>
      <c r="G7184">
        <v>1</v>
      </c>
      <c r="H7184" s="2">
        <v>2355753</v>
      </c>
      <c r="I7184" s="2">
        <v>2355753</v>
      </c>
    </row>
    <row r="7185" spans="1:9" x14ac:dyDescent="0.25">
      <c r="A7185" t="s">
        <v>3861</v>
      </c>
      <c r="B7185" t="s">
        <v>3862</v>
      </c>
      <c r="C7185" t="s">
        <v>247</v>
      </c>
      <c r="D7185" t="s">
        <v>4062</v>
      </c>
      <c r="E7185" t="s">
        <v>7802</v>
      </c>
      <c r="F7185" t="s">
        <v>247</v>
      </c>
      <c r="G7185">
        <v>1</v>
      </c>
      <c r="H7185" s="2">
        <v>2288743</v>
      </c>
      <c r="I7185" s="2">
        <v>2288743</v>
      </c>
    </row>
    <row r="7186" spans="1:9" x14ac:dyDescent="0.25">
      <c r="A7186" t="s">
        <v>3864</v>
      </c>
      <c r="B7186" t="s">
        <v>3865</v>
      </c>
      <c r="C7186" t="s">
        <v>247</v>
      </c>
      <c r="D7186" t="s">
        <v>4062</v>
      </c>
      <c r="E7186" t="s">
        <v>7805</v>
      </c>
      <c r="F7186" t="s">
        <v>247</v>
      </c>
      <c r="G7186">
        <v>1</v>
      </c>
      <c r="H7186" s="2">
        <v>2790569</v>
      </c>
      <c r="I7186" s="2">
        <v>2790569</v>
      </c>
    </row>
    <row r="7187" spans="1:9" x14ac:dyDescent="0.25">
      <c r="A7187" t="s">
        <v>3867</v>
      </c>
      <c r="B7187" t="s">
        <v>3868</v>
      </c>
      <c r="C7187" t="s">
        <v>247</v>
      </c>
      <c r="D7187" t="s">
        <v>4062</v>
      </c>
      <c r="E7187" t="s">
        <v>7089</v>
      </c>
      <c r="F7187" t="s">
        <v>247</v>
      </c>
      <c r="G7187">
        <v>1</v>
      </c>
      <c r="H7187" s="2">
        <v>1733310</v>
      </c>
      <c r="I7187" s="2">
        <v>1733310</v>
      </c>
    </row>
    <row r="7188" spans="1:9" x14ac:dyDescent="0.25">
      <c r="A7188" t="s">
        <v>3870</v>
      </c>
      <c r="B7188" t="s">
        <v>3871</v>
      </c>
      <c r="C7188" t="s">
        <v>247</v>
      </c>
      <c r="D7188" t="s">
        <v>4062</v>
      </c>
      <c r="E7188" t="s">
        <v>7090</v>
      </c>
      <c r="F7188" t="s">
        <v>247</v>
      </c>
      <c r="G7188">
        <v>1</v>
      </c>
      <c r="H7188" s="2">
        <v>1506967</v>
      </c>
      <c r="I7188" s="2">
        <v>1506967</v>
      </c>
    </row>
    <row r="7189" spans="1:9" x14ac:dyDescent="0.25">
      <c r="A7189" t="s">
        <v>3873</v>
      </c>
      <c r="B7189" t="s">
        <v>3874</v>
      </c>
      <c r="C7189" t="s">
        <v>247</v>
      </c>
      <c r="D7189" t="s">
        <v>4062</v>
      </c>
      <c r="E7189" t="s">
        <v>7812</v>
      </c>
      <c r="F7189" t="s">
        <v>247</v>
      </c>
      <c r="G7189">
        <v>1</v>
      </c>
      <c r="H7189" s="2">
        <v>2470413</v>
      </c>
      <c r="I7189" s="2">
        <v>2470413</v>
      </c>
    </row>
    <row r="7190" spans="1:9" x14ac:dyDescent="0.25">
      <c r="A7190" t="s">
        <v>3876</v>
      </c>
      <c r="B7190" t="s">
        <v>3877</v>
      </c>
      <c r="C7190" t="s">
        <v>247</v>
      </c>
      <c r="D7190" t="s">
        <v>4062</v>
      </c>
      <c r="E7190" t="s">
        <v>7815</v>
      </c>
      <c r="F7190" t="s">
        <v>247</v>
      </c>
      <c r="G7190">
        <v>1</v>
      </c>
      <c r="H7190" s="2">
        <v>1995391</v>
      </c>
      <c r="I7190" s="2">
        <v>1995391</v>
      </c>
    </row>
    <row r="7191" spans="1:9" x14ac:dyDescent="0.25">
      <c r="A7191" t="s">
        <v>3879</v>
      </c>
      <c r="B7191" t="s">
        <v>3880</v>
      </c>
      <c r="C7191" t="s">
        <v>247</v>
      </c>
      <c r="D7191" t="s">
        <v>4062</v>
      </c>
      <c r="E7191" t="s">
        <v>7818</v>
      </c>
      <c r="F7191" t="s">
        <v>247</v>
      </c>
      <c r="G7191">
        <v>1</v>
      </c>
      <c r="H7191" s="2">
        <v>9906968</v>
      </c>
      <c r="I7191" s="2">
        <v>9906968</v>
      </c>
    </row>
    <row r="7192" spans="1:9" x14ac:dyDescent="0.25">
      <c r="A7192" t="s">
        <v>3882</v>
      </c>
      <c r="B7192" t="s">
        <v>3883</v>
      </c>
      <c r="C7192" t="s">
        <v>247</v>
      </c>
      <c r="D7192" t="s">
        <v>4062</v>
      </c>
      <c r="E7192" t="s">
        <v>7821</v>
      </c>
      <c r="F7192" t="s">
        <v>247</v>
      </c>
      <c r="G7192">
        <v>1</v>
      </c>
      <c r="H7192" s="2">
        <v>7119377</v>
      </c>
      <c r="I7192" s="2">
        <v>7119377</v>
      </c>
    </row>
    <row r="7193" spans="1:9" x14ac:dyDescent="0.25">
      <c r="A7193" t="s">
        <v>3885</v>
      </c>
      <c r="B7193" t="s">
        <v>3886</v>
      </c>
      <c r="C7193" t="s">
        <v>247</v>
      </c>
      <c r="D7193" t="s">
        <v>4062</v>
      </c>
      <c r="E7193" t="s">
        <v>7824</v>
      </c>
      <c r="F7193" t="s">
        <v>247</v>
      </c>
      <c r="G7193">
        <v>1</v>
      </c>
      <c r="H7193" s="2">
        <v>7119377</v>
      </c>
      <c r="I7193" s="2">
        <v>7119377</v>
      </c>
    </row>
    <row r="7194" spans="1:9" x14ac:dyDescent="0.25">
      <c r="A7194" t="s">
        <v>3888</v>
      </c>
      <c r="B7194" t="s">
        <v>3889</v>
      </c>
      <c r="C7194" t="s">
        <v>247</v>
      </c>
      <c r="D7194" t="s">
        <v>4062</v>
      </c>
      <c r="E7194" t="s">
        <v>7827</v>
      </c>
      <c r="F7194" t="s">
        <v>247</v>
      </c>
      <c r="G7194">
        <v>1</v>
      </c>
      <c r="H7194" s="2">
        <v>7119377</v>
      </c>
      <c r="I7194" s="2">
        <v>7119377</v>
      </c>
    </row>
    <row r="7195" spans="1:9" x14ac:dyDescent="0.25">
      <c r="A7195" t="s">
        <v>3891</v>
      </c>
      <c r="B7195" t="s">
        <v>3892</v>
      </c>
      <c r="C7195" t="s">
        <v>247</v>
      </c>
      <c r="D7195" t="s">
        <v>4062</v>
      </c>
      <c r="E7195" t="s">
        <v>7830</v>
      </c>
      <c r="F7195" t="s">
        <v>247</v>
      </c>
      <c r="G7195">
        <v>1</v>
      </c>
      <c r="H7195" s="2">
        <v>7119377</v>
      </c>
      <c r="I7195" s="2">
        <v>7119377</v>
      </c>
    </row>
    <row r="7196" spans="1:9" x14ac:dyDescent="0.25">
      <c r="A7196" t="s">
        <v>3894</v>
      </c>
      <c r="B7196" t="s">
        <v>3895</v>
      </c>
      <c r="C7196" t="s">
        <v>247</v>
      </c>
      <c r="D7196" t="s">
        <v>4062</v>
      </c>
      <c r="E7196" t="s">
        <v>7833</v>
      </c>
      <c r="F7196" t="s">
        <v>247</v>
      </c>
      <c r="G7196">
        <v>1</v>
      </c>
      <c r="H7196" s="2">
        <v>6419501</v>
      </c>
      <c r="I7196" s="2">
        <v>6419501</v>
      </c>
    </row>
    <row r="7197" spans="1:9" x14ac:dyDescent="0.25">
      <c r="A7197" t="s">
        <v>3897</v>
      </c>
      <c r="B7197" t="s">
        <v>3898</v>
      </c>
      <c r="C7197" t="s">
        <v>247</v>
      </c>
      <c r="D7197" t="s">
        <v>4062</v>
      </c>
      <c r="E7197" t="s">
        <v>7836</v>
      </c>
      <c r="F7197" t="s">
        <v>247</v>
      </c>
      <c r="G7197">
        <v>1</v>
      </c>
      <c r="H7197" s="2">
        <v>2032618</v>
      </c>
      <c r="I7197" s="2">
        <v>2032618</v>
      </c>
    </row>
    <row r="7198" spans="1:9" x14ac:dyDescent="0.25">
      <c r="A7198" t="s">
        <v>3900</v>
      </c>
      <c r="B7198" t="s">
        <v>3901</v>
      </c>
      <c r="C7198" t="s">
        <v>247</v>
      </c>
      <c r="D7198" t="s">
        <v>4062</v>
      </c>
      <c r="E7198" t="s">
        <v>7839</v>
      </c>
      <c r="F7198" t="s">
        <v>247</v>
      </c>
      <c r="G7198">
        <v>1</v>
      </c>
      <c r="H7198" s="2">
        <v>1830101</v>
      </c>
      <c r="I7198" s="2">
        <v>1830101</v>
      </c>
    </row>
    <row r="7199" spans="1:9" x14ac:dyDescent="0.25">
      <c r="A7199" t="s">
        <v>3903</v>
      </c>
      <c r="B7199" t="s">
        <v>3904</v>
      </c>
      <c r="C7199" t="s">
        <v>247</v>
      </c>
      <c r="D7199" t="s">
        <v>4062</v>
      </c>
      <c r="E7199" t="s">
        <v>7842</v>
      </c>
      <c r="F7199" t="s">
        <v>247</v>
      </c>
      <c r="G7199">
        <v>1</v>
      </c>
      <c r="H7199" s="2">
        <v>1733310</v>
      </c>
      <c r="I7199" s="2">
        <v>1733310</v>
      </c>
    </row>
    <row r="7200" spans="1:9" x14ac:dyDescent="0.25">
      <c r="A7200" t="s">
        <v>3906</v>
      </c>
      <c r="B7200" t="s">
        <v>3907</v>
      </c>
      <c r="C7200" t="s">
        <v>247</v>
      </c>
      <c r="D7200" t="s">
        <v>4062</v>
      </c>
      <c r="E7200" t="s">
        <v>7845</v>
      </c>
      <c r="F7200" t="s">
        <v>247</v>
      </c>
      <c r="G7200">
        <v>1</v>
      </c>
      <c r="H7200" s="2">
        <v>2473391</v>
      </c>
      <c r="I7200" s="2">
        <v>2473391</v>
      </c>
    </row>
    <row r="7201" spans="1:9" x14ac:dyDescent="0.25">
      <c r="A7201" t="s">
        <v>3909</v>
      </c>
      <c r="B7201" t="s">
        <v>3910</v>
      </c>
      <c r="C7201" t="s">
        <v>247</v>
      </c>
      <c r="D7201" t="s">
        <v>4052</v>
      </c>
      <c r="E7201" t="s">
        <v>7848</v>
      </c>
      <c r="F7201" t="s">
        <v>247</v>
      </c>
      <c r="G7201">
        <v>1</v>
      </c>
      <c r="H7201" s="2">
        <v>1486120</v>
      </c>
      <c r="I7201" s="2">
        <v>1486120</v>
      </c>
    </row>
    <row r="7202" spans="1:9" x14ac:dyDescent="0.25">
      <c r="A7202" t="s">
        <v>3912</v>
      </c>
      <c r="B7202" t="s">
        <v>3913</v>
      </c>
      <c r="C7202" t="s">
        <v>247</v>
      </c>
      <c r="D7202" t="s">
        <v>4052</v>
      </c>
      <c r="E7202" t="s">
        <v>7851</v>
      </c>
      <c r="F7202" t="s">
        <v>247</v>
      </c>
      <c r="G7202">
        <v>1</v>
      </c>
      <c r="H7202" s="2">
        <v>2223223</v>
      </c>
      <c r="I7202" s="2">
        <v>2223223</v>
      </c>
    </row>
    <row r="7203" spans="1:9" x14ac:dyDescent="0.25">
      <c r="A7203" t="s">
        <v>3915</v>
      </c>
      <c r="B7203" t="s">
        <v>3916</v>
      </c>
      <c r="C7203" t="s">
        <v>247</v>
      </c>
      <c r="D7203" t="s">
        <v>4062</v>
      </c>
      <c r="E7203" t="s">
        <v>7854</v>
      </c>
      <c r="F7203" t="s">
        <v>247</v>
      </c>
      <c r="G7203">
        <v>1</v>
      </c>
      <c r="H7203" s="2">
        <v>12999824</v>
      </c>
      <c r="I7203" s="2">
        <v>12999824</v>
      </c>
    </row>
    <row r="7204" spans="1:9" x14ac:dyDescent="0.25">
      <c r="A7204" t="s">
        <v>3918</v>
      </c>
      <c r="B7204" t="s">
        <v>3919</v>
      </c>
      <c r="C7204" t="s">
        <v>247</v>
      </c>
      <c r="D7204" t="s">
        <v>4062</v>
      </c>
      <c r="E7204" t="s">
        <v>7857</v>
      </c>
      <c r="F7204" t="s">
        <v>247</v>
      </c>
      <c r="G7204">
        <v>1</v>
      </c>
      <c r="H7204" s="2">
        <v>9906968</v>
      </c>
      <c r="I7204" s="2">
        <v>9906968</v>
      </c>
    </row>
    <row r="7205" spans="1:9" x14ac:dyDescent="0.25">
      <c r="A7205" t="s">
        <v>3921</v>
      </c>
      <c r="B7205" t="s">
        <v>3922</v>
      </c>
      <c r="C7205" t="s">
        <v>247</v>
      </c>
      <c r="D7205" t="s">
        <v>4062</v>
      </c>
      <c r="E7205" t="s">
        <v>7860</v>
      </c>
      <c r="F7205" t="s">
        <v>247</v>
      </c>
      <c r="G7205">
        <v>1</v>
      </c>
      <c r="H7205" s="2">
        <v>8359795</v>
      </c>
      <c r="I7205" s="2">
        <v>8359795</v>
      </c>
    </row>
    <row r="7206" spans="1:9" x14ac:dyDescent="0.25">
      <c r="A7206" t="s">
        <v>3924</v>
      </c>
      <c r="B7206" t="s">
        <v>3925</v>
      </c>
      <c r="C7206" t="s">
        <v>247</v>
      </c>
      <c r="D7206" t="s">
        <v>4062</v>
      </c>
      <c r="E7206" t="s">
        <v>7863</v>
      </c>
      <c r="F7206" t="s">
        <v>247</v>
      </c>
      <c r="G7206">
        <v>1</v>
      </c>
      <c r="H7206" s="2">
        <v>7119377</v>
      </c>
      <c r="I7206" s="2">
        <v>7119377</v>
      </c>
    </row>
    <row r="7207" spans="1:9" x14ac:dyDescent="0.25">
      <c r="A7207" t="s">
        <v>3927</v>
      </c>
      <c r="B7207" t="s">
        <v>3928</v>
      </c>
      <c r="C7207" t="s">
        <v>247</v>
      </c>
      <c r="D7207" t="s">
        <v>4062</v>
      </c>
      <c r="E7207" t="s">
        <v>7866</v>
      </c>
      <c r="F7207" t="s">
        <v>247</v>
      </c>
      <c r="G7207">
        <v>1</v>
      </c>
      <c r="H7207" s="2">
        <v>6419501</v>
      </c>
      <c r="I7207" s="2">
        <v>6419501</v>
      </c>
    </row>
    <row r="7208" spans="1:9" x14ac:dyDescent="0.25">
      <c r="A7208" t="s">
        <v>3930</v>
      </c>
      <c r="B7208" t="s">
        <v>3931</v>
      </c>
      <c r="C7208" t="s">
        <v>247</v>
      </c>
      <c r="D7208" t="s">
        <v>4062</v>
      </c>
      <c r="E7208" t="s">
        <v>7869</v>
      </c>
      <c r="F7208" t="s">
        <v>247</v>
      </c>
      <c r="G7208">
        <v>1</v>
      </c>
      <c r="H7208" s="2">
        <v>5725581</v>
      </c>
      <c r="I7208" s="2">
        <v>5725581</v>
      </c>
    </row>
    <row r="7209" spans="1:9" x14ac:dyDescent="0.25">
      <c r="A7209" t="s">
        <v>3933</v>
      </c>
      <c r="B7209" t="s">
        <v>3934</v>
      </c>
      <c r="C7209" t="s">
        <v>247</v>
      </c>
      <c r="D7209" t="s">
        <v>4062</v>
      </c>
      <c r="E7209" t="s">
        <v>7872</v>
      </c>
      <c r="F7209" t="s">
        <v>247</v>
      </c>
      <c r="G7209">
        <v>1</v>
      </c>
      <c r="H7209" s="2">
        <v>4328807</v>
      </c>
      <c r="I7209" s="2">
        <v>4328807</v>
      </c>
    </row>
    <row r="7210" spans="1:9" x14ac:dyDescent="0.25">
      <c r="A7210" t="s">
        <v>3936</v>
      </c>
      <c r="B7210" t="s">
        <v>3937</v>
      </c>
      <c r="C7210" t="s">
        <v>247</v>
      </c>
      <c r="D7210" t="s">
        <v>4062</v>
      </c>
      <c r="E7210" t="s">
        <v>7875</v>
      </c>
      <c r="F7210" t="s">
        <v>247</v>
      </c>
      <c r="G7210">
        <v>1</v>
      </c>
      <c r="H7210" s="2">
        <v>4084595</v>
      </c>
      <c r="I7210" s="2">
        <v>4084595</v>
      </c>
    </row>
    <row r="7211" spans="1:9" x14ac:dyDescent="0.25">
      <c r="A7211" t="s">
        <v>3939</v>
      </c>
      <c r="B7211" t="s">
        <v>3940</v>
      </c>
      <c r="C7211" t="s">
        <v>247</v>
      </c>
      <c r="D7211" t="s">
        <v>4062</v>
      </c>
      <c r="E7211" t="s">
        <v>7878</v>
      </c>
      <c r="F7211" t="s">
        <v>247</v>
      </c>
      <c r="G7211">
        <v>1</v>
      </c>
      <c r="H7211" s="2">
        <v>4328807</v>
      </c>
      <c r="I7211" s="2">
        <v>4328807</v>
      </c>
    </row>
    <row r="7212" spans="1:9" x14ac:dyDescent="0.25">
      <c r="A7212" t="s">
        <v>3942</v>
      </c>
      <c r="B7212" t="s">
        <v>3943</v>
      </c>
      <c r="C7212" t="s">
        <v>247</v>
      </c>
      <c r="D7212" t="s">
        <v>4062</v>
      </c>
      <c r="E7212" t="s">
        <v>7881</v>
      </c>
      <c r="F7212" t="s">
        <v>247</v>
      </c>
      <c r="G7212">
        <v>1</v>
      </c>
      <c r="H7212" s="2">
        <v>1506967</v>
      </c>
      <c r="I7212" s="2">
        <v>1506967</v>
      </c>
    </row>
    <row r="7213" spans="1:9" x14ac:dyDescent="0.25">
      <c r="A7213" t="s">
        <v>3945</v>
      </c>
      <c r="B7213" t="s">
        <v>3946</v>
      </c>
      <c r="C7213" t="s">
        <v>247</v>
      </c>
      <c r="D7213" t="s">
        <v>4062</v>
      </c>
      <c r="E7213" t="s">
        <v>7884</v>
      </c>
      <c r="F7213" t="s">
        <v>247</v>
      </c>
      <c r="G7213">
        <v>1</v>
      </c>
      <c r="H7213" s="2">
        <v>1255309</v>
      </c>
      <c r="I7213" s="2">
        <v>1255309</v>
      </c>
    </row>
    <row r="7214" spans="1:9" x14ac:dyDescent="0.25">
      <c r="A7214" t="s">
        <v>3948</v>
      </c>
      <c r="B7214" t="s">
        <v>3949</v>
      </c>
      <c r="C7214" t="s">
        <v>247</v>
      </c>
      <c r="D7214" t="s">
        <v>4062</v>
      </c>
      <c r="E7214" t="s">
        <v>7887</v>
      </c>
      <c r="F7214" t="s">
        <v>247</v>
      </c>
      <c r="G7214">
        <v>1</v>
      </c>
      <c r="H7214" s="2">
        <v>1255309</v>
      </c>
      <c r="I7214" s="2">
        <v>1255309</v>
      </c>
    </row>
    <row r="7215" spans="1:9" x14ac:dyDescent="0.25">
      <c r="A7215" t="s">
        <v>3951</v>
      </c>
      <c r="B7215" t="s">
        <v>3952</v>
      </c>
      <c r="C7215" t="s">
        <v>247</v>
      </c>
      <c r="D7215" t="s">
        <v>4062</v>
      </c>
      <c r="E7215" t="s">
        <v>7890</v>
      </c>
      <c r="F7215" t="s">
        <v>247</v>
      </c>
      <c r="G7215">
        <v>1</v>
      </c>
      <c r="H7215" s="2">
        <v>2677398</v>
      </c>
      <c r="I7215" s="2">
        <v>2677398</v>
      </c>
    </row>
    <row r="7216" spans="1:9" x14ac:dyDescent="0.25">
      <c r="A7216" t="s">
        <v>3954</v>
      </c>
      <c r="B7216" t="s">
        <v>3955</v>
      </c>
      <c r="C7216" t="s">
        <v>247</v>
      </c>
      <c r="D7216" t="s">
        <v>4062</v>
      </c>
      <c r="E7216" t="s">
        <v>7893</v>
      </c>
      <c r="F7216" t="s">
        <v>247</v>
      </c>
      <c r="G7216">
        <v>1</v>
      </c>
      <c r="H7216" s="2">
        <v>2337884</v>
      </c>
      <c r="I7216" s="2">
        <v>2337884</v>
      </c>
    </row>
    <row r="7217" spans="1:9" x14ac:dyDescent="0.25">
      <c r="A7217" t="s">
        <v>3957</v>
      </c>
      <c r="B7217" t="s">
        <v>3958</v>
      </c>
      <c r="C7217" t="s">
        <v>247</v>
      </c>
      <c r="D7217" t="s">
        <v>4062</v>
      </c>
      <c r="E7217" t="s">
        <v>7896</v>
      </c>
      <c r="F7217" t="s">
        <v>247</v>
      </c>
      <c r="G7217">
        <v>1</v>
      </c>
      <c r="H7217" s="2">
        <v>2790569</v>
      </c>
      <c r="I7217" s="2">
        <v>2790569</v>
      </c>
    </row>
    <row r="7218" spans="1:9" x14ac:dyDescent="0.25">
      <c r="A7218" t="s">
        <v>3960</v>
      </c>
      <c r="B7218" t="s">
        <v>3962</v>
      </c>
      <c r="C7218" t="s">
        <v>3963</v>
      </c>
      <c r="D7218" t="s">
        <v>4062</v>
      </c>
      <c r="E7218" t="s">
        <v>5816</v>
      </c>
      <c r="F7218" t="s">
        <v>34</v>
      </c>
      <c r="G7218">
        <v>0</v>
      </c>
      <c r="H7218" s="2">
        <v>93966.67</v>
      </c>
      <c r="I7218" s="2">
        <v>112.76</v>
      </c>
    </row>
    <row r="7219" spans="1:9" x14ac:dyDescent="0.25">
      <c r="A7219" t="s">
        <v>3960</v>
      </c>
      <c r="B7219" t="s">
        <v>3962</v>
      </c>
      <c r="C7219" t="s">
        <v>3963</v>
      </c>
      <c r="D7219" t="s">
        <v>4062</v>
      </c>
      <c r="E7219" t="s">
        <v>4475</v>
      </c>
      <c r="F7219" t="s">
        <v>231</v>
      </c>
      <c r="G7219">
        <v>0.26</v>
      </c>
      <c r="H7219" s="2">
        <v>730</v>
      </c>
      <c r="I7219" s="2">
        <v>189.8</v>
      </c>
    </row>
    <row r="7220" spans="1:9" x14ac:dyDescent="0.25">
      <c r="A7220" t="s">
        <v>3960</v>
      </c>
      <c r="B7220" t="s">
        <v>3962</v>
      </c>
      <c r="C7220" t="s">
        <v>3963</v>
      </c>
      <c r="D7220" t="s">
        <v>4062</v>
      </c>
      <c r="E7220" t="s">
        <v>4076</v>
      </c>
      <c r="F7220" t="s">
        <v>3963</v>
      </c>
      <c r="G7220">
        <v>0.28</v>
      </c>
      <c r="H7220" s="2">
        <v>21</v>
      </c>
      <c r="I7220" s="2">
        <v>5.88</v>
      </c>
    </row>
    <row r="7221" spans="1:9" x14ac:dyDescent="0.25">
      <c r="A7221" t="s">
        <v>3960</v>
      </c>
      <c r="B7221" t="s">
        <v>3962</v>
      </c>
      <c r="C7221" t="s">
        <v>3963</v>
      </c>
      <c r="D7221" t="s">
        <v>4049</v>
      </c>
      <c r="E7221" t="s">
        <v>4050</v>
      </c>
      <c r="F7221" t="s">
        <v>4051</v>
      </c>
      <c r="G7221">
        <v>0</v>
      </c>
      <c r="H7221" s="2">
        <v>9037.33</v>
      </c>
      <c r="I7221" s="2">
        <v>7.23</v>
      </c>
    </row>
    <row r="7222" spans="1:9" x14ac:dyDescent="0.25">
      <c r="A7222" t="s">
        <v>3968</v>
      </c>
      <c r="B7222" t="s">
        <v>3969</v>
      </c>
      <c r="C7222" t="s">
        <v>34</v>
      </c>
      <c r="D7222" t="s">
        <v>4062</v>
      </c>
      <c r="E7222" t="s">
        <v>4587</v>
      </c>
      <c r="F7222" t="s">
        <v>34</v>
      </c>
      <c r="G7222">
        <v>0.97</v>
      </c>
      <c r="H7222" s="2">
        <v>82125</v>
      </c>
      <c r="I7222" s="2">
        <v>79661.25</v>
      </c>
    </row>
    <row r="7223" spans="1:9" x14ac:dyDescent="0.25">
      <c r="A7223" t="s">
        <v>3968</v>
      </c>
      <c r="B7223" t="s">
        <v>3969</v>
      </c>
      <c r="C7223" t="s">
        <v>34</v>
      </c>
      <c r="D7223" t="s">
        <v>4062</v>
      </c>
      <c r="E7223" t="s">
        <v>4475</v>
      </c>
      <c r="F7223" t="s">
        <v>231</v>
      </c>
      <c r="G7223">
        <v>510</v>
      </c>
      <c r="H7223" s="2">
        <v>730</v>
      </c>
      <c r="I7223" s="2">
        <v>372300</v>
      </c>
    </row>
    <row r="7224" spans="1:9" x14ac:dyDescent="0.25">
      <c r="A7224" t="s">
        <v>3968</v>
      </c>
      <c r="B7224" t="s">
        <v>3969</v>
      </c>
      <c r="C7224" t="s">
        <v>34</v>
      </c>
      <c r="D7224" t="s">
        <v>4062</v>
      </c>
      <c r="E7224" t="s">
        <v>4076</v>
      </c>
      <c r="F7224" t="s">
        <v>3963</v>
      </c>
      <c r="G7224">
        <v>220</v>
      </c>
      <c r="H7224" s="2">
        <v>21</v>
      </c>
      <c r="I7224" s="2">
        <v>4620</v>
      </c>
    </row>
    <row r="7225" spans="1:9" x14ac:dyDescent="0.25">
      <c r="A7225" t="s">
        <v>3968</v>
      </c>
      <c r="B7225" t="s">
        <v>3969</v>
      </c>
      <c r="C7225" t="s">
        <v>34</v>
      </c>
      <c r="D7225" t="s">
        <v>4049</v>
      </c>
      <c r="E7225" t="s">
        <v>4050</v>
      </c>
      <c r="F7225" t="s">
        <v>4051</v>
      </c>
      <c r="G7225">
        <v>5</v>
      </c>
      <c r="H7225" s="2">
        <v>9037.33</v>
      </c>
      <c r="I7225" s="2">
        <v>45186.65</v>
      </c>
    </row>
    <row r="7226" spans="1:9" x14ac:dyDescent="0.25">
      <c r="A7226" t="s">
        <v>3971</v>
      </c>
      <c r="B7226" t="s">
        <v>3972</v>
      </c>
      <c r="C7226" t="s">
        <v>34</v>
      </c>
      <c r="D7226" t="s">
        <v>4062</v>
      </c>
      <c r="E7226" t="s">
        <v>4587</v>
      </c>
      <c r="F7226" t="s">
        <v>34</v>
      </c>
      <c r="G7226">
        <v>1.1</v>
      </c>
      <c r="H7226" s="2">
        <v>82125</v>
      </c>
      <c r="I7226" s="2">
        <v>90337.5</v>
      </c>
    </row>
    <row r="7227" spans="1:9" x14ac:dyDescent="0.25">
      <c r="A7227" t="s">
        <v>3971</v>
      </c>
      <c r="B7227" t="s">
        <v>3972</v>
      </c>
      <c r="C7227" t="s">
        <v>34</v>
      </c>
      <c r="D7227" t="s">
        <v>4062</v>
      </c>
      <c r="E7227" t="s">
        <v>4475</v>
      </c>
      <c r="F7227" t="s">
        <v>231</v>
      </c>
      <c r="G7227">
        <v>454</v>
      </c>
      <c r="H7227" s="2">
        <v>730</v>
      </c>
      <c r="I7227" s="2">
        <v>331420</v>
      </c>
    </row>
    <row r="7228" spans="1:9" x14ac:dyDescent="0.25">
      <c r="A7228" t="s">
        <v>3971</v>
      </c>
      <c r="B7228" t="s">
        <v>3972</v>
      </c>
      <c r="C7228" t="s">
        <v>34</v>
      </c>
      <c r="D7228" t="s">
        <v>4062</v>
      </c>
      <c r="E7228" t="s">
        <v>4076</v>
      </c>
      <c r="F7228" t="s">
        <v>3963</v>
      </c>
      <c r="G7228">
        <v>185</v>
      </c>
      <c r="H7228" s="2">
        <v>21</v>
      </c>
      <c r="I7228" s="2">
        <v>3885</v>
      </c>
    </row>
    <row r="7229" spans="1:9" x14ac:dyDescent="0.25">
      <c r="A7229" t="s">
        <v>3971</v>
      </c>
      <c r="B7229" t="s">
        <v>3972</v>
      </c>
      <c r="C7229" t="s">
        <v>34</v>
      </c>
      <c r="D7229" t="s">
        <v>4049</v>
      </c>
      <c r="E7229" t="s">
        <v>4050</v>
      </c>
      <c r="F7229" t="s">
        <v>4051</v>
      </c>
      <c r="G7229">
        <v>5</v>
      </c>
      <c r="H7229" s="2">
        <v>9037.33</v>
      </c>
      <c r="I7229" s="2">
        <v>45186.65</v>
      </c>
    </row>
    <row r="7230" spans="1:9" x14ac:dyDescent="0.25">
      <c r="A7230" t="s">
        <v>3974</v>
      </c>
      <c r="B7230" t="s">
        <v>3975</v>
      </c>
      <c r="C7230" t="s">
        <v>34</v>
      </c>
      <c r="D7230" t="s">
        <v>4062</v>
      </c>
      <c r="E7230" t="s">
        <v>4587</v>
      </c>
      <c r="F7230" t="s">
        <v>34</v>
      </c>
      <c r="G7230">
        <v>1.1</v>
      </c>
      <c r="H7230" s="2">
        <v>82125</v>
      </c>
      <c r="I7230" s="2">
        <v>90337.5</v>
      </c>
    </row>
    <row r="7231" spans="1:9" x14ac:dyDescent="0.25">
      <c r="A7231" t="s">
        <v>3974</v>
      </c>
      <c r="B7231" t="s">
        <v>3975</v>
      </c>
      <c r="C7231" t="s">
        <v>34</v>
      </c>
      <c r="D7231" t="s">
        <v>4062</v>
      </c>
      <c r="E7231" t="s">
        <v>4475</v>
      </c>
      <c r="F7231" t="s">
        <v>231</v>
      </c>
      <c r="G7231">
        <v>454</v>
      </c>
      <c r="H7231" s="2">
        <v>730</v>
      </c>
      <c r="I7231" s="2">
        <v>331420</v>
      </c>
    </row>
    <row r="7232" spans="1:9" x14ac:dyDescent="0.25">
      <c r="A7232" t="s">
        <v>3974</v>
      </c>
      <c r="B7232" t="s">
        <v>3975</v>
      </c>
      <c r="C7232" t="s">
        <v>34</v>
      </c>
      <c r="D7232" t="s">
        <v>4062</v>
      </c>
      <c r="E7232" t="s">
        <v>4076</v>
      </c>
      <c r="F7232" t="s">
        <v>3963</v>
      </c>
      <c r="G7232">
        <v>185</v>
      </c>
      <c r="H7232" s="2">
        <v>21</v>
      </c>
      <c r="I7232" s="2">
        <v>3885</v>
      </c>
    </row>
    <row r="7233" spans="1:9" x14ac:dyDescent="0.25">
      <c r="A7233" t="s">
        <v>3974</v>
      </c>
      <c r="B7233" t="s">
        <v>3975</v>
      </c>
      <c r="C7233" t="s">
        <v>34</v>
      </c>
      <c r="D7233" t="s">
        <v>4062</v>
      </c>
      <c r="E7233" t="s">
        <v>4624</v>
      </c>
      <c r="F7233" t="s">
        <v>231</v>
      </c>
      <c r="G7233">
        <v>13.5</v>
      </c>
      <c r="H7233" s="2">
        <v>8600</v>
      </c>
      <c r="I7233" s="2">
        <v>116100</v>
      </c>
    </row>
    <row r="7234" spans="1:9" x14ac:dyDescent="0.25">
      <c r="A7234" t="s">
        <v>3974</v>
      </c>
      <c r="B7234" t="s">
        <v>3975</v>
      </c>
      <c r="C7234" t="s">
        <v>34</v>
      </c>
      <c r="D7234" t="s">
        <v>4049</v>
      </c>
      <c r="E7234" t="s">
        <v>4050</v>
      </c>
      <c r="F7234" t="s">
        <v>4051</v>
      </c>
      <c r="G7234">
        <v>5</v>
      </c>
      <c r="H7234" s="2">
        <v>9037.33</v>
      </c>
      <c r="I7234" s="2">
        <v>45186.65</v>
      </c>
    </row>
    <row r="7235" spans="1:9" x14ac:dyDescent="0.25">
      <c r="A7235" t="s">
        <v>3977</v>
      </c>
      <c r="B7235" t="s">
        <v>3978</v>
      </c>
      <c r="C7235" t="s">
        <v>34</v>
      </c>
      <c r="D7235" t="s">
        <v>4062</v>
      </c>
      <c r="E7235" t="s">
        <v>4587</v>
      </c>
      <c r="F7235" t="s">
        <v>34</v>
      </c>
      <c r="G7235">
        <v>1.16</v>
      </c>
      <c r="H7235" s="2">
        <v>82125</v>
      </c>
      <c r="I7235" s="2">
        <v>95265</v>
      </c>
    </row>
    <row r="7236" spans="1:9" x14ac:dyDescent="0.25">
      <c r="A7236" t="s">
        <v>3977</v>
      </c>
      <c r="B7236" t="s">
        <v>3978</v>
      </c>
      <c r="C7236" t="s">
        <v>34</v>
      </c>
      <c r="D7236" t="s">
        <v>4062</v>
      </c>
      <c r="E7236" t="s">
        <v>4475</v>
      </c>
      <c r="F7236" t="s">
        <v>231</v>
      </c>
      <c r="G7236">
        <v>364</v>
      </c>
      <c r="H7236" s="2">
        <v>730</v>
      </c>
      <c r="I7236" s="2">
        <v>265720</v>
      </c>
    </row>
    <row r="7237" spans="1:9" x14ac:dyDescent="0.25">
      <c r="A7237" t="s">
        <v>3977</v>
      </c>
      <c r="B7237" t="s">
        <v>3978</v>
      </c>
      <c r="C7237" t="s">
        <v>34</v>
      </c>
      <c r="D7237" t="s">
        <v>4062</v>
      </c>
      <c r="E7237" t="s">
        <v>4076</v>
      </c>
      <c r="F7237" t="s">
        <v>3963</v>
      </c>
      <c r="G7237">
        <v>170</v>
      </c>
      <c r="H7237" s="2">
        <v>21</v>
      </c>
      <c r="I7237" s="2">
        <v>3570</v>
      </c>
    </row>
    <row r="7238" spans="1:9" x14ac:dyDescent="0.25">
      <c r="A7238" t="s">
        <v>3977</v>
      </c>
      <c r="B7238" t="s">
        <v>3978</v>
      </c>
      <c r="C7238" t="s">
        <v>34</v>
      </c>
      <c r="D7238" t="s">
        <v>4049</v>
      </c>
      <c r="E7238" t="s">
        <v>4050</v>
      </c>
      <c r="F7238" t="s">
        <v>4051</v>
      </c>
      <c r="G7238">
        <v>5</v>
      </c>
      <c r="H7238" s="2">
        <v>9037.33</v>
      </c>
      <c r="I7238" s="2">
        <v>45186.65</v>
      </c>
    </row>
    <row r="7239" spans="1:9" x14ac:dyDescent="0.25">
      <c r="A7239" t="s">
        <v>3980</v>
      </c>
      <c r="B7239" t="s">
        <v>3981</v>
      </c>
      <c r="C7239" t="s">
        <v>34</v>
      </c>
      <c r="D7239" t="s">
        <v>4062</v>
      </c>
      <c r="E7239" t="s">
        <v>4587</v>
      </c>
      <c r="F7239" t="s">
        <v>34</v>
      </c>
      <c r="G7239">
        <v>1.18</v>
      </c>
      <c r="H7239" s="2">
        <v>82125</v>
      </c>
      <c r="I7239" s="2">
        <v>96907.5</v>
      </c>
    </row>
    <row r="7240" spans="1:9" x14ac:dyDescent="0.25">
      <c r="A7240" t="s">
        <v>3980</v>
      </c>
      <c r="B7240" t="s">
        <v>3981</v>
      </c>
      <c r="C7240" t="s">
        <v>34</v>
      </c>
      <c r="D7240" t="s">
        <v>4062</v>
      </c>
      <c r="E7240" t="s">
        <v>4475</v>
      </c>
      <c r="F7240" t="s">
        <v>231</v>
      </c>
      <c r="G7240">
        <v>302</v>
      </c>
      <c r="H7240" s="2">
        <v>730</v>
      </c>
      <c r="I7240" s="2">
        <v>220460</v>
      </c>
    </row>
    <row r="7241" spans="1:9" x14ac:dyDescent="0.25">
      <c r="A7241" t="s">
        <v>3980</v>
      </c>
      <c r="B7241" t="s">
        <v>3981</v>
      </c>
      <c r="C7241" t="s">
        <v>34</v>
      </c>
      <c r="D7241" t="s">
        <v>4062</v>
      </c>
      <c r="E7241" t="s">
        <v>4076</v>
      </c>
      <c r="F7241" t="s">
        <v>3963</v>
      </c>
      <c r="G7241">
        <v>150</v>
      </c>
      <c r="H7241" s="2">
        <v>21</v>
      </c>
      <c r="I7241" s="2">
        <v>3150</v>
      </c>
    </row>
    <row r="7242" spans="1:9" x14ac:dyDescent="0.25">
      <c r="A7242" t="s">
        <v>3980</v>
      </c>
      <c r="B7242" t="s">
        <v>3981</v>
      </c>
      <c r="C7242" t="s">
        <v>34</v>
      </c>
      <c r="D7242" t="s">
        <v>4049</v>
      </c>
      <c r="E7242" t="s">
        <v>4050</v>
      </c>
      <c r="F7242" t="s">
        <v>4051</v>
      </c>
      <c r="G7242">
        <v>5</v>
      </c>
      <c r="H7242" s="2">
        <v>9037.33</v>
      </c>
      <c r="I7242" s="2">
        <v>45186.65</v>
      </c>
    </row>
    <row r="7243" spans="1:9" x14ac:dyDescent="0.25">
      <c r="A7243" t="s">
        <v>3983</v>
      </c>
      <c r="B7243" t="s">
        <v>3984</v>
      </c>
      <c r="C7243" t="s">
        <v>34</v>
      </c>
      <c r="D7243" t="s">
        <v>4062</v>
      </c>
      <c r="E7243" t="s">
        <v>4587</v>
      </c>
      <c r="F7243" t="s">
        <v>34</v>
      </c>
      <c r="G7243">
        <v>1.2</v>
      </c>
      <c r="H7243" s="2">
        <v>82125</v>
      </c>
      <c r="I7243" s="2">
        <v>98550</v>
      </c>
    </row>
    <row r="7244" spans="1:9" x14ac:dyDescent="0.25">
      <c r="A7244" t="s">
        <v>3983</v>
      </c>
      <c r="B7244" t="s">
        <v>3984</v>
      </c>
      <c r="C7244" t="s">
        <v>34</v>
      </c>
      <c r="D7244" t="s">
        <v>4062</v>
      </c>
      <c r="E7244" t="s">
        <v>4475</v>
      </c>
      <c r="F7244" t="s">
        <v>231</v>
      </c>
      <c r="G7244">
        <v>260</v>
      </c>
      <c r="H7244" s="2">
        <v>730</v>
      </c>
      <c r="I7244" s="2">
        <v>189800</v>
      </c>
    </row>
    <row r="7245" spans="1:9" x14ac:dyDescent="0.25">
      <c r="A7245" t="s">
        <v>3983</v>
      </c>
      <c r="B7245" t="s">
        <v>3984</v>
      </c>
      <c r="C7245" t="s">
        <v>34</v>
      </c>
      <c r="D7245" t="s">
        <v>4062</v>
      </c>
      <c r="E7245" t="s">
        <v>4076</v>
      </c>
      <c r="F7245" t="s">
        <v>3963</v>
      </c>
      <c r="G7245">
        <v>140</v>
      </c>
      <c r="H7245" s="2">
        <v>21</v>
      </c>
      <c r="I7245" s="2">
        <v>2940</v>
      </c>
    </row>
    <row r="7246" spans="1:9" x14ac:dyDescent="0.25">
      <c r="A7246" t="s">
        <v>3983</v>
      </c>
      <c r="B7246" t="s">
        <v>3984</v>
      </c>
      <c r="C7246" t="s">
        <v>34</v>
      </c>
      <c r="D7246" t="s">
        <v>4049</v>
      </c>
      <c r="E7246" t="s">
        <v>4050</v>
      </c>
      <c r="F7246" t="s">
        <v>4051</v>
      </c>
      <c r="G7246">
        <v>5</v>
      </c>
      <c r="H7246" s="2">
        <v>9037.33</v>
      </c>
      <c r="I7246" s="2">
        <v>45186.65</v>
      </c>
    </row>
    <row r="7247" spans="1:9" x14ac:dyDescent="0.25">
      <c r="A7247" t="s">
        <v>3986</v>
      </c>
      <c r="B7247" t="s">
        <v>3987</v>
      </c>
      <c r="C7247" t="s">
        <v>34</v>
      </c>
      <c r="D7247" t="s">
        <v>4062</v>
      </c>
      <c r="E7247" t="s">
        <v>4587</v>
      </c>
      <c r="F7247" t="s">
        <v>34</v>
      </c>
      <c r="G7247">
        <v>1.09</v>
      </c>
      <c r="H7247" s="2">
        <v>82125</v>
      </c>
      <c r="I7247" s="2">
        <v>89516.25</v>
      </c>
    </row>
    <row r="7248" spans="1:9" x14ac:dyDescent="0.25">
      <c r="A7248" t="s">
        <v>3986</v>
      </c>
      <c r="B7248" t="s">
        <v>3987</v>
      </c>
      <c r="C7248" t="s">
        <v>34</v>
      </c>
      <c r="D7248" t="s">
        <v>4062</v>
      </c>
      <c r="E7248" t="s">
        <v>4475</v>
      </c>
      <c r="F7248" t="s">
        <v>231</v>
      </c>
      <c r="G7248">
        <v>454</v>
      </c>
      <c r="H7248" s="2">
        <v>730</v>
      </c>
      <c r="I7248" s="2">
        <v>331420</v>
      </c>
    </row>
    <row r="7249" spans="1:9" x14ac:dyDescent="0.25">
      <c r="A7249" t="s">
        <v>3986</v>
      </c>
      <c r="B7249" t="s">
        <v>3987</v>
      </c>
      <c r="C7249" t="s">
        <v>34</v>
      </c>
      <c r="D7249" t="s">
        <v>4062</v>
      </c>
      <c r="E7249" t="s">
        <v>4076</v>
      </c>
      <c r="F7249" t="s">
        <v>3963</v>
      </c>
      <c r="G7249">
        <v>185</v>
      </c>
      <c r="H7249" s="2">
        <v>21</v>
      </c>
      <c r="I7249" s="2">
        <v>3885</v>
      </c>
    </row>
    <row r="7250" spans="1:9" x14ac:dyDescent="0.25">
      <c r="A7250" t="s">
        <v>3986</v>
      </c>
      <c r="B7250" t="s">
        <v>3987</v>
      </c>
      <c r="C7250" t="s">
        <v>34</v>
      </c>
      <c r="D7250" t="s">
        <v>4049</v>
      </c>
      <c r="E7250" t="s">
        <v>4050</v>
      </c>
      <c r="F7250" t="s">
        <v>4051</v>
      </c>
      <c r="G7250">
        <v>5</v>
      </c>
      <c r="H7250" s="2">
        <v>9037.33</v>
      </c>
      <c r="I7250" s="2">
        <v>45186.65</v>
      </c>
    </row>
    <row r="7251" spans="1:9" x14ac:dyDescent="0.25">
      <c r="A7251" t="s">
        <v>3989</v>
      </c>
      <c r="B7251" t="s">
        <v>3990</v>
      </c>
      <c r="C7251" t="s">
        <v>34</v>
      </c>
      <c r="D7251" t="s">
        <v>4062</v>
      </c>
      <c r="E7251" t="s">
        <v>4587</v>
      </c>
      <c r="F7251" t="s">
        <v>34</v>
      </c>
      <c r="G7251">
        <v>1.16</v>
      </c>
      <c r="H7251" s="2">
        <v>82125</v>
      </c>
      <c r="I7251" s="2">
        <v>95265</v>
      </c>
    </row>
    <row r="7252" spans="1:9" x14ac:dyDescent="0.25">
      <c r="A7252" t="s">
        <v>3989</v>
      </c>
      <c r="B7252" t="s">
        <v>3990</v>
      </c>
      <c r="C7252" t="s">
        <v>34</v>
      </c>
      <c r="D7252" t="s">
        <v>4062</v>
      </c>
      <c r="E7252" t="s">
        <v>4475</v>
      </c>
      <c r="F7252" t="s">
        <v>231</v>
      </c>
      <c r="G7252">
        <v>360</v>
      </c>
      <c r="H7252" s="2">
        <v>730</v>
      </c>
      <c r="I7252" s="2">
        <v>262800</v>
      </c>
    </row>
    <row r="7253" spans="1:9" x14ac:dyDescent="0.25">
      <c r="A7253" t="s">
        <v>3989</v>
      </c>
      <c r="B7253" t="s">
        <v>3990</v>
      </c>
      <c r="C7253" t="s">
        <v>34</v>
      </c>
      <c r="D7253" t="s">
        <v>4062</v>
      </c>
      <c r="E7253" t="s">
        <v>4076</v>
      </c>
      <c r="F7253" t="s">
        <v>3963</v>
      </c>
      <c r="G7253">
        <v>185</v>
      </c>
      <c r="H7253" s="2">
        <v>21</v>
      </c>
      <c r="I7253" s="2">
        <v>3885</v>
      </c>
    </row>
    <row r="7254" spans="1:9" x14ac:dyDescent="0.25">
      <c r="A7254" t="s">
        <v>3989</v>
      </c>
      <c r="B7254" t="s">
        <v>3990</v>
      </c>
      <c r="C7254" t="s">
        <v>34</v>
      </c>
      <c r="D7254" t="s">
        <v>4049</v>
      </c>
      <c r="E7254" t="s">
        <v>4050</v>
      </c>
      <c r="F7254" t="s">
        <v>4051</v>
      </c>
      <c r="G7254">
        <v>5</v>
      </c>
      <c r="H7254" s="2">
        <v>9037.33</v>
      </c>
      <c r="I7254" s="2">
        <v>45186.65</v>
      </c>
    </row>
    <row r="7255" spans="1:9" x14ac:dyDescent="0.25">
      <c r="A7255" t="s">
        <v>3993</v>
      </c>
      <c r="B7255" t="s">
        <v>3995</v>
      </c>
      <c r="C7255" t="s">
        <v>34</v>
      </c>
      <c r="D7255" t="s">
        <v>4062</v>
      </c>
      <c r="E7255" t="s">
        <v>7307</v>
      </c>
      <c r="F7255" t="s">
        <v>34</v>
      </c>
      <c r="G7255">
        <v>0.5</v>
      </c>
      <c r="H7255" s="2">
        <v>80523.33</v>
      </c>
      <c r="I7255" s="2">
        <v>40261.67</v>
      </c>
    </row>
    <row r="7256" spans="1:9" x14ac:dyDescent="0.25">
      <c r="A7256" t="s">
        <v>3993</v>
      </c>
      <c r="B7256" t="s">
        <v>3995</v>
      </c>
      <c r="C7256" t="s">
        <v>34</v>
      </c>
      <c r="D7256" t="s">
        <v>4062</v>
      </c>
      <c r="E7256" t="s">
        <v>4475</v>
      </c>
      <c r="F7256" t="s">
        <v>231</v>
      </c>
      <c r="G7256">
        <v>210</v>
      </c>
      <c r="H7256" s="2">
        <v>730</v>
      </c>
      <c r="I7256" s="2">
        <v>153300</v>
      </c>
    </row>
    <row r="7257" spans="1:9" x14ac:dyDescent="0.25">
      <c r="A7257" t="s">
        <v>3993</v>
      </c>
      <c r="B7257" t="s">
        <v>3995</v>
      </c>
      <c r="C7257" t="s">
        <v>34</v>
      </c>
      <c r="D7257" t="s">
        <v>4062</v>
      </c>
      <c r="E7257" t="s">
        <v>5219</v>
      </c>
      <c r="F7257" t="s">
        <v>34</v>
      </c>
      <c r="G7257">
        <v>1</v>
      </c>
      <c r="H7257" s="2">
        <v>92880</v>
      </c>
      <c r="I7257" s="2">
        <v>92880</v>
      </c>
    </row>
    <row r="7258" spans="1:9" x14ac:dyDescent="0.25">
      <c r="A7258" t="s">
        <v>3993</v>
      </c>
      <c r="B7258" t="s">
        <v>3995</v>
      </c>
      <c r="C7258" t="s">
        <v>34</v>
      </c>
      <c r="D7258" t="s">
        <v>4062</v>
      </c>
      <c r="E7258" t="s">
        <v>4076</v>
      </c>
      <c r="F7258" t="s">
        <v>3963</v>
      </c>
      <c r="G7258">
        <v>160</v>
      </c>
      <c r="H7258" s="2">
        <v>21</v>
      </c>
      <c r="I7258" s="2">
        <v>3360</v>
      </c>
    </row>
    <row r="7259" spans="1:9" x14ac:dyDescent="0.25">
      <c r="A7259" t="s">
        <v>3993</v>
      </c>
      <c r="B7259" t="s">
        <v>3995</v>
      </c>
      <c r="C7259" t="s">
        <v>34</v>
      </c>
      <c r="D7259" t="s">
        <v>4049</v>
      </c>
      <c r="E7259" t="s">
        <v>4050</v>
      </c>
      <c r="F7259" t="s">
        <v>4051</v>
      </c>
      <c r="G7259">
        <v>6</v>
      </c>
      <c r="H7259" s="2">
        <v>9037.33</v>
      </c>
      <c r="I7259" s="2">
        <v>54223.98</v>
      </c>
    </row>
    <row r="7260" spans="1:9" x14ac:dyDescent="0.25">
      <c r="A7260" t="s">
        <v>3993</v>
      </c>
      <c r="B7260" t="s">
        <v>3995</v>
      </c>
      <c r="C7260" t="s">
        <v>34</v>
      </c>
      <c r="D7260" t="s">
        <v>4049</v>
      </c>
      <c r="E7260" t="s">
        <v>4073</v>
      </c>
      <c r="F7260" t="s">
        <v>4051</v>
      </c>
      <c r="G7260">
        <v>1</v>
      </c>
      <c r="H7260" s="2">
        <v>15517.89</v>
      </c>
      <c r="I7260" s="2">
        <v>15517.89</v>
      </c>
    </row>
    <row r="7261" spans="1:9" x14ac:dyDescent="0.25">
      <c r="A7261" t="s">
        <v>3993</v>
      </c>
      <c r="B7261" t="s">
        <v>3995</v>
      </c>
      <c r="C7261" t="s">
        <v>34</v>
      </c>
      <c r="D7261" t="s">
        <v>4052</v>
      </c>
      <c r="E7261" t="s">
        <v>7920</v>
      </c>
      <c r="F7261" t="s">
        <v>4106</v>
      </c>
      <c r="G7261">
        <v>0.15</v>
      </c>
      <c r="H7261" s="2">
        <v>125800</v>
      </c>
      <c r="I7261" s="2">
        <v>18870</v>
      </c>
    </row>
    <row r="7262" spans="1:9" x14ac:dyDescent="0.25">
      <c r="A7262" t="s">
        <v>3997</v>
      </c>
      <c r="B7262" t="s">
        <v>3998</v>
      </c>
      <c r="C7262" t="s">
        <v>34</v>
      </c>
      <c r="D7262" t="s">
        <v>4062</v>
      </c>
      <c r="E7262" t="s">
        <v>7307</v>
      </c>
      <c r="F7262" t="s">
        <v>34</v>
      </c>
      <c r="G7262">
        <v>0.68</v>
      </c>
      <c r="H7262" s="2">
        <v>80523.33</v>
      </c>
      <c r="I7262" s="2">
        <v>55029.64</v>
      </c>
    </row>
    <row r="7263" spans="1:9" x14ac:dyDescent="0.25">
      <c r="A7263" t="s">
        <v>3997</v>
      </c>
      <c r="B7263" t="s">
        <v>3998</v>
      </c>
      <c r="C7263" t="s">
        <v>34</v>
      </c>
      <c r="D7263" t="s">
        <v>4062</v>
      </c>
      <c r="E7263" t="s">
        <v>4475</v>
      </c>
      <c r="F7263" t="s">
        <v>231</v>
      </c>
      <c r="G7263">
        <v>428.4</v>
      </c>
      <c r="H7263" s="2">
        <v>730</v>
      </c>
      <c r="I7263" s="2">
        <v>312732</v>
      </c>
    </row>
    <row r="7264" spans="1:9" x14ac:dyDescent="0.25">
      <c r="A7264" t="s">
        <v>3997</v>
      </c>
      <c r="B7264" t="s">
        <v>3998</v>
      </c>
      <c r="C7264" t="s">
        <v>34</v>
      </c>
      <c r="D7264" t="s">
        <v>4062</v>
      </c>
      <c r="E7264" t="s">
        <v>5219</v>
      </c>
      <c r="F7264" t="s">
        <v>34</v>
      </c>
      <c r="G7264">
        <v>0.68</v>
      </c>
      <c r="H7264" s="2">
        <v>92880</v>
      </c>
      <c r="I7264" s="2">
        <v>63474.19</v>
      </c>
    </row>
    <row r="7265" spans="1:9" x14ac:dyDescent="0.25">
      <c r="A7265" t="s">
        <v>3997</v>
      </c>
      <c r="B7265" t="s">
        <v>3998</v>
      </c>
      <c r="C7265" t="s">
        <v>34</v>
      </c>
      <c r="D7265" t="s">
        <v>4062</v>
      </c>
      <c r="E7265" t="s">
        <v>4076</v>
      </c>
      <c r="F7265" t="s">
        <v>3963</v>
      </c>
      <c r="G7265">
        <v>204</v>
      </c>
      <c r="H7265" s="2">
        <v>21</v>
      </c>
      <c r="I7265" s="2">
        <v>4284</v>
      </c>
    </row>
    <row r="7266" spans="1:9" x14ac:dyDescent="0.25">
      <c r="A7266" t="s">
        <v>3997</v>
      </c>
      <c r="B7266" t="s">
        <v>3998</v>
      </c>
      <c r="C7266" t="s">
        <v>34</v>
      </c>
      <c r="D7266" t="s">
        <v>4049</v>
      </c>
      <c r="E7266" t="s">
        <v>4050</v>
      </c>
      <c r="F7266" t="s">
        <v>4051</v>
      </c>
      <c r="G7266">
        <v>6</v>
      </c>
      <c r="H7266" s="2">
        <v>9037.33</v>
      </c>
      <c r="I7266" s="2">
        <v>54223.98</v>
      </c>
    </row>
    <row r="7267" spans="1:9" x14ac:dyDescent="0.25">
      <c r="A7267" t="s">
        <v>3997</v>
      </c>
      <c r="B7267" t="s">
        <v>3998</v>
      </c>
      <c r="C7267" t="s">
        <v>34</v>
      </c>
      <c r="D7267" t="s">
        <v>4049</v>
      </c>
      <c r="E7267" t="s">
        <v>4073</v>
      </c>
      <c r="F7267" t="s">
        <v>4051</v>
      </c>
      <c r="G7267">
        <v>1</v>
      </c>
      <c r="H7267" s="2">
        <v>15517.89</v>
      </c>
      <c r="I7267" s="2">
        <v>15517.89</v>
      </c>
    </row>
    <row r="7268" spans="1:9" x14ac:dyDescent="0.25">
      <c r="A7268" t="s">
        <v>3997</v>
      </c>
      <c r="B7268" t="s">
        <v>3998</v>
      </c>
      <c r="C7268" t="s">
        <v>34</v>
      </c>
      <c r="D7268" t="s">
        <v>4052</v>
      </c>
      <c r="E7268" t="s">
        <v>7920</v>
      </c>
      <c r="F7268" t="s">
        <v>4106</v>
      </c>
      <c r="G7268">
        <v>0.13</v>
      </c>
      <c r="H7268" s="2">
        <v>125800</v>
      </c>
      <c r="I7268" s="2">
        <v>15725</v>
      </c>
    </row>
    <row r="7269" spans="1:9" x14ac:dyDescent="0.25">
      <c r="A7269" t="s">
        <v>4000</v>
      </c>
      <c r="B7269" t="s">
        <v>4001</v>
      </c>
      <c r="C7269" t="s">
        <v>34</v>
      </c>
      <c r="D7269" t="s">
        <v>4062</v>
      </c>
      <c r="E7269" t="s">
        <v>7307</v>
      </c>
      <c r="F7269" t="s">
        <v>34</v>
      </c>
      <c r="G7269">
        <v>0.57</v>
      </c>
      <c r="H7269" s="2">
        <v>80523.33</v>
      </c>
      <c r="I7269" s="2">
        <v>45994.93</v>
      </c>
    </row>
    <row r="7270" spans="1:9" x14ac:dyDescent="0.25">
      <c r="A7270" t="s">
        <v>4000</v>
      </c>
      <c r="B7270" t="s">
        <v>4001</v>
      </c>
      <c r="C7270" t="s">
        <v>34</v>
      </c>
      <c r="D7270" t="s">
        <v>4062</v>
      </c>
      <c r="E7270" t="s">
        <v>4475</v>
      </c>
      <c r="F7270" t="s">
        <v>231</v>
      </c>
      <c r="G7270">
        <v>316.2</v>
      </c>
      <c r="H7270" s="2">
        <v>730</v>
      </c>
      <c r="I7270" s="2">
        <v>230826</v>
      </c>
    </row>
    <row r="7271" spans="1:9" x14ac:dyDescent="0.25">
      <c r="A7271" t="s">
        <v>4000</v>
      </c>
      <c r="B7271" t="s">
        <v>4001</v>
      </c>
      <c r="C7271" t="s">
        <v>34</v>
      </c>
      <c r="D7271" t="s">
        <v>4062</v>
      </c>
      <c r="E7271" t="s">
        <v>5219</v>
      </c>
      <c r="F7271" t="s">
        <v>34</v>
      </c>
      <c r="G7271">
        <v>0.91</v>
      </c>
      <c r="H7271" s="2">
        <v>92880</v>
      </c>
      <c r="I7271" s="2">
        <v>84316.46</v>
      </c>
    </row>
    <row r="7272" spans="1:9" x14ac:dyDescent="0.25">
      <c r="A7272" t="s">
        <v>4000</v>
      </c>
      <c r="B7272" t="s">
        <v>4001</v>
      </c>
      <c r="C7272" t="s">
        <v>34</v>
      </c>
      <c r="D7272" t="s">
        <v>4062</v>
      </c>
      <c r="E7272" t="s">
        <v>4076</v>
      </c>
      <c r="F7272" t="s">
        <v>3963</v>
      </c>
      <c r="G7272">
        <v>173.4</v>
      </c>
      <c r="H7272" s="2">
        <v>21</v>
      </c>
      <c r="I7272" s="2">
        <v>3641.4</v>
      </c>
    </row>
    <row r="7273" spans="1:9" x14ac:dyDescent="0.25">
      <c r="A7273" t="s">
        <v>4000</v>
      </c>
      <c r="B7273" t="s">
        <v>4001</v>
      </c>
      <c r="C7273" t="s">
        <v>34</v>
      </c>
      <c r="D7273" t="s">
        <v>4049</v>
      </c>
      <c r="E7273" t="s">
        <v>4050</v>
      </c>
      <c r="F7273" t="s">
        <v>4051</v>
      </c>
      <c r="G7273">
        <v>6</v>
      </c>
      <c r="H7273" s="2">
        <v>9037.33</v>
      </c>
      <c r="I7273" s="2">
        <v>54223.98</v>
      </c>
    </row>
    <row r="7274" spans="1:9" x14ac:dyDescent="0.25">
      <c r="A7274" t="s">
        <v>4000</v>
      </c>
      <c r="B7274" t="s">
        <v>4001</v>
      </c>
      <c r="C7274" t="s">
        <v>34</v>
      </c>
      <c r="D7274" t="s">
        <v>4049</v>
      </c>
      <c r="E7274" t="s">
        <v>4073</v>
      </c>
      <c r="F7274" t="s">
        <v>4051</v>
      </c>
      <c r="G7274">
        <v>1</v>
      </c>
      <c r="H7274" s="2">
        <v>15517.89</v>
      </c>
      <c r="I7274" s="2">
        <v>15517.89</v>
      </c>
    </row>
    <row r="7275" spans="1:9" x14ac:dyDescent="0.25">
      <c r="A7275" t="s">
        <v>4000</v>
      </c>
      <c r="B7275" t="s">
        <v>4001</v>
      </c>
      <c r="C7275" t="s">
        <v>34</v>
      </c>
      <c r="D7275" t="s">
        <v>4052</v>
      </c>
      <c r="E7275" t="s">
        <v>7920</v>
      </c>
      <c r="F7275" t="s">
        <v>4106</v>
      </c>
      <c r="G7275">
        <v>0.13</v>
      </c>
      <c r="H7275" s="2">
        <v>125800</v>
      </c>
      <c r="I7275" s="2">
        <v>15725</v>
      </c>
    </row>
    <row r="7276" spans="1:9" x14ac:dyDescent="0.25">
      <c r="A7276" t="s">
        <v>4003</v>
      </c>
      <c r="B7276" t="s">
        <v>4004</v>
      </c>
      <c r="C7276" t="s">
        <v>34</v>
      </c>
      <c r="D7276" t="s">
        <v>4062</v>
      </c>
      <c r="E7276" t="s">
        <v>7307</v>
      </c>
      <c r="F7276" t="s">
        <v>34</v>
      </c>
      <c r="G7276">
        <v>0.8</v>
      </c>
      <c r="H7276" s="2">
        <v>80523.33</v>
      </c>
      <c r="I7276" s="2">
        <v>64418.66</v>
      </c>
    </row>
    <row r="7277" spans="1:9" x14ac:dyDescent="0.25">
      <c r="A7277" t="s">
        <v>4003</v>
      </c>
      <c r="B7277" t="s">
        <v>4004</v>
      </c>
      <c r="C7277" t="s">
        <v>34</v>
      </c>
      <c r="D7277" t="s">
        <v>4062</v>
      </c>
      <c r="E7277" t="s">
        <v>4475</v>
      </c>
      <c r="F7277" t="s">
        <v>231</v>
      </c>
      <c r="G7277">
        <v>265.2</v>
      </c>
      <c r="H7277" s="2">
        <v>730</v>
      </c>
      <c r="I7277" s="2">
        <v>193596</v>
      </c>
    </row>
    <row r="7278" spans="1:9" x14ac:dyDescent="0.25">
      <c r="A7278" t="s">
        <v>4003</v>
      </c>
      <c r="B7278" t="s">
        <v>4004</v>
      </c>
      <c r="C7278" t="s">
        <v>34</v>
      </c>
      <c r="D7278" t="s">
        <v>4062</v>
      </c>
      <c r="E7278" t="s">
        <v>5219</v>
      </c>
      <c r="F7278" t="s">
        <v>34</v>
      </c>
      <c r="G7278">
        <v>0.86</v>
      </c>
      <c r="H7278" s="2">
        <v>92880</v>
      </c>
      <c r="I7278" s="2">
        <v>79579.58</v>
      </c>
    </row>
    <row r="7279" spans="1:9" x14ac:dyDescent="0.25">
      <c r="A7279" t="s">
        <v>4003</v>
      </c>
      <c r="B7279" t="s">
        <v>4004</v>
      </c>
      <c r="C7279" t="s">
        <v>34</v>
      </c>
      <c r="D7279" t="s">
        <v>4062</v>
      </c>
      <c r="E7279" t="s">
        <v>4076</v>
      </c>
      <c r="F7279" t="s">
        <v>3963</v>
      </c>
      <c r="G7279">
        <v>173.4</v>
      </c>
      <c r="H7279" s="2">
        <v>21</v>
      </c>
      <c r="I7279" s="2">
        <v>3641.4</v>
      </c>
    </row>
    <row r="7280" spans="1:9" x14ac:dyDescent="0.25">
      <c r="A7280" t="s">
        <v>4003</v>
      </c>
      <c r="B7280" t="s">
        <v>4004</v>
      </c>
      <c r="C7280" t="s">
        <v>34</v>
      </c>
      <c r="D7280" t="s">
        <v>4049</v>
      </c>
      <c r="E7280" t="s">
        <v>4050</v>
      </c>
      <c r="F7280" t="s">
        <v>4051</v>
      </c>
      <c r="G7280">
        <v>6</v>
      </c>
      <c r="H7280" s="2">
        <v>9037.33</v>
      </c>
      <c r="I7280" s="2">
        <v>54223.98</v>
      </c>
    </row>
    <row r="7281" spans="1:9" x14ac:dyDescent="0.25">
      <c r="A7281" t="s">
        <v>4003</v>
      </c>
      <c r="B7281" t="s">
        <v>4004</v>
      </c>
      <c r="C7281" t="s">
        <v>34</v>
      </c>
      <c r="D7281" t="s">
        <v>4049</v>
      </c>
      <c r="E7281" t="s">
        <v>4073</v>
      </c>
      <c r="F7281" t="s">
        <v>4051</v>
      </c>
      <c r="G7281">
        <v>1</v>
      </c>
      <c r="H7281" s="2">
        <v>15517.89</v>
      </c>
      <c r="I7281" s="2">
        <v>15517.89</v>
      </c>
    </row>
    <row r="7282" spans="1:9" x14ac:dyDescent="0.25">
      <c r="A7282" t="s">
        <v>4003</v>
      </c>
      <c r="B7282" t="s">
        <v>4004</v>
      </c>
      <c r="C7282" t="s">
        <v>34</v>
      </c>
      <c r="D7282" t="s">
        <v>4052</v>
      </c>
      <c r="E7282" t="s">
        <v>7920</v>
      </c>
      <c r="F7282" t="s">
        <v>4106</v>
      </c>
      <c r="G7282">
        <v>0.13</v>
      </c>
      <c r="H7282" s="2">
        <v>125800</v>
      </c>
      <c r="I7282" s="2">
        <v>15725</v>
      </c>
    </row>
    <row r="7283" spans="1:9" x14ac:dyDescent="0.25">
      <c r="A7283" t="s">
        <v>4006</v>
      </c>
      <c r="B7283" t="s">
        <v>4007</v>
      </c>
      <c r="C7283" t="s">
        <v>34</v>
      </c>
      <c r="D7283" t="s">
        <v>4062</v>
      </c>
      <c r="E7283" t="s">
        <v>7307</v>
      </c>
      <c r="F7283" t="s">
        <v>34</v>
      </c>
      <c r="G7283">
        <v>0.5</v>
      </c>
      <c r="H7283" s="2">
        <v>80523.33</v>
      </c>
      <c r="I7283" s="2">
        <v>40261.67</v>
      </c>
    </row>
    <row r="7284" spans="1:9" x14ac:dyDescent="0.25">
      <c r="A7284" t="s">
        <v>4006</v>
      </c>
      <c r="B7284" t="s">
        <v>4007</v>
      </c>
      <c r="C7284" t="s">
        <v>34</v>
      </c>
      <c r="D7284" t="s">
        <v>4062</v>
      </c>
      <c r="E7284" t="s">
        <v>4475</v>
      </c>
      <c r="F7284" t="s">
        <v>231</v>
      </c>
      <c r="G7284">
        <v>210</v>
      </c>
      <c r="H7284" s="2">
        <v>730</v>
      </c>
      <c r="I7284" s="2">
        <v>153300</v>
      </c>
    </row>
    <row r="7285" spans="1:9" x14ac:dyDescent="0.25">
      <c r="A7285" t="s">
        <v>4006</v>
      </c>
      <c r="B7285" t="s">
        <v>4007</v>
      </c>
      <c r="C7285" t="s">
        <v>34</v>
      </c>
      <c r="D7285" t="s">
        <v>4062</v>
      </c>
      <c r="E7285" t="s">
        <v>5219</v>
      </c>
      <c r="F7285" t="s">
        <v>34</v>
      </c>
      <c r="G7285">
        <v>1</v>
      </c>
      <c r="H7285" s="2">
        <v>92880</v>
      </c>
      <c r="I7285" s="2">
        <v>92880</v>
      </c>
    </row>
    <row r="7286" spans="1:9" x14ac:dyDescent="0.25">
      <c r="A7286" t="s">
        <v>4006</v>
      </c>
      <c r="B7286" t="s">
        <v>4007</v>
      </c>
      <c r="C7286" t="s">
        <v>34</v>
      </c>
      <c r="D7286" t="s">
        <v>4062</v>
      </c>
      <c r="E7286" t="s">
        <v>4076</v>
      </c>
      <c r="F7286" t="s">
        <v>3963</v>
      </c>
      <c r="G7286">
        <v>160</v>
      </c>
      <c r="H7286" s="2">
        <v>21</v>
      </c>
      <c r="I7286" s="2">
        <v>3360</v>
      </c>
    </row>
    <row r="7287" spans="1:9" x14ac:dyDescent="0.25">
      <c r="A7287" t="s">
        <v>4006</v>
      </c>
      <c r="B7287" t="s">
        <v>4007</v>
      </c>
      <c r="C7287" t="s">
        <v>34</v>
      </c>
      <c r="D7287" t="s">
        <v>4049</v>
      </c>
      <c r="E7287" t="s">
        <v>4050</v>
      </c>
      <c r="F7287" t="s">
        <v>4051</v>
      </c>
      <c r="G7287">
        <v>6</v>
      </c>
      <c r="H7287" s="2">
        <v>9037.33</v>
      </c>
      <c r="I7287" s="2">
        <v>54223.98</v>
      </c>
    </row>
    <row r="7288" spans="1:9" x14ac:dyDescent="0.25">
      <c r="A7288" t="s">
        <v>4006</v>
      </c>
      <c r="B7288" t="s">
        <v>4007</v>
      </c>
      <c r="C7288" t="s">
        <v>34</v>
      </c>
      <c r="D7288" t="s">
        <v>4049</v>
      </c>
      <c r="E7288" t="s">
        <v>4073</v>
      </c>
      <c r="F7288" t="s">
        <v>4051</v>
      </c>
      <c r="G7288">
        <v>1</v>
      </c>
      <c r="H7288" s="2">
        <v>15517.89</v>
      </c>
      <c r="I7288" s="2">
        <v>15517.89</v>
      </c>
    </row>
    <row r="7289" spans="1:9" x14ac:dyDescent="0.25">
      <c r="A7289" t="s">
        <v>4006</v>
      </c>
      <c r="B7289" t="s">
        <v>4007</v>
      </c>
      <c r="C7289" t="s">
        <v>34</v>
      </c>
      <c r="D7289" t="s">
        <v>4052</v>
      </c>
      <c r="E7289" t="s">
        <v>7920</v>
      </c>
      <c r="F7289" t="s">
        <v>4106</v>
      </c>
      <c r="G7289">
        <v>0.15</v>
      </c>
      <c r="H7289" s="2">
        <v>125800</v>
      </c>
      <c r="I7289" s="2">
        <v>18870</v>
      </c>
    </row>
    <row r="7290" spans="1:9" x14ac:dyDescent="0.25">
      <c r="A7290" t="s">
        <v>4008</v>
      </c>
      <c r="B7290" t="s">
        <v>4009</v>
      </c>
      <c r="C7290" t="s">
        <v>34</v>
      </c>
      <c r="D7290" t="s">
        <v>4062</v>
      </c>
      <c r="E7290" t="s">
        <v>7307</v>
      </c>
      <c r="F7290" t="s">
        <v>34</v>
      </c>
      <c r="G7290">
        <v>0.68</v>
      </c>
      <c r="H7290" s="2">
        <v>80523.33</v>
      </c>
      <c r="I7290" s="2">
        <v>55029.64</v>
      </c>
    </row>
    <row r="7291" spans="1:9" x14ac:dyDescent="0.25">
      <c r="A7291" t="s">
        <v>4008</v>
      </c>
      <c r="B7291" t="s">
        <v>4009</v>
      </c>
      <c r="C7291" t="s">
        <v>34</v>
      </c>
      <c r="D7291" t="s">
        <v>4062</v>
      </c>
      <c r="E7291" t="s">
        <v>4475</v>
      </c>
      <c r="F7291" t="s">
        <v>231</v>
      </c>
      <c r="G7291">
        <v>459</v>
      </c>
      <c r="H7291" s="2">
        <v>730</v>
      </c>
      <c r="I7291" s="2">
        <v>335070</v>
      </c>
    </row>
    <row r="7292" spans="1:9" x14ac:dyDescent="0.25">
      <c r="A7292" t="s">
        <v>4008</v>
      </c>
      <c r="B7292" t="s">
        <v>4009</v>
      </c>
      <c r="C7292" t="s">
        <v>34</v>
      </c>
      <c r="D7292" t="s">
        <v>4062</v>
      </c>
      <c r="E7292" t="s">
        <v>5219</v>
      </c>
      <c r="F7292" t="s">
        <v>34</v>
      </c>
      <c r="G7292">
        <v>0.68</v>
      </c>
      <c r="H7292" s="2">
        <v>92880</v>
      </c>
      <c r="I7292" s="2">
        <v>63474.19</v>
      </c>
    </row>
    <row r="7293" spans="1:9" x14ac:dyDescent="0.25">
      <c r="A7293" t="s">
        <v>4008</v>
      </c>
      <c r="B7293" t="s">
        <v>4009</v>
      </c>
      <c r="C7293" t="s">
        <v>34</v>
      </c>
      <c r="D7293" t="s">
        <v>4062</v>
      </c>
      <c r="E7293" t="s">
        <v>4076</v>
      </c>
      <c r="F7293" t="s">
        <v>3963</v>
      </c>
      <c r="G7293">
        <v>204</v>
      </c>
      <c r="H7293" s="2">
        <v>21</v>
      </c>
      <c r="I7293" s="2">
        <v>4284</v>
      </c>
    </row>
    <row r="7294" spans="1:9" x14ac:dyDescent="0.25">
      <c r="A7294" t="s">
        <v>4008</v>
      </c>
      <c r="B7294" t="s">
        <v>4009</v>
      </c>
      <c r="C7294" t="s">
        <v>34</v>
      </c>
      <c r="D7294" t="s">
        <v>4049</v>
      </c>
      <c r="E7294" t="s">
        <v>4050</v>
      </c>
      <c r="F7294" t="s">
        <v>4051</v>
      </c>
      <c r="G7294">
        <v>6</v>
      </c>
      <c r="H7294" s="2">
        <v>9037.33</v>
      </c>
      <c r="I7294" s="2">
        <v>54223.98</v>
      </c>
    </row>
    <row r="7295" spans="1:9" x14ac:dyDescent="0.25">
      <c r="A7295" t="s">
        <v>4008</v>
      </c>
      <c r="B7295" t="s">
        <v>4009</v>
      </c>
      <c r="C7295" t="s">
        <v>34</v>
      </c>
      <c r="D7295" t="s">
        <v>4049</v>
      </c>
      <c r="E7295" t="s">
        <v>4073</v>
      </c>
      <c r="F7295" t="s">
        <v>4051</v>
      </c>
      <c r="G7295">
        <v>1</v>
      </c>
      <c r="H7295" s="2">
        <v>15517.89</v>
      </c>
      <c r="I7295" s="2">
        <v>15517.89</v>
      </c>
    </row>
    <row r="7296" spans="1:9" x14ac:dyDescent="0.25">
      <c r="A7296" t="s">
        <v>4008</v>
      </c>
      <c r="B7296" t="s">
        <v>4009</v>
      </c>
      <c r="C7296" t="s">
        <v>34</v>
      </c>
      <c r="D7296" t="s">
        <v>4052</v>
      </c>
      <c r="E7296" t="s">
        <v>7920</v>
      </c>
      <c r="F7296" t="s">
        <v>4106</v>
      </c>
      <c r="G7296">
        <v>0.13</v>
      </c>
      <c r="H7296" s="2">
        <v>125800</v>
      </c>
      <c r="I7296" s="2">
        <v>15725</v>
      </c>
    </row>
    <row r="7297" spans="1:9" x14ac:dyDescent="0.25">
      <c r="A7297" t="s">
        <v>4011</v>
      </c>
      <c r="B7297" t="s">
        <v>4012</v>
      </c>
      <c r="C7297" t="s">
        <v>34</v>
      </c>
      <c r="D7297" t="s">
        <v>4062</v>
      </c>
      <c r="E7297" t="s">
        <v>7307</v>
      </c>
      <c r="F7297" t="s">
        <v>34</v>
      </c>
      <c r="G7297">
        <v>0.57</v>
      </c>
      <c r="H7297" s="2">
        <v>80523.33</v>
      </c>
      <c r="I7297" s="2">
        <v>45994.93</v>
      </c>
    </row>
    <row r="7298" spans="1:9" x14ac:dyDescent="0.25">
      <c r="A7298" t="s">
        <v>4011</v>
      </c>
      <c r="B7298" t="s">
        <v>4012</v>
      </c>
      <c r="C7298" t="s">
        <v>34</v>
      </c>
      <c r="D7298" t="s">
        <v>4062</v>
      </c>
      <c r="E7298" t="s">
        <v>4475</v>
      </c>
      <c r="F7298" t="s">
        <v>231</v>
      </c>
      <c r="G7298">
        <v>357</v>
      </c>
      <c r="H7298" s="2">
        <v>730</v>
      </c>
      <c r="I7298" s="2">
        <v>260610</v>
      </c>
    </row>
    <row r="7299" spans="1:9" x14ac:dyDescent="0.25">
      <c r="A7299" t="s">
        <v>4011</v>
      </c>
      <c r="B7299" t="s">
        <v>4012</v>
      </c>
      <c r="C7299" t="s">
        <v>34</v>
      </c>
      <c r="D7299" t="s">
        <v>4062</v>
      </c>
      <c r="E7299" t="s">
        <v>5219</v>
      </c>
      <c r="F7299" t="s">
        <v>34</v>
      </c>
      <c r="G7299">
        <v>0.86</v>
      </c>
      <c r="H7299" s="2">
        <v>92880</v>
      </c>
      <c r="I7299" s="2">
        <v>79579.58</v>
      </c>
    </row>
    <row r="7300" spans="1:9" x14ac:dyDescent="0.25">
      <c r="A7300" t="s">
        <v>4011</v>
      </c>
      <c r="B7300" t="s">
        <v>4012</v>
      </c>
      <c r="C7300" t="s">
        <v>34</v>
      </c>
      <c r="D7300" t="s">
        <v>4062</v>
      </c>
      <c r="E7300" t="s">
        <v>4076</v>
      </c>
      <c r="F7300" t="s">
        <v>3963</v>
      </c>
      <c r="G7300">
        <v>183.6</v>
      </c>
      <c r="H7300" s="2">
        <v>21</v>
      </c>
      <c r="I7300" s="2">
        <v>3855.6</v>
      </c>
    </row>
    <row r="7301" spans="1:9" x14ac:dyDescent="0.25">
      <c r="A7301" t="s">
        <v>4011</v>
      </c>
      <c r="B7301" t="s">
        <v>4012</v>
      </c>
      <c r="C7301" t="s">
        <v>34</v>
      </c>
      <c r="D7301" t="s">
        <v>4049</v>
      </c>
      <c r="E7301" t="s">
        <v>4050</v>
      </c>
      <c r="F7301" t="s">
        <v>4051</v>
      </c>
      <c r="G7301">
        <v>6</v>
      </c>
      <c r="H7301" s="2">
        <v>9037.33</v>
      </c>
      <c r="I7301" s="2">
        <v>54223.98</v>
      </c>
    </row>
    <row r="7302" spans="1:9" x14ac:dyDescent="0.25">
      <c r="A7302" t="s">
        <v>4011</v>
      </c>
      <c r="B7302" t="s">
        <v>4012</v>
      </c>
      <c r="C7302" t="s">
        <v>34</v>
      </c>
      <c r="D7302" t="s">
        <v>4049</v>
      </c>
      <c r="E7302" t="s">
        <v>4073</v>
      </c>
      <c r="F7302" t="s">
        <v>4051</v>
      </c>
      <c r="G7302">
        <v>1</v>
      </c>
      <c r="H7302" s="2">
        <v>15517.89</v>
      </c>
      <c r="I7302" s="2">
        <v>15517.89</v>
      </c>
    </row>
    <row r="7303" spans="1:9" x14ac:dyDescent="0.25">
      <c r="A7303" t="s">
        <v>4011</v>
      </c>
      <c r="B7303" t="s">
        <v>4012</v>
      </c>
      <c r="C7303" t="s">
        <v>34</v>
      </c>
      <c r="D7303" t="s">
        <v>4052</v>
      </c>
      <c r="E7303" t="s">
        <v>7920</v>
      </c>
      <c r="F7303" t="s">
        <v>4106</v>
      </c>
      <c r="G7303">
        <v>0.13</v>
      </c>
      <c r="H7303" s="2">
        <v>125800</v>
      </c>
      <c r="I7303" s="2">
        <v>15725</v>
      </c>
    </row>
    <row r="7304" spans="1:9" x14ac:dyDescent="0.25">
      <c r="A7304" t="s">
        <v>4014</v>
      </c>
      <c r="B7304" t="s">
        <v>4015</v>
      </c>
      <c r="C7304" t="s">
        <v>34</v>
      </c>
      <c r="D7304" t="s">
        <v>4062</v>
      </c>
      <c r="E7304" t="s">
        <v>7307</v>
      </c>
      <c r="F7304" t="s">
        <v>34</v>
      </c>
      <c r="G7304">
        <v>0.8</v>
      </c>
      <c r="H7304" s="2">
        <v>80523.33</v>
      </c>
      <c r="I7304" s="2">
        <v>64418.66</v>
      </c>
    </row>
    <row r="7305" spans="1:9" x14ac:dyDescent="0.25">
      <c r="A7305" t="s">
        <v>4014</v>
      </c>
      <c r="B7305" t="s">
        <v>4015</v>
      </c>
      <c r="C7305" t="s">
        <v>34</v>
      </c>
      <c r="D7305" t="s">
        <v>4062</v>
      </c>
      <c r="E7305" t="s">
        <v>4475</v>
      </c>
      <c r="F7305" t="s">
        <v>231</v>
      </c>
      <c r="G7305">
        <v>265.2</v>
      </c>
      <c r="H7305" s="2">
        <v>730</v>
      </c>
      <c r="I7305" s="2">
        <v>193596</v>
      </c>
    </row>
    <row r="7306" spans="1:9" x14ac:dyDescent="0.25">
      <c r="A7306" t="s">
        <v>4014</v>
      </c>
      <c r="B7306" t="s">
        <v>4015</v>
      </c>
      <c r="C7306" t="s">
        <v>34</v>
      </c>
      <c r="D7306" t="s">
        <v>4062</v>
      </c>
      <c r="E7306" t="s">
        <v>5219</v>
      </c>
      <c r="F7306" t="s">
        <v>34</v>
      </c>
      <c r="G7306">
        <v>0.86</v>
      </c>
      <c r="H7306" s="2">
        <v>92880</v>
      </c>
      <c r="I7306" s="2">
        <v>79579.58</v>
      </c>
    </row>
    <row r="7307" spans="1:9" x14ac:dyDescent="0.25">
      <c r="A7307" t="s">
        <v>4014</v>
      </c>
      <c r="B7307" t="s">
        <v>4015</v>
      </c>
      <c r="C7307" t="s">
        <v>34</v>
      </c>
      <c r="D7307" t="s">
        <v>4062</v>
      </c>
      <c r="E7307" t="s">
        <v>4076</v>
      </c>
      <c r="F7307" t="s">
        <v>3963</v>
      </c>
      <c r="G7307">
        <v>173.4</v>
      </c>
      <c r="H7307" s="2">
        <v>21</v>
      </c>
      <c r="I7307" s="2">
        <v>3641.4</v>
      </c>
    </row>
    <row r="7308" spans="1:9" x14ac:dyDescent="0.25">
      <c r="A7308" t="s">
        <v>4014</v>
      </c>
      <c r="B7308" t="s">
        <v>4015</v>
      </c>
      <c r="C7308" t="s">
        <v>34</v>
      </c>
      <c r="D7308" t="s">
        <v>4049</v>
      </c>
      <c r="E7308" t="s">
        <v>4050</v>
      </c>
      <c r="F7308" t="s">
        <v>4051</v>
      </c>
      <c r="G7308">
        <v>6</v>
      </c>
      <c r="H7308" s="2">
        <v>9037.33</v>
      </c>
      <c r="I7308" s="2">
        <v>54223.98</v>
      </c>
    </row>
    <row r="7309" spans="1:9" x14ac:dyDescent="0.25">
      <c r="A7309" t="s">
        <v>4014</v>
      </c>
      <c r="B7309" t="s">
        <v>4015</v>
      </c>
      <c r="C7309" t="s">
        <v>34</v>
      </c>
      <c r="D7309" t="s">
        <v>4049</v>
      </c>
      <c r="E7309" t="s">
        <v>4073</v>
      </c>
      <c r="F7309" t="s">
        <v>4051</v>
      </c>
      <c r="G7309">
        <v>1</v>
      </c>
      <c r="H7309" s="2">
        <v>15517.89</v>
      </c>
      <c r="I7309" s="2">
        <v>15517.89</v>
      </c>
    </row>
    <row r="7310" spans="1:9" x14ac:dyDescent="0.25">
      <c r="A7310" t="s">
        <v>4014</v>
      </c>
      <c r="B7310" t="s">
        <v>4015</v>
      </c>
      <c r="C7310" t="s">
        <v>34</v>
      </c>
      <c r="D7310" t="s">
        <v>4052</v>
      </c>
      <c r="E7310" t="s">
        <v>7920</v>
      </c>
      <c r="F7310" t="s">
        <v>4106</v>
      </c>
      <c r="G7310">
        <v>0.13</v>
      </c>
      <c r="H7310" s="2">
        <v>125800</v>
      </c>
      <c r="I7310" s="2">
        <v>15725</v>
      </c>
    </row>
    <row r="7311" spans="1:9" x14ac:dyDescent="0.25">
      <c r="A7311" t="s">
        <v>4016</v>
      </c>
      <c r="B7311" t="s">
        <v>4017</v>
      </c>
      <c r="C7311" t="s">
        <v>34</v>
      </c>
      <c r="D7311" t="s">
        <v>4062</v>
      </c>
      <c r="E7311" t="s">
        <v>4004</v>
      </c>
      <c r="F7311" t="s">
        <v>34</v>
      </c>
      <c r="G7311">
        <v>0.61</v>
      </c>
      <c r="H7311" s="2">
        <v>426702.51</v>
      </c>
      <c r="I7311" s="2">
        <v>258155.02</v>
      </c>
    </row>
    <row r="7312" spans="1:9" x14ac:dyDescent="0.25">
      <c r="A7312" t="s">
        <v>4016</v>
      </c>
      <c r="B7312" t="s">
        <v>4017</v>
      </c>
      <c r="C7312" t="s">
        <v>34</v>
      </c>
      <c r="D7312" t="s">
        <v>4062</v>
      </c>
      <c r="E7312" t="s">
        <v>4277</v>
      </c>
      <c r="F7312" t="s">
        <v>34</v>
      </c>
      <c r="G7312">
        <v>0.4</v>
      </c>
      <c r="H7312" s="2">
        <v>50575</v>
      </c>
      <c r="I7312" s="2">
        <v>20230</v>
      </c>
    </row>
    <row r="7313" spans="1:9" x14ac:dyDescent="0.25">
      <c r="A7313" t="s">
        <v>4016</v>
      </c>
      <c r="B7313" t="s">
        <v>4017</v>
      </c>
      <c r="C7313" t="s">
        <v>34</v>
      </c>
      <c r="D7313" t="s">
        <v>4049</v>
      </c>
      <c r="E7313" t="s">
        <v>4050</v>
      </c>
      <c r="F7313" t="s">
        <v>4051</v>
      </c>
      <c r="G7313">
        <v>7.8</v>
      </c>
      <c r="H7313" s="2">
        <v>9037.33</v>
      </c>
      <c r="I7313" s="2">
        <v>70491.17</v>
      </c>
    </row>
    <row r="7314" spans="1:9" x14ac:dyDescent="0.25">
      <c r="A7314" t="s">
        <v>4016</v>
      </c>
      <c r="B7314" t="s">
        <v>4017</v>
      </c>
      <c r="C7314" t="s">
        <v>34</v>
      </c>
      <c r="D7314" t="s">
        <v>4052</v>
      </c>
      <c r="E7314" t="s">
        <v>4053</v>
      </c>
      <c r="F7314" t="s">
        <v>4054</v>
      </c>
      <c r="G7314">
        <v>0.1</v>
      </c>
      <c r="H7314" s="2">
        <v>70491.17</v>
      </c>
      <c r="I7314" s="2">
        <v>70.49</v>
      </c>
    </row>
    <row r="7315" spans="1:9" x14ac:dyDescent="0.25">
      <c r="A7315" t="s">
        <v>4016</v>
      </c>
      <c r="B7315" t="s">
        <v>4017</v>
      </c>
      <c r="C7315" t="s">
        <v>34</v>
      </c>
      <c r="D7315" t="s">
        <v>4058</v>
      </c>
      <c r="E7315" t="s">
        <v>4059</v>
      </c>
      <c r="F7315" t="s">
        <v>3545</v>
      </c>
      <c r="G7315">
        <v>7.37</v>
      </c>
      <c r="H7315" s="2">
        <v>1325</v>
      </c>
      <c r="I7315" s="2">
        <v>9765.25</v>
      </c>
    </row>
    <row r="7316" spans="1:9" x14ac:dyDescent="0.25">
      <c r="A7316" t="s">
        <v>4019</v>
      </c>
      <c r="B7316" t="s">
        <v>4020</v>
      </c>
      <c r="C7316" t="s">
        <v>34</v>
      </c>
      <c r="D7316" t="s">
        <v>4062</v>
      </c>
      <c r="E7316" t="s">
        <v>4012</v>
      </c>
      <c r="F7316" t="s">
        <v>34</v>
      </c>
      <c r="G7316">
        <v>1.05</v>
      </c>
      <c r="H7316" s="2">
        <v>475506.98</v>
      </c>
      <c r="I7316" s="2">
        <v>499282.33</v>
      </c>
    </row>
    <row r="7317" spans="1:9" x14ac:dyDescent="0.25">
      <c r="A7317" t="s">
        <v>4019</v>
      </c>
      <c r="B7317" t="s">
        <v>4020</v>
      </c>
      <c r="C7317" t="s">
        <v>34</v>
      </c>
      <c r="D7317" t="s">
        <v>4062</v>
      </c>
      <c r="E7317" t="s">
        <v>4409</v>
      </c>
      <c r="F7317" t="s">
        <v>4377</v>
      </c>
      <c r="G7317">
        <v>0.58</v>
      </c>
      <c r="H7317" s="2">
        <v>44489.08</v>
      </c>
      <c r="I7317" s="2">
        <v>25803.67</v>
      </c>
    </row>
    <row r="7318" spans="1:9" x14ac:dyDescent="0.25">
      <c r="A7318" t="s">
        <v>4022</v>
      </c>
      <c r="B7318" t="s">
        <v>4023</v>
      </c>
      <c r="C7318" t="s">
        <v>34</v>
      </c>
      <c r="D7318" t="s">
        <v>4062</v>
      </c>
      <c r="E7318" t="s">
        <v>4009</v>
      </c>
      <c r="F7318" t="s">
        <v>34</v>
      </c>
      <c r="G7318">
        <v>1.05</v>
      </c>
      <c r="H7318" s="2">
        <v>543324.7</v>
      </c>
      <c r="I7318" s="2">
        <v>570490.94</v>
      </c>
    </row>
    <row r="7319" spans="1:9" x14ac:dyDescent="0.25">
      <c r="A7319" t="s">
        <v>4022</v>
      </c>
      <c r="B7319" t="s">
        <v>4023</v>
      </c>
      <c r="C7319" t="s">
        <v>34</v>
      </c>
      <c r="D7319" t="s">
        <v>4062</v>
      </c>
      <c r="E7319" t="s">
        <v>4409</v>
      </c>
      <c r="F7319" t="s">
        <v>4377</v>
      </c>
      <c r="G7319">
        <v>0.62</v>
      </c>
      <c r="H7319" s="2">
        <v>44489.08</v>
      </c>
      <c r="I7319" s="2">
        <v>27583.23</v>
      </c>
    </row>
    <row r="7320" spans="1:9" x14ac:dyDescent="0.25">
      <c r="A7320" t="s">
        <v>4025</v>
      </c>
      <c r="B7320" t="s">
        <v>437</v>
      </c>
      <c r="C7320" t="s">
        <v>231</v>
      </c>
      <c r="D7320" t="s">
        <v>4062</v>
      </c>
      <c r="E7320" t="s">
        <v>4390</v>
      </c>
      <c r="F7320" t="s">
        <v>231</v>
      </c>
      <c r="G7320">
        <v>0.03</v>
      </c>
      <c r="H7320" s="2">
        <v>4155</v>
      </c>
      <c r="I7320" s="2">
        <v>124.65</v>
      </c>
    </row>
    <row r="7321" spans="1:9" x14ac:dyDescent="0.25">
      <c r="A7321" t="s">
        <v>4025</v>
      </c>
      <c r="B7321" t="s">
        <v>437</v>
      </c>
      <c r="C7321" t="s">
        <v>231</v>
      </c>
      <c r="D7321" t="s">
        <v>4062</v>
      </c>
      <c r="E7321" t="s">
        <v>4391</v>
      </c>
      <c r="F7321" t="s">
        <v>231</v>
      </c>
      <c r="G7321">
        <v>1.05</v>
      </c>
      <c r="H7321" s="2">
        <v>2930</v>
      </c>
      <c r="I7321" s="2">
        <v>3076.5</v>
      </c>
    </row>
    <row r="7322" spans="1:9" x14ac:dyDescent="0.25">
      <c r="A7322" t="s">
        <v>4025</v>
      </c>
      <c r="B7322" t="s">
        <v>437</v>
      </c>
      <c r="C7322" t="s">
        <v>231</v>
      </c>
      <c r="D7322" t="s">
        <v>4062</v>
      </c>
      <c r="E7322" t="s">
        <v>4392</v>
      </c>
      <c r="F7322" t="s">
        <v>63</v>
      </c>
      <c r="G7322">
        <v>0.03</v>
      </c>
      <c r="H7322" s="2">
        <v>3159.98</v>
      </c>
      <c r="I7322" s="2">
        <v>94.8</v>
      </c>
    </row>
    <row r="7323" spans="1:9" x14ac:dyDescent="0.25">
      <c r="A7323" t="s">
        <v>4025</v>
      </c>
      <c r="B7323" t="s">
        <v>437</v>
      </c>
      <c r="C7323" t="s">
        <v>231</v>
      </c>
      <c r="D7323" t="s">
        <v>4049</v>
      </c>
      <c r="E7323" t="s">
        <v>4050</v>
      </c>
      <c r="F7323" t="s">
        <v>4051</v>
      </c>
      <c r="G7323">
        <v>0.05</v>
      </c>
      <c r="H7323" s="2">
        <v>9037.33</v>
      </c>
      <c r="I7323" s="2">
        <v>448.25</v>
      </c>
    </row>
    <row r="7324" spans="1:9" x14ac:dyDescent="0.25">
      <c r="A7324" t="s">
        <v>4025</v>
      </c>
      <c r="B7324" t="s">
        <v>437</v>
      </c>
      <c r="C7324" t="s">
        <v>231</v>
      </c>
      <c r="D7324" t="s">
        <v>4049</v>
      </c>
      <c r="E7324" t="s">
        <v>4073</v>
      </c>
      <c r="F7324" t="s">
        <v>4051</v>
      </c>
      <c r="G7324">
        <v>0.02</v>
      </c>
      <c r="H7324" s="2">
        <v>15517.89</v>
      </c>
      <c r="I7324" s="2">
        <v>384.84</v>
      </c>
    </row>
    <row r="7325" spans="1:9" x14ac:dyDescent="0.25">
      <c r="A7325" t="s">
        <v>4025</v>
      </c>
      <c r="B7325" t="s">
        <v>437</v>
      </c>
      <c r="C7325" t="s">
        <v>231</v>
      </c>
      <c r="D7325" t="s">
        <v>4052</v>
      </c>
      <c r="E7325" t="s">
        <v>4053</v>
      </c>
      <c r="F7325" t="s">
        <v>4054</v>
      </c>
      <c r="G7325">
        <v>5</v>
      </c>
      <c r="H7325" s="2">
        <v>833.09</v>
      </c>
      <c r="I7325" s="2">
        <v>41.65</v>
      </c>
    </row>
    <row r="7326" spans="1:9" x14ac:dyDescent="0.25">
      <c r="A7326" t="s">
        <v>4028</v>
      </c>
      <c r="B7326" t="s">
        <v>442</v>
      </c>
      <c r="C7326" t="s">
        <v>231</v>
      </c>
      <c r="D7326" t="s">
        <v>4062</v>
      </c>
      <c r="E7326" t="s">
        <v>4390</v>
      </c>
      <c r="F7326" t="s">
        <v>231</v>
      </c>
      <c r="G7326">
        <v>0.03</v>
      </c>
      <c r="H7326" s="2">
        <v>4155</v>
      </c>
      <c r="I7326" s="2">
        <v>124.65</v>
      </c>
    </row>
    <row r="7327" spans="1:9" x14ac:dyDescent="0.25">
      <c r="A7327" t="s">
        <v>4028</v>
      </c>
      <c r="B7327" t="s">
        <v>442</v>
      </c>
      <c r="C7327" t="s">
        <v>231</v>
      </c>
      <c r="D7327" t="s">
        <v>4062</v>
      </c>
      <c r="E7327" t="s">
        <v>4261</v>
      </c>
      <c r="F7327" t="s">
        <v>231</v>
      </c>
      <c r="G7327">
        <v>1.05</v>
      </c>
      <c r="H7327" s="2">
        <v>2982</v>
      </c>
      <c r="I7327" s="2">
        <v>3131.1</v>
      </c>
    </row>
    <row r="7328" spans="1:9" x14ac:dyDescent="0.25">
      <c r="A7328" t="s">
        <v>4028</v>
      </c>
      <c r="B7328" t="s">
        <v>442</v>
      </c>
      <c r="C7328" t="s">
        <v>231</v>
      </c>
      <c r="D7328" t="s">
        <v>4062</v>
      </c>
      <c r="E7328" t="s">
        <v>4392</v>
      </c>
      <c r="F7328" t="s">
        <v>63</v>
      </c>
      <c r="G7328">
        <v>0.03</v>
      </c>
      <c r="H7328" s="2">
        <v>3159.98</v>
      </c>
      <c r="I7328" s="2">
        <v>94.8</v>
      </c>
    </row>
    <row r="7329" spans="1:9" x14ac:dyDescent="0.25">
      <c r="A7329" t="s">
        <v>4028</v>
      </c>
      <c r="B7329" t="s">
        <v>442</v>
      </c>
      <c r="C7329" t="s">
        <v>231</v>
      </c>
      <c r="D7329" t="s">
        <v>4049</v>
      </c>
      <c r="E7329" t="s">
        <v>4050</v>
      </c>
      <c r="F7329" t="s">
        <v>4051</v>
      </c>
      <c r="G7329">
        <v>0.06</v>
      </c>
      <c r="H7329" s="2">
        <v>9037.33</v>
      </c>
      <c r="I7329" s="2">
        <v>540.43</v>
      </c>
    </row>
    <row r="7330" spans="1:9" x14ac:dyDescent="0.25">
      <c r="A7330" t="s">
        <v>4028</v>
      </c>
      <c r="B7330" t="s">
        <v>442</v>
      </c>
      <c r="C7330" t="s">
        <v>231</v>
      </c>
      <c r="D7330" t="s">
        <v>4049</v>
      </c>
      <c r="E7330" t="s">
        <v>4073</v>
      </c>
      <c r="F7330" t="s">
        <v>4051</v>
      </c>
      <c r="G7330">
        <v>0.03</v>
      </c>
      <c r="H7330" s="2">
        <v>15517.89</v>
      </c>
      <c r="I7330" s="2">
        <v>463.98</v>
      </c>
    </row>
    <row r="7331" spans="1:9" x14ac:dyDescent="0.25">
      <c r="A7331" t="s">
        <v>4028</v>
      </c>
      <c r="B7331" t="s">
        <v>442</v>
      </c>
      <c r="C7331" t="s">
        <v>231</v>
      </c>
      <c r="D7331" t="s">
        <v>4052</v>
      </c>
      <c r="E7331" t="s">
        <v>4053</v>
      </c>
      <c r="F7331" t="s">
        <v>4054</v>
      </c>
      <c r="G7331">
        <v>7.2</v>
      </c>
      <c r="H7331" s="2">
        <v>1004.41</v>
      </c>
      <c r="I7331" s="2">
        <v>72.32</v>
      </c>
    </row>
    <row r="7332" spans="1:9" x14ac:dyDescent="0.25">
      <c r="A7332" t="s">
        <v>4029</v>
      </c>
      <c r="B7332" t="s">
        <v>4031</v>
      </c>
      <c r="C7332" t="s">
        <v>21</v>
      </c>
      <c r="D7332" t="s">
        <v>4062</v>
      </c>
      <c r="E7332" t="s">
        <v>4262</v>
      </c>
      <c r="F7332" t="s">
        <v>63</v>
      </c>
      <c r="G7332">
        <v>123</v>
      </c>
      <c r="H7332" s="2">
        <v>415</v>
      </c>
      <c r="I7332" s="2">
        <v>51045</v>
      </c>
    </row>
    <row r="7333" spans="1:9" x14ac:dyDescent="0.25">
      <c r="A7333" t="s">
        <v>4029</v>
      </c>
      <c r="B7333" t="s">
        <v>4031</v>
      </c>
      <c r="C7333" t="s">
        <v>21</v>
      </c>
      <c r="D7333" t="s">
        <v>4062</v>
      </c>
      <c r="E7333" t="s">
        <v>3978</v>
      </c>
      <c r="F7333" t="s">
        <v>34</v>
      </c>
      <c r="G7333">
        <v>0.09</v>
      </c>
      <c r="H7333" s="2">
        <v>409741.65</v>
      </c>
      <c r="I7333" s="2">
        <v>36876.75</v>
      </c>
    </row>
    <row r="7334" spans="1:9" x14ac:dyDescent="0.25">
      <c r="A7334" t="s">
        <v>4029</v>
      </c>
      <c r="B7334" t="s">
        <v>4031</v>
      </c>
      <c r="C7334" t="s">
        <v>21</v>
      </c>
      <c r="D7334" t="s">
        <v>4049</v>
      </c>
      <c r="E7334" t="s">
        <v>4050</v>
      </c>
      <c r="F7334" t="s">
        <v>4051</v>
      </c>
      <c r="G7334">
        <v>3.16</v>
      </c>
      <c r="H7334" s="2">
        <v>9037.33</v>
      </c>
      <c r="I7334" s="2">
        <v>28557.96</v>
      </c>
    </row>
    <row r="7335" spans="1:9" x14ac:dyDescent="0.25">
      <c r="A7335" t="s">
        <v>4029</v>
      </c>
      <c r="B7335" t="s">
        <v>4031</v>
      </c>
      <c r="C7335" t="s">
        <v>21</v>
      </c>
      <c r="D7335" t="s">
        <v>4049</v>
      </c>
      <c r="E7335" t="s">
        <v>4073</v>
      </c>
      <c r="F7335" t="s">
        <v>4051</v>
      </c>
      <c r="G7335">
        <v>1.49</v>
      </c>
      <c r="H7335" s="2">
        <v>15517.89</v>
      </c>
      <c r="I7335" s="2">
        <v>23073.55</v>
      </c>
    </row>
    <row r="7336" spans="1:9" x14ac:dyDescent="0.25">
      <c r="A7336" t="s">
        <v>4029</v>
      </c>
      <c r="B7336" t="s">
        <v>4031</v>
      </c>
      <c r="C7336" t="s">
        <v>21</v>
      </c>
      <c r="D7336" t="s">
        <v>4052</v>
      </c>
      <c r="E7336" t="s">
        <v>4053</v>
      </c>
      <c r="F7336" t="s">
        <v>4054</v>
      </c>
      <c r="G7336">
        <v>5</v>
      </c>
      <c r="H7336" s="2">
        <v>51631.51</v>
      </c>
      <c r="I7336" s="2">
        <v>2581.58</v>
      </c>
    </row>
    <row r="7337" spans="1:9" x14ac:dyDescent="0.25">
      <c r="A7337" t="s">
        <v>4034</v>
      </c>
      <c r="B7337" t="s">
        <v>4035</v>
      </c>
      <c r="C7337" t="s">
        <v>21</v>
      </c>
      <c r="D7337" t="s">
        <v>4062</v>
      </c>
      <c r="E7337" t="s">
        <v>4494</v>
      </c>
      <c r="F7337" t="s">
        <v>63</v>
      </c>
      <c r="G7337">
        <v>30</v>
      </c>
      <c r="H7337" s="2">
        <v>794</v>
      </c>
      <c r="I7337" s="2">
        <v>23820</v>
      </c>
    </row>
    <row r="7338" spans="1:9" x14ac:dyDescent="0.25">
      <c r="A7338" t="s">
        <v>4034</v>
      </c>
      <c r="B7338" t="s">
        <v>4035</v>
      </c>
      <c r="C7338" t="s">
        <v>21</v>
      </c>
      <c r="D7338" t="s">
        <v>4062</v>
      </c>
      <c r="E7338" t="s">
        <v>3978</v>
      </c>
      <c r="F7338" t="s">
        <v>34</v>
      </c>
      <c r="G7338">
        <v>0.01</v>
      </c>
      <c r="H7338" s="2">
        <v>409741.65</v>
      </c>
      <c r="I7338" s="2">
        <v>4097.42</v>
      </c>
    </row>
    <row r="7339" spans="1:9" x14ac:dyDescent="0.25">
      <c r="A7339" t="s">
        <v>4034</v>
      </c>
      <c r="B7339" t="s">
        <v>4035</v>
      </c>
      <c r="C7339" t="s">
        <v>21</v>
      </c>
      <c r="D7339" t="s">
        <v>4049</v>
      </c>
      <c r="E7339" t="s">
        <v>4050</v>
      </c>
      <c r="F7339" t="s">
        <v>4051</v>
      </c>
      <c r="G7339">
        <v>0.86</v>
      </c>
      <c r="H7339" s="2">
        <v>9037.33</v>
      </c>
      <c r="I7339" s="2">
        <v>7772.1</v>
      </c>
    </row>
    <row r="7340" spans="1:9" x14ac:dyDescent="0.25">
      <c r="A7340" t="s">
        <v>4034</v>
      </c>
      <c r="B7340" t="s">
        <v>4035</v>
      </c>
      <c r="C7340" t="s">
        <v>21</v>
      </c>
      <c r="D7340" t="s">
        <v>4049</v>
      </c>
      <c r="E7340" t="s">
        <v>4073</v>
      </c>
      <c r="F7340" t="s">
        <v>4051</v>
      </c>
      <c r="G7340">
        <v>0.86</v>
      </c>
      <c r="H7340" s="2">
        <v>15517.89</v>
      </c>
      <c r="I7340" s="2">
        <v>13345.39</v>
      </c>
    </row>
    <row r="7341" spans="1:9" x14ac:dyDescent="0.25">
      <c r="A7341" t="s">
        <v>4034</v>
      </c>
      <c r="B7341" t="s">
        <v>4035</v>
      </c>
      <c r="C7341" t="s">
        <v>21</v>
      </c>
      <c r="D7341" t="s">
        <v>4052</v>
      </c>
      <c r="E7341" t="s">
        <v>4053</v>
      </c>
      <c r="F7341" t="s">
        <v>4054</v>
      </c>
      <c r="G7341">
        <v>5</v>
      </c>
      <c r="H7341" s="2">
        <v>21117.49</v>
      </c>
      <c r="I7341" s="2">
        <v>1055.87</v>
      </c>
    </row>
    <row r="7342" spans="1:9" x14ac:dyDescent="0.25">
      <c r="A7342" t="s">
        <v>4037</v>
      </c>
      <c r="B7342" t="s">
        <v>4038</v>
      </c>
      <c r="C7342" t="s">
        <v>21</v>
      </c>
      <c r="D7342" t="s">
        <v>4062</v>
      </c>
      <c r="E7342" t="s">
        <v>4262</v>
      </c>
      <c r="F7342" t="s">
        <v>63</v>
      </c>
      <c r="G7342">
        <v>55</v>
      </c>
      <c r="H7342" s="2">
        <v>415</v>
      </c>
      <c r="I7342" s="2">
        <v>22825</v>
      </c>
    </row>
    <row r="7343" spans="1:9" x14ac:dyDescent="0.25">
      <c r="A7343" t="s">
        <v>4037</v>
      </c>
      <c r="B7343" t="s">
        <v>4038</v>
      </c>
      <c r="C7343" t="s">
        <v>21</v>
      </c>
      <c r="D7343" t="s">
        <v>4062</v>
      </c>
      <c r="E7343" t="s">
        <v>3978</v>
      </c>
      <c r="F7343" t="s">
        <v>34</v>
      </c>
      <c r="G7343">
        <v>0.09</v>
      </c>
      <c r="H7343" s="2">
        <v>409741.65</v>
      </c>
      <c r="I7343" s="2">
        <v>36876.75</v>
      </c>
    </row>
    <row r="7344" spans="1:9" x14ac:dyDescent="0.25">
      <c r="A7344" t="s">
        <v>4037</v>
      </c>
      <c r="B7344" t="s">
        <v>4038</v>
      </c>
      <c r="C7344" t="s">
        <v>21</v>
      </c>
      <c r="D7344" t="s">
        <v>4049</v>
      </c>
      <c r="E7344" t="s">
        <v>5818</v>
      </c>
      <c r="F7344" t="s">
        <v>4236</v>
      </c>
      <c r="G7344">
        <v>0.75</v>
      </c>
      <c r="H7344" s="2">
        <v>24555.22</v>
      </c>
      <c r="I7344" s="2">
        <v>18416.42</v>
      </c>
    </row>
    <row r="7345" spans="1:9" x14ac:dyDescent="0.25">
      <c r="A7345" t="s">
        <v>4037</v>
      </c>
      <c r="B7345" t="s">
        <v>4038</v>
      </c>
      <c r="C7345" t="s">
        <v>21</v>
      </c>
      <c r="D7345" t="s">
        <v>4052</v>
      </c>
      <c r="E7345" t="s">
        <v>4053</v>
      </c>
      <c r="F7345" t="s">
        <v>4054</v>
      </c>
      <c r="G7345">
        <v>5</v>
      </c>
      <c r="H7345" s="2">
        <v>18416.42</v>
      </c>
      <c r="I7345" s="2">
        <v>920.82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Actividades</vt:lpstr>
      <vt:lpstr>1.01 PRELIMINARES</vt:lpstr>
      <vt:lpstr>1.02 CIMENTACIÓN Y DESAGUES</vt:lpstr>
      <vt:lpstr>1.03 ESTRUCTURAS</vt:lpstr>
      <vt:lpstr>1.04 MAMPOSTERÍA</vt:lpstr>
      <vt:lpstr>1.05 PAÑETES</vt:lpstr>
      <vt:lpstr>1.06 INSTALACIONES HIDRÁULICAS</vt:lpstr>
      <vt:lpstr>1.07 INSTALACIONES ELÉCTRICAS -</vt:lpstr>
      <vt:lpstr>1.08 INSTLACIONES DE GAS</vt:lpstr>
      <vt:lpstr>1.09 PINTURA</vt:lpstr>
      <vt:lpstr>1.10 ENCHAPES</vt:lpstr>
      <vt:lpstr>1.11 PISOS - BASES - ACABADOS</vt:lpstr>
      <vt:lpstr>1.12 CUBIERTAS</vt:lpstr>
      <vt:lpstr>1.13 CIELO RASOS</vt:lpstr>
      <vt:lpstr>1.14 CARPINTERÍA MADERA</vt:lpstr>
      <vt:lpstr>1.15 CARPINTERÍA METÁLICA</vt:lpstr>
      <vt:lpstr>1.16 APARATOS SANITARIOS</vt:lpstr>
      <vt:lpstr>1.17 VIDRIOS Y CERRADURAS</vt:lpstr>
      <vt:lpstr>1.18 OBRAS EXTERIORES</vt:lpstr>
      <vt:lpstr>1.19 INSTALACIONES DEPORTIVAS</vt:lpstr>
      <vt:lpstr>1.20 OTROS</vt:lpstr>
      <vt:lpstr>1.21 SISTEMA TELÉFONICO</vt:lpstr>
      <vt:lpstr>1.22 CABLEADO ESTRCTURADO</vt:lpstr>
      <vt:lpstr>1.23 FACHADAS Y REVESTIMIENTOS</vt:lpstr>
      <vt:lpstr>2.01 TUBERIA PVC - ACUEDUCTO</vt:lpstr>
      <vt:lpstr>2.02 TUBERÍA POLIETILENO PE 100</vt:lpstr>
      <vt:lpstr>2.03 TUBERIA HG- ACUEDUCTO</vt:lpstr>
      <vt:lpstr>2.04 ACCESORIOS- ACUEDUCTO</vt:lpstr>
      <vt:lpstr>2.05 TUBERIA SANITARIA PVC - AL</vt:lpstr>
      <vt:lpstr>2.06 OTRAS OBRAS - ALCANTARILAL</vt:lpstr>
      <vt:lpstr>2.07 OTRAS OBRAS - CONCRETOS Y</vt:lpstr>
      <vt:lpstr>2.08 ACCESORIOS DE CONTROL DE P</vt:lpstr>
      <vt:lpstr>2.09 REFORESTACION</vt:lpstr>
      <vt:lpstr>3.01 PRELIMINARES (VIAS)</vt:lpstr>
      <vt:lpstr>3.02 EXPLANACIONES</vt:lpstr>
      <vt:lpstr>3.03 OBRAS DE DRENAJE, PROTECCI</vt:lpstr>
      <vt:lpstr>3.04 AFIRMADO, SUBBASES Y BASES</vt:lpstr>
      <vt:lpstr>3.05 PAVIMENTO RIGIDO</vt:lpstr>
      <vt:lpstr>3.06 PAVIMENTACION FLEXIBLE</vt:lpstr>
      <vt:lpstr>3.07 PAVIMENTO ARTICULADO VEHIC</vt:lpstr>
      <vt:lpstr>3.08 SARDINELES Y ANDENES</vt:lpstr>
      <vt:lpstr>3.09 SEÑALIZACION Y DEMARCACION</vt:lpstr>
      <vt:lpstr>3.10 PUENTES</vt:lpstr>
      <vt:lpstr>3.11 MANTENIMIENTO</vt:lpstr>
      <vt:lpstr>3.12 TRANSPORTE</vt:lpstr>
      <vt:lpstr>3.13 VARIOS</vt:lpstr>
      <vt:lpstr>4.01 GASODUCTOS</vt:lpstr>
      <vt:lpstr>5.01 SUELDOS Y SALARIOS</vt:lpstr>
      <vt:lpstr>6.01 MORTEROS</vt:lpstr>
      <vt:lpstr>6.02 CONCRETOS</vt:lpstr>
      <vt:lpstr>6.03 HIERRO</vt:lpstr>
      <vt:lpstr>6.04 MAMPOSTERIA</vt:lpstr>
      <vt:lpstr>Clasificacion</vt:lpstr>
      <vt:lpstr>Insumos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ConstruMaster</dc:creator>
  <dc:title/>
  <dc:subject/>
  <dc:description/>
  <cp:keywords/>
  <cp:category/>
  <cp:lastModifiedBy>Unknown</cp:lastModifiedBy>
  <dcterms:created xsi:type="dcterms:W3CDTF">2026-09-27T11:10:03Z</dcterms:created>
  <dcterms:modified xsi:type="dcterms:W3CDTF">2026-09-27T11:10:03Z</dcterms:modified>
</cp:coreProperties>
</file>